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8" yWindow="264" windowWidth="18456" windowHeight="8580" tabRatio="818" firstSheet="1" activeTab="2"/>
  </bookViews>
  <sheets>
    <sheet name="2010 Avoided Costs" sheetId="4" state="hidden" r:id="rId1"/>
    <sheet name="A-3-A-48 Table 17" sheetId="13" r:id="rId2"/>
    <sheet name="A-3-A-50 Table 18" sheetId="14" r:id="rId3"/>
    <sheet name="2015 Avoided Costs" sheetId="6" r:id="rId4"/>
  </sheets>
  <externalReferences>
    <externalReference r:id="rId5"/>
  </externalReferences>
  <definedNames>
    <definedName name="gas">'[1]2010 Avoided Costs'!$B$9:$H$38</definedName>
    <definedName name="gas2010ac">'2010 Avoided Costs'!$B$9:$H$38</definedName>
    <definedName name="gas2011ac">'2015 Avoided Costs'!$B$9:$H$38</definedName>
    <definedName name="_xlnm.Print_Area" localSheetId="1">'A-3-A-48 Table 17'!$A$1:$V$316</definedName>
    <definedName name="we2010ac">'2010 Avoided Costs'!$J$9:$N$38</definedName>
    <definedName name="we2011ac">'2015 Avoided Costs'!$J$9:$N$38</definedName>
  </definedNames>
  <calcPr calcId="145621"/>
</workbook>
</file>

<file path=xl/calcChain.xml><?xml version="1.0" encoding="utf-8"?>
<calcChain xmlns="http://schemas.openxmlformats.org/spreadsheetml/2006/main">
  <c r="E3" i="14" l="1"/>
  <c r="F3" i="14" s="1"/>
  <c r="H3" i="14"/>
  <c r="D112" i="14"/>
  <c r="D113" i="14"/>
  <c r="E3" i="13"/>
  <c r="F3" i="13" s="1"/>
  <c r="E4" i="13"/>
  <c r="F4" i="13" s="1"/>
  <c r="E5" i="13"/>
  <c r="F5" i="13" s="1"/>
  <c r="E6" i="13"/>
  <c r="F6" i="13"/>
  <c r="E7" i="13"/>
  <c r="F7" i="13" s="1"/>
  <c r="E8" i="13"/>
  <c r="F8" i="13" s="1"/>
  <c r="E9" i="13"/>
  <c r="F9" i="13" s="1"/>
  <c r="E10" i="13"/>
  <c r="F10" i="13"/>
  <c r="E11" i="13"/>
  <c r="F11" i="13" s="1"/>
  <c r="E12" i="13"/>
  <c r="F12" i="13" s="1"/>
  <c r="E13" i="13"/>
  <c r="F13" i="13" s="1"/>
  <c r="E14" i="13"/>
  <c r="F14" i="13"/>
  <c r="E15" i="13"/>
  <c r="F15" i="13" s="1"/>
  <c r="E16" i="13"/>
  <c r="F16" i="13" s="1"/>
  <c r="E17" i="13"/>
  <c r="F17" i="13" s="1"/>
  <c r="E18" i="13"/>
  <c r="F18" i="13"/>
  <c r="E19" i="13"/>
  <c r="F19" i="13" s="1"/>
  <c r="E20" i="13"/>
  <c r="F20" i="13" s="1"/>
  <c r="E21" i="13"/>
  <c r="F21" i="13" s="1"/>
  <c r="E22" i="13"/>
  <c r="F22" i="13"/>
  <c r="E23" i="13"/>
  <c r="F23" i="13" s="1"/>
  <c r="E24" i="13"/>
  <c r="F24" i="13" s="1"/>
  <c r="E25" i="13"/>
  <c r="F25" i="13" s="1"/>
  <c r="E26" i="13"/>
  <c r="F26" i="13"/>
  <c r="E27" i="13"/>
  <c r="F27" i="13" s="1"/>
  <c r="E28" i="13"/>
  <c r="F28" i="13" s="1"/>
  <c r="E29" i="13"/>
  <c r="F29" i="13" s="1"/>
  <c r="E30" i="13"/>
  <c r="F30" i="13"/>
  <c r="E31" i="13"/>
  <c r="F31" i="13" s="1"/>
  <c r="E32" i="13"/>
  <c r="F32" i="13" s="1"/>
  <c r="E33" i="13"/>
  <c r="F33" i="13" s="1"/>
  <c r="E34" i="13"/>
  <c r="F34" i="13"/>
  <c r="E35" i="13"/>
  <c r="F35" i="13" s="1"/>
  <c r="E36" i="13"/>
  <c r="F36" i="13" s="1"/>
  <c r="E37" i="13"/>
  <c r="F37" i="13" s="1"/>
  <c r="E38" i="13"/>
  <c r="F38" i="13"/>
  <c r="E39" i="13"/>
  <c r="F39" i="13" s="1"/>
  <c r="E40" i="13"/>
  <c r="F40" i="13" s="1"/>
  <c r="E41" i="13"/>
  <c r="F41" i="13" s="1"/>
  <c r="E42" i="13"/>
  <c r="F42" i="13"/>
  <c r="E43" i="13"/>
  <c r="F43" i="13" s="1"/>
  <c r="E44" i="13"/>
  <c r="F44" i="13" s="1"/>
  <c r="E45" i="13"/>
  <c r="F45" i="13" s="1"/>
  <c r="E46" i="13"/>
  <c r="F46" i="13"/>
  <c r="E47" i="13"/>
  <c r="F47" i="13" s="1"/>
  <c r="E48" i="13"/>
  <c r="F48" i="13" s="1"/>
  <c r="E49" i="13"/>
  <c r="F49" i="13" s="1"/>
  <c r="E50" i="13"/>
  <c r="F50" i="13"/>
  <c r="E51" i="13"/>
  <c r="F51" i="13" s="1"/>
  <c r="E52" i="13"/>
  <c r="F52" i="13" s="1"/>
  <c r="E53" i="13"/>
  <c r="F53" i="13" s="1"/>
  <c r="E54" i="13"/>
  <c r="F54" i="13"/>
  <c r="E55" i="13"/>
  <c r="F55" i="13" s="1"/>
  <c r="E56" i="13"/>
  <c r="F56" i="13" s="1"/>
  <c r="E57" i="13"/>
  <c r="F57" i="13" s="1"/>
  <c r="E58" i="13"/>
  <c r="F58" i="13"/>
  <c r="E59" i="13"/>
  <c r="F59" i="13" s="1"/>
  <c r="E60" i="13"/>
  <c r="F60" i="13" s="1"/>
  <c r="E61" i="13"/>
  <c r="F61" i="13" s="1"/>
  <c r="E62" i="13"/>
  <c r="F62" i="13"/>
  <c r="E63" i="13"/>
  <c r="F63" i="13" s="1"/>
  <c r="E64" i="13"/>
  <c r="F64" i="13" s="1"/>
  <c r="E65" i="13"/>
  <c r="F65" i="13" s="1"/>
  <c r="E66" i="13"/>
  <c r="F66" i="13"/>
  <c r="E67" i="13"/>
  <c r="F67" i="13" s="1"/>
  <c r="E68" i="13"/>
  <c r="F68" i="13" s="1"/>
  <c r="E69" i="13"/>
  <c r="F69" i="13" s="1"/>
  <c r="E70" i="13"/>
  <c r="F70" i="13" s="1"/>
  <c r="E71" i="13"/>
  <c r="F71" i="13" s="1"/>
  <c r="E72" i="13"/>
  <c r="F72" i="13" s="1"/>
  <c r="E73" i="13"/>
  <c r="F73" i="13" s="1"/>
  <c r="E74" i="13"/>
  <c r="F74" i="13" s="1"/>
  <c r="E75" i="13"/>
  <c r="F75" i="13" s="1"/>
  <c r="E76" i="13"/>
  <c r="F76" i="13" s="1"/>
  <c r="E77" i="13"/>
  <c r="F77" i="13" s="1"/>
  <c r="E78" i="13"/>
  <c r="F78" i="13" s="1"/>
  <c r="E79" i="13"/>
  <c r="F79" i="13" s="1"/>
  <c r="E80" i="13"/>
  <c r="F80" i="13" s="1"/>
  <c r="E81" i="13"/>
  <c r="F81" i="13" s="1"/>
  <c r="E82" i="13"/>
  <c r="F82" i="13" s="1"/>
  <c r="E83" i="13"/>
  <c r="F83" i="13" s="1"/>
  <c r="E84" i="13"/>
  <c r="F84" i="13" s="1"/>
  <c r="E85" i="13"/>
  <c r="F85" i="13" s="1"/>
  <c r="E86" i="13"/>
  <c r="F86" i="13" s="1"/>
  <c r="E87" i="13"/>
  <c r="F87" i="13" s="1"/>
  <c r="E88" i="13"/>
  <c r="F88" i="13" s="1"/>
  <c r="E89" i="13"/>
  <c r="F89" i="13" s="1"/>
  <c r="E90" i="13"/>
  <c r="F90" i="13" s="1"/>
  <c r="E91" i="13"/>
  <c r="F91" i="13" s="1"/>
  <c r="E92" i="13"/>
  <c r="F92" i="13" s="1"/>
  <c r="E93" i="13"/>
  <c r="F93" i="13" s="1"/>
  <c r="E94" i="13"/>
  <c r="F94" i="13" s="1"/>
  <c r="E95" i="13"/>
  <c r="F95" i="13" s="1"/>
  <c r="E96" i="13"/>
  <c r="F96" i="13" s="1"/>
  <c r="E97" i="13"/>
  <c r="F97" i="13" s="1"/>
  <c r="E98" i="13"/>
  <c r="F98" i="13" s="1"/>
  <c r="E99" i="13"/>
  <c r="F99" i="13" s="1"/>
  <c r="E100" i="13"/>
  <c r="F100" i="13" s="1"/>
  <c r="E101" i="13"/>
  <c r="F101" i="13" s="1"/>
  <c r="E102" i="13"/>
  <c r="F102" i="13" s="1"/>
  <c r="E103" i="13"/>
  <c r="F103" i="13" s="1"/>
  <c r="E104" i="13"/>
  <c r="F104" i="13" s="1"/>
  <c r="E105" i="13"/>
  <c r="F105" i="13" s="1"/>
  <c r="E106" i="13"/>
  <c r="F106" i="13" s="1"/>
  <c r="E107" i="13"/>
  <c r="F107" i="13" s="1"/>
  <c r="E108" i="13"/>
  <c r="F108" i="13" s="1"/>
  <c r="E109" i="13"/>
  <c r="F109" i="13" s="1"/>
  <c r="E110" i="13"/>
  <c r="F110" i="13" s="1"/>
  <c r="E111" i="13"/>
  <c r="F111" i="13" s="1"/>
  <c r="E112" i="13"/>
  <c r="F112" i="13" s="1"/>
  <c r="E113" i="13"/>
  <c r="F113" i="13" s="1"/>
  <c r="E4" i="14"/>
  <c r="F4" i="14" s="1"/>
  <c r="H4" i="14"/>
  <c r="E5" i="14"/>
  <c r="F5" i="14" s="1"/>
  <c r="H5" i="14"/>
  <c r="E6" i="14"/>
  <c r="F6" i="14" s="1"/>
  <c r="H6" i="14"/>
  <c r="E7" i="14"/>
  <c r="F7" i="14" s="1"/>
  <c r="H7" i="14"/>
  <c r="E8" i="14"/>
  <c r="F8" i="14" s="1"/>
  <c r="H8" i="14"/>
  <c r="E9" i="14"/>
  <c r="F9" i="14" s="1"/>
  <c r="H9" i="14"/>
  <c r="E10" i="14"/>
  <c r="F10" i="14" s="1"/>
  <c r="H10" i="14"/>
  <c r="E11" i="14"/>
  <c r="F11" i="14" s="1"/>
  <c r="H11" i="14"/>
  <c r="E12" i="14"/>
  <c r="F12" i="14" s="1"/>
  <c r="H12" i="14"/>
  <c r="E13" i="14"/>
  <c r="F13" i="14" s="1"/>
  <c r="H13" i="14"/>
  <c r="E14" i="14"/>
  <c r="F14" i="14" s="1"/>
  <c r="H14" i="14"/>
  <c r="E15" i="14"/>
  <c r="F15" i="14" s="1"/>
  <c r="H15" i="14"/>
  <c r="E16" i="14"/>
  <c r="F16" i="14" s="1"/>
  <c r="H16" i="14"/>
  <c r="E17" i="14"/>
  <c r="F17" i="14" s="1"/>
  <c r="H17" i="14"/>
  <c r="E18" i="14"/>
  <c r="F18" i="14" s="1"/>
  <c r="H18" i="14"/>
  <c r="E19" i="14"/>
  <c r="F19" i="14" s="1"/>
  <c r="H19" i="14"/>
  <c r="E20" i="14"/>
  <c r="F20" i="14" s="1"/>
  <c r="H20" i="14"/>
  <c r="E21" i="14"/>
  <c r="F21" i="14" s="1"/>
  <c r="H21" i="14"/>
  <c r="E22" i="14"/>
  <c r="F22" i="14" s="1"/>
  <c r="H22" i="14"/>
  <c r="E23" i="14"/>
  <c r="F23" i="14" s="1"/>
  <c r="H23" i="14"/>
  <c r="E24" i="14"/>
  <c r="F24" i="14" s="1"/>
  <c r="H24" i="14"/>
  <c r="E25" i="14"/>
  <c r="F25" i="14" s="1"/>
  <c r="H25" i="14"/>
  <c r="E26" i="14"/>
  <c r="F26" i="14" s="1"/>
  <c r="H26" i="14"/>
  <c r="E27" i="14"/>
  <c r="F27" i="14" s="1"/>
  <c r="H27" i="14"/>
  <c r="E28" i="14"/>
  <c r="F28" i="14" s="1"/>
  <c r="H28" i="14"/>
  <c r="E29" i="14"/>
  <c r="F29" i="14" s="1"/>
  <c r="H29" i="14"/>
  <c r="E30" i="14"/>
  <c r="F30" i="14" s="1"/>
  <c r="H30" i="14"/>
  <c r="E31" i="14"/>
  <c r="F31" i="14" s="1"/>
  <c r="H31" i="14"/>
  <c r="E32" i="14"/>
  <c r="F32" i="14" s="1"/>
  <c r="H32" i="14"/>
  <c r="E33" i="14"/>
  <c r="F33" i="14" s="1"/>
  <c r="H33" i="14"/>
  <c r="E34" i="14"/>
  <c r="F34" i="14" s="1"/>
  <c r="H34" i="14"/>
  <c r="E35" i="14"/>
  <c r="F35" i="14" s="1"/>
  <c r="H35" i="14"/>
  <c r="E36" i="14"/>
  <c r="F36" i="14" s="1"/>
  <c r="H36" i="14"/>
  <c r="E37" i="14"/>
  <c r="F37" i="14" s="1"/>
  <c r="H37" i="14"/>
  <c r="E38" i="14"/>
  <c r="F38" i="14" s="1"/>
  <c r="H38" i="14"/>
  <c r="E39" i="14"/>
  <c r="F39" i="14" s="1"/>
  <c r="H39" i="14"/>
  <c r="E40" i="14"/>
  <c r="F40" i="14" s="1"/>
  <c r="H40" i="14"/>
  <c r="E41" i="14"/>
  <c r="F41" i="14" s="1"/>
  <c r="H41" i="14"/>
  <c r="E42" i="14"/>
  <c r="F42" i="14" s="1"/>
  <c r="H42" i="14"/>
  <c r="E43" i="14"/>
  <c r="F43" i="14" s="1"/>
  <c r="H43" i="14"/>
  <c r="E44" i="14"/>
  <c r="F44" i="14" s="1"/>
  <c r="H44" i="14"/>
  <c r="E45" i="14"/>
  <c r="F45" i="14" s="1"/>
  <c r="H45" i="14"/>
  <c r="E46" i="14"/>
  <c r="F46" i="14" s="1"/>
  <c r="H46" i="14"/>
  <c r="E47" i="14"/>
  <c r="F47" i="14" s="1"/>
  <c r="H47" i="14"/>
  <c r="E48" i="14"/>
  <c r="F48" i="14" s="1"/>
  <c r="H48" i="14"/>
  <c r="E49" i="14"/>
  <c r="F49" i="14" s="1"/>
  <c r="H49" i="14"/>
  <c r="E50" i="14"/>
  <c r="F50" i="14" s="1"/>
  <c r="H50" i="14"/>
  <c r="E51" i="14"/>
  <c r="F51" i="14" s="1"/>
  <c r="H51" i="14"/>
  <c r="E52" i="14"/>
  <c r="F52" i="14" s="1"/>
  <c r="H52" i="14"/>
  <c r="E53" i="14"/>
  <c r="F53" i="14" s="1"/>
  <c r="H53" i="14"/>
  <c r="E54" i="14"/>
  <c r="F54" i="14" s="1"/>
  <c r="H54" i="14"/>
  <c r="E55" i="14"/>
  <c r="F55" i="14" s="1"/>
  <c r="H55" i="14"/>
  <c r="E56" i="14"/>
  <c r="F56" i="14" s="1"/>
  <c r="H56" i="14"/>
  <c r="E57" i="14"/>
  <c r="F57" i="14" s="1"/>
  <c r="H57" i="14"/>
  <c r="E58" i="14"/>
  <c r="F58" i="14" s="1"/>
  <c r="H58" i="14"/>
  <c r="E59" i="14"/>
  <c r="F59" i="14" s="1"/>
  <c r="H59" i="14"/>
  <c r="E60" i="14"/>
  <c r="F60" i="14" s="1"/>
  <c r="H60" i="14"/>
  <c r="E61" i="14"/>
  <c r="F61" i="14" s="1"/>
  <c r="H61" i="14"/>
  <c r="E62" i="14"/>
  <c r="F62" i="14" s="1"/>
  <c r="H62" i="14"/>
  <c r="E63" i="14"/>
  <c r="F63" i="14" s="1"/>
  <c r="H63" i="14"/>
  <c r="E64" i="14"/>
  <c r="F64" i="14" s="1"/>
  <c r="H64" i="14"/>
  <c r="E65" i="14"/>
  <c r="F65" i="14" s="1"/>
  <c r="H65" i="14"/>
  <c r="E66" i="14"/>
  <c r="F66" i="14" s="1"/>
  <c r="H66" i="14"/>
  <c r="E67" i="14"/>
  <c r="F67" i="14" s="1"/>
  <c r="H67" i="14"/>
  <c r="E68" i="14"/>
  <c r="F68" i="14" s="1"/>
  <c r="H68" i="14"/>
  <c r="E69" i="14"/>
  <c r="F69" i="14" s="1"/>
  <c r="H69" i="14"/>
  <c r="E70" i="14"/>
  <c r="F70" i="14" s="1"/>
  <c r="H70" i="14"/>
  <c r="E71" i="14"/>
  <c r="F71" i="14" s="1"/>
  <c r="H71" i="14"/>
  <c r="E72" i="14"/>
  <c r="F72" i="14" s="1"/>
  <c r="H72" i="14"/>
  <c r="E73" i="14"/>
  <c r="F73" i="14" s="1"/>
  <c r="H73" i="14"/>
  <c r="E74" i="14"/>
  <c r="F74" i="14" s="1"/>
  <c r="H74" i="14"/>
  <c r="E75" i="14"/>
  <c r="F75" i="14" s="1"/>
  <c r="H75" i="14"/>
  <c r="E76" i="14"/>
  <c r="F76" i="14" s="1"/>
  <c r="H76" i="14"/>
  <c r="E77" i="14"/>
  <c r="F77" i="14" s="1"/>
  <c r="H77" i="14"/>
  <c r="E78" i="14"/>
  <c r="F78" i="14" s="1"/>
  <c r="H78" i="14"/>
  <c r="E79" i="14"/>
  <c r="F79" i="14" s="1"/>
  <c r="H79" i="14"/>
  <c r="E80" i="14"/>
  <c r="F80" i="14" s="1"/>
  <c r="H80" i="14"/>
  <c r="E81" i="14"/>
  <c r="F81" i="14" s="1"/>
  <c r="H81" i="14"/>
  <c r="E82" i="14"/>
  <c r="F82" i="14" s="1"/>
  <c r="H82" i="14"/>
  <c r="E83" i="14"/>
  <c r="F83" i="14" s="1"/>
  <c r="H83" i="14"/>
  <c r="E84" i="14"/>
  <c r="F84" i="14" s="1"/>
  <c r="H84" i="14"/>
  <c r="E85" i="14"/>
  <c r="F85" i="14" s="1"/>
  <c r="H85" i="14"/>
  <c r="E86" i="14"/>
  <c r="F86" i="14" s="1"/>
  <c r="H86" i="14"/>
  <c r="E87" i="14"/>
  <c r="F87" i="14" s="1"/>
  <c r="H87" i="14"/>
  <c r="E88" i="14"/>
  <c r="F88" i="14" s="1"/>
  <c r="H88" i="14"/>
  <c r="E89" i="14"/>
  <c r="F89" i="14" s="1"/>
  <c r="H89" i="14"/>
  <c r="E90" i="14"/>
  <c r="F90" i="14" s="1"/>
  <c r="H90" i="14"/>
  <c r="E91" i="14"/>
  <c r="F91" i="14" s="1"/>
  <c r="H91" i="14"/>
  <c r="E92" i="14"/>
  <c r="F92" i="14" s="1"/>
  <c r="H92" i="14"/>
  <c r="E93" i="14"/>
  <c r="F93" i="14" s="1"/>
  <c r="H93" i="14"/>
  <c r="E94" i="14"/>
  <c r="F94" i="14" s="1"/>
  <c r="H94" i="14"/>
  <c r="E95" i="14"/>
  <c r="F95" i="14" s="1"/>
  <c r="H95" i="14"/>
  <c r="E96" i="14"/>
  <c r="F96" i="14" s="1"/>
  <c r="H96" i="14"/>
  <c r="E97" i="14"/>
  <c r="F97" i="14" s="1"/>
  <c r="H97" i="14"/>
  <c r="E98" i="14"/>
  <c r="F98" i="14" s="1"/>
  <c r="H98" i="14"/>
  <c r="E99" i="14"/>
  <c r="F99" i="14" s="1"/>
  <c r="H99" i="14"/>
  <c r="E100" i="14"/>
  <c r="F100" i="14" s="1"/>
  <c r="H100" i="14"/>
  <c r="E101" i="14"/>
  <c r="F101" i="14" s="1"/>
  <c r="H101" i="14"/>
  <c r="E102" i="14"/>
  <c r="F102" i="14" s="1"/>
  <c r="H102" i="14"/>
  <c r="E103" i="14"/>
  <c r="F103" i="14" s="1"/>
  <c r="H103" i="14"/>
  <c r="E104" i="14"/>
  <c r="F104" i="14" s="1"/>
  <c r="H104" i="14"/>
  <c r="E105" i="14"/>
  <c r="F105" i="14" s="1"/>
  <c r="H105" i="14"/>
  <c r="E106" i="14"/>
  <c r="F106" i="14" s="1"/>
  <c r="H106" i="14"/>
  <c r="E107" i="14"/>
  <c r="F107" i="14" s="1"/>
  <c r="H107" i="14"/>
  <c r="E108" i="14"/>
  <c r="F108" i="14" s="1"/>
  <c r="H108" i="14"/>
  <c r="E109" i="14"/>
  <c r="F109" i="14" s="1"/>
  <c r="H109" i="14"/>
  <c r="E110" i="14"/>
  <c r="F110" i="14" s="1"/>
  <c r="H110" i="14"/>
  <c r="E111" i="14"/>
  <c r="F111" i="14" s="1"/>
  <c r="H111" i="14"/>
  <c r="E112" i="14"/>
  <c r="F112" i="14" s="1"/>
  <c r="H112" i="14"/>
  <c r="E113" i="14"/>
  <c r="F113" i="14" s="1"/>
  <c r="H113" i="14"/>
  <c r="H117" i="14"/>
  <c r="F114" i="13" l="1"/>
  <c r="H115" i="14"/>
  <c r="I109" i="14"/>
  <c r="I105" i="14"/>
  <c r="I101" i="14"/>
  <c r="I97" i="14"/>
  <c r="I93" i="14"/>
  <c r="I89" i="14"/>
  <c r="I85" i="14"/>
  <c r="I81" i="14"/>
  <c r="I77" i="14"/>
  <c r="I73" i="14"/>
  <c r="I69" i="14"/>
  <c r="I65" i="14"/>
  <c r="I61" i="14"/>
  <c r="I57" i="14"/>
  <c r="I53" i="14"/>
  <c r="I49" i="14"/>
  <c r="I45" i="14"/>
  <c r="I41" i="14"/>
  <c r="I37" i="14"/>
  <c r="I33" i="14"/>
  <c r="I29" i="14"/>
  <c r="I25" i="14"/>
  <c r="I21" i="14"/>
  <c r="I17" i="14"/>
  <c r="I13" i="14"/>
  <c r="I9" i="14"/>
  <c r="I5" i="14"/>
  <c r="J108" i="14"/>
  <c r="I108" i="14"/>
  <c r="J100" i="14"/>
  <c r="I100" i="14"/>
  <c r="J92" i="14"/>
  <c r="I92" i="14"/>
  <c r="J84" i="14"/>
  <c r="I84" i="14"/>
  <c r="I52" i="14"/>
  <c r="J52" i="14"/>
  <c r="J44" i="14"/>
  <c r="I44" i="14"/>
  <c r="J36" i="14"/>
  <c r="I36" i="14"/>
  <c r="I28" i="14"/>
  <c r="J28" i="14"/>
  <c r="I20" i="14"/>
  <c r="J20" i="14"/>
  <c r="I12" i="14"/>
  <c r="J12" i="14"/>
  <c r="I107" i="14"/>
  <c r="J107" i="14"/>
  <c r="J106" i="14"/>
  <c r="I106" i="14"/>
  <c r="J98" i="14"/>
  <c r="I98" i="14"/>
  <c r="J90" i="14"/>
  <c r="I90" i="14"/>
  <c r="J82" i="14"/>
  <c r="I82" i="14"/>
  <c r="J75" i="14"/>
  <c r="I75" i="14"/>
  <c r="I67" i="14"/>
  <c r="J67" i="14"/>
  <c r="J66" i="14"/>
  <c r="I66" i="14"/>
  <c r="I59" i="14"/>
  <c r="J59" i="14"/>
  <c r="J58" i="14"/>
  <c r="I58" i="14"/>
  <c r="J51" i="14"/>
  <c r="I51" i="14"/>
  <c r="J50" i="14"/>
  <c r="I50" i="14"/>
  <c r="I43" i="14"/>
  <c r="J43" i="14"/>
  <c r="J35" i="14"/>
  <c r="I35" i="14"/>
  <c r="J34" i="14"/>
  <c r="I34" i="14"/>
  <c r="I27" i="14"/>
  <c r="J27" i="14"/>
  <c r="J26" i="14"/>
  <c r="I26" i="14"/>
  <c r="J19" i="14"/>
  <c r="I19" i="14"/>
  <c r="J18" i="14"/>
  <c r="I18" i="14"/>
  <c r="J11" i="14"/>
  <c r="I11" i="14"/>
  <c r="J10" i="14"/>
  <c r="I10" i="14"/>
  <c r="J3" i="14"/>
  <c r="I3" i="14"/>
  <c r="F115" i="14"/>
  <c r="I104" i="14"/>
  <c r="J104" i="14"/>
  <c r="I96" i="14"/>
  <c r="J96" i="14"/>
  <c r="I88" i="14"/>
  <c r="J88" i="14"/>
  <c r="I80" i="14"/>
  <c r="J80" i="14"/>
  <c r="I72" i="14"/>
  <c r="J72" i="14"/>
  <c r="J64" i="14"/>
  <c r="I64" i="14"/>
  <c r="J56" i="14"/>
  <c r="I56" i="14"/>
  <c r="I48" i="14"/>
  <c r="J48" i="14"/>
  <c r="J40" i="14"/>
  <c r="I40" i="14"/>
  <c r="I32" i="14"/>
  <c r="J32" i="14"/>
  <c r="J24" i="14"/>
  <c r="I24" i="14"/>
  <c r="J16" i="14"/>
  <c r="I16" i="14"/>
  <c r="I8" i="14"/>
  <c r="J8" i="14"/>
  <c r="I111" i="14"/>
  <c r="J111" i="14"/>
  <c r="J110" i="14"/>
  <c r="I110" i="14"/>
  <c r="J103" i="14"/>
  <c r="I103" i="14"/>
  <c r="J102" i="14"/>
  <c r="I102" i="14"/>
  <c r="J95" i="14"/>
  <c r="I95" i="14"/>
  <c r="J94" i="14"/>
  <c r="I94" i="14"/>
  <c r="J87" i="14"/>
  <c r="I87" i="14"/>
  <c r="J86" i="14"/>
  <c r="I86" i="14"/>
  <c r="J79" i="14"/>
  <c r="I79" i="14"/>
  <c r="J78" i="14"/>
  <c r="I78" i="14"/>
  <c r="J71" i="14"/>
  <c r="I71" i="14"/>
  <c r="J70" i="14"/>
  <c r="I70" i="14"/>
  <c r="J63" i="14"/>
  <c r="I63" i="14"/>
  <c r="J62" i="14"/>
  <c r="I62" i="14"/>
  <c r="J55" i="14"/>
  <c r="I55" i="14"/>
  <c r="J54" i="14"/>
  <c r="I54" i="14"/>
  <c r="J47" i="14"/>
  <c r="I47" i="14"/>
  <c r="J46" i="14"/>
  <c r="I46" i="14"/>
  <c r="I39" i="14"/>
  <c r="J39" i="14"/>
  <c r="J38" i="14"/>
  <c r="I38" i="14"/>
  <c r="J31" i="14"/>
  <c r="I31" i="14"/>
  <c r="J30" i="14"/>
  <c r="I30" i="14"/>
  <c r="J23" i="14"/>
  <c r="I23" i="14"/>
  <c r="J22" i="14"/>
  <c r="I22" i="14"/>
  <c r="J15" i="14"/>
  <c r="I15" i="14"/>
  <c r="J14" i="14"/>
  <c r="I14" i="14"/>
  <c r="J7" i="14"/>
  <c r="I7" i="14"/>
  <c r="J6" i="14"/>
  <c r="I6" i="14"/>
  <c r="J112" i="14"/>
  <c r="I112" i="14"/>
  <c r="J76" i="14"/>
  <c r="I76" i="14"/>
  <c r="I68" i="14"/>
  <c r="J68" i="14"/>
  <c r="J60" i="14"/>
  <c r="I60" i="14"/>
  <c r="J4" i="14"/>
  <c r="I4" i="14"/>
  <c r="J113" i="14"/>
  <c r="I113" i="14"/>
  <c r="J99" i="14"/>
  <c r="I99" i="14"/>
  <c r="I91" i="14"/>
  <c r="J91" i="14"/>
  <c r="J83" i="14"/>
  <c r="I83" i="14"/>
  <c r="J74" i="14"/>
  <c r="I74" i="14"/>
  <c r="J42" i="14"/>
  <c r="I42" i="14"/>
  <c r="J109" i="14"/>
  <c r="J105" i="14"/>
  <c r="J101" i="14"/>
  <c r="J97" i="14"/>
  <c r="J93" i="14"/>
  <c r="J89" i="14"/>
  <c r="J85" i="14"/>
  <c r="J81" i="14"/>
  <c r="J77" i="14"/>
  <c r="J73" i="14"/>
  <c r="J69" i="14"/>
  <c r="J65" i="14"/>
  <c r="J61" i="14"/>
  <c r="J57" i="14"/>
  <c r="J53" i="14"/>
  <c r="J49" i="14"/>
  <c r="J45" i="14"/>
  <c r="J41" i="14"/>
  <c r="J37" i="14"/>
  <c r="J33" i="14"/>
  <c r="J29" i="14"/>
  <c r="J25" i="14"/>
  <c r="J21" i="14"/>
  <c r="J17" i="14"/>
  <c r="J13" i="14"/>
  <c r="J9" i="14"/>
  <c r="J5" i="14"/>
  <c r="I115" i="14" l="1"/>
  <c r="G113" i="13" l="1"/>
  <c r="J113" i="13" s="1"/>
  <c r="G112" i="13"/>
  <c r="J112" i="13" s="1"/>
  <c r="H111" i="13"/>
  <c r="K111" i="13" s="1"/>
  <c r="G111" i="13"/>
  <c r="J111" i="13" s="1"/>
  <c r="H110" i="13"/>
  <c r="K110" i="13" s="1"/>
  <c r="G110" i="13"/>
  <c r="H109" i="13"/>
  <c r="K109" i="13" s="1"/>
  <c r="G109" i="13"/>
  <c r="J109" i="13" s="1"/>
  <c r="H108" i="13"/>
  <c r="K108" i="13" s="1"/>
  <c r="G108" i="13"/>
  <c r="J108" i="13" s="1"/>
  <c r="H107" i="13"/>
  <c r="K107" i="13" s="1"/>
  <c r="G107" i="13"/>
  <c r="J107" i="13" s="1"/>
  <c r="H106" i="13"/>
  <c r="K106" i="13" s="1"/>
  <c r="G106" i="13"/>
  <c r="J106" i="13" s="1"/>
  <c r="H105" i="13"/>
  <c r="K105" i="13" s="1"/>
  <c r="G105" i="13"/>
  <c r="J105" i="13" s="1"/>
  <c r="H104" i="13"/>
  <c r="K104" i="13" s="1"/>
  <c r="G104" i="13"/>
  <c r="J104" i="13" s="1"/>
  <c r="H103" i="13"/>
  <c r="K103" i="13" s="1"/>
  <c r="G103" i="13"/>
  <c r="J103" i="13" s="1"/>
  <c r="M103" i="13" s="1"/>
  <c r="H102" i="13"/>
  <c r="K102" i="13" s="1"/>
  <c r="G102" i="13"/>
  <c r="J102" i="13" s="1"/>
  <c r="H101" i="13"/>
  <c r="K101" i="13" s="1"/>
  <c r="G101" i="13"/>
  <c r="J101" i="13" s="1"/>
  <c r="H100" i="13"/>
  <c r="K100" i="13" s="1"/>
  <c r="G100" i="13"/>
  <c r="J100" i="13" s="1"/>
  <c r="H99" i="13"/>
  <c r="K99" i="13" s="1"/>
  <c r="G99" i="13"/>
  <c r="J99" i="13" s="1"/>
  <c r="H98" i="13"/>
  <c r="K98" i="13" s="1"/>
  <c r="G98" i="13"/>
  <c r="J98" i="13" s="1"/>
  <c r="H97" i="13"/>
  <c r="K97" i="13" s="1"/>
  <c r="G97" i="13"/>
  <c r="J97" i="13" s="1"/>
  <c r="H96" i="13"/>
  <c r="K96" i="13" s="1"/>
  <c r="G96" i="13"/>
  <c r="J96" i="13" s="1"/>
  <c r="H95" i="13"/>
  <c r="K95" i="13" s="1"/>
  <c r="G95" i="13"/>
  <c r="J95" i="13" s="1"/>
  <c r="H94" i="13"/>
  <c r="K94" i="13" s="1"/>
  <c r="G94" i="13"/>
  <c r="J94" i="13" s="1"/>
  <c r="H93" i="13"/>
  <c r="K93" i="13" s="1"/>
  <c r="G93" i="13"/>
  <c r="J93" i="13" s="1"/>
  <c r="H92" i="13"/>
  <c r="K92" i="13" s="1"/>
  <c r="G92" i="13"/>
  <c r="J92" i="13" s="1"/>
  <c r="H91" i="13"/>
  <c r="K91" i="13" s="1"/>
  <c r="G91" i="13"/>
  <c r="J91" i="13" s="1"/>
  <c r="H90" i="13"/>
  <c r="K90" i="13" s="1"/>
  <c r="G90" i="13"/>
  <c r="J90" i="13" s="1"/>
  <c r="H89" i="13"/>
  <c r="K89" i="13" s="1"/>
  <c r="G89" i="13"/>
  <c r="J89" i="13" s="1"/>
  <c r="H88" i="13"/>
  <c r="K88" i="13" s="1"/>
  <c r="G88" i="13"/>
  <c r="J88" i="13" s="1"/>
  <c r="H87" i="13"/>
  <c r="K87" i="13" s="1"/>
  <c r="G87" i="13"/>
  <c r="J87" i="13" s="1"/>
  <c r="H86" i="13"/>
  <c r="K86" i="13" s="1"/>
  <c r="G86" i="13"/>
  <c r="J86" i="13" s="1"/>
  <c r="H85" i="13"/>
  <c r="K85" i="13" s="1"/>
  <c r="G85" i="13"/>
  <c r="J85" i="13" s="1"/>
  <c r="H84" i="13"/>
  <c r="K84" i="13" s="1"/>
  <c r="G84" i="13"/>
  <c r="J84" i="13" s="1"/>
  <c r="H83" i="13"/>
  <c r="K83" i="13" s="1"/>
  <c r="G83" i="13"/>
  <c r="J83" i="13" s="1"/>
  <c r="H82" i="13"/>
  <c r="K82" i="13" s="1"/>
  <c r="G82" i="13"/>
  <c r="J82" i="13" s="1"/>
  <c r="H81" i="13"/>
  <c r="K81" i="13" s="1"/>
  <c r="G81" i="13"/>
  <c r="J81" i="13" s="1"/>
  <c r="H80" i="13"/>
  <c r="K80" i="13" s="1"/>
  <c r="G80" i="13"/>
  <c r="J80" i="13" s="1"/>
  <c r="H79" i="13"/>
  <c r="K79" i="13" s="1"/>
  <c r="G79" i="13"/>
  <c r="J79" i="13" s="1"/>
  <c r="H78" i="13"/>
  <c r="K78" i="13" s="1"/>
  <c r="G78" i="13"/>
  <c r="H77" i="13"/>
  <c r="K77" i="13" s="1"/>
  <c r="G77" i="13"/>
  <c r="H76" i="13"/>
  <c r="K76" i="13" s="1"/>
  <c r="G76" i="13"/>
  <c r="H75" i="13"/>
  <c r="K75" i="13" s="1"/>
  <c r="G75" i="13"/>
  <c r="H74" i="13"/>
  <c r="K74" i="13" s="1"/>
  <c r="G74" i="13"/>
  <c r="J74" i="13" s="1"/>
  <c r="H73" i="13"/>
  <c r="K73" i="13" s="1"/>
  <c r="G73" i="13"/>
  <c r="J73" i="13" s="1"/>
  <c r="H72" i="13"/>
  <c r="K72" i="13" s="1"/>
  <c r="G72" i="13"/>
  <c r="J72" i="13" s="1"/>
  <c r="H71" i="13"/>
  <c r="K71" i="13" s="1"/>
  <c r="G71" i="13"/>
  <c r="J71" i="13" s="1"/>
  <c r="H70" i="13"/>
  <c r="K70" i="13" s="1"/>
  <c r="G70" i="13"/>
  <c r="J70" i="13" s="1"/>
  <c r="H69" i="13"/>
  <c r="K69" i="13" s="1"/>
  <c r="G69" i="13"/>
  <c r="J69" i="13" s="1"/>
  <c r="H68" i="13"/>
  <c r="K68" i="13" s="1"/>
  <c r="G68" i="13"/>
  <c r="J68" i="13" s="1"/>
  <c r="H67" i="13"/>
  <c r="K67" i="13" s="1"/>
  <c r="G67" i="13"/>
  <c r="J67" i="13" s="1"/>
  <c r="H66" i="13"/>
  <c r="K66" i="13" s="1"/>
  <c r="G66" i="13"/>
  <c r="J66" i="13" s="1"/>
  <c r="H65" i="13"/>
  <c r="K65" i="13" s="1"/>
  <c r="G65" i="13"/>
  <c r="J65" i="13" s="1"/>
  <c r="H64" i="13"/>
  <c r="K64" i="13" s="1"/>
  <c r="G64" i="13"/>
  <c r="J64" i="13" s="1"/>
  <c r="H63" i="13"/>
  <c r="K63" i="13" s="1"/>
  <c r="G63" i="13"/>
  <c r="J63" i="13" s="1"/>
  <c r="H62" i="13"/>
  <c r="K62" i="13" s="1"/>
  <c r="G62" i="13"/>
  <c r="J62" i="13" s="1"/>
  <c r="H61" i="13"/>
  <c r="K61" i="13" s="1"/>
  <c r="G61" i="13"/>
  <c r="J61" i="13" s="1"/>
  <c r="H60" i="13"/>
  <c r="K60" i="13" s="1"/>
  <c r="G60" i="13"/>
  <c r="J60" i="13" s="1"/>
  <c r="H59" i="13"/>
  <c r="K59" i="13" s="1"/>
  <c r="G59" i="13"/>
  <c r="J59" i="13" s="1"/>
  <c r="H58" i="13"/>
  <c r="K58" i="13" s="1"/>
  <c r="G58" i="13"/>
  <c r="J58" i="13" s="1"/>
  <c r="H57" i="13"/>
  <c r="K57" i="13" s="1"/>
  <c r="G57" i="13"/>
  <c r="J57" i="13" s="1"/>
  <c r="H56" i="13"/>
  <c r="K56" i="13" s="1"/>
  <c r="G56" i="13"/>
  <c r="J56" i="13" s="1"/>
  <c r="H55" i="13"/>
  <c r="K55" i="13" s="1"/>
  <c r="G55" i="13"/>
  <c r="J55" i="13" s="1"/>
  <c r="H54" i="13"/>
  <c r="K54" i="13" s="1"/>
  <c r="G54" i="13"/>
  <c r="J54" i="13" s="1"/>
  <c r="H53" i="13"/>
  <c r="K53" i="13" s="1"/>
  <c r="G53" i="13"/>
  <c r="J53" i="13" s="1"/>
  <c r="H52" i="13"/>
  <c r="K52" i="13" s="1"/>
  <c r="G52" i="13"/>
  <c r="J52" i="13" s="1"/>
  <c r="H51" i="13"/>
  <c r="K51" i="13" s="1"/>
  <c r="G51" i="13"/>
  <c r="J51" i="13" s="1"/>
  <c r="H50" i="13"/>
  <c r="K50" i="13" s="1"/>
  <c r="J50" i="13"/>
  <c r="H49" i="13"/>
  <c r="K49" i="13" s="1"/>
  <c r="G49" i="13"/>
  <c r="J49" i="13" s="1"/>
  <c r="H48" i="13"/>
  <c r="K48" i="13" s="1"/>
  <c r="G48" i="13"/>
  <c r="J48" i="13" s="1"/>
  <c r="H47" i="13"/>
  <c r="K47" i="13" s="1"/>
  <c r="G47" i="13"/>
  <c r="J47" i="13" s="1"/>
  <c r="H46" i="13"/>
  <c r="K46" i="13" s="1"/>
  <c r="G46" i="13"/>
  <c r="J46" i="13" s="1"/>
  <c r="H45" i="13"/>
  <c r="K45" i="13" s="1"/>
  <c r="G45" i="13"/>
  <c r="J45" i="13" s="1"/>
  <c r="H44" i="13"/>
  <c r="K44" i="13" s="1"/>
  <c r="G44" i="13"/>
  <c r="J44" i="13" s="1"/>
  <c r="H43" i="13"/>
  <c r="K43" i="13" s="1"/>
  <c r="G43" i="13"/>
  <c r="J43" i="13" s="1"/>
  <c r="H42" i="13"/>
  <c r="K42" i="13" s="1"/>
  <c r="G42" i="13"/>
  <c r="J42" i="13" s="1"/>
  <c r="H41" i="13"/>
  <c r="K41" i="13" s="1"/>
  <c r="G41" i="13"/>
  <c r="J41" i="13" s="1"/>
  <c r="H40" i="13"/>
  <c r="K40" i="13" s="1"/>
  <c r="G40" i="13"/>
  <c r="J40" i="13" s="1"/>
  <c r="H39" i="13"/>
  <c r="K39" i="13" s="1"/>
  <c r="G39" i="13"/>
  <c r="J39" i="13" s="1"/>
  <c r="H38" i="13"/>
  <c r="K38" i="13" s="1"/>
  <c r="G38" i="13"/>
  <c r="J38" i="13" s="1"/>
  <c r="H37" i="13"/>
  <c r="K37" i="13" s="1"/>
  <c r="G37" i="13"/>
  <c r="J37" i="13" s="1"/>
  <c r="H36" i="13"/>
  <c r="K36" i="13" s="1"/>
  <c r="G36" i="13"/>
  <c r="J36" i="13" s="1"/>
  <c r="H35" i="13"/>
  <c r="K35" i="13" s="1"/>
  <c r="G35" i="13"/>
  <c r="J35" i="13" s="1"/>
  <c r="H34" i="13"/>
  <c r="K34" i="13" s="1"/>
  <c r="G34" i="13"/>
  <c r="J34" i="13" s="1"/>
  <c r="H33" i="13"/>
  <c r="K33" i="13" s="1"/>
  <c r="G33" i="13"/>
  <c r="J33" i="13" s="1"/>
  <c r="H32" i="13"/>
  <c r="K32" i="13" s="1"/>
  <c r="G32" i="13"/>
  <c r="J32" i="13" s="1"/>
  <c r="H31" i="13"/>
  <c r="K31" i="13" s="1"/>
  <c r="G31" i="13"/>
  <c r="J31" i="13" s="1"/>
  <c r="H30" i="13"/>
  <c r="K30" i="13" s="1"/>
  <c r="G30" i="13"/>
  <c r="J30" i="13" s="1"/>
  <c r="H29" i="13"/>
  <c r="K29" i="13" s="1"/>
  <c r="G29" i="13"/>
  <c r="J29" i="13" s="1"/>
  <c r="H28" i="13"/>
  <c r="K28" i="13" s="1"/>
  <c r="G28" i="13"/>
  <c r="J28" i="13" s="1"/>
  <c r="H27" i="13"/>
  <c r="K27" i="13" s="1"/>
  <c r="G27" i="13"/>
  <c r="J27" i="13" s="1"/>
  <c r="H26" i="13"/>
  <c r="K26" i="13" s="1"/>
  <c r="G26" i="13"/>
  <c r="J26" i="13" s="1"/>
  <c r="H25" i="13"/>
  <c r="K25" i="13" s="1"/>
  <c r="G25" i="13"/>
  <c r="J25" i="13" s="1"/>
  <c r="H24" i="13"/>
  <c r="K24" i="13" s="1"/>
  <c r="G24" i="13"/>
  <c r="J24" i="13" s="1"/>
  <c r="H23" i="13"/>
  <c r="K23" i="13" s="1"/>
  <c r="G23" i="13"/>
  <c r="J23" i="13" s="1"/>
  <c r="H22" i="13"/>
  <c r="K22" i="13" s="1"/>
  <c r="G22" i="13"/>
  <c r="J22" i="13" s="1"/>
  <c r="H21" i="13"/>
  <c r="K21" i="13" s="1"/>
  <c r="G21" i="13"/>
  <c r="J21" i="13" s="1"/>
  <c r="H20" i="13"/>
  <c r="K20" i="13" s="1"/>
  <c r="G20" i="13"/>
  <c r="J20" i="13" s="1"/>
  <c r="H19" i="13"/>
  <c r="K19" i="13" s="1"/>
  <c r="G19" i="13"/>
  <c r="J19" i="13" s="1"/>
  <c r="H18" i="13"/>
  <c r="K18" i="13" s="1"/>
  <c r="G18" i="13"/>
  <c r="J18" i="13" s="1"/>
  <c r="H17" i="13"/>
  <c r="K17" i="13" s="1"/>
  <c r="G17" i="13"/>
  <c r="J17" i="13" s="1"/>
  <c r="H16" i="13"/>
  <c r="K16" i="13" s="1"/>
  <c r="G16" i="13"/>
  <c r="J16" i="13" s="1"/>
  <c r="H15" i="13"/>
  <c r="K15" i="13" s="1"/>
  <c r="G15" i="13"/>
  <c r="J15" i="13" s="1"/>
  <c r="H14" i="13"/>
  <c r="K14" i="13" s="1"/>
  <c r="G14" i="13"/>
  <c r="J14" i="13" s="1"/>
  <c r="H13" i="13"/>
  <c r="K13" i="13" s="1"/>
  <c r="G13" i="13"/>
  <c r="J13" i="13" s="1"/>
  <c r="H12" i="13"/>
  <c r="K12" i="13" s="1"/>
  <c r="G12" i="13"/>
  <c r="J12" i="13" s="1"/>
  <c r="H11" i="13"/>
  <c r="K11" i="13" s="1"/>
  <c r="G11" i="13"/>
  <c r="J11" i="13" s="1"/>
  <c r="L11" i="13" s="1"/>
  <c r="H10" i="13"/>
  <c r="K10" i="13" s="1"/>
  <c r="G10" i="13"/>
  <c r="J10" i="13" s="1"/>
  <c r="H9" i="13"/>
  <c r="K9" i="13" s="1"/>
  <c r="G9" i="13"/>
  <c r="J9" i="13" s="1"/>
  <c r="H8" i="13"/>
  <c r="K8" i="13" s="1"/>
  <c r="G8" i="13"/>
  <c r="J8" i="13" s="1"/>
  <c r="H7" i="13"/>
  <c r="K7" i="13" s="1"/>
  <c r="G7" i="13"/>
  <c r="J7" i="13" s="1"/>
  <c r="H6" i="13"/>
  <c r="K6" i="13" s="1"/>
  <c r="G6" i="13"/>
  <c r="J6" i="13" s="1"/>
  <c r="H5" i="13"/>
  <c r="K5" i="13" s="1"/>
  <c r="G5" i="13"/>
  <c r="J5" i="13" s="1"/>
  <c r="H4" i="13"/>
  <c r="K4" i="13" s="1"/>
  <c r="G4" i="13"/>
  <c r="J4" i="13" s="1"/>
  <c r="H112" i="13"/>
  <c r="K112" i="13" s="1"/>
  <c r="H113" i="13"/>
  <c r="K113" i="13" s="1"/>
  <c r="G3" i="13"/>
  <c r="J3" i="13" s="1"/>
  <c r="M88" i="13" l="1"/>
  <c r="L5" i="13"/>
  <c r="M97" i="13"/>
  <c r="L90" i="13"/>
  <c r="L14" i="13"/>
  <c r="L4" i="13"/>
  <c r="L6" i="13"/>
  <c r="L21" i="13"/>
  <c r="L86" i="13"/>
  <c r="L94" i="13"/>
  <c r="L82" i="13"/>
  <c r="L98" i="13"/>
  <c r="L8" i="13"/>
  <c r="L12" i="13"/>
  <c r="L20" i="13"/>
  <c r="L22" i="13"/>
  <c r="L24" i="13"/>
  <c r="M105" i="13"/>
  <c r="L23" i="13"/>
  <c r="L13" i="13"/>
  <c r="L7" i="13"/>
  <c r="L15" i="13"/>
  <c r="L31" i="13"/>
  <c r="L39" i="13"/>
  <c r="L47" i="13"/>
  <c r="L55" i="13"/>
  <c r="L63" i="13"/>
  <c r="L71" i="13"/>
  <c r="L33" i="13"/>
  <c r="L80" i="13"/>
  <c r="L84" i="13"/>
  <c r="L88" i="13"/>
  <c r="L92" i="13"/>
  <c r="L96" i="13"/>
  <c r="M96" i="13"/>
  <c r="L10" i="13"/>
  <c r="L16" i="13"/>
  <c r="L19" i="13"/>
  <c r="L43" i="13"/>
  <c r="L51" i="13"/>
  <c r="L59" i="13"/>
  <c r="L67" i="13"/>
  <c r="L79" i="13"/>
  <c r="L83" i="13"/>
  <c r="L87" i="13"/>
  <c r="L91" i="13"/>
  <c r="L95" i="13"/>
  <c r="L99" i="13"/>
  <c r="L100" i="13"/>
  <c r="L101" i="13"/>
  <c r="L102" i="13"/>
  <c r="L103" i="13"/>
  <c r="L104" i="13"/>
  <c r="L105" i="13"/>
  <c r="L106" i="13"/>
  <c r="L107" i="13"/>
  <c r="L108" i="13"/>
  <c r="L109" i="13"/>
  <c r="M111" i="13"/>
  <c r="L81" i="13"/>
  <c r="L85" i="13"/>
  <c r="L89" i="13"/>
  <c r="L93" i="13"/>
  <c r="L97" i="13"/>
  <c r="I99" i="13"/>
  <c r="I100" i="13"/>
  <c r="I101" i="13"/>
  <c r="I102" i="13"/>
  <c r="I103" i="13"/>
  <c r="I104" i="13"/>
  <c r="I105" i="13"/>
  <c r="I106" i="13"/>
  <c r="I107" i="13"/>
  <c r="I108" i="13"/>
  <c r="I109" i="13"/>
  <c r="L35" i="13"/>
  <c r="J75" i="13"/>
  <c r="L75" i="13" s="1"/>
  <c r="I75" i="13"/>
  <c r="L9" i="13"/>
  <c r="L25" i="13"/>
  <c r="L29" i="13"/>
  <c r="J78" i="13"/>
  <c r="L78" i="13" s="1"/>
  <c r="I78" i="13"/>
  <c r="J77" i="13"/>
  <c r="L77" i="13" s="1"/>
  <c r="I77" i="13"/>
  <c r="L17" i="13"/>
  <c r="J76" i="13"/>
  <c r="L76" i="13" s="1"/>
  <c r="I76" i="13"/>
  <c r="M104" i="13"/>
  <c r="M87" i="13"/>
  <c r="I7" i="13"/>
  <c r="I11" i="13"/>
  <c r="I15" i="13"/>
  <c r="I19" i="13"/>
  <c r="I23" i="13"/>
  <c r="L30" i="13"/>
  <c r="L34" i="13"/>
  <c r="L38" i="13"/>
  <c r="L42" i="13"/>
  <c r="L46" i="13"/>
  <c r="L50" i="13"/>
  <c r="L54" i="13"/>
  <c r="L58" i="13"/>
  <c r="L62" i="13"/>
  <c r="L66" i="13"/>
  <c r="L70" i="13"/>
  <c r="L74" i="13"/>
  <c r="I111" i="13"/>
  <c r="L37" i="13"/>
  <c r="L41" i="13"/>
  <c r="L45" i="13"/>
  <c r="L49" i="13"/>
  <c r="L53" i="13"/>
  <c r="L57" i="13"/>
  <c r="L61" i="13"/>
  <c r="L65" i="13"/>
  <c r="L69" i="13"/>
  <c r="L73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M112" i="13"/>
  <c r="M95" i="13"/>
  <c r="I5" i="13"/>
  <c r="I9" i="13"/>
  <c r="I13" i="13"/>
  <c r="I17" i="13"/>
  <c r="I21" i="13"/>
  <c r="I25" i="13"/>
  <c r="L28" i="13"/>
  <c r="L32" i="13"/>
  <c r="L36" i="13"/>
  <c r="L40" i="13"/>
  <c r="L44" i="13"/>
  <c r="L48" i="13"/>
  <c r="L52" i="13"/>
  <c r="L56" i="13"/>
  <c r="L60" i="13"/>
  <c r="L64" i="13"/>
  <c r="L68" i="13"/>
  <c r="L72" i="13"/>
  <c r="L111" i="13"/>
  <c r="I112" i="13"/>
  <c r="M113" i="13"/>
  <c r="L18" i="13"/>
  <c r="L26" i="13"/>
  <c r="L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M74" i="13"/>
  <c r="M56" i="13"/>
  <c r="I4" i="13"/>
  <c r="I6" i="13"/>
  <c r="I8" i="13"/>
  <c r="I10" i="13"/>
  <c r="I12" i="13"/>
  <c r="I14" i="13"/>
  <c r="I16" i="13"/>
  <c r="I18" i="13"/>
  <c r="I20" i="13"/>
  <c r="I22" i="13"/>
  <c r="I24" i="13"/>
  <c r="I26" i="13"/>
  <c r="J110" i="13"/>
  <c r="L110" i="13" s="1"/>
  <c r="I110" i="13"/>
  <c r="M89" i="13"/>
  <c r="M83" i="13"/>
  <c r="M50" i="13"/>
  <c r="I27" i="13"/>
  <c r="M64" i="13"/>
  <c r="M61" i="13"/>
  <c r="M52" i="13"/>
  <c r="M109" i="13"/>
  <c r="M108" i="13"/>
  <c r="M101" i="13"/>
  <c r="M100" i="13"/>
  <c r="M93" i="13"/>
  <c r="M92" i="13"/>
  <c r="M85" i="13"/>
  <c r="M54" i="13"/>
  <c r="M107" i="13"/>
  <c r="M99" i="13"/>
  <c r="M91" i="13"/>
  <c r="M84" i="13"/>
  <c r="M79" i="13"/>
  <c r="M69" i="13"/>
  <c r="M106" i="13"/>
  <c r="L113" i="13"/>
  <c r="M102" i="13"/>
  <c r="M86" i="13"/>
  <c r="M98" i="13"/>
  <c r="M94" i="13"/>
  <c r="M90" i="13"/>
  <c r="M82" i="13"/>
  <c r="M73" i="13"/>
  <c r="M72" i="13"/>
  <c r="I113" i="13"/>
  <c r="L112" i="13"/>
  <c r="M81" i="13"/>
  <c r="M71" i="13"/>
  <c r="M70" i="13"/>
  <c r="M44" i="13"/>
  <c r="M36" i="13"/>
  <c r="M28" i="13"/>
  <c r="M20" i="13"/>
  <c r="M12" i="13"/>
  <c r="M4" i="13"/>
  <c r="M67" i="13"/>
  <c r="M55" i="13"/>
  <c r="M53" i="13"/>
  <c r="M51" i="13"/>
  <c r="M48" i="13"/>
  <c r="M46" i="13"/>
  <c r="M42" i="13"/>
  <c r="M40" i="13"/>
  <c r="M38" i="13"/>
  <c r="M34" i="13"/>
  <c r="M32" i="13"/>
  <c r="M30" i="13"/>
  <c r="M26" i="13"/>
  <c r="M24" i="13"/>
  <c r="M22" i="13"/>
  <c r="M18" i="13"/>
  <c r="M16" i="13"/>
  <c r="M14" i="13"/>
  <c r="M10" i="13"/>
  <c r="M8" i="13"/>
  <c r="M78" i="13" l="1"/>
  <c r="M77" i="13"/>
  <c r="M110" i="13"/>
  <c r="M76" i="13"/>
  <c r="M57" i="13"/>
  <c r="M68" i="13"/>
  <c r="M65" i="13"/>
  <c r="M80" i="13"/>
  <c r="M6" i="13"/>
  <c r="M58" i="13"/>
  <c r="M66" i="13"/>
  <c r="M9" i="13"/>
  <c r="M25" i="13"/>
  <c r="M41" i="13"/>
  <c r="M7" i="13"/>
  <c r="M11" i="13"/>
  <c r="M15" i="13"/>
  <c r="M19" i="13"/>
  <c r="M23" i="13"/>
  <c r="M27" i="13"/>
  <c r="M31" i="13"/>
  <c r="M35" i="13"/>
  <c r="M39" i="13"/>
  <c r="M43" i="13"/>
  <c r="M47" i="13"/>
  <c r="M5" i="13"/>
  <c r="M21" i="13"/>
  <c r="M37" i="13"/>
  <c r="M63" i="13"/>
  <c r="M75" i="13"/>
  <c r="M17" i="13"/>
  <c r="M33" i="13"/>
  <c r="M49" i="13"/>
  <c r="M60" i="13"/>
  <c r="M13" i="13"/>
  <c r="M29" i="13"/>
  <c r="M45" i="13"/>
  <c r="M62" i="13"/>
  <c r="M59" i="13"/>
  <c r="K115" i="13" l="1"/>
  <c r="H116" i="14" s="1"/>
  <c r="K117" i="13"/>
  <c r="H118" i="14" s="1"/>
  <c r="I119" i="14" l="1"/>
  <c r="J120" i="14"/>
  <c r="H3" i="13"/>
  <c r="K3" i="13" s="1"/>
  <c r="M3" i="13" l="1"/>
  <c r="K114" i="13"/>
  <c r="I3" i="13"/>
  <c r="L3" i="13" l="1"/>
  <c r="G12" i="4" l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12" i="4"/>
  <c r="E13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M9" i="4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K9" i="4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H9" i="4"/>
  <c r="H10" i="4" s="1"/>
  <c r="F9" i="4"/>
  <c r="F11" i="4" s="1"/>
  <c r="D9" i="4"/>
  <c r="D10" i="4" s="1"/>
  <c r="N9" i="4" l="1"/>
  <c r="N10" i="4" s="1"/>
  <c r="F10" i="4"/>
  <c r="L9" i="4"/>
  <c r="L10" i="4" s="1"/>
  <c r="F12" i="4"/>
  <c r="E14" i="4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F13" i="4"/>
  <c r="H12" i="4"/>
  <c r="N12" i="4"/>
  <c r="D13" i="4"/>
  <c r="H13" i="4"/>
  <c r="N13" i="4"/>
  <c r="D14" i="4"/>
  <c r="H14" i="4"/>
  <c r="N14" i="4"/>
  <c r="D15" i="4"/>
  <c r="H15" i="4"/>
  <c r="H16" i="4"/>
  <c r="N16" i="4"/>
  <c r="D17" i="4"/>
  <c r="H18" i="4"/>
  <c r="N18" i="4"/>
  <c r="D19" i="4"/>
  <c r="F19" i="4"/>
  <c r="H19" i="4"/>
  <c r="N19" i="4"/>
  <c r="D20" i="4"/>
  <c r="F20" i="4"/>
  <c r="H20" i="4"/>
  <c r="N20" i="4"/>
  <c r="D21" i="4"/>
  <c r="F21" i="4"/>
  <c r="H21" i="4"/>
  <c r="N21" i="4"/>
  <c r="D22" i="4"/>
  <c r="F22" i="4"/>
  <c r="H22" i="4"/>
  <c r="N22" i="4"/>
  <c r="D23" i="4"/>
  <c r="F23" i="4"/>
  <c r="H23" i="4"/>
  <c r="N23" i="4"/>
  <c r="D24" i="4"/>
  <c r="F24" i="4"/>
  <c r="H24" i="4"/>
  <c r="N24" i="4"/>
  <c r="D25" i="4"/>
  <c r="F25" i="4"/>
  <c r="H25" i="4"/>
  <c r="N25" i="4"/>
  <c r="D26" i="4"/>
  <c r="F26" i="4"/>
  <c r="H26" i="4"/>
  <c r="N26" i="4"/>
  <c r="D27" i="4"/>
  <c r="F27" i="4"/>
  <c r="H27" i="4"/>
  <c r="N27" i="4"/>
  <c r="D28" i="4"/>
  <c r="F28" i="4"/>
  <c r="H28" i="4"/>
  <c r="N28" i="4"/>
  <c r="D29" i="4"/>
  <c r="F29" i="4"/>
  <c r="H29" i="4"/>
  <c r="N29" i="4"/>
  <c r="D30" i="4"/>
  <c r="F30" i="4"/>
  <c r="H30" i="4"/>
  <c r="N30" i="4"/>
  <c r="D31" i="4"/>
  <c r="F31" i="4"/>
  <c r="H31" i="4"/>
  <c r="N31" i="4"/>
  <c r="D32" i="4"/>
  <c r="F32" i="4"/>
  <c r="H32" i="4"/>
  <c r="N32" i="4"/>
  <c r="D33" i="4"/>
  <c r="F33" i="4"/>
  <c r="H33" i="4"/>
  <c r="N33" i="4"/>
  <c r="D34" i="4"/>
  <c r="F34" i="4"/>
  <c r="H34" i="4"/>
  <c r="N34" i="4"/>
  <c r="D35" i="4"/>
  <c r="F35" i="4"/>
  <c r="H35" i="4"/>
  <c r="N35" i="4"/>
  <c r="D36" i="4"/>
  <c r="F36" i="4"/>
  <c r="H36" i="4"/>
  <c r="N36" i="4"/>
  <c r="D37" i="4"/>
  <c r="F37" i="4"/>
  <c r="H37" i="4"/>
  <c r="N37" i="4"/>
  <c r="D38" i="4"/>
  <c r="F38" i="4"/>
  <c r="H38" i="4"/>
  <c r="N38" i="4"/>
  <c r="D11" i="4"/>
  <c r="H11" i="4"/>
  <c r="N11" i="4"/>
  <c r="D12" i="4"/>
  <c r="L13" i="4"/>
  <c r="N15" i="4"/>
  <c r="D16" i="4"/>
  <c r="H17" i="4"/>
  <c r="N17" i="4"/>
  <c r="D18" i="4"/>
  <c r="L34" i="4" l="1"/>
  <c r="L18" i="4"/>
  <c r="L15" i="4"/>
  <c r="L11" i="4"/>
  <c r="L38" i="4"/>
  <c r="L22" i="4"/>
  <c r="F18" i="4"/>
  <c r="L30" i="4"/>
  <c r="F17" i="4"/>
  <c r="L26" i="4"/>
  <c r="L36" i="4"/>
  <c r="L32" i="4"/>
  <c r="L28" i="4"/>
  <c r="L24" i="4"/>
  <c r="L20" i="4"/>
  <c r="L16" i="4"/>
  <c r="L14" i="4"/>
  <c r="L35" i="4"/>
  <c r="L31" i="4"/>
  <c r="L27" i="4"/>
  <c r="L23" i="4"/>
  <c r="L19" i="4"/>
  <c r="L17" i="4"/>
  <c r="L12" i="4"/>
  <c r="L37" i="4"/>
  <c r="L33" i="4"/>
  <c r="L29" i="4"/>
  <c r="L25" i="4"/>
  <c r="L21" i="4"/>
  <c r="F14" i="4"/>
  <c r="F16" i="4"/>
  <c r="F15" i="4"/>
  <c r="J114" i="13" l="1"/>
  <c r="M119" i="13" s="1"/>
  <c r="L114" i="13" l="1"/>
  <c r="L118" i="13" s="1"/>
</calcChain>
</file>

<file path=xl/sharedStrings.xml><?xml version="1.0" encoding="utf-8"?>
<sst xmlns="http://schemas.openxmlformats.org/spreadsheetml/2006/main" count="688" uniqueCount="172">
  <si>
    <t>Equipment Life</t>
  </si>
  <si>
    <t>Free Rider Rate</t>
  </si>
  <si>
    <t>Adjustment Factor</t>
  </si>
  <si>
    <t>Natural Gas Savings (m3)</t>
  </si>
  <si>
    <t>Water Savings (L)</t>
  </si>
  <si>
    <t>Electricity Savings (kWh)</t>
  </si>
  <si>
    <t>Incremental Cost</t>
  </si>
  <si>
    <t>2010 AVOIDED COSTS</t>
  </si>
  <si>
    <t>Inflation Factor</t>
  </si>
  <si>
    <t>Discount Rate</t>
  </si>
  <si>
    <t>Gas Avoided Costs</t>
  </si>
  <si>
    <t>Water and Electricity Avoided Costs</t>
  </si>
  <si>
    <t>Residential/Commercial</t>
  </si>
  <si>
    <t>Industrial</t>
  </si>
  <si>
    <t>Residential/Commercial/Industrial</t>
  </si>
  <si>
    <t>Baseload (m3)</t>
  </si>
  <si>
    <t>Weather-Sensitive (m3)</t>
  </si>
  <si>
    <t>Water (m3)</t>
  </si>
  <si>
    <t>Electricity (kWh)</t>
  </si>
  <si>
    <t>Rate</t>
  </si>
  <si>
    <t>NPV</t>
  </si>
  <si>
    <t>Energy Load</t>
  </si>
  <si>
    <t>EM&amp;V Costs</t>
  </si>
  <si>
    <t>Promotion Costs</t>
  </si>
  <si>
    <t>Administration Costs</t>
  </si>
  <si>
    <t>Net Cumulative m3 per Unit</t>
  </si>
  <si>
    <t>Total Net Cumulative m3</t>
  </si>
  <si>
    <t>Total</t>
  </si>
  <si>
    <t>Program Total Net TRC</t>
  </si>
  <si>
    <t>Air Curtains - Pedestrian Single Door - ≥ 46ft² &amp; &lt; 96ft²</t>
  </si>
  <si>
    <t>Air Curtains - Pedestrian Double Door - ≥ 96ft²</t>
  </si>
  <si>
    <t>Air Curtains - Shipping and Recieving -  ≥ 100ft²</t>
  </si>
  <si>
    <t>Air Curtains - Shipping and Recieving -  ≥ 80ft² &amp; &lt; 100ft²</t>
  </si>
  <si>
    <t>Air Curtains - Shipping and Recieving - ≥ 64ft² &amp; &lt; 80ft²</t>
  </si>
  <si>
    <t>Condensing Gas Water Heater (100gal/day)</t>
  </si>
  <si>
    <t>Condensing Gas Water Heater (500gal/day)</t>
  </si>
  <si>
    <t>Condensing Gas Water Heater (1,000gal/day) - Purchase</t>
  </si>
  <si>
    <t>DCKV Fast Casual (&lt; 5000 cfm)</t>
  </si>
  <si>
    <t>DCKV Dinner House (10000 - 15000 cfm)</t>
  </si>
  <si>
    <t>DCKV Full Menu (5000 - 9999 cfm)</t>
  </si>
  <si>
    <t>Energy Star Dishwasher - Rack Conveyor - Multi Tank - High Temperature - Purchase</t>
  </si>
  <si>
    <t>Energy Star Dishwasher - Rack Conveyor - Single Tank - High Temperature - Purchase</t>
  </si>
  <si>
    <t>Energy Star Dishwasher - Stationary Rack - Door Type - High Temperature - Purchase</t>
  </si>
  <si>
    <t>Energy Star Dishwasher - Stationary Rack - Door Type - Low Temperature - Purchase</t>
  </si>
  <si>
    <t>Energy Star Dishwasher - Stationary Rack - Single Rack - High Temperature - Purchase</t>
  </si>
  <si>
    <t>Energy Star Dishwasher - Stationary Rack - Single Rack - Low Temperature - Purchase</t>
  </si>
  <si>
    <t>Energy Star Dishwasher - Undercounter - High Temperature - Purchase</t>
  </si>
  <si>
    <t>Energy Star Dishwasher - Undercounter - Low Temperature - Purchase</t>
  </si>
  <si>
    <t>Retrofit</t>
  </si>
  <si>
    <t>New Const/Retrofit</t>
  </si>
  <si>
    <t>New Const/Replace</t>
  </si>
  <si>
    <t>New Construction</t>
  </si>
  <si>
    <t>Replacement</t>
  </si>
  <si>
    <t>Custom</t>
  </si>
  <si>
    <t>Baseload</t>
  </si>
  <si>
    <t>Weather Sensitive</t>
  </si>
  <si>
    <t>2015 Avoided Costs</t>
  </si>
  <si>
    <t>Water Avoided Costs</t>
  </si>
  <si>
    <t>Electricity Avoided Costs</t>
  </si>
  <si>
    <t>Residential</t>
  </si>
  <si>
    <t>Commercial</t>
  </si>
  <si>
    <t>Weather Sensitive (m3)</t>
  </si>
  <si>
    <t>Baseload (kWh)</t>
  </si>
  <si>
    <t>Weather Sensitive (kWh)</t>
  </si>
  <si>
    <t>Units</t>
  </si>
  <si>
    <t>New</t>
  </si>
  <si>
    <t>High Efficiency Condensing Furnace - Replacement</t>
  </si>
  <si>
    <t>New/Replace</t>
  </si>
  <si>
    <t>Boiler Load Controls - Basic - CI (Purchase)</t>
  </si>
  <si>
    <t>Boiler Load Controls - Basic - MURBs (Purchase)</t>
  </si>
  <si>
    <t>Boiler Load Controls - Temp Sensor - MURBs (Existing Buildings)</t>
  </si>
  <si>
    <t>Boiler Load Controls - Temp Sensor - MURBs (New Buildings)</t>
  </si>
  <si>
    <t>Existing</t>
  </si>
  <si>
    <t>Combination Boiler - Multi Family Residential</t>
  </si>
  <si>
    <t>Program PAC Ratio</t>
  </si>
  <si>
    <t>Avoided Gas Benefit per Unit</t>
  </si>
  <si>
    <t>PAC Ratio</t>
  </si>
  <si>
    <t>Program Total Net PAC</t>
  </si>
  <si>
    <t>Measure/Offering</t>
  </si>
  <si>
    <t>Energy Star Convection Oven</t>
  </si>
  <si>
    <t>Energy Star Steam Cooker (boiler-based)</t>
  </si>
  <si>
    <t>Energy Star Fryer</t>
  </si>
  <si>
    <t>High Efficiency Under-Fired Broiler - Three Foot - New/Replace</t>
  </si>
  <si>
    <t>High Efficiency Under-Fired Broiler - Four Foot - New/Replace</t>
  </si>
  <si>
    <t>High Efficiency Under-Fired Broiler - Five Foot - New/Replace</t>
  </si>
  <si>
    <t>High Efficiency Under-Fired Broiler - Six Foot - New/Replace</t>
  </si>
  <si>
    <t>Condensing Unit Heaters - New/Replace</t>
  </si>
  <si>
    <t>Commercial Condensing Tankless Gas Water Heater - Low &lt;200 kBtu/hr - Elementary schools, office, retail, churches - New/Replacement</t>
  </si>
  <si>
    <t>Commercial Condensing Tankless Gas Water Heater - Low &gt;200 kBtu/hr - Elementary schools, office, retail, churches - New/Replacement</t>
  </si>
  <si>
    <t>Commercial Condensing Tankless Gas Water Heater - Medium &lt;200 kBtu/hr - Secondary schools, fast food restaurant, dormitories, other - New/Replacement</t>
  </si>
  <si>
    <t>Commercial Condensing Tankless Gas Water Heater - Medium &gt;200 kBtu/hr - Secondary schools, fast food restaurant, dormitories, other - New/Replacement</t>
  </si>
  <si>
    <t>Commercial Condensing Tankless Gas Water Heater - High &lt;200 kBtu/hr - Fitness center, full service restaurant, hotels, in patient health care - New/Replacement</t>
  </si>
  <si>
    <t>Commercial Condensing Tankless Gas Water Heater - High &gt;200 kBtu/hr - Fitness center, full service restaurant, hotels, in patient health care - New/Replacement</t>
  </si>
  <si>
    <t>Energy Star Front-Loading Clothes Washer Multi-Family New/Replacement</t>
  </si>
  <si>
    <t>CEE Tier 2 Front-Loading Clothes Washer Multi-Family</t>
  </si>
  <si>
    <t>Incentive per Unit</t>
  </si>
  <si>
    <t>Studies and Metering</t>
  </si>
  <si>
    <t>Total TRC-Plus Benefits</t>
  </si>
  <si>
    <t>Total TRC-Plus Costs</t>
  </si>
  <si>
    <t>Total Net TRC-Plus Before Program Costs</t>
  </si>
  <si>
    <t>Total Net PAC Before Program Costs</t>
  </si>
  <si>
    <t>Net TRC-Plus per Unit</t>
  </si>
  <si>
    <t>TRC-Plus Benefits per Unit</t>
  </si>
  <si>
    <t>TRC-Plus Costs per Unit</t>
  </si>
  <si>
    <t>TRC-Plus Ratio</t>
  </si>
  <si>
    <t xml:space="preserve">Condensing Boiler - Space Heating- 1000 Mbtu/hr and up </t>
  </si>
  <si>
    <t xml:space="preserve">Condensing Boiler - Space Heating 300 to 999 Mbtu/hr </t>
  </si>
  <si>
    <t xml:space="preserve">Condensing Boiler - Space Heating (200 to 299 Mbtu/h)-90% AFUE-New </t>
  </si>
  <si>
    <t xml:space="preserve">Condensing Boiler - Space Heating (200 to 299 Mbtu/h)-90% AFUE-Existing </t>
  </si>
  <si>
    <t xml:space="preserve">Condensing Boiler - DHW (1000 to 1499 Mbtu/h)-90% or greater AFUE-New/Existing </t>
  </si>
  <si>
    <t xml:space="preserve">Condensing Boiler - DHW (300 to 599 Mbtu/h)-90% or greater AFUE-New/Existing </t>
  </si>
  <si>
    <t xml:space="preserve">Condensing Boiler - DHW (100 to 199 Mbtu/h)-90% or greater AFUE-New </t>
  </si>
  <si>
    <t xml:space="preserve">Condensing Boiler - DHW (200 to 299 Mbtu/h)-90% or greater AFUE- Existing </t>
  </si>
  <si>
    <t xml:space="preserve">Condensing Rooftop Units (MUA) Multifamily &amp; Healthcare Imp efficiency 1000 -4999 cfm </t>
  </si>
  <si>
    <t xml:space="preserve">Condensing Rooftop Units (MUA) Multifamily &amp; Healthcare Imp efficiency ≥ 5000 cfm </t>
  </si>
  <si>
    <t xml:space="preserve">Condensing Rooftop Units (MUA) Multifamily &amp; Healthcare Efficiency + 2 speed 1000 -4999 cfm </t>
  </si>
  <si>
    <t xml:space="preserve">Condensing Rooftop Units (MUA) Multifamily &amp; Healthcare Efficiency + 2 speed  ≥ 5000 cfm </t>
  </si>
  <si>
    <t xml:space="preserve">Condensing Rooftop Units (MUA) Multifamily &amp; Healthcare Efficiency + VFDs  1000 -4999 cfm </t>
  </si>
  <si>
    <t xml:space="preserve">Condensing Rooftop Units (MUA) Multifamily &amp; Healthcare Efficiency + VFDs  ≥ 5000 cfm </t>
  </si>
  <si>
    <t xml:space="preserve">Condensing Rooftop Units (MUA) All other Commercial Efficiency Imp efficiency  1000 -4999 cfm </t>
  </si>
  <si>
    <t xml:space="preserve">Condensing Rooftop Units (MUA) All other Commercial Efficiency Imp efficiency ≥ 5000 cfm </t>
  </si>
  <si>
    <t xml:space="preserve">Condensing Rooftop Units (MUA) All other Commercial Efficiency + 2 speed 1000 -4999 cfm </t>
  </si>
  <si>
    <t xml:space="preserve">Condensing Rooftop Units (MUA) All other Commercial Efficiency + 2 speed  ≥ 5000 cfm </t>
  </si>
  <si>
    <t xml:space="preserve">Condensing Rooftop Units (MUA) All other Commercial Efficiency + VFDs &gt;1000 -4999 cfm </t>
  </si>
  <si>
    <t xml:space="preserve">Condensing Rooftop Units (MUA) All other Commercial Efficiency + VFDs  ≥ 5000 cfm </t>
  </si>
  <si>
    <t xml:space="preserve">DCV Office – RTU/MUA  &lt; 2,500 sq ft ventilated with CO2 Sensor - (DCV) controls with CO2 sensors -New w/o maintenance plan </t>
  </si>
  <si>
    <t xml:space="preserve">DCV Retail -  RTU/MUA &lt; 5,000 sq ft ventilated with CO2 Sensor- (DCV) controls with CO2 sensors -New w/o maintenance plan </t>
  </si>
  <si>
    <t xml:space="preserve">DCV Retail – RTU/MUA  ≥ 5,000 sq ft ventilated with CO2 Sensor- (DCV) controls with CO2 sensors -New w/o maintenance plan </t>
  </si>
  <si>
    <r>
      <t>DCV Office – RTU/MUA  &lt; 2,500 sq ft ventilated with CO2 Sensor - (DCV) controls with CO2 sensors -Retrofit w/o maintenance plan</t>
    </r>
    <r>
      <rPr>
        <vertAlign val="superscript"/>
        <sz val="12"/>
        <color theme="1"/>
        <rFont val="Calibri"/>
        <family val="2"/>
        <scheme val="minor"/>
      </rPr>
      <t xml:space="preserve"> </t>
    </r>
  </si>
  <si>
    <t xml:space="preserve">DCV Office – RTU/MUA  ≥ 2,500 sq ft with CO2 Sensor - (DCV) controls with CO2 sensors -Retrofit w/o maintenance plan </t>
  </si>
  <si>
    <t xml:space="preserve">DCV Retail -  RTU/MUA &lt; 5,000 sq ft ventilated with CO2 Sensor- (DCV) controls with CO2 sensors -Retrofit w/o maintenance plan </t>
  </si>
  <si>
    <t xml:space="preserve">DCV Retail – RTU/MUA  ≥ 5,000 sq ft ventilated with CO2 Sensor- (DCV) controls with CO2 sensors -Retrofit w/o maintenance plan </t>
  </si>
  <si>
    <r>
      <t>Destratification Fan</t>
    </r>
    <r>
      <rPr>
        <vertAlign val="superscript"/>
        <sz val="12"/>
        <color theme="1"/>
        <rFont val="Calibri"/>
        <family val="2"/>
        <scheme val="minor"/>
      </rPr>
      <t xml:space="preserve"> </t>
    </r>
  </si>
  <si>
    <t xml:space="preserve">ERV 1- up to 1999 cfm MURB,Healthcare,Nursing- Ventilation with ERV -New Construction </t>
  </si>
  <si>
    <t xml:space="preserve">ERV 1- up to 1999 cfm MURB,Healthcare,Nursing- Ventilation with ERV -Retrofit </t>
  </si>
  <si>
    <t xml:space="preserve">ERV 2- =&gt; 2000 cfm MURB,Healthcare,Nursing- Ventilation with ERV -New Construction </t>
  </si>
  <si>
    <t xml:space="preserve">ERV 2- =&gt; 2000 cfm MURB,Healthcare,Nursing- Ventilation with ERV -Retrofit </t>
  </si>
  <si>
    <t xml:space="preserve">ERV 3- up to 1999 cfm Hotel,Restaurant,Retail- Ventilation with ERV -New Construction </t>
  </si>
  <si>
    <t xml:space="preserve">ERV 3- up to 1999 cfm Hotel,Restaurant,Retail- Ventilation with ERV -Retrofit </t>
  </si>
  <si>
    <t xml:space="preserve">ERV 4- =&gt; 2000 cfm Hotel,Restaurant,Retail- Ventilation with ERV -New Construction </t>
  </si>
  <si>
    <t xml:space="preserve">ERV 4- =&gt; 2000 cfm Hotel,Restaurant,Retail- Ventilation with ERV -Retrofit </t>
  </si>
  <si>
    <t xml:space="preserve">ERV 5- up to 1999 cfm All Other Commercial-New Construction </t>
  </si>
  <si>
    <t xml:space="preserve">ERV 5- up to 1999 cfm All Other Commercial -Retrofit </t>
  </si>
  <si>
    <t xml:space="preserve">ERV 6- =&gt; 2000 cfm All Other Commercial -New Construction </t>
  </si>
  <si>
    <t xml:space="preserve">ERV 6- =&gt; 2000 cfm All Other Commercial -Retrofit </t>
  </si>
  <si>
    <t xml:space="preserve">HRV 500 to 2,000cfm-Hotel, Restaurant, Retail, Rec </t>
  </si>
  <si>
    <t xml:space="preserve">HRV &gt;2,000cfm-Hotel, Restaurant, Retail, Rec </t>
  </si>
  <si>
    <t xml:space="preserve">HRV 500 to 2,000cfm - All other commercial </t>
  </si>
  <si>
    <t xml:space="preserve">HRV ≥2,000cfm-All other commercial </t>
  </si>
  <si>
    <t xml:space="preserve">HRV ≥2,000cfm- Multi Family, Health Care, Nursing </t>
  </si>
  <si>
    <t xml:space="preserve">HRV 500 to 2000cfm- Multi Family, Health Care, Nursing </t>
  </si>
  <si>
    <t xml:space="preserve">Infrared Heating 1- 20 to 99 MBtu/hr 1-Stage </t>
  </si>
  <si>
    <t xml:space="preserve">Infrared Heating 2- 100-300 MBtu/hr 1-Stage </t>
  </si>
  <si>
    <t xml:space="preserve">Infrared Heating 3- 20 to 99 MBtu/hr 2-Stage </t>
  </si>
  <si>
    <t xml:space="preserve">Infrared Heating 4- 100-300 MBtu/hr 2-Stage </t>
  </si>
  <si>
    <t xml:space="preserve">Ozone WE =&lt; 60 lbs cap &amp; 100,000 to 199,999lbs </t>
  </si>
  <si>
    <t xml:space="preserve">Ozone WE =&lt; 60 lbs cap &amp; =&gt; 200,000 lbs </t>
  </si>
  <si>
    <t xml:space="preserve">Ozone WE &gt;60 lbs &amp; =&lt; 120lbs &amp; =&gt; 200,000 lbs </t>
  </si>
  <si>
    <t xml:space="preserve">Ozone WE &gt; 120lbs &amp; &lt;500lbs &amp; =&gt; 260,000 lbs </t>
  </si>
  <si>
    <t xml:space="preserve">DCV Office – RTU/MUA  &lt; 2,500 sq ft ventilated with CO2 Sensor -Demand Controlled Ventilation (DCV) controls with CO2 sensors -New w/o maintenance plan </t>
  </si>
  <si>
    <t xml:space="preserve">DCV Office – RTU/MUA  ≥ 2,500 sq ft with CO2 Sensor -Demand Controlled Ventilation (DCV) controls with CO2 sensors -New w/o maintenance plan </t>
  </si>
  <si>
    <t xml:space="preserve">DCV Retail -  RTU/MUA &lt; 5,000 sq ft ventilated with CO2 Sensor-Demand Controlled Ventilation (DCV) controls with CO2 sensors -New w/o maintenance plan </t>
  </si>
  <si>
    <t xml:space="preserve">DCV Retail – RTU/MUA  ≥ 5,000 sq ft ventilated with CO2 Sensor-Demand Controlled Ventilation (DCV) controls with CO2 sensors -New w/o maintenance plan </t>
  </si>
  <si>
    <t xml:space="preserve">DCV Office – RTU/MUA  &lt; 2,500 sq ft ventilated with CO2 Sensor -Demand Controlled Ventilation (DCV) controls with CO2 sensors -Retrofit w/o maintenance plan </t>
  </si>
  <si>
    <t xml:space="preserve">DCV Office – RTU/MUA  ≥ 2,500 sq ft with CO2 Sensor -Demand Controlled Ventilation (DCV) controls with CO2 sensors -Retrofit w/o maintenance plan </t>
  </si>
  <si>
    <t xml:space="preserve">DCV Retail -  RTU/MUA &lt; 5,000 sq ft ventilated with CO2 Sensor-Demand Controlled Ventilation (DCV) controls with CO2 sensors -Retrofit w/o maintenance plan </t>
  </si>
  <si>
    <t xml:space="preserve">DCV Retail – RTU/MUA  ≥ 5,000 sq ft ventilated with CO2 Sensor-Demand Controlled Ventilation (DCV) controls with CO2 sensors -Retrofit w/o maintenance plan </t>
  </si>
  <si>
    <t>General Service Custom</t>
  </si>
  <si>
    <t>Contract Custom</t>
  </si>
  <si>
    <t>Total PAC Benefit</t>
  </si>
  <si>
    <t>Total PAC Cost</t>
  </si>
  <si>
    <t>Program  Enhanced TRC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</si>
</sst>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00"/>
    <numFmt numFmtId="166" formatCode="_-* #,##0_-;\-* #,##0_-;_-* &quot;-&quot;??_-;_-@_-"/>
    <numFmt numFmtId="167" formatCode="_-&quot;$&quot;* #,##0_-;\-&quot;$&quot;* #,##0_-;_-&quot;$&quot;* &quot;-&quot;??_-;_-@_-"/>
    <numFmt numFmtId="168" formatCode="#,##0_ ;\-#,##0\ "/>
    <numFmt numFmtId="169" formatCode="#,##0.0_ ;\-#,##0.0\ "/>
    <numFmt numFmtId="170" formatCode="&quot;$&quot;#,##0"/>
    <numFmt numFmtId="171" formatCode="#,##0.00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_-* #,##0.000_-;\-* #,##0.000_-;_-* &quot;-&quot;??_-;_-@_-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1" applyNumberFormat="0" applyFill="0" applyAlignment="0" applyProtection="0"/>
    <xf numFmtId="0" fontId="13" fillId="0" borderId="42" applyNumberFormat="0" applyFill="0" applyAlignment="0" applyProtection="0"/>
    <xf numFmtId="0" fontId="14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4" applyNumberFormat="0" applyAlignment="0" applyProtection="0"/>
    <xf numFmtId="0" fontId="19" fillId="10" borderId="45" applyNumberFormat="0" applyAlignment="0" applyProtection="0"/>
    <xf numFmtId="0" fontId="20" fillId="10" borderId="44" applyNumberFormat="0" applyAlignment="0" applyProtection="0"/>
    <xf numFmtId="0" fontId="21" fillId="0" borderId="46" applyNumberFormat="0" applyFill="0" applyAlignment="0" applyProtection="0"/>
    <xf numFmtId="0" fontId="22" fillId="11" borderId="47" applyNumberFormat="0" applyAlignment="0" applyProtection="0"/>
    <xf numFmtId="0" fontId="23" fillId="0" borderId="0" applyNumberFormat="0" applyFill="0" applyBorder="0" applyAlignment="0" applyProtection="0"/>
    <xf numFmtId="0" fontId="1" fillId="12" borderId="4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49" applyNumberFormat="0" applyFill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0" fillId="0" borderId="0">
      <alignment vertical="top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0" fillId="0" borderId="0">
      <alignment vertical="top"/>
    </xf>
    <xf numFmtId="0" fontId="27" fillId="0" borderId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2" fillId="56" borderId="52" applyNumberFormat="0" applyAlignment="0" applyProtection="0"/>
    <xf numFmtId="0" fontId="32" fillId="56" borderId="5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9" fillId="0" borderId="56" applyNumberFormat="0" applyFill="0" applyAlignment="0" applyProtection="0"/>
    <xf numFmtId="0" fontId="39" fillId="0" borderId="56" applyNumberFormat="0" applyFill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2" fillId="0" borderId="0"/>
    <xf numFmtId="0" fontId="27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0" fontId="10" fillId="0" borderId="0">
      <alignment vertical="top"/>
    </xf>
    <xf numFmtId="44" fontId="10" fillId="0" borderId="0" applyFont="0" applyFill="0" applyBorder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47" fillId="0" borderId="0" applyNumberFormat="0" applyFill="0" applyBorder="0">
      <alignment vertical="top"/>
      <protection locked="0"/>
    </xf>
    <xf numFmtId="0" fontId="45" fillId="59" borderId="0" applyNumberFormat="0" applyFont="0" applyBorder="0" applyAlignment="0" applyProtection="0"/>
    <xf numFmtId="3" fontId="45" fillId="0" borderId="0" applyFont="0" applyFill="0" applyBorder="0" applyAlignment="0" applyProtection="0"/>
    <xf numFmtId="0" fontId="46" fillId="0" borderId="50">
      <alignment horizontal="center"/>
    </xf>
    <xf numFmtId="0" fontId="45" fillId="0" borderId="0" applyNumberFormat="0" applyFont="0" applyFill="0" applyBorder="0" applyAlignment="0" applyProtection="0">
      <alignment horizontal="left"/>
    </xf>
    <xf numFmtId="0" fontId="9" fillId="0" borderId="0"/>
    <xf numFmtId="0" fontId="1" fillId="0" borderId="0"/>
    <xf numFmtId="172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0" fontId="31" fillId="55" borderId="51" applyNumberFormat="0" applyAlignment="0" applyProtection="0"/>
    <xf numFmtId="0" fontId="41" fillId="55" borderId="58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top"/>
    </xf>
    <xf numFmtId="9" fontId="1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4" fontId="45" fillId="0" borderId="0" applyFont="0" applyFill="0" applyBorder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31" fillId="55" borderId="51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45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10" fillId="0" borderId="0">
      <alignment vertical="top"/>
    </xf>
    <xf numFmtId="0" fontId="2" fillId="0" borderId="0"/>
    <xf numFmtId="0" fontId="27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172" fontId="48" fillId="0" borderId="0" applyFont="0" applyFill="0" applyBorder="0" applyAlignment="0" applyProtection="0"/>
    <xf numFmtId="0" fontId="48" fillId="0" borderId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9" fillId="0" borderId="0"/>
    <xf numFmtId="0" fontId="1" fillId="0" borderId="0"/>
    <xf numFmtId="0" fontId="2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55" borderId="63" applyNumberFormat="0" applyAlignment="0" applyProtection="0"/>
    <xf numFmtId="0" fontId="31" fillId="55" borderId="6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2" fillId="58" borderId="64" applyNumberFormat="0" applyFont="0" applyAlignment="0" applyProtection="0"/>
    <xf numFmtId="0" fontId="38" fillId="42" borderId="63" applyNumberForma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8" fillId="42" borderId="63" applyNumberFormat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41" fillId="55" borderId="65" applyNumberFormat="0" applyAlignment="0" applyProtection="0"/>
    <xf numFmtId="0" fontId="38" fillId="42" borderId="63" applyNumberFormat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</cellStyleXfs>
  <cellXfs count="172">
    <xf numFmtId="0" fontId="0" fillId="0" borderId="0" xfId="0"/>
    <xf numFmtId="0" fontId="3" fillId="0" borderId="0" xfId="4" applyFont="1"/>
    <xf numFmtId="0" fontId="4" fillId="0" borderId="0" xfId="4" applyFont="1"/>
    <xf numFmtId="0" fontId="2" fillId="0" borderId="0" xfId="4"/>
    <xf numFmtId="164" fontId="0" fillId="2" borderId="13" xfId="5" applyNumberFormat="1" applyFont="1" applyFill="1" applyBorder="1"/>
    <xf numFmtId="9" fontId="0" fillId="2" borderId="13" xfId="5" applyNumberFormat="1" applyFont="1" applyFill="1" applyBorder="1"/>
    <xf numFmtId="0" fontId="7" fillId="0" borderId="0" xfId="4" applyFont="1" applyFill="1" applyBorder="1" applyAlignment="1">
      <alignment horizontal="center"/>
    </xf>
    <xf numFmtId="0" fontId="2" fillId="0" borderId="9" xfId="4" applyBorder="1"/>
    <xf numFmtId="0" fontId="5" fillId="0" borderId="0" xfId="4" applyFont="1" applyBorder="1" applyAlignment="1">
      <alignment horizontal="center"/>
    </xf>
    <xf numFmtId="0" fontId="2" fillId="0" borderId="12" xfId="4" applyBorder="1"/>
    <xf numFmtId="0" fontId="2" fillId="0" borderId="0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10" xfId="4" applyBorder="1" applyAlignment="1">
      <alignment horizontal="center"/>
    </xf>
    <xf numFmtId="165" fontId="2" fillId="0" borderId="10" xfId="4" applyNumberFormat="1" applyBorder="1"/>
    <xf numFmtId="165" fontId="2" fillId="0" borderId="11" xfId="4" applyNumberFormat="1" applyBorder="1"/>
    <xf numFmtId="165" fontId="2" fillId="0" borderId="0" xfId="4" applyNumberFormat="1" applyBorder="1"/>
    <xf numFmtId="165" fontId="6" fillId="0" borderId="10" xfId="4" applyNumberFormat="1" applyFont="1" applyBorder="1"/>
    <xf numFmtId="165" fontId="2" fillId="0" borderId="0" xfId="4" applyNumberFormat="1"/>
    <xf numFmtId="0" fontId="2" fillId="0" borderId="12" xfId="4" applyBorder="1" applyAlignment="1">
      <alignment horizontal="center"/>
    </xf>
    <xf numFmtId="165" fontId="2" fillId="0" borderId="7" xfId="4" applyNumberFormat="1" applyBorder="1"/>
    <xf numFmtId="165" fontId="2" fillId="0" borderId="8" xfId="4" applyNumberFormat="1" applyBorder="1"/>
    <xf numFmtId="0" fontId="51" fillId="0" borderId="0" xfId="0" applyFont="1"/>
    <xf numFmtId="0" fontId="3" fillId="0" borderId="0" xfId="6" applyFont="1"/>
    <xf numFmtId="0" fontId="57" fillId="0" borderId="0" xfId="6" applyFont="1"/>
    <xf numFmtId="0" fontId="58" fillId="0" borderId="0" xfId="6" applyFont="1"/>
    <xf numFmtId="10" fontId="58" fillId="2" borderId="13" xfId="7" applyNumberFormat="1" applyFont="1" applyFill="1" applyBorder="1"/>
    <xf numFmtId="0" fontId="60" fillId="0" borderId="0" xfId="0" applyFont="1" applyAlignment="1">
      <alignment vertical="top"/>
    </xf>
    <xf numFmtId="0" fontId="60" fillId="0" borderId="27" xfId="0" applyFont="1" applyBorder="1" applyAlignment="1">
      <alignment horizontal="center" vertical="top" wrapText="1" readingOrder="1"/>
    </xf>
    <xf numFmtId="0" fontId="60" fillId="0" borderId="23" xfId="0" applyFont="1" applyBorder="1" applyAlignment="1">
      <alignment horizontal="center" vertical="top" wrapText="1" readingOrder="1"/>
    </xf>
    <xf numFmtId="0" fontId="60" fillId="0" borderId="25" xfId="0" applyFont="1" applyBorder="1" applyAlignment="1">
      <alignment horizontal="center" vertical="top" wrapText="1" readingOrder="1"/>
    </xf>
    <xf numFmtId="0" fontId="60" fillId="0" borderId="28" xfId="0" applyFont="1" applyBorder="1" applyAlignment="1">
      <alignment horizontal="center" vertical="top" wrapText="1" readingOrder="1"/>
    </xf>
    <xf numFmtId="0" fontId="60" fillId="0" borderId="26" xfId="0" applyFont="1" applyBorder="1" applyAlignment="1">
      <alignment horizontal="center" vertical="top" wrapText="1" readingOrder="1"/>
    </xf>
    <xf numFmtId="0" fontId="60" fillId="0" borderId="21" xfId="0" applyFont="1" applyBorder="1" applyAlignment="1">
      <alignment horizontal="center" vertical="top" wrapText="1" readingOrder="1"/>
    </xf>
    <xf numFmtId="0" fontId="60" fillId="0" borderId="30" xfId="0" applyFont="1" applyBorder="1" applyAlignment="1">
      <alignment horizontal="center" vertical="top" wrapText="1" readingOrder="1"/>
    </xf>
    <xf numFmtId="0" fontId="60" fillId="0" borderId="31" xfId="0" applyFont="1" applyBorder="1" applyAlignment="1">
      <alignment horizontal="center" vertical="top" wrapText="1" readingOrder="1"/>
    </xf>
    <xf numFmtId="1" fontId="60" fillId="0" borderId="20" xfId="0" applyNumberFormat="1" applyFont="1" applyBorder="1" applyAlignment="1">
      <alignment horizontal="right" vertical="top"/>
    </xf>
    <xf numFmtId="171" fontId="60" fillId="5" borderId="24" xfId="0" applyNumberFormat="1" applyFont="1" applyFill="1" applyBorder="1" applyAlignment="1">
      <alignment horizontal="right" vertical="top"/>
    </xf>
    <xf numFmtId="171" fontId="60" fillId="0" borderId="16" xfId="0" applyNumberFormat="1" applyFont="1" applyBorder="1" applyAlignment="1">
      <alignment horizontal="right" vertical="top"/>
    </xf>
    <xf numFmtId="171" fontId="60" fillId="0" borderId="24" xfId="0" applyNumberFormat="1" applyFont="1" applyBorder="1" applyAlignment="1">
      <alignment horizontal="right" vertical="top"/>
    </xf>
    <xf numFmtId="1" fontId="60" fillId="0" borderId="24" xfId="0" applyNumberFormat="1" applyFont="1" applyBorder="1" applyAlignment="1">
      <alignment horizontal="right" vertical="top"/>
    </xf>
    <xf numFmtId="1" fontId="60" fillId="0" borderId="19" xfId="0" applyNumberFormat="1" applyFont="1" applyBorder="1" applyAlignment="1">
      <alignment horizontal="right" vertical="top"/>
    </xf>
    <xf numFmtId="171" fontId="60" fillId="0" borderId="29" xfId="0" applyNumberFormat="1" applyFont="1" applyBorder="1" applyAlignment="1">
      <alignment horizontal="right" vertical="top"/>
    </xf>
    <xf numFmtId="171" fontId="60" fillId="0" borderId="17" xfId="0" applyNumberFormat="1" applyFont="1" applyBorder="1" applyAlignment="1">
      <alignment horizontal="right" vertical="top"/>
    </xf>
    <xf numFmtId="1" fontId="60" fillId="0" borderId="29" xfId="0" applyNumberFormat="1" applyFont="1" applyBorder="1" applyAlignment="1">
      <alignment horizontal="right" vertical="top"/>
    </xf>
    <xf numFmtId="9" fontId="51" fillId="0" borderId="14" xfId="3" applyFont="1" applyFill="1" applyBorder="1" applyAlignment="1">
      <alignment horizontal="right" vertical="top"/>
    </xf>
    <xf numFmtId="43" fontId="51" fillId="0" borderId="14" xfId="1" applyNumberFormat="1" applyFont="1" applyFill="1" applyBorder="1"/>
    <xf numFmtId="170" fontId="51" fillId="0" borderId="14" xfId="2" applyNumberFormat="1" applyFont="1" applyFill="1" applyBorder="1"/>
    <xf numFmtId="0" fontId="51" fillId="0" borderId="0" xfId="0" applyFont="1" applyFill="1" applyBorder="1" applyAlignment="1">
      <alignment vertical="top"/>
    </xf>
    <xf numFmtId="0" fontId="55" fillId="0" borderId="0" xfId="892" applyFont="1" applyFill="1" applyBorder="1" applyAlignment="1">
      <alignment horizontal="left" vertical="top"/>
    </xf>
    <xf numFmtId="0" fontId="55" fillId="0" borderId="0" xfId="892" applyFont="1" applyFill="1" applyBorder="1" applyAlignment="1">
      <alignment vertical="top"/>
    </xf>
    <xf numFmtId="0" fontId="51" fillId="0" borderId="0" xfId="0" applyFont="1" applyFill="1" applyAlignment="1">
      <alignment horizontal="center" vertical="center" wrapText="1"/>
    </xf>
    <xf numFmtId="170" fontId="51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56" fillId="0" borderId="0" xfId="0" applyFont="1" applyFill="1" applyBorder="1" applyAlignment="1" applyProtection="1">
      <alignment horizontal="left" vertical="top"/>
    </xf>
    <xf numFmtId="0" fontId="51" fillId="0" borderId="0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1" fillId="0" borderId="14" xfId="0" applyFont="1" applyFill="1" applyBorder="1"/>
    <xf numFmtId="0" fontId="51" fillId="0" borderId="14" xfId="0" applyFont="1" applyFill="1" applyBorder="1" applyAlignment="1">
      <alignment wrapText="1"/>
    </xf>
    <xf numFmtId="166" fontId="51" fillId="0" borderId="14" xfId="1" applyNumberFormat="1" applyFont="1" applyFill="1" applyBorder="1" applyAlignment="1">
      <alignment horizontal="center"/>
    </xf>
    <xf numFmtId="43" fontId="51" fillId="0" borderId="14" xfId="1" applyFont="1" applyFill="1" applyBorder="1"/>
    <xf numFmtId="0" fontId="51" fillId="0" borderId="14" xfId="0" applyFont="1" applyFill="1" applyBorder="1" applyAlignment="1">
      <alignment horizontal="left" vertical="center"/>
    </xf>
    <xf numFmtId="0" fontId="51" fillId="0" borderId="14" xfId="0" applyFont="1" applyFill="1" applyBorder="1" applyAlignment="1">
      <alignment horizontal="left" vertical="center" wrapText="1"/>
    </xf>
    <xf numFmtId="166" fontId="50" fillId="0" borderId="14" xfId="1" applyNumberFormat="1" applyFont="1" applyFill="1" applyBorder="1" applyAlignment="1">
      <alignment horizontal="center" vertical="center" wrapText="1"/>
    </xf>
    <xf numFmtId="166" fontId="51" fillId="0" borderId="14" xfId="1" applyNumberFormat="1" applyFont="1" applyFill="1" applyBorder="1" applyAlignment="1">
      <alignment horizontal="center" vertical="center" wrapText="1"/>
    </xf>
    <xf numFmtId="167" fontId="50" fillId="0" borderId="14" xfId="2" applyNumberFormat="1" applyFont="1" applyFill="1" applyBorder="1" applyAlignment="1">
      <alignment horizontal="center" vertical="center" wrapText="1"/>
    </xf>
    <xf numFmtId="170" fontId="50" fillId="0" borderId="14" xfId="2" applyNumberFormat="1" applyFont="1" applyFill="1" applyBorder="1" applyAlignment="1">
      <alignment horizontal="center" vertical="center" wrapText="1"/>
    </xf>
    <xf numFmtId="170" fontId="51" fillId="0" borderId="14" xfId="2" applyNumberFormat="1" applyFont="1" applyFill="1" applyBorder="1" applyAlignment="1">
      <alignment vertical="center" wrapText="1"/>
    </xf>
    <xf numFmtId="170" fontId="50" fillId="0" borderId="14" xfId="2" applyNumberFormat="1" applyFont="1" applyFill="1" applyBorder="1" applyAlignment="1">
      <alignment vertical="center" wrapText="1"/>
    </xf>
    <xf numFmtId="43" fontId="51" fillId="0" borderId="14" xfId="1" applyFont="1" applyFill="1" applyBorder="1" applyAlignment="1">
      <alignment vertical="center" wrapText="1"/>
    </xf>
    <xf numFmtId="170" fontId="51" fillId="0" borderId="0" xfId="0" applyNumberFormat="1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vertical="center" wrapText="1"/>
    </xf>
    <xf numFmtId="170" fontId="51" fillId="0" borderId="14" xfId="2" applyNumberFormat="1" applyFont="1" applyFill="1" applyBorder="1" applyAlignment="1">
      <alignment horizontal="center" vertical="center" wrapText="1"/>
    </xf>
    <xf numFmtId="167" fontId="51" fillId="0" borderId="14" xfId="0" applyNumberFormat="1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169" fontId="50" fillId="0" borderId="14" xfId="1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166" fontId="51" fillId="0" borderId="14" xfId="1" applyNumberFormat="1" applyFont="1" applyFill="1" applyBorder="1"/>
    <xf numFmtId="43" fontId="51" fillId="0" borderId="0" xfId="1" applyFont="1" applyFill="1" applyBorder="1"/>
    <xf numFmtId="0" fontId="51" fillId="0" borderId="18" xfId="0" applyFont="1" applyFill="1" applyBorder="1" applyAlignment="1">
      <alignment horizontal="center"/>
    </xf>
    <xf numFmtId="9" fontId="51" fillId="0" borderId="18" xfId="0" applyNumberFormat="1" applyFont="1" applyFill="1" applyBorder="1" applyAlignment="1">
      <alignment horizontal="center"/>
    </xf>
    <xf numFmtId="176" fontId="51" fillId="0" borderId="18" xfId="1" applyNumberFormat="1" applyFont="1" applyFill="1" applyBorder="1" applyAlignment="1">
      <alignment horizontal="center"/>
    </xf>
    <xf numFmtId="166" fontId="51" fillId="0" borderId="18" xfId="1" applyNumberFormat="1" applyFont="1" applyFill="1" applyBorder="1" applyAlignment="1">
      <alignment horizontal="center"/>
    </xf>
    <xf numFmtId="1" fontId="51" fillId="0" borderId="18" xfId="1" applyNumberFormat="1" applyFont="1" applyFill="1" applyBorder="1" applyAlignment="1">
      <alignment horizontal="center"/>
    </xf>
    <xf numFmtId="170" fontId="51" fillId="0" borderId="18" xfId="0" applyNumberFormat="1" applyFont="1" applyFill="1" applyBorder="1" applyAlignment="1">
      <alignment horizontal="center"/>
    </xf>
    <xf numFmtId="0" fontId="51" fillId="0" borderId="15" xfId="0" applyFont="1" applyFill="1" applyBorder="1" applyAlignment="1">
      <alignment horizontal="center"/>
    </xf>
    <xf numFmtId="9" fontId="51" fillId="0" borderId="15" xfId="0" applyNumberFormat="1" applyFont="1" applyFill="1" applyBorder="1" applyAlignment="1">
      <alignment horizontal="center"/>
    </xf>
    <xf numFmtId="176" fontId="51" fillId="0" borderId="15" xfId="1" applyNumberFormat="1" applyFont="1" applyFill="1" applyBorder="1" applyAlignment="1">
      <alignment horizontal="center"/>
    </xf>
    <xf numFmtId="166" fontId="51" fillId="0" borderId="15" xfId="1" applyNumberFormat="1" applyFont="1" applyFill="1" applyBorder="1" applyAlignment="1">
      <alignment horizontal="center"/>
    </xf>
    <xf numFmtId="1" fontId="51" fillId="0" borderId="15" xfId="1" applyNumberFormat="1" applyFont="1" applyFill="1" applyBorder="1" applyAlignment="1">
      <alignment horizontal="center"/>
    </xf>
    <xf numFmtId="170" fontId="51" fillId="0" borderId="15" xfId="0" applyNumberFormat="1" applyFont="1" applyFill="1" applyBorder="1" applyAlignment="1">
      <alignment horizontal="center"/>
    </xf>
    <xf numFmtId="1" fontId="51" fillId="0" borderId="67" xfId="0" applyNumberFormat="1" applyFont="1" applyFill="1" applyBorder="1" applyAlignment="1">
      <alignment horizontal="center"/>
    </xf>
    <xf numFmtId="0" fontId="51" fillId="0" borderId="67" xfId="0" applyFont="1" applyFill="1" applyBorder="1" applyAlignment="1">
      <alignment horizontal="center"/>
    </xf>
    <xf numFmtId="9" fontId="51" fillId="0" borderId="67" xfId="3" applyFont="1" applyFill="1" applyBorder="1" applyAlignment="1">
      <alignment horizontal="center"/>
    </xf>
    <xf numFmtId="176" fontId="51" fillId="0" borderId="67" xfId="1" applyNumberFormat="1" applyFont="1" applyFill="1" applyBorder="1" applyAlignment="1">
      <alignment horizontal="center"/>
    </xf>
    <xf numFmtId="166" fontId="51" fillId="0" borderId="67" xfId="1" applyNumberFormat="1" applyFont="1" applyFill="1" applyBorder="1" applyAlignment="1">
      <alignment horizontal="center"/>
    </xf>
    <xf numFmtId="1" fontId="51" fillId="0" borderId="67" xfId="1" applyNumberFormat="1" applyFont="1" applyFill="1" applyBorder="1" applyAlignment="1">
      <alignment horizontal="center"/>
    </xf>
    <xf numFmtId="170" fontId="51" fillId="0" borderId="67" xfId="0" applyNumberFormat="1" applyFont="1" applyFill="1" applyBorder="1" applyAlignment="1">
      <alignment horizontal="center"/>
    </xf>
    <xf numFmtId="9" fontId="51" fillId="0" borderId="18" xfId="3" applyFont="1" applyFill="1" applyBorder="1" applyAlignment="1">
      <alignment horizontal="center"/>
    </xf>
    <xf numFmtId="9" fontId="51" fillId="0" borderId="15" xfId="3" applyFont="1" applyFill="1" applyBorder="1" applyAlignment="1">
      <alignment horizontal="center"/>
    </xf>
    <xf numFmtId="0" fontId="51" fillId="0" borderId="14" xfId="0" applyFont="1" applyFill="1" applyBorder="1" applyAlignment="1">
      <alignment horizontal="center"/>
    </xf>
    <xf numFmtId="9" fontId="51" fillId="0" borderId="14" xfId="3" applyFont="1" applyFill="1" applyBorder="1" applyAlignment="1">
      <alignment horizontal="center"/>
    </xf>
    <xf numFmtId="176" fontId="51" fillId="0" borderId="14" xfId="1" applyNumberFormat="1" applyFont="1" applyFill="1" applyBorder="1" applyAlignment="1">
      <alignment horizontal="center"/>
    </xf>
    <xf numFmtId="1" fontId="54" fillId="0" borderId="14" xfId="1" applyNumberFormat="1" applyFont="1" applyFill="1" applyBorder="1" applyAlignment="1">
      <alignment horizontal="center"/>
    </xf>
    <xf numFmtId="170" fontId="51" fillId="0" borderId="14" xfId="0" applyNumberFormat="1" applyFont="1" applyFill="1" applyBorder="1" applyAlignment="1">
      <alignment horizontal="center"/>
    </xf>
    <xf numFmtId="0" fontId="53" fillId="0" borderId="0" xfId="0" applyFont="1" applyFill="1" applyAlignment="1">
      <alignment horizontal="center" vertical="center" wrapText="1"/>
    </xf>
    <xf numFmtId="1" fontId="51" fillId="0" borderId="14" xfId="1" applyNumberFormat="1" applyFont="1" applyFill="1" applyBorder="1" applyAlignment="1">
      <alignment horizontal="center"/>
    </xf>
    <xf numFmtId="164" fontId="51" fillId="0" borderId="14" xfId="3" applyNumberFormat="1" applyFont="1" applyFill="1" applyBorder="1" applyAlignment="1">
      <alignment horizontal="center"/>
    </xf>
    <xf numFmtId="43" fontId="51" fillId="0" borderId="0" xfId="1" applyNumberFormat="1" applyFont="1" applyFill="1" applyBorder="1"/>
    <xf numFmtId="0" fontId="51" fillId="0" borderId="14" xfId="0" applyFont="1" applyFill="1" applyBorder="1" applyAlignment="1">
      <alignment horizontal="center" vertical="center"/>
    </xf>
    <xf numFmtId="176" fontId="51" fillId="0" borderId="14" xfId="1" applyNumberFormat="1" applyFont="1" applyFill="1" applyBorder="1" applyAlignment="1">
      <alignment vertical="center" wrapText="1"/>
    </xf>
    <xf numFmtId="168" fontId="50" fillId="0" borderId="14" xfId="1" applyNumberFormat="1" applyFont="1" applyFill="1" applyBorder="1" applyAlignment="1">
      <alignment horizontal="center" vertical="center" wrapText="1"/>
    </xf>
    <xf numFmtId="9" fontId="51" fillId="0" borderId="0" xfId="3" applyFont="1" applyFill="1" applyBorder="1" applyAlignment="1">
      <alignment horizontal="center" vertical="center" wrapText="1"/>
    </xf>
    <xf numFmtId="167" fontId="51" fillId="0" borderId="0" xfId="2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 wrapText="1"/>
    </xf>
    <xf numFmtId="167" fontId="51" fillId="0" borderId="14" xfId="2" applyNumberFormat="1" applyFont="1" applyFill="1" applyBorder="1" applyAlignment="1">
      <alignment horizontal="center" vertical="center" wrapText="1"/>
    </xf>
    <xf numFmtId="43" fontId="51" fillId="0" borderId="14" xfId="1" applyNumberFormat="1" applyFont="1" applyFill="1" applyBorder="1" applyAlignment="1">
      <alignment vertical="center" wrapText="1"/>
    </xf>
    <xf numFmtId="1" fontId="51" fillId="0" borderId="0" xfId="1" applyNumberFormat="1" applyFont="1" applyFill="1" applyBorder="1" applyAlignment="1">
      <alignment horizontal="center"/>
    </xf>
    <xf numFmtId="9" fontId="51" fillId="0" borderId="0" xfId="3" applyFont="1" applyFill="1" applyAlignment="1">
      <alignment horizontal="center" vertical="center" wrapText="1"/>
    </xf>
    <xf numFmtId="167" fontId="51" fillId="0" borderId="0" xfId="2" applyNumberFormat="1" applyFont="1" applyFill="1" applyAlignment="1">
      <alignment horizontal="center" vertical="center" wrapText="1"/>
    </xf>
    <xf numFmtId="166" fontId="51" fillId="0" borderId="0" xfId="0" applyNumberFormat="1" applyFont="1" applyFill="1" applyBorder="1" applyAlignment="1">
      <alignment vertical="center" wrapText="1"/>
    </xf>
    <xf numFmtId="43" fontId="51" fillId="0" borderId="0" xfId="0" applyNumberFormat="1" applyFont="1" applyFill="1" applyBorder="1" applyAlignment="1">
      <alignment vertical="center" wrapText="1"/>
    </xf>
    <xf numFmtId="6" fontId="51" fillId="0" borderId="0" xfId="2" applyNumberFormat="1" applyFont="1" applyFill="1" applyBorder="1" applyAlignment="1">
      <alignment horizontal="center" vertical="center" wrapText="1"/>
    </xf>
    <xf numFmtId="167" fontId="50" fillId="0" borderId="0" xfId="0" applyNumberFormat="1" applyFont="1" applyFill="1" applyBorder="1" applyAlignment="1">
      <alignment vertical="center" wrapText="1"/>
    </xf>
    <xf numFmtId="166" fontId="51" fillId="0" borderId="0" xfId="0" applyNumberFormat="1" applyFont="1" applyFill="1" applyBorder="1" applyAlignment="1">
      <alignment horizontal="center" vertical="center" wrapText="1"/>
    </xf>
    <xf numFmtId="166" fontId="50" fillId="0" borderId="0" xfId="0" applyNumberFormat="1" applyFont="1" applyFill="1" applyBorder="1" applyAlignment="1">
      <alignment horizontal="center" vertical="center" wrapText="1"/>
    </xf>
    <xf numFmtId="166" fontId="51" fillId="0" borderId="0" xfId="1" applyNumberFormat="1" applyFont="1" applyFill="1" applyBorder="1" applyAlignment="1">
      <alignment horizontal="center" vertical="center" wrapText="1"/>
    </xf>
    <xf numFmtId="44" fontId="51" fillId="0" borderId="0" xfId="2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/>
    </xf>
    <xf numFmtId="0" fontId="5" fillId="0" borderId="13" xfId="4" applyFont="1" applyBorder="1" applyAlignment="1"/>
    <xf numFmtId="0" fontId="7" fillId="3" borderId="1" xfId="4" applyFont="1" applyFill="1" applyBorder="1" applyAlignment="1">
      <alignment horizontal="center"/>
    </xf>
    <xf numFmtId="0" fontId="7" fillId="3" borderId="2" xfId="4" applyFont="1" applyFill="1" applyBorder="1" applyAlignment="1">
      <alignment horizontal="center"/>
    </xf>
    <xf numFmtId="0" fontId="7" fillId="3" borderId="3" xfId="4" applyFont="1" applyFill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5" xfId="4" applyBorder="1" applyAlignment="1">
      <alignment horizontal="center"/>
    </xf>
    <xf numFmtId="167" fontId="50" fillId="0" borderId="14" xfId="0" applyNumberFormat="1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/>
    </xf>
    <xf numFmtId="0" fontId="50" fillId="0" borderId="60" xfId="0" applyNumberFormat="1" applyFont="1" applyFill="1" applyBorder="1" applyAlignment="1">
      <alignment horizontal="left" vertical="center" wrapText="1"/>
    </xf>
    <xf numFmtId="0" fontId="50" fillId="0" borderId="62" xfId="0" applyNumberFormat="1" applyFont="1" applyFill="1" applyBorder="1" applyAlignment="1">
      <alignment horizontal="left" vertical="center" wrapText="1"/>
    </xf>
    <xf numFmtId="0" fontId="50" fillId="0" borderId="60" xfId="0" applyFont="1" applyFill="1" applyBorder="1" applyAlignment="1">
      <alignment horizontal="left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62" xfId="0" applyFont="1" applyFill="1" applyBorder="1" applyAlignment="1">
      <alignment horizontal="left" vertical="center" wrapText="1"/>
    </xf>
    <xf numFmtId="0" fontId="61" fillId="0" borderId="23" xfId="0" applyFont="1" applyBorder="1" applyAlignment="1">
      <alignment horizontal="center" vertical="top" wrapText="1" readingOrder="1"/>
    </xf>
    <xf numFmtId="0" fontId="61" fillId="0" borderId="25" xfId="0" applyFont="1" applyBorder="1" applyAlignment="1">
      <alignment horizontal="center" vertical="top" wrapText="1" readingOrder="1"/>
    </xf>
    <xf numFmtId="0" fontId="61" fillId="0" borderId="26" xfId="0" applyFont="1" applyBorder="1" applyAlignment="1">
      <alignment horizontal="center" vertical="top" wrapText="1" readingOrder="1"/>
    </xf>
    <xf numFmtId="0" fontId="60" fillId="0" borderId="23" xfId="0" applyFont="1" applyBorder="1" applyAlignment="1">
      <alignment horizontal="center" vertical="top" wrapText="1" readingOrder="1"/>
    </xf>
    <xf numFmtId="0" fontId="60" fillId="0" borderId="26" xfId="0" applyFont="1" applyBorder="1" applyAlignment="1">
      <alignment horizontal="center" vertical="top" wrapText="1" readingOrder="1"/>
    </xf>
    <xf numFmtId="0" fontId="60" fillId="0" borderId="22" xfId="0" applyFont="1" applyBorder="1" applyAlignment="1">
      <alignment horizontal="center" vertical="top" wrapText="1" readingOrder="1"/>
    </xf>
    <xf numFmtId="0" fontId="60" fillId="0" borderId="39" xfId="0" applyFont="1" applyBorder="1" applyAlignment="1">
      <alignment horizontal="center" vertical="top" wrapText="1" readingOrder="1"/>
    </xf>
    <xf numFmtId="0" fontId="59" fillId="4" borderId="36" xfId="0" applyFont="1" applyFill="1" applyBorder="1" applyAlignment="1">
      <alignment horizontal="center" vertical="top" wrapText="1" readingOrder="1"/>
    </xf>
    <xf numFmtId="0" fontId="59" fillId="4" borderId="37" xfId="0" applyFont="1" applyFill="1" applyBorder="1" applyAlignment="1">
      <alignment horizontal="center" vertical="top" wrapText="1" readingOrder="1"/>
    </xf>
    <xf numFmtId="0" fontId="59" fillId="4" borderId="38" xfId="0" applyFont="1" applyFill="1" applyBorder="1" applyAlignment="1">
      <alignment horizontal="center" vertical="top" wrapText="1" readingOrder="1"/>
    </xf>
    <xf numFmtId="0" fontId="60" fillId="0" borderId="32" xfId="0" applyFont="1" applyBorder="1" applyAlignment="1">
      <alignment horizontal="center" vertical="top" wrapText="1" readingOrder="1"/>
    </xf>
    <xf numFmtId="0" fontId="60" fillId="0" borderId="40" xfId="0" applyFont="1" applyBorder="1" applyAlignment="1">
      <alignment horizontal="center" vertical="top" wrapText="1" readingOrder="1"/>
    </xf>
    <xf numFmtId="0" fontId="60" fillId="0" borderId="28" xfId="0" applyFont="1" applyBorder="1" applyAlignment="1">
      <alignment horizontal="center" vertical="top" wrapText="1" readingOrder="1"/>
    </xf>
    <xf numFmtId="0" fontId="60" fillId="0" borderId="25" xfId="0" applyFont="1" applyBorder="1" applyAlignment="1">
      <alignment horizontal="center" vertical="top" wrapText="1" readingOrder="1"/>
    </xf>
    <xf numFmtId="0" fontId="61" fillId="0" borderId="28" xfId="0" applyFont="1" applyBorder="1" applyAlignment="1">
      <alignment horizontal="center" vertical="top" wrapText="1" readingOrder="1"/>
    </xf>
    <xf numFmtId="0" fontId="3" fillId="0" borderId="4" xfId="6" applyFont="1" applyBorder="1" applyAlignment="1"/>
    <xf numFmtId="0" fontId="3" fillId="0" borderId="6" xfId="6" applyFont="1" applyBorder="1" applyAlignment="1"/>
    <xf numFmtId="0" fontId="59" fillId="4" borderId="33" xfId="0" applyFont="1" applyFill="1" applyBorder="1" applyAlignment="1">
      <alignment horizontal="center" vertical="top" wrapText="1" readingOrder="1"/>
    </xf>
    <xf numFmtId="0" fontId="59" fillId="4" borderId="34" xfId="0" applyFont="1" applyFill="1" applyBorder="1" applyAlignment="1">
      <alignment horizontal="center" vertical="top" wrapText="1" readingOrder="1"/>
    </xf>
    <xf numFmtId="0" fontId="59" fillId="4" borderId="35" xfId="0" applyFont="1" applyFill="1" applyBorder="1" applyAlignment="1">
      <alignment horizontal="center" vertical="top" wrapText="1" readingOrder="1"/>
    </xf>
  </cellXfs>
  <cellStyles count="1062">
    <cellStyle name="20% - Accent1" xfId="30" builtinId="30" customBuiltin="1"/>
    <cellStyle name="20% - Accent1 2" xfId="60"/>
    <cellStyle name="20% - Accent1 3" xfId="61"/>
    <cellStyle name="20% - Accent2" xfId="34" builtinId="34" customBuiltin="1"/>
    <cellStyle name="20% - Accent2 2" xfId="62"/>
    <cellStyle name="20% - Accent2 3" xfId="63"/>
    <cellStyle name="20% - Accent3" xfId="38" builtinId="38" customBuiltin="1"/>
    <cellStyle name="20% - Accent3 2" xfId="64"/>
    <cellStyle name="20% - Accent3 3" xfId="65"/>
    <cellStyle name="20% - Accent4" xfId="42" builtinId="42" customBuiltin="1"/>
    <cellStyle name="20% - Accent4 2" xfId="66"/>
    <cellStyle name="20% - Accent4 3" xfId="67"/>
    <cellStyle name="20% - Accent5" xfId="46" builtinId="46" customBuiltin="1"/>
    <cellStyle name="20% - Accent5 2" xfId="68"/>
    <cellStyle name="20% - Accent5 3" xfId="69"/>
    <cellStyle name="20% - Accent6" xfId="50" builtinId="50" customBuiltin="1"/>
    <cellStyle name="20% - Accent6 2" xfId="70"/>
    <cellStyle name="20% - Accent6 3" xfId="71"/>
    <cellStyle name="40% - Accent1" xfId="31" builtinId="31" customBuiltin="1"/>
    <cellStyle name="40% - Accent1 2" xfId="72"/>
    <cellStyle name="40% - Accent1 3" xfId="73"/>
    <cellStyle name="40% - Accent2" xfId="35" builtinId="35" customBuiltin="1"/>
    <cellStyle name="40% - Accent2 2" xfId="74"/>
    <cellStyle name="40% - Accent2 3" xfId="75"/>
    <cellStyle name="40% - Accent3" xfId="39" builtinId="39" customBuiltin="1"/>
    <cellStyle name="40% - Accent3 2" xfId="76"/>
    <cellStyle name="40% - Accent3 3" xfId="77"/>
    <cellStyle name="40% - Accent4" xfId="43" builtinId="43" customBuiltin="1"/>
    <cellStyle name="40% - Accent4 2" xfId="78"/>
    <cellStyle name="40% - Accent4 3" xfId="79"/>
    <cellStyle name="40% - Accent5" xfId="47" builtinId="47" customBuiltin="1"/>
    <cellStyle name="40% - Accent5 2" xfId="80"/>
    <cellStyle name="40% - Accent5 3" xfId="81"/>
    <cellStyle name="40% - Accent6" xfId="51" builtinId="51" customBuiltin="1"/>
    <cellStyle name="40% - Accent6 2" xfId="82"/>
    <cellStyle name="40% - Accent6 3" xfId="83"/>
    <cellStyle name="60% - Accent1" xfId="32" builtinId="32" customBuiltin="1"/>
    <cellStyle name="60% - Accent1 2" xfId="84"/>
    <cellStyle name="60% - Accent1 3" xfId="85"/>
    <cellStyle name="60% - Accent2" xfId="36" builtinId="36" customBuiltin="1"/>
    <cellStyle name="60% - Accent2 2" xfId="86"/>
    <cellStyle name="60% - Accent2 3" xfId="87"/>
    <cellStyle name="60% - Accent3" xfId="40" builtinId="40" customBuiltin="1"/>
    <cellStyle name="60% - Accent3 2" xfId="88"/>
    <cellStyle name="60% - Accent3 3" xfId="89"/>
    <cellStyle name="60% - Accent4" xfId="44" builtinId="44" customBuiltin="1"/>
    <cellStyle name="60% - Accent4 2" xfId="90"/>
    <cellStyle name="60% - Accent4 3" xfId="91"/>
    <cellStyle name="60% - Accent5" xfId="48" builtinId="48" customBuiltin="1"/>
    <cellStyle name="60% - Accent5 2" xfId="92"/>
    <cellStyle name="60% - Accent5 3" xfId="93"/>
    <cellStyle name="60% - Accent6" xfId="52" builtinId="52" customBuiltin="1"/>
    <cellStyle name="60% - Accent6 2" xfId="94"/>
    <cellStyle name="60% - Accent6 3" xfId="95"/>
    <cellStyle name="Accent1" xfId="29" builtinId="29" customBuiltin="1"/>
    <cellStyle name="Accent1 2" xfId="96"/>
    <cellStyle name="Accent1 3" xfId="97"/>
    <cellStyle name="Accent2" xfId="33" builtinId="33" customBuiltin="1"/>
    <cellStyle name="Accent2 2" xfId="98"/>
    <cellStyle name="Accent2 3" xfId="99"/>
    <cellStyle name="Accent3" xfId="37" builtinId="37" customBuiltin="1"/>
    <cellStyle name="Accent3 2" xfId="100"/>
    <cellStyle name="Accent3 3" xfId="101"/>
    <cellStyle name="Accent4" xfId="41" builtinId="41" customBuiltin="1"/>
    <cellStyle name="Accent4 2" xfId="102"/>
    <cellStyle name="Accent4 3" xfId="103"/>
    <cellStyle name="Accent5" xfId="45" builtinId="45" customBuiltin="1"/>
    <cellStyle name="Accent5 2" xfId="104"/>
    <cellStyle name="Accent5 3" xfId="105"/>
    <cellStyle name="Accent6" xfId="49" builtinId="49" customBuiltin="1"/>
    <cellStyle name="Accent6 2" xfId="106"/>
    <cellStyle name="Accent6 3" xfId="107"/>
    <cellStyle name="Bad" xfId="18" builtinId="27" customBuiltin="1"/>
    <cellStyle name="Bad 2" xfId="108"/>
    <cellStyle name="Bad 3" xfId="109"/>
    <cellStyle name="Borders" xfId="494"/>
    <cellStyle name="Borders 2" xfId="493"/>
    <cellStyle name="Borders 2 2" xfId="887"/>
    <cellStyle name="Borders 3" xfId="886"/>
    <cellStyle name="Calculation" xfId="22" builtinId="22" customBuiltin="1"/>
    <cellStyle name="Calculation 2" xfId="110"/>
    <cellStyle name="Calculation 2 10" xfId="914"/>
    <cellStyle name="Calculation 2 2" xfId="311"/>
    <cellStyle name="Calculation 2 2 2" xfId="337"/>
    <cellStyle name="Calculation 2 2 2 2" xfId="371"/>
    <cellStyle name="Calculation 2 2 2 2 2" xfId="811"/>
    <cellStyle name="Calculation 2 2 2 3" xfId="401"/>
    <cellStyle name="Calculation 2 2 2 3 2" xfId="841"/>
    <cellStyle name="Calculation 2 2 2 4" xfId="433"/>
    <cellStyle name="Calculation 2 2 2 4 2" xfId="871"/>
    <cellStyle name="Calculation 2 2 2 5" xfId="461"/>
    <cellStyle name="Calculation 2 2 3" xfId="351"/>
    <cellStyle name="Calculation 2 2 3 2" xfId="791"/>
    <cellStyle name="Calculation 2 2 4" xfId="381"/>
    <cellStyle name="Calculation 2 2 4 2" xfId="821"/>
    <cellStyle name="Calculation 2 2 5" xfId="413"/>
    <cellStyle name="Calculation 2 2 5 2" xfId="851"/>
    <cellStyle name="Calculation 2 2 6" xfId="348"/>
    <cellStyle name="Calculation 2 2 7" xfId="1037"/>
    <cellStyle name="Calculation 2 3" xfId="327"/>
    <cellStyle name="Calculation 2 3 2" xfId="361"/>
    <cellStyle name="Calculation 2 3 2 2" xfId="801"/>
    <cellStyle name="Calculation 2 3 3" xfId="391"/>
    <cellStyle name="Calculation 2 3 3 2" xfId="831"/>
    <cellStyle name="Calculation 2 3 4" xfId="423"/>
    <cellStyle name="Calculation 2 3 4 2" xfId="861"/>
    <cellStyle name="Calculation 2 3 5" xfId="451"/>
    <cellStyle name="Calculation 2 3 6" xfId="1001"/>
    <cellStyle name="Calculation 2 4" xfId="349"/>
    <cellStyle name="Calculation 2 4 2" xfId="511"/>
    <cellStyle name="Calculation 2 4 3" xfId="1021"/>
    <cellStyle name="Calculation 2 5" xfId="533"/>
    <cellStyle name="Calculation 2 5 2" xfId="965"/>
    <cellStyle name="Calculation 2 6" xfId="496"/>
    <cellStyle name="Calculation 2 7" xfId="551"/>
    <cellStyle name="Calculation 2 8" xfId="514"/>
    <cellStyle name="Calculation 2 9" xfId="555"/>
    <cellStyle name="Calculation 3" xfId="111"/>
    <cellStyle name="Calculation 3 10" xfId="915"/>
    <cellStyle name="Calculation 3 2" xfId="312"/>
    <cellStyle name="Calculation 3 2 2" xfId="338"/>
    <cellStyle name="Calculation 3 2 2 2" xfId="372"/>
    <cellStyle name="Calculation 3 2 2 2 2" xfId="812"/>
    <cellStyle name="Calculation 3 2 2 3" xfId="402"/>
    <cellStyle name="Calculation 3 2 2 3 2" xfId="842"/>
    <cellStyle name="Calculation 3 2 2 4" xfId="434"/>
    <cellStyle name="Calculation 3 2 2 4 2" xfId="872"/>
    <cellStyle name="Calculation 3 2 2 5" xfId="462"/>
    <cellStyle name="Calculation 3 2 3" xfId="352"/>
    <cellStyle name="Calculation 3 2 3 2" xfId="792"/>
    <cellStyle name="Calculation 3 2 4" xfId="382"/>
    <cellStyle name="Calculation 3 2 4 2" xfId="822"/>
    <cellStyle name="Calculation 3 2 5" xfId="414"/>
    <cellStyle name="Calculation 3 2 5 2" xfId="852"/>
    <cellStyle name="Calculation 3 2 6" xfId="347"/>
    <cellStyle name="Calculation 3 2 7" xfId="1036"/>
    <cellStyle name="Calculation 3 3" xfId="328"/>
    <cellStyle name="Calculation 3 3 2" xfId="362"/>
    <cellStyle name="Calculation 3 3 2 2" xfId="802"/>
    <cellStyle name="Calculation 3 3 3" xfId="392"/>
    <cellStyle name="Calculation 3 3 3 2" xfId="832"/>
    <cellStyle name="Calculation 3 3 4" xfId="424"/>
    <cellStyle name="Calculation 3 3 4 2" xfId="862"/>
    <cellStyle name="Calculation 3 3 5" xfId="452"/>
    <cellStyle name="Calculation 3 3 6" xfId="1002"/>
    <cellStyle name="Calculation 3 4" xfId="350"/>
    <cellStyle name="Calculation 3 4 2" xfId="512"/>
    <cellStyle name="Calculation 3 4 3" xfId="1053"/>
    <cellStyle name="Calculation 3 5" xfId="532"/>
    <cellStyle name="Calculation 3 5 2" xfId="975"/>
    <cellStyle name="Calculation 3 6" xfId="513"/>
    <cellStyle name="Calculation 3 7" xfId="531"/>
    <cellStyle name="Calculation 3 8" xfId="547"/>
    <cellStyle name="Calculation 3 9" xfId="530"/>
    <cellStyle name="Check Cell" xfId="24" builtinId="23" customBuiltin="1"/>
    <cellStyle name="Check Cell 2" xfId="112"/>
    <cellStyle name="Check Cell 3" xfId="113"/>
    <cellStyle name="Comma" xfId="1" builtinId="3"/>
    <cellStyle name="Comma 10" xfId="114"/>
    <cellStyle name="Comma 11" xfId="115"/>
    <cellStyle name="Comma 12" xfId="116"/>
    <cellStyle name="Comma 13" xfId="117"/>
    <cellStyle name="Comma 14" xfId="118"/>
    <cellStyle name="Comma 15" xfId="119"/>
    <cellStyle name="Comma 16" xfId="120"/>
    <cellStyle name="Comma 17" xfId="121"/>
    <cellStyle name="Comma 17 2" xfId="570"/>
    <cellStyle name="Comma 18" xfId="306"/>
    <cellStyle name="Comma 18 2" xfId="572"/>
    <cellStyle name="Comma 18 3" xfId="573"/>
    <cellStyle name="Comma 18 3 2" xfId="574"/>
    <cellStyle name="Comma 18 3 3" xfId="575"/>
    <cellStyle name="Comma 18 3 3 2" xfId="576"/>
    <cellStyle name="Comma 18 3 3 3" xfId="577"/>
    <cellStyle name="Comma 18 3 3 3 2" xfId="578"/>
    <cellStyle name="Comma 18 4" xfId="579"/>
    <cellStyle name="Comma 18 5" xfId="580"/>
    <cellStyle name="Comma 18 5 2" xfId="581"/>
    <cellStyle name="Comma 18 5 3" xfId="582"/>
    <cellStyle name="Comma 18 5 3 2" xfId="583"/>
    <cellStyle name="Comma 18 6" xfId="584"/>
    <cellStyle name="Comma 18 7" xfId="571"/>
    <cellStyle name="Comma 19" xfId="304"/>
    <cellStyle name="Comma 19 2" xfId="325"/>
    <cellStyle name="Comma 19 3" xfId="585"/>
    <cellStyle name="Comma 2" xfId="11"/>
    <cellStyle name="Comma 2 2" xfId="499"/>
    <cellStyle name="Comma 2 2 2" xfId="495"/>
    <cellStyle name="Comma 2 2 2 2" xfId="586"/>
    <cellStyle name="Comma 2 2 3" xfId="917"/>
    <cellStyle name="Comma 2 3" xfId="492"/>
    <cellStyle name="Comma 2 3 2" xfId="588"/>
    <cellStyle name="Comma 2 3 3" xfId="587"/>
    <cellStyle name="Comma 2 4" xfId="569"/>
    <cellStyle name="Comma 2 4 2" xfId="885"/>
    <cellStyle name="Comma 2 4 3" xfId="916"/>
    <cellStyle name="Comma 20" xfId="589"/>
    <cellStyle name="Comma 21" xfId="590"/>
    <cellStyle name="Comma 22" xfId="890"/>
    <cellStyle name="Comma 23" xfId="54"/>
    <cellStyle name="Comma 3" xfId="122"/>
    <cellStyle name="Comma 3 2" xfId="123"/>
    <cellStyle name="Comma 3 3" xfId="491"/>
    <cellStyle name="Comma 3 3 2" xfId="591"/>
    <cellStyle name="Comma 3 3 3" xfId="907"/>
    <cellStyle name="Comma 3 4" xfId="895"/>
    <cellStyle name="Comma 4" xfId="124"/>
    <cellStyle name="Comma 4 2" xfId="125"/>
    <cellStyle name="Comma 4 2 2" xfId="592"/>
    <cellStyle name="Comma 4 2 3" xfId="918"/>
    <cellStyle name="Comma 4 2 4" xfId="909"/>
    <cellStyle name="Comma 4 3" xfId="490"/>
    <cellStyle name="Comma 4 3 2" xfId="593"/>
    <cellStyle name="Comma 4 4" xfId="889"/>
    <cellStyle name="Comma 4 5" xfId="896"/>
    <cellStyle name="Comma 5" xfId="126"/>
    <cellStyle name="Comma 5 2" xfId="594"/>
    <cellStyle name="Comma 5 3" xfId="884"/>
    <cellStyle name="Comma 5 3 2" xfId="919"/>
    <cellStyle name="Comma 6" xfId="127"/>
    <cellStyle name="Comma 7" xfId="128"/>
    <cellStyle name="Comma 8" xfId="129"/>
    <cellStyle name="Comma 8 2" xfId="920"/>
    <cellStyle name="Comma 8 3" xfId="901"/>
    <cellStyle name="Comma 9" xfId="130"/>
    <cellStyle name="Comma 9 2" xfId="131"/>
    <cellStyle name="Comma 9 3" xfId="132"/>
    <cellStyle name="Comma 9 4" xfId="133"/>
    <cellStyle name="Comma 9 5" xfId="134"/>
    <cellStyle name="Comma 9 6" xfId="135"/>
    <cellStyle name="Comma 9 7" xfId="136"/>
    <cellStyle name="Comma 9 8" xfId="137"/>
    <cellStyle name="Currency" xfId="2" builtinId="4"/>
    <cellStyle name="Currency 10" xfId="138"/>
    <cellStyle name="Currency 11" xfId="139"/>
    <cellStyle name="Currency 12" xfId="58"/>
    <cellStyle name="Currency 12 2" xfId="140"/>
    <cellStyle name="Currency 12 3" xfId="141"/>
    <cellStyle name="Currency 12 4" xfId="142"/>
    <cellStyle name="Currency 12 5" xfId="143"/>
    <cellStyle name="Currency 12 6" xfId="144"/>
    <cellStyle name="Currency 12 7" xfId="145"/>
    <cellStyle name="Currency 12 8" xfId="146"/>
    <cellStyle name="Currency 13" xfId="147"/>
    <cellStyle name="Currency 14" xfId="148"/>
    <cellStyle name="Currency 15" xfId="149"/>
    <cellStyle name="Currency 16" xfId="150"/>
    <cellStyle name="Currency 17" xfId="151"/>
    <cellStyle name="Currency 18" xfId="152"/>
    <cellStyle name="Currency 19" xfId="153"/>
    <cellStyle name="Currency 2" xfId="154"/>
    <cellStyle name="Currency 2 2" xfId="155"/>
    <cellStyle name="Currency 2 2 2" xfId="488"/>
    <cellStyle name="Currency 2 2 2 2" xfId="595"/>
    <cellStyle name="Currency 2 2 3" xfId="596"/>
    <cellStyle name="Currency 2 3" xfId="156"/>
    <cellStyle name="Currency 2 3 2" xfId="597"/>
    <cellStyle name="Currency 2 3 3" xfId="922"/>
    <cellStyle name="Currency 2 3 4" xfId="911"/>
    <cellStyle name="Currency 2 4" xfId="476"/>
    <cellStyle name="Currency 2 4 2" xfId="599"/>
    <cellStyle name="Currency 2 4 3" xfId="598"/>
    <cellStyle name="Currency 2 5" xfId="498"/>
    <cellStyle name="Currency 2 5 2" xfId="600"/>
    <cellStyle name="Currency 2 6" xfId="474"/>
    <cellStyle name="Currency 2 6 2" xfId="921"/>
    <cellStyle name="Currency 2 7" xfId="489"/>
    <cellStyle name="Currency 2 8" xfId="568"/>
    <cellStyle name="Currency 20" xfId="157"/>
    <cellStyle name="Currency 20 2" xfId="601"/>
    <cellStyle name="Currency 21" xfId="307"/>
    <cellStyle name="Currency 21 2" xfId="603"/>
    <cellStyle name="Currency 21 3" xfId="604"/>
    <cellStyle name="Currency 21 3 2" xfId="605"/>
    <cellStyle name="Currency 21 3 3" xfId="606"/>
    <cellStyle name="Currency 21 3 3 2" xfId="607"/>
    <cellStyle name="Currency 21 3 3 3" xfId="608"/>
    <cellStyle name="Currency 21 3 3 3 2" xfId="609"/>
    <cellStyle name="Currency 21 4" xfId="610"/>
    <cellStyle name="Currency 21 5" xfId="611"/>
    <cellStyle name="Currency 21 5 2" xfId="612"/>
    <cellStyle name="Currency 21 5 3" xfId="613"/>
    <cellStyle name="Currency 21 5 3 2" xfId="614"/>
    <cellStyle name="Currency 21 6" xfId="615"/>
    <cellStyle name="Currency 21 7" xfId="602"/>
    <cellStyle name="Currency 22" xfId="59"/>
    <cellStyle name="Currency 22 2" xfId="324"/>
    <cellStyle name="Currency 22 3" xfId="616"/>
    <cellStyle name="Currency 23" xfId="617"/>
    <cellStyle name="Currency 24" xfId="618"/>
    <cellStyle name="Currency 25" xfId="789"/>
    <cellStyle name="Currency 26" xfId="888"/>
    <cellStyle name="Currency 27" xfId="891"/>
    <cellStyle name="Currency 28" xfId="55"/>
    <cellStyle name="Currency 3" xfId="158"/>
    <cellStyle name="Currency 3 2" xfId="159"/>
    <cellStyle name="Currency 3 2 2" xfId="924"/>
    <cellStyle name="Currency 3 2 3" xfId="912"/>
    <cellStyle name="Currency 3 3" xfId="160"/>
    <cellStyle name="Currency 3 3 2" xfId="161"/>
    <cellStyle name="Currency 3 3 3" xfId="925"/>
    <cellStyle name="Currency 3 3 4" xfId="906"/>
    <cellStyle name="Currency 3 4" xfId="162"/>
    <cellStyle name="Currency 3 5" xfId="487"/>
    <cellStyle name="Currency 3 5 2" xfId="619"/>
    <cellStyle name="Currency 3 6" xfId="923"/>
    <cellStyle name="Currency 3 7" xfId="899"/>
    <cellStyle name="Currency 4" xfId="163"/>
    <cellStyle name="Currency 4 2" xfId="486"/>
    <cellStyle name="Currency 4 2 2" xfId="620"/>
    <cellStyle name="Currency 4 2 3" xfId="913"/>
    <cellStyle name="Currency 4 3" xfId="926"/>
    <cellStyle name="Currency 4 4" xfId="908"/>
    <cellStyle name="Currency 5" xfId="164"/>
    <cellStyle name="Currency 5 2" xfId="621"/>
    <cellStyle name="Currency 5 3" xfId="927"/>
    <cellStyle name="Currency 5 4" xfId="910"/>
    <cellStyle name="Currency 6" xfId="165"/>
    <cellStyle name="Currency 6 2" xfId="166"/>
    <cellStyle name="Currency 6 3" xfId="167"/>
    <cellStyle name="Currency 6 4" xfId="168"/>
    <cellStyle name="Currency 6 5" xfId="169"/>
    <cellStyle name="Currency 6 6" xfId="170"/>
    <cellStyle name="Currency 6 7" xfId="928"/>
    <cellStyle name="Currency 7" xfId="171"/>
    <cellStyle name="Currency 7 2" xfId="172"/>
    <cellStyle name="Currency 7 2 2" xfId="622"/>
    <cellStyle name="Currency 7 3" xfId="623"/>
    <cellStyle name="Currency 7 4" xfId="929"/>
    <cellStyle name="Currency 7 5" xfId="902"/>
    <cellStyle name="Currency 8" xfId="173"/>
    <cellStyle name="Currency 8 2" xfId="624"/>
    <cellStyle name="Currency 9" xfId="174"/>
    <cellStyle name="Explanatory Text" xfId="27" builtinId="53" customBuiltin="1"/>
    <cellStyle name="Explanatory Text 2" xfId="175"/>
    <cellStyle name="Explanatory Text 3" xfId="176"/>
    <cellStyle name="Good" xfId="17" builtinId="26" customBuiltin="1"/>
    <cellStyle name="Good 2" xfId="177"/>
    <cellStyle name="Good 3" xfId="178"/>
    <cellStyle name="Heading 1" xfId="13" builtinId="16" customBuiltin="1"/>
    <cellStyle name="Heading 1 2" xfId="179"/>
    <cellStyle name="Heading 1 3" xfId="180"/>
    <cellStyle name="Heading 2" xfId="14" builtinId="17" customBuiltin="1"/>
    <cellStyle name="Heading 2 2" xfId="181"/>
    <cellStyle name="Heading 2 3" xfId="182"/>
    <cellStyle name="Heading 3" xfId="15" builtinId="18" customBuiltin="1"/>
    <cellStyle name="Heading 3 2" xfId="183"/>
    <cellStyle name="Heading 3 2 2" xfId="523"/>
    <cellStyle name="Heading 3 2 2 2" xfId="564"/>
    <cellStyle name="Heading 3 2 3" xfId="521"/>
    <cellStyle name="Heading 3 2 3 2" xfId="565"/>
    <cellStyle name="Heading 3 3" xfId="184"/>
    <cellStyle name="Heading 3 3 2" xfId="522"/>
    <cellStyle name="Heading 3 3 2 2" xfId="566"/>
    <cellStyle name="Heading 3 3 3" xfId="520"/>
    <cellStyle name="Heading 3 3 3 2" xfId="567"/>
    <cellStyle name="Heading 4" xfId="16" builtinId="19" customBuiltin="1"/>
    <cellStyle name="Heading 4 2" xfId="185"/>
    <cellStyle name="Heading 4 3" xfId="186"/>
    <cellStyle name="Input" xfId="20" builtinId="20" customBuiltin="1"/>
    <cellStyle name="Input 2" xfId="187"/>
    <cellStyle name="Input 2 10" xfId="930"/>
    <cellStyle name="Input 2 2" xfId="313"/>
    <cellStyle name="Input 2 2 2" xfId="339"/>
    <cellStyle name="Input 2 2 2 2" xfId="373"/>
    <cellStyle name="Input 2 2 2 2 2" xfId="813"/>
    <cellStyle name="Input 2 2 2 3" xfId="403"/>
    <cellStyle name="Input 2 2 2 3 2" xfId="843"/>
    <cellStyle name="Input 2 2 2 4" xfId="435"/>
    <cellStyle name="Input 2 2 2 4 2" xfId="873"/>
    <cellStyle name="Input 2 2 2 5" xfId="463"/>
    <cellStyle name="Input 2 2 3" xfId="353"/>
    <cellStyle name="Input 2 2 3 2" xfId="793"/>
    <cellStyle name="Input 2 2 4" xfId="383"/>
    <cellStyle name="Input 2 2 4 2" xfId="823"/>
    <cellStyle name="Input 2 2 5" xfId="415"/>
    <cellStyle name="Input 2 2 5 2" xfId="853"/>
    <cellStyle name="Input 2 2 6" xfId="443"/>
    <cellStyle name="Input 2 2 7" xfId="1015"/>
    <cellStyle name="Input 2 3" xfId="329"/>
    <cellStyle name="Input 2 3 2" xfId="363"/>
    <cellStyle name="Input 2 3 2 2" xfId="803"/>
    <cellStyle name="Input 2 3 3" xfId="393"/>
    <cellStyle name="Input 2 3 3 2" xfId="833"/>
    <cellStyle name="Input 2 3 4" xfId="425"/>
    <cellStyle name="Input 2 3 4 2" xfId="863"/>
    <cellStyle name="Input 2 3 5" xfId="453"/>
    <cellStyle name="Input 2 3 6" xfId="963"/>
    <cellStyle name="Input 2 4" xfId="411"/>
    <cellStyle name="Input 2 4 2" xfId="524"/>
    <cellStyle name="Input 2 4 3" xfId="1013"/>
    <cellStyle name="Input 2 5" xfId="519"/>
    <cellStyle name="Input 2 5 2" xfId="1012"/>
    <cellStyle name="Input 2 6" xfId="528"/>
    <cellStyle name="Input 2 7" xfId="517"/>
    <cellStyle name="Input 2 8" xfId="526"/>
    <cellStyle name="Input 2 9" xfId="552"/>
    <cellStyle name="Input 3" xfId="188"/>
    <cellStyle name="Input 3 10" xfId="931"/>
    <cellStyle name="Input 3 2" xfId="314"/>
    <cellStyle name="Input 3 2 2" xfId="340"/>
    <cellStyle name="Input 3 2 2 2" xfId="374"/>
    <cellStyle name="Input 3 2 2 2 2" xfId="814"/>
    <cellStyle name="Input 3 2 2 3" xfId="404"/>
    <cellStyle name="Input 3 2 2 3 2" xfId="844"/>
    <cellStyle name="Input 3 2 2 4" xfId="436"/>
    <cellStyle name="Input 3 2 2 4 2" xfId="874"/>
    <cellStyle name="Input 3 2 2 5" xfId="464"/>
    <cellStyle name="Input 3 2 3" xfId="354"/>
    <cellStyle name="Input 3 2 3 2" xfId="794"/>
    <cellStyle name="Input 3 2 4" xfId="384"/>
    <cellStyle name="Input 3 2 4 2" xfId="824"/>
    <cellStyle name="Input 3 2 5" xfId="416"/>
    <cellStyle name="Input 3 2 5 2" xfId="854"/>
    <cellStyle name="Input 3 2 6" xfId="444"/>
    <cellStyle name="Input 3 2 7" xfId="1014"/>
    <cellStyle name="Input 3 3" xfId="330"/>
    <cellStyle name="Input 3 3 2" xfId="364"/>
    <cellStyle name="Input 3 3 2 2" xfId="804"/>
    <cellStyle name="Input 3 3 3" xfId="394"/>
    <cellStyle name="Input 3 3 3 2" xfId="834"/>
    <cellStyle name="Input 3 3 4" xfId="426"/>
    <cellStyle name="Input 3 3 4 2" xfId="864"/>
    <cellStyle name="Input 3 3 5" xfId="454"/>
    <cellStyle name="Input 3 3 6" xfId="1011"/>
    <cellStyle name="Input 3 4" xfId="412"/>
    <cellStyle name="Input 3 4 2" xfId="525"/>
    <cellStyle name="Input 3 4 3" xfId="1055"/>
    <cellStyle name="Input 3 5" xfId="518"/>
    <cellStyle name="Input 3 5 2" xfId="972"/>
    <cellStyle name="Input 3 6" xfId="529"/>
    <cellStyle name="Input 3 7" xfId="516"/>
    <cellStyle name="Input 3 8" xfId="527"/>
    <cellStyle name="Input 3 9" xfId="515"/>
    <cellStyle name="Linked Cell" xfId="23" builtinId="24" customBuiltin="1"/>
    <cellStyle name="Linked Cell 2" xfId="189"/>
    <cellStyle name="Linked Cell 3" xfId="190"/>
    <cellStyle name="Neutral" xfId="19" builtinId="28" customBuiltin="1"/>
    <cellStyle name="Neutral 2" xfId="191"/>
    <cellStyle name="Neutral 3" xfId="192"/>
    <cellStyle name="Normal" xfId="0" builtinId="0"/>
    <cellStyle name="Normal 10" xfId="193"/>
    <cellStyle name="Normal 10 2" xfId="625"/>
    <cellStyle name="Normal 10 3" xfId="932"/>
    <cellStyle name="Normal 10 4" xfId="894"/>
    <cellStyle name="Normal 11" xfId="194"/>
    <cellStyle name="Normal 12" xfId="195"/>
    <cellStyle name="Normal 12 2" xfId="196"/>
    <cellStyle name="Normal 12 3" xfId="197"/>
    <cellStyle name="Normal 12 4" xfId="198"/>
    <cellStyle name="Normal 12 5" xfId="199"/>
    <cellStyle name="Normal 12 6" xfId="200"/>
    <cellStyle name="Normal 12 7" xfId="201"/>
    <cellStyle name="Normal 12 8" xfId="202"/>
    <cellStyle name="Normal 13" xfId="203"/>
    <cellStyle name="Normal 14" xfId="204"/>
    <cellStyle name="Normal 15" xfId="205"/>
    <cellStyle name="Normal 16" xfId="206"/>
    <cellStyle name="Normal 17" xfId="207"/>
    <cellStyle name="Normal 18" xfId="208"/>
    <cellStyle name="Normal 19" xfId="209"/>
    <cellStyle name="Normal 2" xfId="4"/>
    <cellStyle name="Normal 2 10" xfId="626"/>
    <cellStyle name="Normal 2 11" xfId="57"/>
    <cellStyle name="Normal 2 2" xfId="210"/>
    <cellStyle name="Normal 2 2 2" xfId="211"/>
    <cellStyle name="Normal 2 2 2 2" xfId="212"/>
    <cellStyle name="Normal 2 2 2 2 2" xfId="213"/>
    <cellStyle name="Normal 2 2 2 2 2 2" xfId="627"/>
    <cellStyle name="Normal 2 2 2 2 3" xfId="628"/>
    <cellStyle name="Normal 2 2 2 3" xfId="214"/>
    <cellStyle name="Normal 2 2 2 3 2" xfId="215"/>
    <cellStyle name="Normal 2 2 2 3 2 2" xfId="216"/>
    <cellStyle name="Normal 2 2 2 3 2 2 2" xfId="629"/>
    <cellStyle name="Normal 2 2 2 3 2 3" xfId="630"/>
    <cellStyle name="Normal 2 2 2 3 3" xfId="631"/>
    <cellStyle name="Normal 2 2 2 4" xfId="217"/>
    <cellStyle name="Normal 2 2 2 4 2" xfId="632"/>
    <cellStyle name="Normal 2 2 2 5" xfId="218"/>
    <cellStyle name="Normal 2 2 2 6" xfId="219"/>
    <cellStyle name="Normal 2 2 2 7" xfId="633"/>
    <cellStyle name="Normal 2 2 3" xfId="56"/>
    <cellStyle name="Normal 2 2 4" xfId="220"/>
    <cellStyle name="Normal 2 2 4 2" xfId="221"/>
    <cellStyle name="Normal 2 2 5" xfId="222"/>
    <cellStyle name="Normal 2 2 6" xfId="485"/>
    <cellStyle name="Normal 2 2 7" xfId="904"/>
    <cellStyle name="Normal 2 3" xfId="223"/>
    <cellStyle name="Normal 2 3 2" xfId="224"/>
    <cellStyle name="Normal 2 3 2 2" xfId="634"/>
    <cellStyle name="Normal 2 3 3" xfId="225"/>
    <cellStyle name="Normal 2 3 3 2" xfId="226"/>
    <cellStyle name="Normal 2 3 3 2 2" xfId="635"/>
    <cellStyle name="Normal 2 3 3 3" xfId="636"/>
    <cellStyle name="Normal 2 3 4" xfId="227"/>
    <cellStyle name="Normal 2 3 4 2" xfId="637"/>
    <cellStyle name="Normal 2 3 5" xfId="638"/>
    <cellStyle name="Normal 2 3 6" xfId="639"/>
    <cellStyle name="Normal 2 3 7" xfId="640"/>
    <cellStyle name="Normal 2 4" xfId="228"/>
    <cellStyle name="Normal 2 4 2" xfId="641"/>
    <cellStyle name="Normal 2 5" xfId="229"/>
    <cellStyle name="Normal 2 5 2" xfId="230"/>
    <cellStyle name="Normal 2 6" xfId="310"/>
    <cellStyle name="Normal 2 6 2" xfId="643"/>
    <cellStyle name="Normal 2 6 3" xfId="644"/>
    <cellStyle name="Normal 2 6 4" xfId="642"/>
    <cellStyle name="Normal 2 7" xfId="645"/>
    <cellStyle name="Normal 2 7 2" xfId="646"/>
    <cellStyle name="Normal 2 7 3" xfId="647"/>
    <cellStyle name="Normal 2 8" xfId="648"/>
    <cellStyle name="Normal 2 9" xfId="649"/>
    <cellStyle name="Normal 2 9 2" xfId="650"/>
    <cellStyle name="Normal 2 9 2 2" xfId="651"/>
    <cellStyle name="Normal 2 9 2 3" xfId="652"/>
    <cellStyle name="Normal 2 9 2 3 2" xfId="653"/>
    <cellStyle name="Normal 2 9 2 3 3" xfId="654"/>
    <cellStyle name="Normal 2 9 2 3 3 2" xfId="655"/>
    <cellStyle name="Normal 2 9 3" xfId="656"/>
    <cellStyle name="Normal 2 9 4" xfId="657"/>
    <cellStyle name="Normal 2 9 4 2" xfId="658"/>
    <cellStyle name="Normal 2 9 4 3" xfId="659"/>
    <cellStyle name="Normal 2 9 4 3 2" xfId="660"/>
    <cellStyle name="Normal 20" xfId="231"/>
    <cellStyle name="Normal 20 2" xfId="661"/>
    <cellStyle name="Normal 20 3" xfId="662"/>
    <cellStyle name="Normal 20 3 2" xfId="663"/>
    <cellStyle name="Normal 20 3 2 2" xfId="664"/>
    <cellStyle name="Normal 20 3 2 3" xfId="665"/>
    <cellStyle name="Normal 20 3 2 3 2" xfId="666"/>
    <cellStyle name="Normal 20 3 2 3 3" xfId="667"/>
    <cellStyle name="Normal 20 3 2 3 3 2" xfId="668"/>
    <cellStyle name="Normal 20 3 3" xfId="669"/>
    <cellStyle name="Normal 20 3 4" xfId="670"/>
    <cellStyle name="Normal 20 3 4 2" xfId="671"/>
    <cellStyle name="Normal 20 3 4 3" xfId="672"/>
    <cellStyle name="Normal 20 3 4 3 2" xfId="673"/>
    <cellStyle name="Normal 20 4" xfId="786"/>
    <cellStyle name="Normal 20 4 2" xfId="881"/>
    <cellStyle name="Normal 21" xfId="232"/>
    <cellStyle name="Normal 21 2" xfId="303"/>
    <cellStyle name="Normal 21 2 2" xfId="674"/>
    <cellStyle name="Normal 21 3" xfId="471"/>
    <cellStyle name="Normal 21 3 2" xfId="675"/>
    <cellStyle name="Normal 21 3 3" xfId="676"/>
    <cellStyle name="Normal 21 3 3 2" xfId="677"/>
    <cellStyle name="Normal 21 3 3 3" xfId="678"/>
    <cellStyle name="Normal 21 3 3 3 2" xfId="679"/>
    <cellStyle name="Normal 21 4" xfId="680"/>
    <cellStyle name="Normal 21 5" xfId="681"/>
    <cellStyle name="Normal 21 5 2" xfId="682"/>
    <cellStyle name="Normal 21 5 3" xfId="683"/>
    <cellStyle name="Normal 21 5 3 2" xfId="684"/>
    <cellStyle name="Normal 21 6" xfId="685"/>
    <cellStyle name="Normal 22" xfId="309"/>
    <cellStyle name="Normal 23" xfId="323"/>
    <cellStyle name="Normal 23 2" xfId="687"/>
    <cellStyle name="Normal 23 3" xfId="688"/>
    <cellStyle name="Normal 23 3 2" xfId="689"/>
    <cellStyle name="Normal 23 3 3" xfId="690"/>
    <cellStyle name="Normal 23 3 3 2" xfId="691"/>
    <cellStyle name="Normal 23 4" xfId="686"/>
    <cellStyle name="Normal 24" xfId="321"/>
    <cellStyle name="Normal 24 2" xfId="692"/>
    <cellStyle name="Normal 25" xfId="693"/>
    <cellStyle name="Normal 26" xfId="790"/>
    <cellStyle name="Normal 27" xfId="892"/>
    <cellStyle name="Normal 3" xfId="6"/>
    <cellStyle name="Normal 3 10" xfId="473"/>
    <cellStyle name="Normal 3 2" xfId="9"/>
    <cellStyle name="Normal 3 2 2" xfId="234"/>
    <cellStyle name="Normal 3 2 2 2" xfId="235"/>
    <cellStyle name="Normal 3 2 2 2 2" xfId="694"/>
    <cellStyle name="Normal 3 2 2 3" xfId="236"/>
    <cellStyle name="Normal 3 2 2 4" xfId="695"/>
    <cellStyle name="Normal 3 2 3" xfId="233"/>
    <cellStyle name="Normal 3 3" xfId="237"/>
    <cellStyle name="Normal 3 3 2" xfId="238"/>
    <cellStyle name="Normal 3 3 2 2" xfId="239"/>
    <cellStyle name="Normal 3 3 3" xfId="240"/>
    <cellStyle name="Normal 3 3 3 2" xfId="696"/>
    <cellStyle name="Normal 3 3 4" xfId="241"/>
    <cellStyle name="Normal 3 3 5" xfId="697"/>
    <cellStyle name="Normal 3 3 6" xfId="698"/>
    <cellStyle name="Normal 3 4" xfId="242"/>
    <cellStyle name="Normal 3 4 2" xfId="699"/>
    <cellStyle name="Normal 3 5" xfId="243"/>
    <cellStyle name="Normal 3 5 2" xfId="700"/>
    <cellStyle name="Normal 3 6" xfId="308"/>
    <cellStyle name="Normal 3 6 2" xfId="701"/>
    <cellStyle name="Normal 3 6 3" xfId="702"/>
    <cellStyle name="Normal 3 7" xfId="305"/>
    <cellStyle name="Normal 3 7 2" xfId="703"/>
    <cellStyle name="Normal 3 8" xfId="704"/>
    <cellStyle name="Normal 3_2012" xfId="10"/>
    <cellStyle name="Normal 4" xfId="244"/>
    <cellStyle name="Normal 4 2" xfId="245"/>
    <cellStyle name="Normal 4 2 2" xfId="246"/>
    <cellStyle name="Normal 4 2 2 2" xfId="705"/>
    <cellStyle name="Normal 4 2 3" xfId="247"/>
    <cellStyle name="Normal 4 2 3 2" xfId="706"/>
    <cellStyle name="Normal 4 2 4" xfId="707"/>
    <cellStyle name="Normal 4 2 5" xfId="708"/>
    <cellStyle name="Normal 4 2 6" xfId="709"/>
    <cellStyle name="Normal 4 3" xfId="248"/>
    <cellStyle name="Normal 4 3 2" xfId="710"/>
    <cellStyle name="Normal 4 3 3" xfId="711"/>
    <cellStyle name="Normal 4 4" xfId="712"/>
    <cellStyle name="Normal 4 5" xfId="713"/>
    <cellStyle name="Normal 4 6" xfId="714"/>
    <cellStyle name="Normal 5" xfId="249"/>
    <cellStyle name="Normal 5 2" xfId="250"/>
    <cellStyle name="Normal 5 2 2" xfId="715"/>
    <cellStyle name="Normal 5 3" xfId="251"/>
    <cellStyle name="Normal 5 4" xfId="716"/>
    <cellStyle name="Normal 5 5" xfId="893"/>
    <cellStyle name="Normal 5 5 2" xfId="933"/>
    <cellStyle name="Normal 6" xfId="252"/>
    <cellStyle name="Normal 6 2" xfId="500"/>
    <cellStyle name="Normal 6 2 2" xfId="717"/>
    <cellStyle name="Normal 6 3" xfId="484"/>
    <cellStyle name="Normal 6 3 2" xfId="718"/>
    <cellStyle name="Normal 6 4" xfId="719"/>
    <cellStyle name="Normal 6 5" xfId="934"/>
    <cellStyle name="Normal 7" xfId="253"/>
    <cellStyle name="Normal 7 2" xfId="720"/>
    <cellStyle name="Normal 7 3" xfId="721"/>
    <cellStyle name="Normal 7 4" xfId="935"/>
    <cellStyle name="Normal 7 5" xfId="898"/>
    <cellStyle name="Normal 8" xfId="254"/>
    <cellStyle name="Normal 8 2" xfId="255"/>
    <cellStyle name="Normal 8 3" xfId="256"/>
    <cellStyle name="Normal 8 4" xfId="257"/>
    <cellStyle name="Normal 8 5" xfId="258"/>
    <cellStyle name="Normal 8 6" xfId="259"/>
    <cellStyle name="Normal 8 7" xfId="936"/>
    <cellStyle name="Normal 9" xfId="260"/>
    <cellStyle name="Normal 9 2" xfId="261"/>
    <cellStyle name="Normal 9 2 2" xfId="722"/>
    <cellStyle name="Normal 9 2 2 2" xfId="723"/>
    <cellStyle name="Normal 9 2 2 2 2" xfId="724"/>
    <cellStyle name="Normal 9 2 2 2 3" xfId="725"/>
    <cellStyle name="Normal 9 2 2 2 3 2" xfId="726"/>
    <cellStyle name="Normal 9 2 2 2 3 3" xfId="727"/>
    <cellStyle name="Normal 9 2 2 2 3 3 2" xfId="728"/>
    <cellStyle name="Normal 9 2 2 3" xfId="729"/>
    <cellStyle name="Normal 9 2 2 4" xfId="730"/>
    <cellStyle name="Normal 9 2 2 4 2" xfId="731"/>
    <cellStyle name="Normal 9 2 2 4 3" xfId="732"/>
    <cellStyle name="Normal 9 2 2 4 3 2" xfId="733"/>
    <cellStyle name="Normal 9 2 3" xfId="788"/>
    <cellStyle name="Normal 9 2 3 2" xfId="883"/>
    <cellStyle name="Normal 9 3" xfId="53"/>
    <cellStyle name="Normal 9 4" xfId="262"/>
    <cellStyle name="Normal 9 5" xfId="475"/>
    <cellStyle name="Normal 9 5 2" xfId="734"/>
    <cellStyle name="Normal 9 5 2 2" xfId="735"/>
    <cellStyle name="Normal 9 5 2 3" xfId="736"/>
    <cellStyle name="Normal 9 5 2 3 2" xfId="737"/>
    <cellStyle name="Normal 9 5 2 3 3" xfId="738"/>
    <cellStyle name="Normal 9 5 2 3 3 2" xfId="739"/>
    <cellStyle name="Normal 9 5 3" xfId="740"/>
    <cellStyle name="Normal 9 5 4" xfId="741"/>
    <cellStyle name="Normal 9 5 4 2" xfId="742"/>
    <cellStyle name="Normal 9 5 4 3" xfId="743"/>
    <cellStyle name="Normal 9 5 4 3 2" xfId="744"/>
    <cellStyle name="Normal 9 6" xfId="787"/>
    <cellStyle name="Normal 9 6 2" xfId="882"/>
    <cellStyle name="Note" xfId="26" builtinId="10" customBuiltin="1"/>
    <cellStyle name="Note 2" xfId="263"/>
    <cellStyle name="Note 2 10" xfId="937"/>
    <cellStyle name="Note 2 2" xfId="315"/>
    <cellStyle name="Note 2 2 2" xfId="341"/>
    <cellStyle name="Note 2 2 2 2" xfId="375"/>
    <cellStyle name="Note 2 2 2 2 2" xfId="815"/>
    <cellStyle name="Note 2 2 2 3" xfId="405"/>
    <cellStyle name="Note 2 2 2 3 2" xfId="845"/>
    <cellStyle name="Note 2 2 2 4" xfId="437"/>
    <cellStyle name="Note 2 2 2 4 2" xfId="875"/>
    <cellStyle name="Note 2 2 2 5" xfId="465"/>
    <cellStyle name="Note 2 2 2 6" xfId="994"/>
    <cellStyle name="Note 2 2 3" xfId="355"/>
    <cellStyle name="Note 2 2 3 2" xfId="795"/>
    <cellStyle name="Note 2 2 3 3" xfId="1027"/>
    <cellStyle name="Note 2 2 4" xfId="385"/>
    <cellStyle name="Note 2 2 4 2" xfId="825"/>
    <cellStyle name="Note 2 2 4 3" xfId="1052"/>
    <cellStyle name="Note 2 2 5" xfId="417"/>
    <cellStyle name="Note 2 2 5 2" xfId="855"/>
    <cellStyle name="Note 2 2 5 3" xfId="976"/>
    <cellStyle name="Note 2 2 6" xfId="445"/>
    <cellStyle name="Note 2 2 7" xfId="938"/>
    <cellStyle name="Note 2 3" xfId="331"/>
    <cellStyle name="Note 2 3 2" xfId="365"/>
    <cellStyle name="Note 2 3 2 2" xfId="805"/>
    <cellStyle name="Note 2 3 3" xfId="395"/>
    <cellStyle name="Note 2 3 3 2" xfId="835"/>
    <cellStyle name="Note 2 3 4" xfId="427"/>
    <cellStyle name="Note 2 3 4 2" xfId="865"/>
    <cellStyle name="Note 2 3 5" xfId="455"/>
    <cellStyle name="Note 2 3 6" xfId="991"/>
    <cellStyle name="Note 2 4" xfId="540"/>
    <cellStyle name="Note 2 4 2" xfId="1026"/>
    <cellStyle name="Note 2 5" xfId="546"/>
    <cellStyle name="Note 2 5 2" xfId="1010"/>
    <cellStyle name="Note 2 6" xfId="538"/>
    <cellStyle name="Note 2 6 2" xfId="964"/>
    <cellStyle name="Note 2 7" xfId="507"/>
    <cellStyle name="Note 2 8" xfId="534"/>
    <cellStyle name="Note 2 9" xfId="510"/>
    <cellStyle name="Note 3" xfId="264"/>
    <cellStyle name="Note 3 10" xfId="939"/>
    <cellStyle name="Note 3 2" xfId="316"/>
    <cellStyle name="Note 3 2 2" xfId="342"/>
    <cellStyle name="Note 3 2 2 2" xfId="376"/>
    <cellStyle name="Note 3 2 2 2 2" xfId="816"/>
    <cellStyle name="Note 3 2 2 3" xfId="406"/>
    <cellStyle name="Note 3 2 2 3 2" xfId="846"/>
    <cellStyle name="Note 3 2 2 4" xfId="438"/>
    <cellStyle name="Note 3 2 2 4 2" xfId="876"/>
    <cellStyle name="Note 3 2 2 5" xfId="466"/>
    <cellStyle name="Note 3 2 2 6" xfId="992"/>
    <cellStyle name="Note 3 2 3" xfId="356"/>
    <cellStyle name="Note 3 2 3 2" xfId="796"/>
    <cellStyle name="Note 3 2 3 3" xfId="1029"/>
    <cellStyle name="Note 3 2 4" xfId="386"/>
    <cellStyle name="Note 3 2 4 2" xfId="826"/>
    <cellStyle name="Note 3 2 4 3" xfId="1007"/>
    <cellStyle name="Note 3 2 5" xfId="418"/>
    <cellStyle name="Note 3 2 5 2" xfId="856"/>
    <cellStyle name="Note 3 2 5 3" xfId="1018"/>
    <cellStyle name="Note 3 2 6" xfId="446"/>
    <cellStyle name="Note 3 2 7" xfId="940"/>
    <cellStyle name="Note 3 3" xfId="332"/>
    <cellStyle name="Note 3 3 2" xfId="366"/>
    <cellStyle name="Note 3 3 2 2" xfId="806"/>
    <cellStyle name="Note 3 3 3" xfId="396"/>
    <cellStyle name="Note 3 3 3 2" xfId="836"/>
    <cellStyle name="Note 3 3 4" xfId="428"/>
    <cellStyle name="Note 3 3 4 2" xfId="866"/>
    <cellStyle name="Note 3 3 5" xfId="456"/>
    <cellStyle name="Note 3 3 6" xfId="962"/>
    <cellStyle name="Note 3 4" xfId="541"/>
    <cellStyle name="Note 3 4 2" xfId="1028"/>
    <cellStyle name="Note 3 5" xfId="506"/>
    <cellStyle name="Note 3 5 2" xfId="1008"/>
    <cellStyle name="Note 3 6" xfId="539"/>
    <cellStyle name="Note 3 6 2" xfId="1016"/>
    <cellStyle name="Note 3 7" xfId="545"/>
    <cellStyle name="Note 3 8" xfId="535"/>
    <cellStyle name="Note 3 9" xfId="478"/>
    <cellStyle name="Note 4" xfId="745"/>
    <cellStyle name="Note 4 10" xfId="941"/>
    <cellStyle name="Note 4 2" xfId="746"/>
    <cellStyle name="Note 4 2 2" xfId="971"/>
    <cellStyle name="Note 4 2 3" xfId="1031"/>
    <cellStyle name="Note 4 2 4" xfId="1005"/>
    <cellStyle name="Note 4 2 5" xfId="970"/>
    <cellStyle name="Note 4 2 6" xfId="942"/>
    <cellStyle name="Note 4 3" xfId="747"/>
    <cellStyle name="Note 4 3 2" xfId="748"/>
    <cellStyle name="Note 4 3 2 2" xfId="990"/>
    <cellStyle name="Note 4 3 2 3" xfId="1033"/>
    <cellStyle name="Note 4 3 2 4" xfId="1009"/>
    <cellStyle name="Note 4 3 2 5" xfId="1017"/>
    <cellStyle name="Note 4 3 2 6" xfId="944"/>
    <cellStyle name="Note 4 3 3" xfId="749"/>
    <cellStyle name="Note 4 3 3 2" xfId="750"/>
    <cellStyle name="Note 4 3 3 2 2" xfId="988"/>
    <cellStyle name="Note 4 3 3 2 3" xfId="1034"/>
    <cellStyle name="Note 4 3 3 2 4" xfId="1050"/>
    <cellStyle name="Note 4 3 3 2 5" xfId="977"/>
    <cellStyle name="Note 4 3 3 2 6" xfId="946"/>
    <cellStyle name="Note 4 3 3 3" xfId="751"/>
    <cellStyle name="Note 4 3 3 3 2" xfId="752"/>
    <cellStyle name="Note 4 3 3 3 2 2" xfId="986"/>
    <cellStyle name="Note 4 3 3 3 2 3" xfId="1038"/>
    <cellStyle name="Note 4 3 3 3 2 4" xfId="1000"/>
    <cellStyle name="Note 4 3 3 3 2 5" xfId="1019"/>
    <cellStyle name="Note 4 3 3 3 2 6" xfId="948"/>
    <cellStyle name="Note 4 3 3 3 3" xfId="987"/>
    <cellStyle name="Note 4 3 3 3 4" xfId="1035"/>
    <cellStyle name="Note 4 3 3 3 5" xfId="1003"/>
    <cellStyle name="Note 4 3 3 3 6" xfId="1047"/>
    <cellStyle name="Note 4 3 3 3 7" xfId="947"/>
    <cellStyle name="Note 4 3 3 4" xfId="989"/>
    <cellStyle name="Note 4 3 3 5" xfId="1046"/>
    <cellStyle name="Note 4 3 3 6" xfId="978"/>
    <cellStyle name="Note 4 3 3 7" xfId="1045"/>
    <cellStyle name="Note 4 3 3 8" xfId="945"/>
    <cellStyle name="Note 4 3 4" xfId="966"/>
    <cellStyle name="Note 4 3 5" xfId="1032"/>
    <cellStyle name="Note 4 3 6" xfId="1004"/>
    <cellStyle name="Note 4 3 7" xfId="1020"/>
    <cellStyle name="Note 4 3 8" xfId="943"/>
    <cellStyle name="Note 4 4" xfId="753"/>
    <cellStyle name="Note 4 4 2" xfId="754"/>
    <cellStyle name="Note 4 4 2 2" xfId="984"/>
    <cellStyle name="Note 4 4 2 3" xfId="1040"/>
    <cellStyle name="Note 4 4 2 4" xfId="998"/>
    <cellStyle name="Note 4 4 2 5" xfId="969"/>
    <cellStyle name="Note 4 4 2 6" xfId="950"/>
    <cellStyle name="Note 4 4 3" xfId="755"/>
    <cellStyle name="Note 4 4 3 2" xfId="756"/>
    <cellStyle name="Note 4 4 3 2 2" xfId="982"/>
    <cellStyle name="Note 4 4 3 2 3" xfId="1041"/>
    <cellStyle name="Note 4 4 3 2 4" xfId="996"/>
    <cellStyle name="Note 4 4 3 2 5" xfId="1023"/>
    <cellStyle name="Note 4 4 3 2 6" xfId="952"/>
    <cellStyle name="Note 4 4 3 3" xfId="983"/>
    <cellStyle name="Note 4 4 3 4" xfId="1025"/>
    <cellStyle name="Note 4 4 3 5" xfId="997"/>
    <cellStyle name="Note 4 4 3 6" xfId="1051"/>
    <cellStyle name="Note 4 4 3 7" xfId="951"/>
    <cellStyle name="Note 4 4 4" xfId="985"/>
    <cellStyle name="Note 4 4 5" xfId="1039"/>
    <cellStyle name="Note 4 4 6" xfId="999"/>
    <cellStyle name="Note 4 4 7" xfId="1024"/>
    <cellStyle name="Note 4 4 8" xfId="949"/>
    <cellStyle name="Note 4 5" xfId="757"/>
    <cellStyle name="Note 4 5 2" xfId="981"/>
    <cellStyle name="Note 4 5 3" xfId="1042"/>
    <cellStyle name="Note 4 5 4" xfId="995"/>
    <cellStyle name="Note 4 5 5" xfId="1022"/>
    <cellStyle name="Note 4 5 6" xfId="953"/>
    <cellStyle name="Note 4 6" xfId="993"/>
    <cellStyle name="Note 4 7" xfId="1030"/>
    <cellStyle name="Note 4 8" xfId="1006"/>
    <cellStyle name="Note 4 9" xfId="1049"/>
    <cellStyle name="Output" xfId="21" builtinId="21" customBuiltin="1"/>
    <cellStyle name="Output 2" xfId="265"/>
    <cellStyle name="Output 2 10" xfId="954"/>
    <cellStyle name="Output 2 2" xfId="317"/>
    <cellStyle name="Output 2 2 2" xfId="343"/>
    <cellStyle name="Output 2 2 2 2" xfId="377"/>
    <cellStyle name="Output 2 2 2 2 2" xfId="817"/>
    <cellStyle name="Output 2 2 2 3" xfId="407"/>
    <cellStyle name="Output 2 2 2 3 2" xfId="847"/>
    <cellStyle name="Output 2 2 2 4" xfId="439"/>
    <cellStyle name="Output 2 2 2 4 2" xfId="877"/>
    <cellStyle name="Output 2 2 2 5" xfId="467"/>
    <cellStyle name="Output 2 2 3" xfId="357"/>
    <cellStyle name="Output 2 2 3 2" xfId="797"/>
    <cellStyle name="Output 2 2 4" xfId="387"/>
    <cellStyle name="Output 2 2 4 2" xfId="827"/>
    <cellStyle name="Output 2 2 5" xfId="419"/>
    <cellStyle name="Output 2 2 5 2" xfId="857"/>
    <cellStyle name="Output 2 2 6" xfId="447"/>
    <cellStyle name="Output 2 2 7" xfId="980"/>
    <cellStyle name="Output 2 3" xfId="333"/>
    <cellStyle name="Output 2 3 2" xfId="367"/>
    <cellStyle name="Output 2 3 2 2" xfId="807"/>
    <cellStyle name="Output 2 3 3" xfId="397"/>
    <cellStyle name="Output 2 3 3 2" xfId="837"/>
    <cellStyle name="Output 2 3 4" xfId="429"/>
    <cellStyle name="Output 2 3 4 2" xfId="867"/>
    <cellStyle name="Output 2 3 5" xfId="457"/>
    <cellStyle name="Output 2 3 6" xfId="1043"/>
    <cellStyle name="Output 2 4" xfId="542"/>
    <cellStyle name="Output 2 4 2" xfId="968"/>
    <cellStyle name="Output 2 5" xfId="505"/>
    <cellStyle name="Output 2 5 2" xfId="1048"/>
    <cellStyle name="Output 2 6" xfId="497"/>
    <cellStyle name="Output 2 7" xfId="548"/>
    <cellStyle name="Output 2 8" xfId="536"/>
    <cellStyle name="Output 2 9" xfId="509"/>
    <cellStyle name="Output 3" xfId="266"/>
    <cellStyle name="Output 3 10" xfId="955"/>
    <cellStyle name="Output 3 2" xfId="318"/>
    <cellStyle name="Output 3 2 2" xfId="344"/>
    <cellStyle name="Output 3 2 2 2" xfId="378"/>
    <cellStyle name="Output 3 2 2 2 2" xfId="818"/>
    <cellStyle name="Output 3 2 2 3" xfId="408"/>
    <cellStyle name="Output 3 2 2 3 2" xfId="848"/>
    <cellStyle name="Output 3 2 2 4" xfId="440"/>
    <cellStyle name="Output 3 2 2 4 2" xfId="878"/>
    <cellStyle name="Output 3 2 2 5" xfId="468"/>
    <cellStyle name="Output 3 2 3" xfId="358"/>
    <cellStyle name="Output 3 2 3 2" xfId="798"/>
    <cellStyle name="Output 3 2 4" xfId="388"/>
    <cellStyle name="Output 3 2 4 2" xfId="828"/>
    <cellStyle name="Output 3 2 5" xfId="420"/>
    <cellStyle name="Output 3 2 5 2" xfId="858"/>
    <cellStyle name="Output 3 2 6" xfId="448"/>
    <cellStyle name="Output 3 2 7" xfId="979"/>
    <cellStyle name="Output 3 3" xfId="334"/>
    <cellStyle name="Output 3 3 2" xfId="368"/>
    <cellStyle name="Output 3 3 2 2" xfId="808"/>
    <cellStyle name="Output 3 3 3" xfId="398"/>
    <cellStyle name="Output 3 3 3 2" xfId="838"/>
    <cellStyle name="Output 3 3 4" xfId="430"/>
    <cellStyle name="Output 3 3 4 2" xfId="868"/>
    <cellStyle name="Output 3 3 5" xfId="458"/>
    <cellStyle name="Output 3 3 6" xfId="1044"/>
    <cellStyle name="Output 3 4" xfId="543"/>
    <cellStyle name="Output 3 4 2" xfId="967"/>
    <cellStyle name="Output 3 5" xfId="504"/>
    <cellStyle name="Output 3 5 2" xfId="1054"/>
    <cellStyle name="Output 3 6" xfId="544"/>
    <cellStyle name="Output 3 7" xfId="503"/>
    <cellStyle name="Output 3 8" xfId="477"/>
    <cellStyle name="Output 3 9" xfId="508"/>
    <cellStyle name="Percent" xfId="3" builtinId="5"/>
    <cellStyle name="Percent 10" xfId="267"/>
    <cellStyle name="Percent 11" xfId="268"/>
    <cellStyle name="Percent 12" xfId="269"/>
    <cellStyle name="Percent 13" xfId="270"/>
    <cellStyle name="Percent 14" xfId="271"/>
    <cellStyle name="Percent 15" xfId="272"/>
    <cellStyle name="Percent 16" xfId="273"/>
    <cellStyle name="Percent 17" xfId="274"/>
    <cellStyle name="Percent 18" xfId="326"/>
    <cellStyle name="Percent 18 2" xfId="472"/>
    <cellStyle name="Percent 18 3" xfId="758"/>
    <cellStyle name="Percent 18 3 2" xfId="759"/>
    <cellStyle name="Percent 18 3 3" xfId="760"/>
    <cellStyle name="Percent 18 3 3 2" xfId="761"/>
    <cellStyle name="Percent 18 3 3 3" xfId="762"/>
    <cellStyle name="Percent 18 3 3 3 2" xfId="763"/>
    <cellStyle name="Percent 18 4" xfId="764"/>
    <cellStyle name="Percent 18 5" xfId="765"/>
    <cellStyle name="Percent 18 5 2" xfId="766"/>
    <cellStyle name="Percent 18 5 3" xfId="767"/>
    <cellStyle name="Percent 18 5 3 2" xfId="768"/>
    <cellStyle name="Percent 18 6" xfId="769"/>
    <cellStyle name="Percent 19" xfId="322"/>
    <cellStyle name="Percent 19 2" xfId="770"/>
    <cellStyle name="Percent 2" xfId="5"/>
    <cellStyle name="Percent 2 2" xfId="8"/>
    <cellStyle name="Percent 2 2 2" xfId="275"/>
    <cellStyle name="Percent 2 2 2 2" xfId="501"/>
    <cellStyle name="Percent 2 2 2 2 2" xfId="771"/>
    <cellStyle name="Percent 2 2 3" xfId="276"/>
    <cellStyle name="Percent 2 2 3 2" xfId="277"/>
    <cellStyle name="Percent 2 2 3 2 2" xfId="772"/>
    <cellStyle name="Percent 2 2 3 3" xfId="773"/>
    <cellStyle name="Percent 2 2 4" xfId="278"/>
    <cellStyle name="Percent 2 2 4 2" xfId="774"/>
    <cellStyle name="Percent 2 2 5" xfId="775"/>
    <cellStyle name="Percent 2 2 6" xfId="776"/>
    <cellStyle name="Percent 2 3" xfId="279"/>
    <cellStyle name="Percent 2 3 2" xfId="777"/>
    <cellStyle name="Percent 2 4" xfId="778"/>
    <cellStyle name="Percent 3" xfId="7"/>
    <cellStyle name="Percent 3 2" xfId="281"/>
    <cellStyle name="Percent 3 2 2" xfId="779"/>
    <cellStyle name="Percent 3 2 3" xfId="780"/>
    <cellStyle name="Percent 3 3" xfId="282"/>
    <cellStyle name="Percent 3 4" xfId="781"/>
    <cellStyle name="Percent 3 5" xfId="782"/>
    <cellStyle name="Percent 3 6" xfId="280"/>
    <cellStyle name="Percent 3 7" xfId="897"/>
    <cellStyle name="Percent 4" xfId="283"/>
    <cellStyle name="Percent 4 2" xfId="284"/>
    <cellStyle name="Percent 4 3" xfId="285"/>
    <cellStyle name="Percent 4 4" xfId="286"/>
    <cellStyle name="Percent 4 5" xfId="287"/>
    <cellStyle name="Percent 4 6" xfId="288"/>
    <cellStyle name="Percent 4 7" xfId="956"/>
    <cellStyle name="Percent 5" xfId="289"/>
    <cellStyle name="Percent 5 2" xfId="290"/>
    <cellStyle name="Percent 5 2 2" xfId="783"/>
    <cellStyle name="Percent 5 3" xfId="291"/>
    <cellStyle name="Percent 5 4" xfId="292"/>
    <cellStyle name="Percent 5 4 2" xfId="784"/>
    <cellStyle name="Percent 5 5" xfId="957"/>
    <cellStyle name="Percent 5 6" xfId="900"/>
    <cellStyle name="Percent 6" xfId="293"/>
    <cellStyle name="Percent 6 2" xfId="785"/>
    <cellStyle name="Percent 6 3" xfId="958"/>
    <cellStyle name="Percent 6 4" xfId="905"/>
    <cellStyle name="Percent 7" xfId="294"/>
    <cellStyle name="Percent 7 2" xfId="959"/>
    <cellStyle name="Percent 7 3" xfId="903"/>
    <cellStyle name="Percent 8" xfId="295"/>
    <cellStyle name="Percent 9" xfId="296"/>
    <cellStyle name="PSChar" xfId="483"/>
    <cellStyle name="PSDate" xfId="502"/>
    <cellStyle name="PSDec" xfId="537"/>
    <cellStyle name="PSHeading" xfId="482"/>
    <cellStyle name="PSInt" xfId="481"/>
    <cellStyle name="PSSpacer" xfId="480"/>
    <cellStyle name="Style 346" xfId="479"/>
    <cellStyle name="Title" xfId="12" builtinId="15" customBuiltin="1"/>
    <cellStyle name="Title 2" xfId="297"/>
    <cellStyle name="Title 3" xfId="298"/>
    <cellStyle name="Total" xfId="28" builtinId="25" customBuiltin="1"/>
    <cellStyle name="Total 2" xfId="299"/>
    <cellStyle name="Total 2 10" xfId="960"/>
    <cellStyle name="Total 2 2" xfId="319"/>
    <cellStyle name="Total 2 2 2" xfId="345"/>
    <cellStyle name="Total 2 2 2 2" xfId="379"/>
    <cellStyle name="Total 2 2 2 2 2" xfId="819"/>
    <cellStyle name="Total 2 2 2 3" xfId="409"/>
    <cellStyle name="Total 2 2 2 3 2" xfId="849"/>
    <cellStyle name="Total 2 2 2 4" xfId="441"/>
    <cellStyle name="Total 2 2 2 4 2" xfId="879"/>
    <cellStyle name="Total 2 2 2 5" xfId="469"/>
    <cellStyle name="Total 2 2 3" xfId="359"/>
    <cellStyle name="Total 2 2 3 2" xfId="799"/>
    <cellStyle name="Total 2 2 4" xfId="389"/>
    <cellStyle name="Total 2 2 4 2" xfId="829"/>
    <cellStyle name="Total 2 2 5" xfId="421"/>
    <cellStyle name="Total 2 2 5 2" xfId="859"/>
    <cellStyle name="Total 2 2 6" xfId="449"/>
    <cellStyle name="Total 2 2 7" xfId="974"/>
    <cellStyle name="Total 2 3" xfId="335"/>
    <cellStyle name="Total 2 3 2" xfId="369"/>
    <cellStyle name="Total 2 3 2 2" xfId="809"/>
    <cellStyle name="Total 2 3 3" xfId="399"/>
    <cellStyle name="Total 2 3 3 2" xfId="839"/>
    <cellStyle name="Total 2 3 4" xfId="431"/>
    <cellStyle name="Total 2 3 4 2" xfId="869"/>
    <cellStyle name="Total 2 3 5" xfId="459"/>
    <cellStyle name="Total 2 3 6" xfId="1056"/>
    <cellStyle name="Total 2 4" xfId="549"/>
    <cellStyle name="Total 2 4 2" xfId="1058"/>
    <cellStyle name="Total 2 5" xfId="553"/>
    <cellStyle name="Total 2 5 2" xfId="1060"/>
    <cellStyle name="Total 2 6" xfId="556"/>
    <cellStyle name="Total 2 7" xfId="558"/>
    <cellStyle name="Total 2 8" xfId="560"/>
    <cellStyle name="Total 2 9" xfId="562"/>
    <cellStyle name="Total 3" xfId="300"/>
    <cellStyle name="Total 3 10" xfId="961"/>
    <cellStyle name="Total 3 2" xfId="320"/>
    <cellStyle name="Total 3 2 2" xfId="346"/>
    <cellStyle name="Total 3 2 2 2" xfId="380"/>
    <cellStyle name="Total 3 2 2 2 2" xfId="820"/>
    <cellStyle name="Total 3 2 2 3" xfId="410"/>
    <cellStyle name="Total 3 2 2 3 2" xfId="850"/>
    <cellStyle name="Total 3 2 2 4" xfId="442"/>
    <cellStyle name="Total 3 2 2 4 2" xfId="880"/>
    <cellStyle name="Total 3 2 2 5" xfId="470"/>
    <cellStyle name="Total 3 2 3" xfId="360"/>
    <cellStyle name="Total 3 2 3 2" xfId="800"/>
    <cellStyle name="Total 3 2 4" xfId="390"/>
    <cellStyle name="Total 3 2 4 2" xfId="830"/>
    <cellStyle name="Total 3 2 5" xfId="422"/>
    <cellStyle name="Total 3 2 5 2" xfId="860"/>
    <cellStyle name="Total 3 2 6" xfId="450"/>
    <cellStyle name="Total 3 2 7" xfId="973"/>
    <cellStyle name="Total 3 3" xfId="336"/>
    <cellStyle name="Total 3 3 2" xfId="370"/>
    <cellStyle name="Total 3 3 2 2" xfId="810"/>
    <cellStyle name="Total 3 3 3" xfId="400"/>
    <cellStyle name="Total 3 3 3 2" xfId="840"/>
    <cellStyle name="Total 3 3 4" xfId="432"/>
    <cellStyle name="Total 3 3 4 2" xfId="870"/>
    <cellStyle name="Total 3 3 5" xfId="460"/>
    <cellStyle name="Total 3 3 6" xfId="1057"/>
    <cellStyle name="Total 3 4" xfId="550"/>
    <cellStyle name="Total 3 4 2" xfId="1059"/>
    <cellStyle name="Total 3 5" xfId="554"/>
    <cellStyle name="Total 3 5 2" xfId="1061"/>
    <cellStyle name="Total 3 6" xfId="557"/>
    <cellStyle name="Total 3 7" xfId="559"/>
    <cellStyle name="Total 3 8" xfId="561"/>
    <cellStyle name="Total 3 9" xfId="563"/>
    <cellStyle name="Warning Text" xfId="25" builtinId="11" customBuiltin="1"/>
    <cellStyle name="Warning Text 2" xfId="301"/>
    <cellStyle name="Warning Text 3" xfId="302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%20DSM%20Research%20&amp;%20Evaluation%20Team\2009%20TRC%20Tools\2010%20Quasi-Prescriptive%20Measures%20TRC%20Screening%20Tool%20(for%20marketing)%20-%20feb%2012%202010%20unloc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Condensing Boilers"/>
      <sheetName val="Destratification"/>
      <sheetName val="Condensing Boilers "/>
      <sheetName val="Power Combustion Boilers"/>
      <sheetName val="Infrared Heaters"/>
      <sheetName val="ERV  "/>
      <sheetName val="HRV "/>
      <sheetName val="2010 Avoided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1</v>
          </cell>
          <cell r="C9">
            <v>0.28804999999999997</v>
          </cell>
          <cell r="D9">
            <v>0.28804999999999997</v>
          </cell>
          <cell r="E9">
            <v>0.29044999999999999</v>
          </cell>
          <cell r="F9">
            <v>0.29044999999999999</v>
          </cell>
          <cell r="G9">
            <v>0.27964</v>
          </cell>
          <cell r="H9">
            <v>0.27964</v>
          </cell>
        </row>
        <row r="10">
          <cell r="B10">
            <v>2</v>
          </cell>
          <cell r="C10">
            <v>0.32765</v>
          </cell>
          <cell r="D10">
            <v>0.58591363636363636</v>
          </cell>
          <cell r="E10">
            <v>0.33206999999999998</v>
          </cell>
          <cell r="F10">
            <v>0.59233181818181813</v>
          </cell>
          <cell r="G10">
            <v>0.31774999999999998</v>
          </cell>
          <cell r="H10">
            <v>0.56850363636363632</v>
          </cell>
        </row>
        <row r="11">
          <cell r="B11">
            <v>3</v>
          </cell>
          <cell r="C11">
            <v>0.33450000000000002</v>
          </cell>
          <cell r="D11">
            <v>0.86235991735537176</v>
          </cell>
          <cell r="E11">
            <v>0.34036</v>
          </cell>
          <cell r="F11">
            <v>0.87362107438016523</v>
          </cell>
          <cell r="G11">
            <v>0.32600000000000001</v>
          </cell>
          <cell r="H11">
            <v>0.83792512396694208</v>
          </cell>
        </row>
        <row r="12">
          <cell r="B12">
            <v>4</v>
          </cell>
          <cell r="C12">
            <v>0.34085549999999998</v>
          </cell>
          <cell r="D12">
            <v>1.1184496994740794</v>
          </cell>
          <cell r="E12">
            <v>0.34682683999999997</v>
          </cell>
          <cell r="F12">
            <v>1.1341972126220885</v>
          </cell>
          <cell r="G12">
            <v>0.33219399999999999</v>
          </cell>
          <cell r="H12">
            <v>1.0875073929376406</v>
          </cell>
        </row>
        <row r="13">
          <cell r="B13">
            <v>5</v>
          </cell>
          <cell r="C13">
            <v>0.34733175449999992</v>
          </cell>
          <cell r="D13">
            <v>1.3556819612731368</v>
          </cell>
          <cell r="E13">
            <v>0.35341654995999994</v>
          </cell>
          <cell r="F13">
            <v>1.3755854715934701</v>
          </cell>
          <cell r="G13">
            <v>0.33850568599999997</v>
          </cell>
          <cell r="H13">
            <v>1.3187113311932244</v>
          </cell>
        </row>
        <row r="14">
          <cell r="B14">
            <v>6</v>
          </cell>
          <cell r="C14">
            <v>0.35393105783549988</v>
          </cell>
          <cell r="D14">
            <v>1.5754453019760817</v>
          </cell>
          <cell r="E14">
            <v>0.36013146440923988</v>
          </cell>
          <cell r="F14">
            <v>1.5991987769496863</v>
          </cell>
          <cell r="G14">
            <v>0.34493729403399992</v>
          </cell>
          <cell r="H14">
            <v>1.5328902521772605</v>
          </cell>
        </row>
        <row r="15">
          <cell r="B15">
            <v>7</v>
          </cell>
          <cell r="C15">
            <v>0.36065574793437433</v>
          </cell>
          <cell r="D15">
            <v>1.7790260694090823</v>
          </cell>
          <cell r="E15">
            <v>0.36697396223301543</v>
          </cell>
          <cell r="F15">
            <v>1.8063460116387628</v>
          </cell>
          <cell r="G15">
            <v>0.35149110262064587</v>
          </cell>
          <cell r="H15">
            <v>1.7312978162524715</v>
          </cell>
        </row>
        <row r="16">
          <cell r="B16">
            <v>8</v>
          </cell>
          <cell r="C16">
            <v>0.36750820714512739</v>
          </cell>
          <cell r="D16">
            <v>1.9676158894220166</v>
          </cell>
          <cell r="E16">
            <v>0.37394646751544269</v>
          </cell>
          <cell r="F16">
            <v>1.9982396772280073</v>
          </cell>
          <cell r="G16">
            <v>0.35816943357043812</v>
          </cell>
          <cell r="H16">
            <v>1.9150953687912358</v>
          </cell>
        </row>
        <row r="17">
          <cell r="B17">
            <v>9</v>
          </cell>
          <cell r="C17">
            <v>0.37449086308088475</v>
          </cell>
          <cell r="D17">
            <v>2.1423186408703621</v>
          </cell>
          <cell r="E17">
            <v>0.38105145039823607</v>
          </cell>
          <cell r="F17">
            <v>2.1760029910784078</v>
          </cell>
          <cell r="G17">
            <v>0.3649746528082764</v>
          </cell>
          <cell r="H17">
            <v>2.0853587379157816</v>
          </cell>
        </row>
        <row r="18">
          <cell r="B18">
            <v>10</v>
          </cell>
          <cell r="C18">
            <v>0.38160618947942154</v>
          </cell>
          <cell r="D18">
            <v>2.304156916984784</v>
          </cell>
          <cell r="E18">
            <v>0.38829142795580252</v>
          </cell>
          <cell r="F18">
            <v>2.3406764609089148</v>
          </cell>
          <cell r="G18">
            <v>0.37190917121163364</v>
          </cell>
          <cell r="H18">
            <v>2.2430845316775199</v>
          </cell>
        </row>
        <row r="19">
          <cell r="B19">
            <v>11</v>
          </cell>
          <cell r="C19">
            <v>0.38885670707953052</v>
          </cell>
          <cell r="D19">
            <v>2.4540780109489622</v>
          </cell>
          <cell r="E19">
            <v>0.39566896508696275</v>
          </cell>
          <cell r="F19">
            <v>2.4932239752337209</v>
          </cell>
          <cell r="G19">
            <v>0.37897544546465461</v>
          </cell>
          <cell r="H19">
            <v>2.3891959715349849</v>
          </cell>
        </row>
        <row r="20">
          <cell r="B20">
            <v>12</v>
          </cell>
          <cell r="C20">
            <v>0.39624498451404155</v>
          </cell>
          <cell r="D20">
            <v>2.5929594607212323</v>
          </cell>
          <cell r="E20">
            <v>0.40318667542361503</v>
          </cell>
          <cell r="F20">
            <v>2.6345384453218821</v>
          </cell>
          <cell r="G20">
            <v>0.38617597892848304</v>
          </cell>
          <cell r="H20">
            <v>2.5245482962756731</v>
          </cell>
        </row>
        <row r="21">
          <cell r="B21">
            <v>13</v>
          </cell>
          <cell r="C21">
            <v>0.4037736392198083</v>
          </cell>
          <cell r="D21">
            <v>2.7216141855557261</v>
          </cell>
          <cell r="E21">
            <v>0.41084722225666365</v>
          </cell>
          <cell r="F21">
            <v>2.7654470317035513</v>
          </cell>
          <cell r="G21">
            <v>0.39351332252812421</v>
          </cell>
          <cell r="H21">
            <v>2.6499337680127284</v>
          </cell>
        </row>
        <row r="22">
          <cell r="B22">
            <v>14</v>
          </cell>
          <cell r="C22">
            <v>0.41144533836498465</v>
          </cell>
          <cell r="D22">
            <v>2.8407952442887709</v>
          </cell>
          <cell r="E22">
            <v>0.41865331947954021</v>
          </cell>
          <cell r="F22">
            <v>2.8867159858152975</v>
          </cell>
          <cell r="G22">
            <v>0.40099007565615852</v>
          </cell>
          <cell r="H22">
            <v>2.7660863095582369</v>
          </cell>
        </row>
        <row r="23">
          <cell r="B23">
            <v>15</v>
          </cell>
          <cell r="C23">
            <v>0.41926279979391934</v>
          </cell>
          <cell r="D23">
            <v>2.9512002432423827</v>
          </cell>
          <cell r="E23">
            <v>0.42660773254965145</v>
          </cell>
          <cell r="F23">
            <v>2.9990551351242698</v>
          </cell>
          <cell r="G23">
            <v>0.40860888709362547</v>
          </cell>
          <cell r="H23">
            <v>2.873685800317213</v>
          </cell>
        </row>
        <row r="24">
          <cell r="B24">
            <v>16</v>
          </cell>
          <cell r="C24">
            <v>0.42722879299000377</v>
          </cell>
          <cell r="D24">
            <v>3.0534754195457734</v>
          </cell>
          <cell r="E24">
            <v>0.43471327946809479</v>
          </cell>
          <cell r="F24">
            <v>3.1031220379841269</v>
          </cell>
          <cell r="G24">
            <v>0.41637245594840433</v>
          </cell>
          <cell r="H24">
            <v>2.9733620558475731</v>
          </cell>
        </row>
        <row r="25">
          <cell r="B25">
            <v>17</v>
          </cell>
          <cell r="C25">
            <v>0.43534614005681382</v>
          </cell>
          <cell r="D25">
            <v>3.1482194237759149</v>
          </cell>
          <cell r="E25">
            <v>0.44297283177798857</v>
          </cell>
          <cell r="F25">
            <v>3.1995258325424856</v>
          </cell>
          <cell r="G25">
            <v>0.42428353261142399</v>
          </cell>
          <cell r="H25">
            <v>3.0656985143797884</v>
          </cell>
        </row>
        <row r="26">
          <cell r="B26">
            <v>18</v>
          </cell>
          <cell r="C26">
            <v>0.44361771671789324</v>
          </cell>
          <cell r="D26">
            <v>3.2359868240582004</v>
          </cell>
          <cell r="E26">
            <v>0.45138931558177031</v>
          </cell>
          <cell r="F26">
            <v>3.2888308022288193</v>
          </cell>
          <cell r="G26">
            <v>0.432344919731041</v>
          </cell>
          <cell r="H26">
            <v>3.1512356518746314</v>
          </cell>
        </row>
        <row r="27">
          <cell r="B27">
            <v>19</v>
          </cell>
          <cell r="C27">
            <v>0.45204645333553317</v>
          </cell>
          <cell r="D27">
            <v>3.3172913521378811</v>
          </cell>
          <cell r="E27">
            <v>0.45996571257782393</v>
          </cell>
          <cell r="F27">
            <v>3.3715596786927962</v>
          </cell>
          <cell r="G27">
            <v>0.44055947320593075</v>
          </cell>
          <cell r="H27">
            <v>3.2304741456084911</v>
          </cell>
        </row>
        <row r="28">
          <cell r="B28">
            <v>20</v>
          </cell>
          <cell r="C28">
            <v>0.46063533594890826</v>
          </cell>
          <cell r="D28">
            <v>3.3926089104226032</v>
          </cell>
          <cell r="E28">
            <v>0.46870506111680255</v>
          </cell>
          <cell r="F28">
            <v>3.4481967015262436</v>
          </cell>
          <cell r="G28">
            <v>0.4489301031968434</v>
          </cell>
          <cell r="H28">
            <v>3.3038778048037662</v>
          </cell>
        </row>
        <row r="29">
          <cell r="B29">
            <v>21</v>
          </cell>
          <cell r="C29">
            <v>0.46938740733193746</v>
          </cell>
          <cell r="D29">
            <v>3.4623803575972687</v>
          </cell>
          <cell r="E29">
            <v>0.47761045727802176</v>
          </cell>
          <cell r="F29">
            <v>3.5191904526783189</v>
          </cell>
          <cell r="G29">
            <v>0.4574597751575834</v>
          </cell>
          <cell r="H29">
            <v>3.3718762854582982</v>
          </cell>
        </row>
        <row r="30">
          <cell r="B30">
            <v>22</v>
          </cell>
          <cell r="C30">
            <v>0.4783057680712442</v>
          </cell>
          <cell r="D30">
            <v>3.5270140891163453</v>
          </cell>
          <cell r="E30">
            <v>0.48668505596630413</v>
          </cell>
          <cell r="F30">
            <v>3.5849564821546505</v>
          </cell>
          <cell r="G30">
            <v>0.46615151088557744</v>
          </cell>
          <cell r="H30">
            <v>3.4348676052646332</v>
          </cell>
        </row>
        <row r="31">
          <cell r="B31">
            <v>23</v>
          </cell>
          <cell r="C31">
            <v>0.48739357766459779</v>
          </cell>
          <cell r="D31">
            <v>3.5868884276781077</v>
          </cell>
          <cell r="E31">
            <v>0.49593207202966388</v>
          </cell>
          <cell r="F31">
            <v>3.6458797403695433</v>
          </cell>
          <cell r="G31">
            <v>0.47500838959240338</v>
          </cell>
          <cell r="H31">
            <v>3.4932204733397745</v>
          </cell>
        </row>
        <row r="32">
          <cell r="B32">
            <v>24</v>
          </cell>
          <cell r="C32">
            <v>0.49665405564022508</v>
          </cell>
          <cell r="D32">
            <v>3.64235383767305</v>
          </cell>
          <cell r="E32">
            <v>0.50535478139822743</v>
          </cell>
          <cell r="F32">
            <v>3.7023168313886119</v>
          </cell>
          <cell r="G32">
            <v>0.484033548994659</v>
          </cell>
          <cell r="H32">
            <v>3.5472764484021098</v>
          </cell>
        </row>
        <row r="33">
          <cell r="B33">
            <v>25</v>
          </cell>
          <cell r="C33">
            <v>0.50609048269738932</v>
          </cell>
          <cell r="D33">
            <v>3.6937349765683645</v>
          </cell>
          <cell r="E33">
            <v>0.51495652224479371</v>
          </cell>
          <cell r="F33">
            <v>3.754598100250822</v>
          </cell>
          <cell r="G33">
            <v>0.49323018642555749</v>
          </cell>
          <cell r="H33">
            <v>3.5973519380280368</v>
          </cell>
        </row>
        <row r="34">
          <cell r="B34">
            <v>26</v>
          </cell>
          <cell r="C34">
            <v>0.51570620186863969</v>
          </cell>
          <cell r="D34">
            <v>3.7413325952359333</v>
          </cell>
          <cell r="E34">
            <v>0.52474069616744479</v>
          </cell>
          <cell r="F34">
            <v>3.8030295665877238</v>
          </cell>
          <cell r="G34">
            <v>0.502601559967643</v>
          </cell>
          <cell r="H34">
            <v>3.6437400506905999</v>
          </cell>
        </row>
        <row r="35">
          <cell r="B35">
            <v>27</v>
          </cell>
          <cell r="C35">
            <v>0.52550461970414375</v>
          </cell>
          <cell r="D35">
            <v>3.785425298347072</v>
          </cell>
          <cell r="E35">
            <v>0.53471076939462614</v>
          </cell>
          <cell r="F35">
            <v>3.8478947158579992</v>
          </cell>
          <cell r="G35">
            <v>0.51215098960702821</v>
          </cell>
          <cell r="H35">
            <v>3.6867123114207381</v>
          </cell>
        </row>
        <row r="36">
          <cell r="B36">
            <v>28</v>
          </cell>
          <cell r="C36">
            <v>0.53548920747852247</v>
          </cell>
          <cell r="D36">
            <v>3.8262711751382086</v>
          </cell>
          <cell r="E36">
            <v>0.54487027401312393</v>
          </cell>
          <cell r="F36">
            <v>3.8894561586820089</v>
          </cell>
          <cell r="G36">
            <v>0.52188185840956169</v>
          </cell>
          <cell r="H36">
            <v>3.7265202511334747</v>
          </cell>
        </row>
        <row r="37">
          <cell r="B37">
            <v>29</v>
          </cell>
          <cell r="C37">
            <v>0.54566350242061434</v>
          </cell>
          <cell r="D37">
            <v>3.8641093100929069</v>
          </cell>
          <cell r="E37">
            <v>0.55522280921937328</v>
          </cell>
          <cell r="F37">
            <v>3.9279571679889784</v>
          </cell>
          <cell r="G37">
            <v>0.53179761371934331</v>
          </cell>
          <cell r="H37">
            <v>3.7633968789219101</v>
          </cell>
        </row>
        <row r="38">
          <cell r="B38">
            <v>30</v>
          </cell>
          <cell r="C38">
            <v>0.55603110896660601</v>
          </cell>
          <cell r="D38">
            <v>3.899161182382759</v>
          </cell>
          <cell r="E38">
            <v>0.56577204259454128</v>
          </cell>
          <cell r="F38">
            <v>3.9636231029742528</v>
          </cell>
          <cell r="G38">
            <v>0.54190176838001081</v>
          </cell>
          <cell r="H38">
            <v>3.7975580459368339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opLeftCell="A7" workbookViewId="0">
      <selection activeCell="C30" sqref="C30"/>
    </sheetView>
  </sheetViews>
  <sheetFormatPr defaultColWidth="9.109375" defaultRowHeight="13.2" x14ac:dyDescent="0.25"/>
  <cols>
    <col min="1" max="1" width="3.109375" style="3" customWidth="1"/>
    <col min="2" max="2" width="3" style="3" bestFit="1" customWidth="1"/>
    <col min="3" max="8" width="10.5546875" style="3" bestFit="1" customWidth="1"/>
    <col min="9" max="9" width="2.5546875" style="3" customWidth="1"/>
    <col min="10" max="10" width="3" style="3" bestFit="1" customWidth="1"/>
    <col min="11" max="11" width="10.5546875" style="3" bestFit="1" customWidth="1"/>
    <col min="12" max="12" width="11.5546875" style="3" bestFit="1" customWidth="1"/>
    <col min="13" max="14" width="10.5546875" style="3" bestFit="1" customWidth="1"/>
    <col min="15" max="16384" width="9.109375" style="3"/>
  </cols>
  <sheetData>
    <row r="1" spans="1:14" ht="16.2" thickBot="1" x14ac:dyDescent="0.35">
      <c r="A1" s="1" t="s">
        <v>7</v>
      </c>
      <c r="B1" s="2"/>
    </row>
    <row r="2" spans="1:14" ht="15" thickBot="1" x14ac:dyDescent="0.35">
      <c r="C2" s="132" t="s">
        <v>8</v>
      </c>
      <c r="D2" s="132"/>
      <c r="E2" s="4">
        <v>1.9E-2</v>
      </c>
    </row>
    <row r="3" spans="1:14" ht="15" thickBot="1" x14ac:dyDescent="0.35">
      <c r="C3" s="132" t="s">
        <v>9</v>
      </c>
      <c r="D3" s="132"/>
      <c r="E3" s="5">
        <v>0.1</v>
      </c>
    </row>
    <row r="4" spans="1:14" ht="13.8" thickBot="1" x14ac:dyDescent="0.3"/>
    <row r="5" spans="1:14" ht="13.8" thickBot="1" x14ac:dyDescent="0.3">
      <c r="B5" s="133" t="s">
        <v>10</v>
      </c>
      <c r="C5" s="134"/>
      <c r="D5" s="134"/>
      <c r="E5" s="134"/>
      <c r="F5" s="134"/>
      <c r="G5" s="134"/>
      <c r="H5" s="135"/>
      <c r="I5" s="6"/>
      <c r="J5" s="133" t="s">
        <v>11</v>
      </c>
      <c r="K5" s="134"/>
      <c r="L5" s="134"/>
      <c r="M5" s="134"/>
      <c r="N5" s="135"/>
    </row>
    <row r="6" spans="1:14" ht="13.8" thickBot="1" x14ac:dyDescent="0.3">
      <c r="B6" s="7"/>
      <c r="C6" s="136" t="s">
        <v>12</v>
      </c>
      <c r="D6" s="137"/>
      <c r="E6" s="137"/>
      <c r="F6" s="138"/>
      <c r="G6" s="137" t="s">
        <v>13</v>
      </c>
      <c r="H6" s="138"/>
      <c r="I6" s="8"/>
      <c r="J6" s="7"/>
      <c r="K6" s="137" t="s">
        <v>14</v>
      </c>
      <c r="L6" s="137"/>
      <c r="M6" s="137"/>
      <c r="N6" s="138"/>
    </row>
    <row r="7" spans="1:14" ht="13.8" thickBot="1" x14ac:dyDescent="0.3">
      <c r="B7" s="9"/>
      <c r="C7" s="139" t="s">
        <v>15</v>
      </c>
      <c r="D7" s="140"/>
      <c r="E7" s="140" t="s">
        <v>16</v>
      </c>
      <c r="F7" s="140"/>
      <c r="G7" s="140" t="s">
        <v>15</v>
      </c>
      <c r="H7" s="140"/>
      <c r="I7" s="10"/>
      <c r="J7" s="11"/>
      <c r="K7" s="141" t="s">
        <v>17</v>
      </c>
      <c r="L7" s="139"/>
      <c r="M7" s="142" t="s">
        <v>18</v>
      </c>
      <c r="N7" s="139"/>
    </row>
    <row r="8" spans="1:14" ht="13.8" thickBot="1" x14ac:dyDescent="0.3">
      <c r="B8" s="12"/>
      <c r="C8" s="12" t="s">
        <v>19</v>
      </c>
      <c r="D8" s="13" t="s">
        <v>20</v>
      </c>
      <c r="E8" s="12" t="s">
        <v>19</v>
      </c>
      <c r="F8" s="13" t="s">
        <v>20</v>
      </c>
      <c r="G8" s="12" t="s">
        <v>19</v>
      </c>
      <c r="H8" s="13" t="s">
        <v>20</v>
      </c>
      <c r="I8" s="10"/>
      <c r="J8" s="12"/>
      <c r="K8" s="12" t="s">
        <v>19</v>
      </c>
      <c r="L8" s="13" t="s">
        <v>20</v>
      </c>
      <c r="M8" s="14" t="s">
        <v>19</v>
      </c>
      <c r="N8" s="13" t="s">
        <v>20</v>
      </c>
    </row>
    <row r="9" spans="1:14" x14ac:dyDescent="0.25">
      <c r="B9" s="15">
        <v>1</v>
      </c>
      <c r="C9" s="16">
        <v>0.28804999999999997</v>
      </c>
      <c r="D9" s="17">
        <f>C9</f>
        <v>0.28804999999999997</v>
      </c>
      <c r="E9" s="16">
        <v>0.29044999999999999</v>
      </c>
      <c r="F9" s="17">
        <f>E9</f>
        <v>0.29044999999999999</v>
      </c>
      <c r="G9" s="16">
        <v>0.27964</v>
      </c>
      <c r="H9" s="17">
        <f>G9</f>
        <v>0.27964</v>
      </c>
      <c r="I9" s="18"/>
      <c r="J9" s="15">
        <v>1</v>
      </c>
      <c r="K9" s="19">
        <f>1.87683810941176*(1+$E$2)</f>
        <v>1.9124980334905834</v>
      </c>
      <c r="L9" s="17">
        <f>K9</f>
        <v>1.9124980334905834</v>
      </c>
      <c r="M9" s="20">
        <f>0.0817*(1+$E$2)</f>
        <v>8.3252299999999987E-2</v>
      </c>
      <c r="N9" s="17">
        <f>M9</f>
        <v>8.3252299999999987E-2</v>
      </c>
    </row>
    <row r="10" spans="1:14" x14ac:dyDescent="0.25">
      <c r="B10" s="15">
        <v>2</v>
      </c>
      <c r="C10" s="16">
        <v>0.32765</v>
      </c>
      <c r="D10" s="17">
        <f>NPV($E$3,C$10:C10)+D$9</f>
        <v>0.58591363636363636</v>
      </c>
      <c r="E10" s="16">
        <v>0.33206999999999998</v>
      </c>
      <c r="F10" s="17">
        <f>NPV($E$3,E$10:E10)+F$9</f>
        <v>0.59233181818181813</v>
      </c>
      <c r="G10" s="16">
        <v>0.31774999999999998</v>
      </c>
      <c r="H10" s="17">
        <f>NPV($E$3,G$10:G10)+H$9</f>
        <v>0.56850363636363632</v>
      </c>
      <c r="I10" s="18"/>
      <c r="J10" s="15">
        <v>2</v>
      </c>
      <c r="K10" s="16">
        <f>K9*(1+$E$2)</f>
        <v>1.9488354961269043</v>
      </c>
      <c r="L10" s="17">
        <f>NPV($E$3,K$10:K10)+L$9</f>
        <v>3.6841666663332235</v>
      </c>
      <c r="M10" s="18">
        <f>M9*(1+$E$2)</f>
        <v>8.4834093699999974E-2</v>
      </c>
      <c r="N10" s="17">
        <f>NPV($E$3,M$10:M10)+N$9</f>
        <v>0.16037420336363634</v>
      </c>
    </row>
    <row r="11" spans="1:14" x14ac:dyDescent="0.25">
      <c r="B11" s="15">
        <v>3</v>
      </c>
      <c r="C11" s="16">
        <v>0.33450000000000002</v>
      </c>
      <c r="D11" s="17">
        <f>NPV($E$3,C$10:C11)+D$9</f>
        <v>0.86235991735537176</v>
      </c>
      <c r="E11" s="16">
        <v>0.34036</v>
      </c>
      <c r="F11" s="17">
        <f>NPV($E$3,E$10:E11)+F$9</f>
        <v>0.87362107438016523</v>
      </c>
      <c r="G11" s="16">
        <v>0.32600000000000001</v>
      </c>
      <c r="H11" s="17">
        <f>NPV($E$3,G$10:G11)+H$9</f>
        <v>0.83792512396694208</v>
      </c>
      <c r="I11" s="18"/>
      <c r="J11" s="15">
        <v>3</v>
      </c>
      <c r="K11" s="16">
        <f t="shared" ref="K11:K38" si="0">K10*(1+$E$2)</f>
        <v>1.9858633705533153</v>
      </c>
      <c r="L11" s="17">
        <f>NPV($E$3,K$10:K11)+L$9</f>
        <v>5.3253760634847236</v>
      </c>
      <c r="M11" s="18">
        <f t="shared" ref="M11:M38" si="1">M10*(1+$E$2)</f>
        <v>8.6445941480299965E-2</v>
      </c>
      <c r="N11" s="17">
        <f>NPV($E$3,M$10:M11)+N$9</f>
        <v>0.2318171302068594</v>
      </c>
    </row>
    <row r="12" spans="1:14" x14ac:dyDescent="0.25">
      <c r="B12" s="15">
        <v>4</v>
      </c>
      <c r="C12" s="16">
        <f>C11*(1+$E$2)</f>
        <v>0.34085549999999998</v>
      </c>
      <c r="D12" s="17">
        <f>NPV($E$3,C$10:C12)+D$9</f>
        <v>1.1184496994740794</v>
      </c>
      <c r="E12" s="16">
        <f>E11*(1+$E$2)</f>
        <v>0.34682683999999997</v>
      </c>
      <c r="F12" s="17">
        <f>NPV($E$3,E$10:E12)+F$9</f>
        <v>1.1341972126220885</v>
      </c>
      <c r="G12" s="16">
        <f>G11*(1+$E$2)</f>
        <v>0.33219399999999999</v>
      </c>
      <c r="H12" s="17">
        <f>NPV($E$3,G$10:G12)+H$9</f>
        <v>1.0875073929376406</v>
      </c>
      <c r="I12" s="18"/>
      <c r="J12" s="15">
        <v>4</v>
      </c>
      <c r="K12" s="16">
        <f t="shared" si="0"/>
        <v>2.0235947745938283</v>
      </c>
      <c r="L12" s="17">
        <f>NPV($E$3,K$10:K12)+L$9</f>
        <v>6.845732768664158</v>
      </c>
      <c r="M12" s="18">
        <f t="shared" si="1"/>
        <v>8.8088414368425655E-2</v>
      </c>
      <c r="N12" s="17">
        <f>NPV($E$3,M$10:M12)+N$9</f>
        <v>0.29799925970980884</v>
      </c>
    </row>
    <row r="13" spans="1:14" x14ac:dyDescent="0.25">
      <c r="B13" s="15">
        <v>5</v>
      </c>
      <c r="C13" s="16">
        <f t="shared" ref="C13:C38" si="2">C12*(1+$E$2)</f>
        <v>0.34733175449999992</v>
      </c>
      <c r="D13" s="17">
        <f>NPV($E$3,C$10:C13)+D$9</f>
        <v>1.3556819612731368</v>
      </c>
      <c r="E13" s="16">
        <f t="shared" ref="E13:E38" si="3">E12*(1+$E$2)</f>
        <v>0.35341654995999994</v>
      </c>
      <c r="F13" s="17">
        <f>NPV($E$3,E$10:E13)+F$9</f>
        <v>1.3755854715934701</v>
      </c>
      <c r="G13" s="16">
        <f t="shared" ref="G13:G38" si="4">G12*(1+$E$2)</f>
        <v>0.33850568599999997</v>
      </c>
      <c r="H13" s="17">
        <f>NPV($E$3,G$10:G13)+H$9</f>
        <v>1.3187113311932244</v>
      </c>
      <c r="I13" s="18"/>
      <c r="J13" s="15">
        <v>5</v>
      </c>
      <c r="K13" s="16">
        <f t="shared" si="0"/>
        <v>2.0620430753111108</v>
      </c>
      <c r="L13" s="17">
        <f>NPV($E$3,K$10:K13)+L$9</f>
        <v>8.2541359346440171</v>
      </c>
      <c r="M13" s="18">
        <f t="shared" si="1"/>
        <v>8.9762094241425727E-2</v>
      </c>
      <c r="N13" s="17">
        <f>NPV($E$3,M$10:M13)+N$9</f>
        <v>0.35930797785845009</v>
      </c>
    </row>
    <row r="14" spans="1:14" x14ac:dyDescent="0.25">
      <c r="B14" s="15">
        <v>6</v>
      </c>
      <c r="C14" s="16">
        <f t="shared" si="2"/>
        <v>0.35393105783549988</v>
      </c>
      <c r="D14" s="17">
        <f>NPV($E$3,C$10:C14)+D$9</f>
        <v>1.5754453019760817</v>
      </c>
      <c r="E14" s="16">
        <f t="shared" si="3"/>
        <v>0.36013146440923988</v>
      </c>
      <c r="F14" s="17">
        <f>NPV($E$3,E$10:E14)+F$9</f>
        <v>1.5991987769496863</v>
      </c>
      <c r="G14" s="16">
        <f t="shared" si="4"/>
        <v>0.34493729403399992</v>
      </c>
      <c r="H14" s="17">
        <f>NPV($E$3,G$10:G14)+H$9</f>
        <v>1.5328902521772605</v>
      </c>
      <c r="I14" s="18"/>
      <c r="J14" s="15">
        <v>6</v>
      </c>
      <c r="K14" s="16">
        <f t="shared" si="0"/>
        <v>2.1012218937420215</v>
      </c>
      <c r="L14" s="17">
        <f>NPV($E$3,K$10:K14)+L$9</f>
        <v>9.5588294129471763</v>
      </c>
      <c r="M14" s="18">
        <f t="shared" si="1"/>
        <v>9.1467574032012805E-2</v>
      </c>
      <c r="N14" s="17">
        <f>NPV($E$3,M$10:M14)+N$9</f>
        <v>0.41610214494341868</v>
      </c>
    </row>
    <row r="15" spans="1:14" x14ac:dyDescent="0.25">
      <c r="B15" s="15">
        <v>7</v>
      </c>
      <c r="C15" s="16">
        <f t="shared" si="2"/>
        <v>0.36065574793437433</v>
      </c>
      <c r="D15" s="17">
        <f>NPV($E$3,C$10:C15)+D$9</f>
        <v>1.7790260694090823</v>
      </c>
      <c r="E15" s="16">
        <f t="shared" si="3"/>
        <v>0.36697396223301543</v>
      </c>
      <c r="F15" s="17">
        <f>NPV($E$3,E$10:E15)+F$9</f>
        <v>1.8063460116387628</v>
      </c>
      <c r="G15" s="16">
        <f t="shared" si="4"/>
        <v>0.35149110262064587</v>
      </c>
      <c r="H15" s="17">
        <f>NPV($E$3,G$10:G15)+H$9</f>
        <v>1.7312978162524715</v>
      </c>
      <c r="I15" s="18"/>
      <c r="J15" s="15">
        <v>7</v>
      </c>
      <c r="K15" s="16">
        <f t="shared" si="0"/>
        <v>2.1411451097231198</v>
      </c>
      <c r="L15" s="17">
        <f>NPV($E$3,K$10:K15)+L$9</f>
        <v>10.767450007848012</v>
      </c>
      <c r="M15" s="18">
        <f t="shared" si="1"/>
        <v>9.3205457938621034E-2</v>
      </c>
      <c r="N15" s="17">
        <f>NPV($E$3,M$10:M15)+N$9</f>
        <v>0.46871419608849418</v>
      </c>
    </row>
    <row r="16" spans="1:14" x14ac:dyDescent="0.25">
      <c r="B16" s="15">
        <v>8</v>
      </c>
      <c r="C16" s="16">
        <f t="shared" si="2"/>
        <v>0.36750820714512739</v>
      </c>
      <c r="D16" s="17">
        <f>NPV($E$3,C$10:C16)+D$9</f>
        <v>1.9676158894220166</v>
      </c>
      <c r="E16" s="16">
        <f t="shared" si="3"/>
        <v>0.37394646751544269</v>
      </c>
      <c r="F16" s="17">
        <f>NPV($E$3,E$10:E16)+F$9</f>
        <v>1.9982396772280073</v>
      </c>
      <c r="G16" s="16">
        <f t="shared" si="4"/>
        <v>0.35816943357043812</v>
      </c>
      <c r="H16" s="17">
        <f>NPV($E$3,G$10:G16)+H$9</f>
        <v>1.9150953687912358</v>
      </c>
      <c r="I16" s="18"/>
      <c r="J16" s="15">
        <v>8</v>
      </c>
      <c r="K16" s="16">
        <f t="shared" si="0"/>
        <v>2.1818268668078589</v>
      </c>
      <c r="L16" s="17">
        <f>NPV($E$3,K$10:K16)+L$9</f>
        <v>11.887072177124329</v>
      </c>
      <c r="M16" s="18">
        <f t="shared" si="1"/>
        <v>9.4976361639454818E-2</v>
      </c>
      <c r="N16" s="17">
        <f>NPV($E$3,M$10:M16)+N$9</f>
        <v>0.51745208710379587</v>
      </c>
    </row>
    <row r="17" spans="2:14" x14ac:dyDescent="0.25">
      <c r="B17" s="15">
        <v>9</v>
      </c>
      <c r="C17" s="16">
        <f t="shared" si="2"/>
        <v>0.37449086308088475</v>
      </c>
      <c r="D17" s="17">
        <f>NPV($E$3,C$10:C17)+D$9</f>
        <v>2.1423186408703621</v>
      </c>
      <c r="E17" s="16">
        <f t="shared" si="3"/>
        <v>0.38105145039823607</v>
      </c>
      <c r="F17" s="17">
        <f>NPV($E$3,E$10:E17)+F$9</f>
        <v>2.1760029910784078</v>
      </c>
      <c r="G17" s="16">
        <f t="shared" si="4"/>
        <v>0.3649746528082764</v>
      </c>
      <c r="H17" s="17">
        <f>NPV($E$3,G$10:G17)+H$9</f>
        <v>2.0853587379157816</v>
      </c>
      <c r="I17" s="18"/>
      <c r="J17" s="15">
        <v>9</v>
      </c>
      <c r="K17" s="16">
        <f t="shared" si="0"/>
        <v>2.2232815772772079</v>
      </c>
      <c r="L17" s="17">
        <f>NPV($E$3,K$10:K17)+L$9</f>
        <v>12.924249441208485</v>
      </c>
      <c r="M17" s="18">
        <f t="shared" si="1"/>
        <v>9.6780912510604444E-2</v>
      </c>
      <c r="N17" s="17">
        <f>NPV($E$3,M$10:M17)+N$9</f>
        <v>0.56260109705342531</v>
      </c>
    </row>
    <row r="18" spans="2:14" x14ac:dyDescent="0.25">
      <c r="B18" s="15">
        <v>10</v>
      </c>
      <c r="C18" s="16">
        <f t="shared" si="2"/>
        <v>0.38160618947942154</v>
      </c>
      <c r="D18" s="17">
        <f>NPV($E$3,C$10:C18)+D$9</f>
        <v>2.304156916984784</v>
      </c>
      <c r="E18" s="16">
        <f t="shared" si="3"/>
        <v>0.38829142795580252</v>
      </c>
      <c r="F18" s="17">
        <f>NPV($E$3,E$10:E18)+F$9</f>
        <v>2.3406764609089148</v>
      </c>
      <c r="G18" s="16">
        <f t="shared" si="4"/>
        <v>0.37190917121163364</v>
      </c>
      <c r="H18" s="17">
        <f>NPV($E$3,G$10:G18)+H$9</f>
        <v>2.2430845316775199</v>
      </c>
      <c r="I18" s="18"/>
      <c r="J18" s="15">
        <v>10</v>
      </c>
      <c r="K18" s="16">
        <f t="shared" si="0"/>
        <v>2.2655239272454746</v>
      </c>
      <c r="L18" s="17">
        <f>NPV($E$3,K$10:K18)+L$9</f>
        <v>13.885052743119168</v>
      </c>
      <c r="M18" s="18">
        <f t="shared" si="1"/>
        <v>9.8619749848305918E-2</v>
      </c>
      <c r="N18" s="17">
        <f>NPV($E$3,M$10:M18)+N$9</f>
        <v>0.60442549808858193</v>
      </c>
    </row>
    <row r="19" spans="2:14" x14ac:dyDescent="0.25">
      <c r="B19" s="15">
        <v>11</v>
      </c>
      <c r="C19" s="16">
        <f t="shared" si="2"/>
        <v>0.38885670707953052</v>
      </c>
      <c r="D19" s="17">
        <f>NPV($E$3,C$10:C19)+D$9</f>
        <v>2.4540780109489622</v>
      </c>
      <c r="E19" s="16">
        <f t="shared" si="3"/>
        <v>0.39566896508696275</v>
      </c>
      <c r="F19" s="17">
        <f>NPV($E$3,E$10:E19)+F$9</f>
        <v>2.4932239752337209</v>
      </c>
      <c r="G19" s="16">
        <f t="shared" si="4"/>
        <v>0.37897544546465461</v>
      </c>
      <c r="H19" s="17">
        <f>NPV($E$3,G$10:G19)+H$9</f>
        <v>2.3891959715349849</v>
      </c>
      <c r="I19" s="18"/>
      <c r="J19" s="15">
        <v>11</v>
      </c>
      <c r="K19" s="16">
        <f t="shared" si="0"/>
        <v>2.3085688818631382</v>
      </c>
      <c r="L19" s="17">
        <f>NPV($E$3,K$10:K19)+L$9</f>
        <v>14.775105983707338</v>
      </c>
      <c r="M19" s="18">
        <f t="shared" si="1"/>
        <v>0.10049352509542372</v>
      </c>
      <c r="N19" s="17">
        <f>NPV($E$3,M$10:M19)+N$9</f>
        <v>0.64317010232024074</v>
      </c>
    </row>
    <row r="20" spans="2:14" x14ac:dyDescent="0.25">
      <c r="B20" s="15">
        <v>12</v>
      </c>
      <c r="C20" s="16">
        <f t="shared" si="2"/>
        <v>0.39624498451404155</v>
      </c>
      <c r="D20" s="17">
        <f>NPV($E$3,C$10:C20)+D$9</f>
        <v>2.5929594607212323</v>
      </c>
      <c r="E20" s="16">
        <f t="shared" si="3"/>
        <v>0.40318667542361503</v>
      </c>
      <c r="F20" s="17">
        <f>NPV($E$3,E$10:E20)+F$9</f>
        <v>2.6345384453218821</v>
      </c>
      <c r="G20" s="16">
        <f t="shared" si="4"/>
        <v>0.38617597892848304</v>
      </c>
      <c r="H20" s="17">
        <f>NPV($E$3,G$10:G20)+H$9</f>
        <v>2.5245482962756731</v>
      </c>
      <c r="I20" s="18"/>
      <c r="J20" s="15">
        <v>12</v>
      </c>
      <c r="K20" s="16">
        <f t="shared" si="0"/>
        <v>2.3524316906185376</v>
      </c>
      <c r="L20" s="17">
        <f>NPV($E$3,K$10:K20)+L$9</f>
        <v>15.599618940215834</v>
      </c>
      <c r="M20" s="18">
        <f t="shared" si="1"/>
        <v>0.10240290207223676</v>
      </c>
      <c r="N20" s="17">
        <f>NPV($E$3,M$10:M20)+N$9</f>
        <v>0.67906169478575007</v>
      </c>
    </row>
    <row r="21" spans="2:14" x14ac:dyDescent="0.25">
      <c r="B21" s="15">
        <v>13</v>
      </c>
      <c r="C21" s="16">
        <f t="shared" si="2"/>
        <v>0.4037736392198083</v>
      </c>
      <c r="D21" s="17">
        <f>NPV($E$3,C$10:C21)+D$9</f>
        <v>2.7216141855557261</v>
      </c>
      <c r="E21" s="16">
        <f t="shared" si="3"/>
        <v>0.41084722225666365</v>
      </c>
      <c r="F21" s="17">
        <f>NPV($E$3,E$10:E21)+F$9</f>
        <v>2.7654470317035513</v>
      </c>
      <c r="G21" s="16">
        <f t="shared" si="4"/>
        <v>0.39351332252812421</v>
      </c>
      <c r="H21" s="17">
        <f>NPV($E$3,G$10:G21)+H$9</f>
        <v>2.6499337680127284</v>
      </c>
      <c r="I21" s="18"/>
      <c r="J21" s="15">
        <v>13</v>
      </c>
      <c r="K21" s="16">
        <f t="shared" si="0"/>
        <v>2.3971278927402895</v>
      </c>
      <c r="L21" s="17">
        <f>NPV($E$3,K$10:K21)+L$9</f>
        <v>16.363417760835976</v>
      </c>
      <c r="M21" s="18">
        <f t="shared" si="1"/>
        <v>0.10434855721160925</v>
      </c>
      <c r="N21" s="17">
        <f>NPV($E$3,M$10:M21)+N$9</f>
        <v>0.71231036089698108</v>
      </c>
    </row>
    <row r="22" spans="2:14" x14ac:dyDescent="0.25">
      <c r="B22" s="15">
        <v>14</v>
      </c>
      <c r="C22" s="16">
        <f t="shared" si="2"/>
        <v>0.41144533836498465</v>
      </c>
      <c r="D22" s="17">
        <f>NPV($E$3,C$10:C22)+D$9</f>
        <v>2.8407952442887709</v>
      </c>
      <c r="E22" s="16">
        <f t="shared" si="3"/>
        <v>0.41865331947954021</v>
      </c>
      <c r="F22" s="17">
        <f>NPV($E$3,E$10:E22)+F$9</f>
        <v>2.8867159858152975</v>
      </c>
      <c r="G22" s="16">
        <f t="shared" si="4"/>
        <v>0.40099007565615852</v>
      </c>
      <c r="H22" s="17">
        <f>NPV($E$3,G$10:G22)+H$9</f>
        <v>2.7660863095582369</v>
      </c>
      <c r="I22" s="18"/>
      <c r="J22" s="15">
        <v>14</v>
      </c>
      <c r="K22" s="16">
        <f t="shared" si="0"/>
        <v>2.4426733227023547</v>
      </c>
      <c r="L22" s="17">
        <f>NPV($E$3,K$10:K22)+L$9</f>
        <v>17.070973213755906</v>
      </c>
      <c r="M22" s="18">
        <f t="shared" si="1"/>
        <v>0.10633117979862981</v>
      </c>
      <c r="N22" s="17">
        <f>NPV($E$3,M$10:M22)+N$9</f>
        <v>0.74311071614002144</v>
      </c>
    </row>
    <row r="23" spans="2:14" x14ac:dyDescent="0.25">
      <c r="B23" s="15">
        <v>15</v>
      </c>
      <c r="C23" s="16">
        <f t="shared" si="2"/>
        <v>0.41926279979391934</v>
      </c>
      <c r="D23" s="17">
        <f>NPV($E$3,C$10:C23)+D$9</f>
        <v>2.9512002432423827</v>
      </c>
      <c r="E23" s="16">
        <f t="shared" si="3"/>
        <v>0.42660773254965145</v>
      </c>
      <c r="F23" s="17">
        <f>NPV($E$3,E$10:E23)+F$9</f>
        <v>2.9990551351242698</v>
      </c>
      <c r="G23" s="16">
        <f t="shared" si="4"/>
        <v>0.40860888709362547</v>
      </c>
      <c r="H23" s="17">
        <f>NPV($E$3,G$10:G23)+H$9</f>
        <v>2.873685800317213</v>
      </c>
      <c r="I23" s="18"/>
      <c r="J23" s="15">
        <v>15</v>
      </c>
      <c r="K23" s="16">
        <f t="shared" si="0"/>
        <v>2.4890841158336992</v>
      </c>
      <c r="L23" s="17">
        <f>NPV($E$3,K$10:K23)+L$9</f>
        <v>17.726426856051734</v>
      </c>
      <c r="M23" s="18">
        <f t="shared" si="1"/>
        <v>0.10835147221480378</v>
      </c>
      <c r="N23" s="17">
        <f>NPV($E$3,M$10:M23)+N$9</f>
        <v>0.77164304522425609</v>
      </c>
    </row>
    <row r="24" spans="2:14" x14ac:dyDescent="0.25">
      <c r="B24" s="15">
        <v>16</v>
      </c>
      <c r="C24" s="16">
        <f t="shared" si="2"/>
        <v>0.42722879299000377</v>
      </c>
      <c r="D24" s="17">
        <f>NPV($E$3,C$10:C24)+D$9</f>
        <v>3.0534754195457734</v>
      </c>
      <c r="E24" s="16">
        <f t="shared" si="3"/>
        <v>0.43471327946809479</v>
      </c>
      <c r="F24" s="17">
        <f>NPV($E$3,E$10:E24)+F$9</f>
        <v>3.1031220379841269</v>
      </c>
      <c r="G24" s="16">
        <f t="shared" si="4"/>
        <v>0.41637245594840433</v>
      </c>
      <c r="H24" s="17">
        <f>NPV($E$3,G$10:G24)+H$9</f>
        <v>2.9733620558475731</v>
      </c>
      <c r="I24" s="18"/>
      <c r="J24" s="15">
        <v>16</v>
      </c>
      <c r="K24" s="16">
        <f t="shared" si="0"/>
        <v>2.5363767140345392</v>
      </c>
      <c r="L24" s="17">
        <f>NPV($E$3,K$10:K24)+L$9</f>
        <v>18.333615275596685</v>
      </c>
      <c r="M24" s="18">
        <f t="shared" si="1"/>
        <v>0.11041015018688503</v>
      </c>
      <c r="N24" s="17">
        <f>NPV($E$3,M$10:M24)+N$9</f>
        <v>0.79807435734865162</v>
      </c>
    </row>
    <row r="25" spans="2:14" x14ac:dyDescent="0.25">
      <c r="B25" s="15">
        <v>17</v>
      </c>
      <c r="C25" s="16">
        <f t="shared" si="2"/>
        <v>0.43534614005681382</v>
      </c>
      <c r="D25" s="17">
        <f>NPV($E$3,C$10:C25)+D$9</f>
        <v>3.1482194237759149</v>
      </c>
      <c r="E25" s="16">
        <f t="shared" si="3"/>
        <v>0.44297283177798857</v>
      </c>
      <c r="F25" s="17">
        <f>NPV($E$3,E$10:E25)+F$9</f>
        <v>3.1995258325424856</v>
      </c>
      <c r="G25" s="16">
        <f t="shared" si="4"/>
        <v>0.42428353261142399</v>
      </c>
      <c r="H25" s="17">
        <f>NPV($E$3,G$10:G25)+H$9</f>
        <v>3.0656985143797884</v>
      </c>
      <c r="I25" s="18"/>
      <c r="J25" s="15">
        <v>17</v>
      </c>
      <c r="K25" s="16">
        <f t="shared" si="0"/>
        <v>2.5845678716011951</v>
      </c>
      <c r="L25" s="17">
        <f>NPV($E$3,K$10:K25)+L$9</f>
        <v>18.896092547884237</v>
      </c>
      <c r="M25" s="18">
        <f t="shared" si="1"/>
        <v>0.11250794304043583</v>
      </c>
      <c r="N25" s="17">
        <f>NPV($E$3,M$10:M25)+N$9</f>
        <v>0.82255936376206895</v>
      </c>
    </row>
    <row r="26" spans="2:14" x14ac:dyDescent="0.25">
      <c r="B26" s="15">
        <v>18</v>
      </c>
      <c r="C26" s="16">
        <f t="shared" si="2"/>
        <v>0.44361771671789324</v>
      </c>
      <c r="D26" s="17">
        <f>NPV($E$3,C$10:C26)+D$9</f>
        <v>3.2359868240582004</v>
      </c>
      <c r="E26" s="16">
        <f t="shared" si="3"/>
        <v>0.45138931558177031</v>
      </c>
      <c r="F26" s="17">
        <f>NPV($E$3,E$10:E26)+F$9</f>
        <v>3.2888308022288193</v>
      </c>
      <c r="G26" s="16">
        <f t="shared" si="4"/>
        <v>0.432344919731041</v>
      </c>
      <c r="H26" s="17">
        <f>NPV($E$3,G$10:G26)+H$9</f>
        <v>3.1512356518746314</v>
      </c>
      <c r="I26" s="18"/>
      <c r="J26" s="15">
        <v>18</v>
      </c>
      <c r="K26" s="16">
        <f t="shared" si="0"/>
        <v>2.6336746611616175</v>
      </c>
      <c r="L26" s="17">
        <f>NPV($E$3,K$10:K26)+L$9</f>
        <v>19.417151039212431</v>
      </c>
      <c r="M26" s="18">
        <f t="shared" si="1"/>
        <v>0.1146455939582041</v>
      </c>
      <c r="N26" s="17">
        <f>NPV($E$3,M$10:M26)+N$9</f>
        <v>0.84524138333958909</v>
      </c>
    </row>
    <row r="27" spans="2:14" x14ac:dyDescent="0.25">
      <c r="B27" s="15">
        <v>19</v>
      </c>
      <c r="C27" s="16">
        <f t="shared" si="2"/>
        <v>0.45204645333553317</v>
      </c>
      <c r="D27" s="17">
        <f>NPV($E$3,C$10:C27)+D$9</f>
        <v>3.3172913521378811</v>
      </c>
      <c r="E27" s="16">
        <f t="shared" si="3"/>
        <v>0.45996571257782393</v>
      </c>
      <c r="F27" s="17">
        <f>NPV($E$3,E$10:E27)+F$9</f>
        <v>3.3715596786927962</v>
      </c>
      <c r="G27" s="16">
        <f t="shared" si="4"/>
        <v>0.44055947320593075</v>
      </c>
      <c r="H27" s="17">
        <f>NPV($E$3,G$10:G27)+H$9</f>
        <v>3.2304741456084911</v>
      </c>
      <c r="I27" s="18"/>
      <c r="J27" s="15">
        <v>19</v>
      </c>
      <c r="K27" s="16">
        <f t="shared" si="0"/>
        <v>2.683714479723688</v>
      </c>
      <c r="L27" s="17">
        <f>NPV($E$3,K$10:K27)+L$9</f>
        <v>19.899840677997371</v>
      </c>
      <c r="M27" s="18">
        <f t="shared" si="1"/>
        <v>0.11682386024340997</v>
      </c>
      <c r="N27" s="17">
        <f>NPV($E$3,M$10:M27)+N$9</f>
        <v>0.86625318147549191</v>
      </c>
    </row>
    <row r="28" spans="2:14" x14ac:dyDescent="0.25">
      <c r="B28" s="15">
        <v>20</v>
      </c>
      <c r="C28" s="16">
        <f t="shared" si="2"/>
        <v>0.46063533594890826</v>
      </c>
      <c r="D28" s="17">
        <f>NPV($E$3,C$10:C28)+D$9</f>
        <v>3.3926089104226032</v>
      </c>
      <c r="E28" s="16">
        <f t="shared" si="3"/>
        <v>0.46870506111680255</v>
      </c>
      <c r="F28" s="17">
        <f>NPV($E$3,E$10:E28)+F$9</f>
        <v>3.4481967015262436</v>
      </c>
      <c r="G28" s="16">
        <f t="shared" si="4"/>
        <v>0.4489301031968434</v>
      </c>
      <c r="H28" s="17">
        <f>NPV($E$3,G$10:G28)+H$9</f>
        <v>3.3038778048037662</v>
      </c>
      <c r="I28" s="18"/>
      <c r="J28" s="15">
        <v>20</v>
      </c>
      <c r="K28" s="16">
        <f t="shared" si="0"/>
        <v>2.7347050548384377</v>
      </c>
      <c r="L28" s="17">
        <f>NPV($E$3,K$10:K28)+L$9</f>
        <v>20.346986807017235</v>
      </c>
      <c r="M28" s="18">
        <f t="shared" si="1"/>
        <v>0.11904351358803475</v>
      </c>
      <c r="N28" s="17">
        <f>NPV($E$3,M$10:M28)+N$9</f>
        <v>0.88571774720320551</v>
      </c>
    </row>
    <row r="29" spans="2:14" x14ac:dyDescent="0.25">
      <c r="B29" s="15">
        <v>21</v>
      </c>
      <c r="C29" s="16">
        <f t="shared" si="2"/>
        <v>0.46938740733193746</v>
      </c>
      <c r="D29" s="17">
        <f>NPV($E$3,C$10:C29)+D$9</f>
        <v>3.4623803575972687</v>
      </c>
      <c r="E29" s="16">
        <f t="shared" si="3"/>
        <v>0.47761045727802176</v>
      </c>
      <c r="F29" s="17">
        <f>NPV($E$3,E$10:E29)+F$9</f>
        <v>3.5191904526783189</v>
      </c>
      <c r="G29" s="16">
        <f t="shared" si="4"/>
        <v>0.4574597751575834</v>
      </c>
      <c r="H29" s="17">
        <f>NPV($E$3,G$10:G29)+H$9</f>
        <v>3.3718762854582982</v>
      </c>
      <c r="I29" s="18"/>
      <c r="J29" s="15">
        <v>21</v>
      </c>
      <c r="K29" s="16">
        <f t="shared" si="0"/>
        <v>2.7866644508803677</v>
      </c>
      <c r="L29" s="17">
        <f>NPV($E$3,K$10:K29)+L$9</f>
        <v>20.761206721082001</v>
      </c>
      <c r="M29" s="18">
        <f t="shared" si="1"/>
        <v>0.12130534034620739</v>
      </c>
      <c r="N29" s="17">
        <f>NPV($E$3,M$10:M29)+N$9</f>
        <v>0.90374901309096933</v>
      </c>
    </row>
    <row r="30" spans="2:14" x14ac:dyDescent="0.25">
      <c r="B30" s="15">
        <v>22</v>
      </c>
      <c r="C30" s="16">
        <f t="shared" si="2"/>
        <v>0.4783057680712442</v>
      </c>
      <c r="D30" s="17">
        <f>NPV($E$3,C$10:C30)+D$9</f>
        <v>3.5270140891163453</v>
      </c>
      <c r="E30" s="16">
        <f t="shared" si="3"/>
        <v>0.48668505596630413</v>
      </c>
      <c r="F30" s="17">
        <f>NPV($E$3,E$10:E30)+F$9</f>
        <v>3.5849564821546505</v>
      </c>
      <c r="G30" s="16">
        <f t="shared" si="4"/>
        <v>0.46615151088557744</v>
      </c>
      <c r="H30" s="17">
        <f>NPV($E$3,G$10:G30)+H$9</f>
        <v>3.4348676052646332</v>
      </c>
      <c r="I30" s="18"/>
      <c r="J30" s="15">
        <v>22</v>
      </c>
      <c r="K30" s="16">
        <f t="shared" si="0"/>
        <v>2.8396110754470945</v>
      </c>
      <c r="L30" s="17">
        <f>NPV($E$3,K$10:K30)+L$9</f>
        <v>21.144924986929272</v>
      </c>
      <c r="M30" s="18">
        <f t="shared" si="1"/>
        <v>0.12361014181278532</v>
      </c>
      <c r="N30" s="17">
        <f>NPV($E$3,M$10:M30)+N$9</f>
        <v>0.9204525221269978</v>
      </c>
    </row>
    <row r="31" spans="2:14" x14ac:dyDescent="0.25">
      <c r="B31" s="15">
        <v>23</v>
      </c>
      <c r="C31" s="16">
        <f t="shared" si="2"/>
        <v>0.48739357766459779</v>
      </c>
      <c r="D31" s="17">
        <f>NPV($E$3,C$10:C31)+D$9</f>
        <v>3.5868884276781077</v>
      </c>
      <c r="E31" s="16">
        <f t="shared" si="3"/>
        <v>0.49593207202966388</v>
      </c>
      <c r="F31" s="17">
        <f>NPV($E$3,E$10:E31)+F$9</f>
        <v>3.6458797403695433</v>
      </c>
      <c r="G31" s="16">
        <f t="shared" si="4"/>
        <v>0.47500838959240338</v>
      </c>
      <c r="H31" s="17">
        <f>NPV($E$3,G$10:G31)+H$9</f>
        <v>3.4932204733397745</v>
      </c>
      <c r="I31" s="18"/>
      <c r="J31" s="15">
        <v>23</v>
      </c>
      <c r="K31" s="16">
        <f t="shared" si="0"/>
        <v>2.8935636858805891</v>
      </c>
      <c r="L31" s="17">
        <f>NPV($E$3,K$10:K31)+L$9</f>
        <v>21.500387635018697</v>
      </c>
      <c r="M31" s="18">
        <f t="shared" si="1"/>
        <v>0.12595873450722822</v>
      </c>
      <c r="N31" s="17">
        <f>NPV($E$3,M$10:M31)+N$9</f>
        <v>0.93592604549764591</v>
      </c>
    </row>
    <row r="32" spans="2:14" x14ac:dyDescent="0.25">
      <c r="B32" s="15">
        <v>24</v>
      </c>
      <c r="C32" s="16">
        <f t="shared" si="2"/>
        <v>0.49665405564022508</v>
      </c>
      <c r="D32" s="17">
        <f>NPV($E$3,C$10:C32)+D$9</f>
        <v>3.64235383767305</v>
      </c>
      <c r="E32" s="16">
        <f t="shared" si="3"/>
        <v>0.50535478139822743</v>
      </c>
      <c r="F32" s="17">
        <f>NPV($E$3,E$10:E32)+F$9</f>
        <v>3.7023168313886119</v>
      </c>
      <c r="G32" s="16">
        <f t="shared" si="4"/>
        <v>0.484033548994659</v>
      </c>
      <c r="H32" s="17">
        <f>NPV($E$3,G$10:G32)+H$9</f>
        <v>3.5472764484021098</v>
      </c>
      <c r="I32" s="18"/>
      <c r="J32" s="15">
        <v>24</v>
      </c>
      <c r="K32" s="16">
        <f t="shared" si="0"/>
        <v>2.9485413959123199</v>
      </c>
      <c r="L32" s="17">
        <f>NPV($E$3,K$10:K32)+L$9</f>
        <v>21.829675306294263</v>
      </c>
      <c r="M32" s="18">
        <f t="shared" si="1"/>
        <v>0.12835195046286554</v>
      </c>
      <c r="N32" s="17">
        <f>NPV($E$3,M$10:M32)+N$9</f>
        <v>0.95026015487463711</v>
      </c>
    </row>
    <row r="33" spans="2:14" x14ac:dyDescent="0.25">
      <c r="B33" s="15">
        <v>25</v>
      </c>
      <c r="C33" s="16">
        <f t="shared" si="2"/>
        <v>0.50609048269738932</v>
      </c>
      <c r="D33" s="17">
        <f>NPV($E$3,C$10:C33)+D$9</f>
        <v>3.6937349765683645</v>
      </c>
      <c r="E33" s="16">
        <f t="shared" si="3"/>
        <v>0.51495652224479371</v>
      </c>
      <c r="F33" s="17">
        <f>NPV($E$3,E$10:E33)+F$9</f>
        <v>3.754598100250822</v>
      </c>
      <c r="G33" s="16">
        <f t="shared" si="4"/>
        <v>0.49323018642555749</v>
      </c>
      <c r="H33" s="17">
        <f>NPV($E$3,G$10:G33)+H$9</f>
        <v>3.5973519380280368</v>
      </c>
      <c r="I33" s="18"/>
      <c r="J33" s="15">
        <v>25</v>
      </c>
      <c r="K33" s="16">
        <f t="shared" si="0"/>
        <v>3.0045636824346538</v>
      </c>
      <c r="L33" s="17">
        <f>NPV($E$3,K$10:K33)+L$9</f>
        <v>22.134715430866812</v>
      </c>
      <c r="M33" s="18">
        <f t="shared" si="1"/>
        <v>0.13079063752165998</v>
      </c>
      <c r="N33" s="17">
        <f>NPV($E$3,M$10:M33)+N$9</f>
        <v>0.96353875256114097</v>
      </c>
    </row>
    <row r="34" spans="2:14" x14ac:dyDescent="0.25">
      <c r="B34" s="15">
        <v>26</v>
      </c>
      <c r="C34" s="16">
        <f t="shared" si="2"/>
        <v>0.51570620186863969</v>
      </c>
      <c r="D34" s="17">
        <f>NPV($E$3,C$10:C34)+D$9</f>
        <v>3.7413325952359333</v>
      </c>
      <c r="E34" s="16">
        <f t="shared" si="3"/>
        <v>0.52474069616744479</v>
      </c>
      <c r="F34" s="17">
        <f>NPV($E$3,E$10:E34)+F$9</f>
        <v>3.8030295665877238</v>
      </c>
      <c r="G34" s="16">
        <f t="shared" si="4"/>
        <v>0.502601559967643</v>
      </c>
      <c r="H34" s="17">
        <f>NPV($E$3,G$10:G34)+H$9</f>
        <v>3.6437400506905999</v>
      </c>
      <c r="I34" s="18"/>
      <c r="J34" s="15">
        <v>26</v>
      </c>
      <c r="K34" s="16">
        <f t="shared" si="0"/>
        <v>3.061650392400912</v>
      </c>
      <c r="L34" s="17">
        <f>NPV($E$3,K$10:K34)+L$9</f>
        <v>22.417293509902652</v>
      </c>
      <c r="M34" s="18">
        <f t="shared" si="1"/>
        <v>0.1332756596345715</v>
      </c>
      <c r="N34" s="17">
        <f>NPV($E$3,M$10:M34)+N$9</f>
        <v>0.97583956259982041</v>
      </c>
    </row>
    <row r="35" spans="2:14" x14ac:dyDescent="0.25">
      <c r="B35" s="15">
        <v>27</v>
      </c>
      <c r="C35" s="16">
        <f t="shared" si="2"/>
        <v>0.52550461970414375</v>
      </c>
      <c r="D35" s="17">
        <f>NPV($E$3,C$10:C35)+D$9</f>
        <v>3.785425298347072</v>
      </c>
      <c r="E35" s="16">
        <f t="shared" si="3"/>
        <v>0.53471076939462614</v>
      </c>
      <c r="F35" s="17">
        <f>NPV($E$3,E$10:E35)+F$9</f>
        <v>3.8478947158579992</v>
      </c>
      <c r="G35" s="16">
        <f t="shared" si="4"/>
        <v>0.51215098960702821</v>
      </c>
      <c r="H35" s="17">
        <f>NPV($E$3,G$10:G35)+H$9</f>
        <v>3.6867123114207381</v>
      </c>
      <c r="I35" s="18"/>
      <c r="J35" s="15">
        <v>27</v>
      </c>
      <c r="K35" s="16">
        <f t="shared" si="0"/>
        <v>3.1198217498565288</v>
      </c>
      <c r="L35" s="17">
        <f>NPV($E$3,K$10:K35)+L$9</f>
        <v>22.679063566754948</v>
      </c>
      <c r="M35" s="18">
        <f t="shared" si="1"/>
        <v>0.13580789716762834</v>
      </c>
      <c r="N35" s="17">
        <f>NPV($E$3,M$10:M35)+N$9</f>
        <v>0.9872345857174698</v>
      </c>
    </row>
    <row r="36" spans="2:14" x14ac:dyDescent="0.25">
      <c r="B36" s="15">
        <v>28</v>
      </c>
      <c r="C36" s="16">
        <f t="shared" si="2"/>
        <v>0.53548920747852247</v>
      </c>
      <c r="D36" s="17">
        <f>NPV($E$3,C$10:C36)+D$9</f>
        <v>3.8262711751382086</v>
      </c>
      <c r="E36" s="16">
        <f t="shared" si="3"/>
        <v>0.54487027401312393</v>
      </c>
      <c r="F36" s="17">
        <f>NPV($E$3,E$10:E36)+F$9</f>
        <v>3.8894561586820089</v>
      </c>
      <c r="G36" s="16">
        <f t="shared" si="4"/>
        <v>0.52188185840956169</v>
      </c>
      <c r="H36" s="17">
        <f>NPV($E$3,G$10:G36)+H$9</f>
        <v>3.7265202511334747</v>
      </c>
      <c r="I36" s="18"/>
      <c r="J36" s="15">
        <v>28</v>
      </c>
      <c r="K36" s="16">
        <f t="shared" si="0"/>
        <v>3.1790983631038028</v>
      </c>
      <c r="L36" s="17">
        <f>NPV($E$3,K$10:K36)+L$9</f>
        <v>22.921557828511752</v>
      </c>
      <c r="M36" s="18">
        <f t="shared" si="1"/>
        <v>0.13838824721381326</v>
      </c>
      <c r="N36" s="17">
        <f>NPV($E$3,M$10:M36)+N$9</f>
        <v>0.99779052076918306</v>
      </c>
    </row>
    <row r="37" spans="2:14" x14ac:dyDescent="0.25">
      <c r="B37" s="15">
        <v>29</v>
      </c>
      <c r="C37" s="16">
        <f t="shared" si="2"/>
        <v>0.54566350242061434</v>
      </c>
      <c r="D37" s="17">
        <f>NPV($E$3,C$10:C37)+D$9</f>
        <v>3.8641093100929069</v>
      </c>
      <c r="E37" s="16">
        <f t="shared" si="3"/>
        <v>0.55522280921937328</v>
      </c>
      <c r="F37" s="17">
        <f>NPV($E$3,E$10:E37)+F$9</f>
        <v>3.9279571679889784</v>
      </c>
      <c r="G37" s="16">
        <f t="shared" si="4"/>
        <v>0.53179761371934331</v>
      </c>
      <c r="H37" s="17">
        <f>NPV($E$3,G$10:G37)+H$9</f>
        <v>3.7633968789219101</v>
      </c>
      <c r="I37" s="18"/>
      <c r="J37" s="15">
        <v>29</v>
      </c>
      <c r="K37" s="16">
        <f t="shared" si="0"/>
        <v>3.239501232002775</v>
      </c>
      <c r="L37" s="17">
        <f>NPV($E$3,K$10:K37)+L$9</f>
        <v>23.146195694630105</v>
      </c>
      <c r="M37" s="18">
        <f t="shared" si="1"/>
        <v>0.14101762391087572</v>
      </c>
      <c r="N37" s="17">
        <f>NPV($E$3,M$10:M37)+N$9</f>
        <v>1.0075691551489068</v>
      </c>
    </row>
    <row r="38" spans="2:14" ht="13.8" thickBot="1" x14ac:dyDescent="0.3">
      <c r="B38" s="21">
        <v>30</v>
      </c>
      <c r="C38" s="22">
        <f t="shared" si="2"/>
        <v>0.55603110896660601</v>
      </c>
      <c r="D38" s="23">
        <f>NPV($E$3,C$10:C38)+D$9</f>
        <v>3.899161182382759</v>
      </c>
      <c r="E38" s="22">
        <f t="shared" si="3"/>
        <v>0.56577204259454128</v>
      </c>
      <c r="F38" s="23">
        <f>NPV($E$3,E$10:E38)+F$9</f>
        <v>3.9636231029742528</v>
      </c>
      <c r="G38" s="22">
        <f t="shared" si="4"/>
        <v>0.54190176838001081</v>
      </c>
      <c r="H38" s="23">
        <f>NPV($E$3,G$10:G38)+H$9</f>
        <v>3.7975580459368339</v>
      </c>
      <c r="I38" s="18"/>
      <c r="J38" s="21">
        <v>30</v>
      </c>
      <c r="K38" s="22">
        <f t="shared" si="0"/>
        <v>3.3010517554108274</v>
      </c>
      <c r="L38" s="23">
        <f>NPV($E$3,K$10:K38)+L$9</f>
        <v>23.354292045152466</v>
      </c>
      <c r="M38" s="22">
        <f t="shared" si="1"/>
        <v>0.14369695876518235</v>
      </c>
      <c r="N38" s="23">
        <f>NPV($E$3,M$10:M38)+N$9</f>
        <v>1.016627726451578</v>
      </c>
    </row>
  </sheetData>
  <sheetProtection password="CF07" sheet="1" objects="1" scenarios="1"/>
  <mergeCells count="12">
    <mergeCell ref="C7:D7"/>
    <mergeCell ref="E7:F7"/>
    <mergeCell ref="G7:H7"/>
    <mergeCell ref="K7:L7"/>
    <mergeCell ref="M7:N7"/>
    <mergeCell ref="C2:D2"/>
    <mergeCell ref="C3:D3"/>
    <mergeCell ref="B5:H5"/>
    <mergeCell ref="J5:N5"/>
    <mergeCell ref="C6:F6"/>
    <mergeCell ref="G6:H6"/>
    <mergeCell ref="K6:N6"/>
  </mergeCells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6"/>
  <sheetViews>
    <sheetView topLeftCell="A107" zoomScale="70" zoomScaleNormal="70" zoomScaleSheetLayoutView="25" workbookViewId="0">
      <selection activeCell="J120" sqref="J120"/>
    </sheetView>
  </sheetViews>
  <sheetFormatPr defaultColWidth="9.109375" defaultRowHeight="15.6" x14ac:dyDescent="0.3"/>
  <cols>
    <col min="1" max="1" width="3.88671875" style="53" customWidth="1"/>
    <col min="2" max="2" width="19.88671875" style="53" customWidth="1"/>
    <col min="3" max="3" width="71.6640625" style="53" customWidth="1"/>
    <col min="4" max="4" width="7.6640625" style="53" customWidth="1"/>
    <col min="5" max="5" width="16.88671875" style="53" customWidth="1"/>
    <col min="6" max="6" width="16.5546875" style="53" customWidth="1"/>
    <col min="7" max="13" width="15.77734375" style="53" customWidth="1"/>
    <col min="14" max="14" width="8.77734375" style="57" customWidth="1"/>
    <col min="15" max="15" width="15.77734375" style="53" customWidth="1"/>
    <col min="16" max="16" width="18.33203125" style="53" bestFit="1" customWidth="1"/>
    <col min="17" max="22" width="15.44140625" style="53" customWidth="1"/>
    <col min="23" max="23" width="16.6640625" style="53" bestFit="1" customWidth="1"/>
    <col min="24" max="24" width="8.5546875" style="53" customWidth="1"/>
    <col min="25" max="25" width="13.33203125" style="53" customWidth="1"/>
    <col min="26" max="26" width="11.44140625" style="53" customWidth="1"/>
    <col min="27" max="27" width="11.88671875" style="53" customWidth="1"/>
    <col min="28" max="28" width="12.6640625" style="53" customWidth="1"/>
    <col min="29" max="29" width="15" style="53" customWidth="1"/>
    <col min="30" max="31" width="1.6640625" style="53" customWidth="1"/>
    <col min="32" max="32" width="11.5546875" style="53" customWidth="1"/>
    <col min="33" max="33" width="13.33203125" style="53" customWidth="1"/>
    <col min="34" max="34" width="12" style="53" customWidth="1"/>
    <col min="35" max="35" width="13.6640625" style="53" customWidth="1"/>
    <col min="36" max="36" width="12.109375" style="53" customWidth="1"/>
    <col min="37" max="37" width="14.44140625" style="53" customWidth="1"/>
    <col min="38" max="38" width="1.88671875" style="53" customWidth="1"/>
    <col min="39" max="39" width="13.44140625" style="53" customWidth="1"/>
    <col min="40" max="40" width="12.109375" style="53" customWidth="1"/>
    <col min="41" max="41" width="14.33203125" style="53" customWidth="1"/>
    <col min="42" max="43" width="10.6640625" style="53" customWidth="1"/>
    <col min="44" max="44" width="13.33203125" style="53" customWidth="1"/>
    <col min="45" max="45" width="13.5546875" style="53" customWidth="1"/>
    <col min="46" max="46" width="12" style="53" customWidth="1"/>
    <col min="47" max="47" width="15.109375" style="53" customWidth="1"/>
    <col min="48" max="16384" width="9.109375" style="53"/>
  </cols>
  <sheetData>
    <row r="1" spans="2:22" ht="15.6" customHeight="1" x14ac:dyDescent="0.3">
      <c r="B1" s="78"/>
    </row>
    <row r="2" spans="2:22" s="78" customFormat="1" ht="86.25" customHeight="1" x14ac:dyDescent="0.3">
      <c r="B2" s="58"/>
      <c r="C2" s="58" t="s">
        <v>78</v>
      </c>
      <c r="D2" s="58" t="s">
        <v>64</v>
      </c>
      <c r="E2" s="58" t="s">
        <v>25</v>
      </c>
      <c r="F2" s="58" t="s">
        <v>26</v>
      </c>
      <c r="G2" s="58" t="s">
        <v>102</v>
      </c>
      <c r="H2" s="58" t="s">
        <v>103</v>
      </c>
      <c r="I2" s="58" t="s">
        <v>101</v>
      </c>
      <c r="J2" s="58" t="s">
        <v>97</v>
      </c>
      <c r="K2" s="58" t="s">
        <v>98</v>
      </c>
      <c r="L2" s="58" t="s">
        <v>99</v>
      </c>
      <c r="M2" s="58" t="s">
        <v>104</v>
      </c>
      <c r="N2" s="79"/>
      <c r="O2" s="58" t="s">
        <v>0</v>
      </c>
      <c r="P2" s="58" t="s">
        <v>21</v>
      </c>
      <c r="Q2" s="58" t="s">
        <v>1</v>
      </c>
      <c r="R2" s="58" t="s">
        <v>2</v>
      </c>
      <c r="S2" s="58" t="s">
        <v>3</v>
      </c>
      <c r="T2" s="58" t="s">
        <v>4</v>
      </c>
      <c r="U2" s="58" t="s">
        <v>5</v>
      </c>
      <c r="V2" s="58" t="s">
        <v>6</v>
      </c>
    </row>
    <row r="3" spans="2:22" s="78" customFormat="1" x14ac:dyDescent="0.3">
      <c r="B3" s="59" t="s">
        <v>48</v>
      </c>
      <c r="C3" s="60" t="s">
        <v>29</v>
      </c>
      <c r="D3" s="61">
        <v>30</v>
      </c>
      <c r="E3" s="80">
        <f t="shared" ref="E3:E34" si="0">O3*S3*(1-Q3)*R3</f>
        <v>9504.75</v>
      </c>
      <c r="F3" s="80">
        <f t="shared" ref="F3:F66" si="1">D3*E3</f>
        <v>285142.5</v>
      </c>
      <c r="G3" s="49">
        <f>1.15*(1-Q3)*R3*(IF(P3="baseload",VLOOKUP(O3,'2015 Avoided Costs'!$B$9:$N$38,7)*S3+VLOOKUP(O3,'2015 Avoided Costs'!$P$9:$AB$38,7)*T3/1000+VLOOKUP(O3,'2015 Avoided Costs'!$AD$9:$AP$38,7)*U3,VLOOKUP(O3,'2015 Avoided Costs'!$B$9:$N$38,9)*S3+VLOOKUP(O3,'2015 Avoided Costs'!$P$9:$AB$38,9)*T3/1000+VLOOKUP(O3,'2015 Avoided Costs'!$AD$9:$AP$38,9)*U3))</f>
        <v>2415.7956723499992</v>
      </c>
      <c r="H3" s="49">
        <f>(((1-Q3)*V3))</f>
        <v>1567.5</v>
      </c>
      <c r="I3" s="49">
        <f>G3-H3</f>
        <v>848.29567234999922</v>
      </c>
      <c r="J3" s="49">
        <f t="shared" ref="J3:J34" si="2">G3*D3</f>
        <v>72473.870170499984</v>
      </c>
      <c r="K3" s="49">
        <f t="shared" ref="K3:K34" si="3">H3*D3</f>
        <v>47025</v>
      </c>
      <c r="L3" s="49">
        <f>J3-K3</f>
        <v>25448.870170499984</v>
      </c>
      <c r="M3" s="62">
        <f>(J3)/K3</f>
        <v>1.541177462424242</v>
      </c>
      <c r="N3" s="81"/>
      <c r="O3" s="82">
        <v>15</v>
      </c>
      <c r="P3" s="82" t="s">
        <v>55</v>
      </c>
      <c r="Q3" s="83">
        <v>0.05</v>
      </c>
      <c r="R3" s="83">
        <v>1</v>
      </c>
      <c r="S3" s="84">
        <v>667</v>
      </c>
      <c r="T3" s="85">
        <v>0</v>
      </c>
      <c r="U3" s="86">
        <v>172</v>
      </c>
      <c r="V3" s="87">
        <v>1650</v>
      </c>
    </row>
    <row r="4" spans="2:22" s="78" customFormat="1" x14ac:dyDescent="0.3">
      <c r="B4" s="59" t="s">
        <v>48</v>
      </c>
      <c r="C4" s="60" t="s">
        <v>30</v>
      </c>
      <c r="D4" s="61">
        <v>8</v>
      </c>
      <c r="E4" s="80">
        <f t="shared" si="0"/>
        <v>21788.25</v>
      </c>
      <c r="F4" s="80">
        <f t="shared" si="1"/>
        <v>174306</v>
      </c>
      <c r="G4" s="49">
        <f>1.15*(1-Q4)*R4*(IF(P4="baseload",VLOOKUP(O4,'2015 Avoided Costs'!$B$9:$N$38,7)*S4+VLOOKUP(O4,'2015 Avoided Costs'!$P$9:$AB$38,7)*T4/1000+VLOOKUP(O4,'2015 Avoided Costs'!$AD$9:$AP$38,7)*U4,VLOOKUP(O4,'2015 Avoided Costs'!$B$9:$N$38,9)*S4+VLOOKUP(O4,'2015 Avoided Costs'!$P$9:$AB$38,9)*T4/1000+VLOOKUP(O4,'2015 Avoided Costs'!$AD$9:$AP$38,9)*U4))</f>
        <v>6535.0238450749985</v>
      </c>
      <c r="H4" s="49">
        <f t="shared" ref="H4:H67" si="4">(((1-Q4)*V4))</f>
        <v>2375</v>
      </c>
      <c r="I4" s="49">
        <f t="shared" ref="I4:I67" si="5">G4-H4</f>
        <v>4160.0238450749985</v>
      </c>
      <c r="J4" s="49">
        <f t="shared" si="2"/>
        <v>52280.190760599988</v>
      </c>
      <c r="K4" s="49">
        <f t="shared" si="3"/>
        <v>19000</v>
      </c>
      <c r="L4" s="49">
        <f t="shared" ref="L4:L67" si="6">J4-K4</f>
        <v>33280.190760599988</v>
      </c>
      <c r="M4" s="62">
        <f t="shared" ref="M4:M67" si="7">(J4)/K4</f>
        <v>2.7515889873999995</v>
      </c>
      <c r="N4" s="81"/>
      <c r="O4" s="82">
        <v>15</v>
      </c>
      <c r="P4" s="82" t="s">
        <v>55</v>
      </c>
      <c r="Q4" s="83">
        <v>0.05</v>
      </c>
      <c r="R4" s="83">
        <v>1</v>
      </c>
      <c r="S4" s="84">
        <v>1529</v>
      </c>
      <c r="T4" s="85">
        <v>0</v>
      </c>
      <c r="U4" s="86">
        <v>1023</v>
      </c>
      <c r="V4" s="87">
        <v>2500</v>
      </c>
    </row>
    <row r="5" spans="2:22" s="78" customFormat="1" x14ac:dyDescent="0.3">
      <c r="B5" s="59" t="s">
        <v>49</v>
      </c>
      <c r="C5" s="60" t="s">
        <v>31</v>
      </c>
      <c r="D5" s="61">
        <v>13</v>
      </c>
      <c r="E5" s="80">
        <f t="shared" si="0"/>
        <v>293621.25</v>
      </c>
      <c r="F5" s="80">
        <f t="shared" si="1"/>
        <v>3817076.25</v>
      </c>
      <c r="G5" s="49">
        <f>1.15*(1-Q5)*R5*(IF(P5="baseload",VLOOKUP(O5,'2015 Avoided Costs'!$B$9:$N$38,7)*S5+VLOOKUP(O5,'2015 Avoided Costs'!$P$9:$AB$38,7)*T5/1000+VLOOKUP(O5,'2015 Avoided Costs'!$AD$9:$AP$38,7)*U5,VLOOKUP(O5,'2015 Avoided Costs'!$B$9:$N$38,9)*S5+VLOOKUP(O5,'2015 Avoided Costs'!$P$9:$AB$38,9)*T5/1000+VLOOKUP(O5,'2015 Avoided Costs'!$AD$9:$AP$38,9)*U5))</f>
        <v>64717.05866274998</v>
      </c>
      <c r="H5" s="49">
        <f t="shared" si="4"/>
        <v>9661.5</v>
      </c>
      <c r="I5" s="49">
        <f t="shared" si="5"/>
        <v>55055.55866274998</v>
      </c>
      <c r="J5" s="49">
        <f t="shared" si="2"/>
        <v>841321.76261574973</v>
      </c>
      <c r="K5" s="49">
        <f t="shared" si="3"/>
        <v>125599.5</v>
      </c>
      <c r="L5" s="49">
        <f t="shared" si="6"/>
        <v>715722.26261574973</v>
      </c>
      <c r="M5" s="62">
        <f t="shared" si="7"/>
        <v>6.6984483426745305</v>
      </c>
      <c r="N5" s="81"/>
      <c r="O5" s="82">
        <v>15</v>
      </c>
      <c r="P5" s="82" t="s">
        <v>55</v>
      </c>
      <c r="Q5" s="83">
        <v>0.05</v>
      </c>
      <c r="R5" s="83">
        <v>1</v>
      </c>
      <c r="S5" s="84">
        <v>20605</v>
      </c>
      <c r="T5" s="85">
        <v>0</v>
      </c>
      <c r="U5" s="86">
        <v>-936</v>
      </c>
      <c r="V5" s="87">
        <v>10170</v>
      </c>
    </row>
    <row r="6" spans="2:22" s="78" customFormat="1" x14ac:dyDescent="0.3">
      <c r="B6" s="59" t="s">
        <v>49</v>
      </c>
      <c r="C6" s="60" t="s">
        <v>32</v>
      </c>
      <c r="D6" s="61">
        <v>1</v>
      </c>
      <c r="E6" s="80">
        <f t="shared" si="0"/>
        <v>134762.25</v>
      </c>
      <c r="F6" s="80">
        <f t="shared" si="1"/>
        <v>134762.25</v>
      </c>
      <c r="G6" s="49">
        <f>1.15*(1-Q6)*R6*(IF(P6="baseload",VLOOKUP(O6,'2015 Avoided Costs'!$B$9:$N$38,7)*S6+VLOOKUP(O6,'2015 Avoided Costs'!$P$9:$AB$38,7)*T6/1000+VLOOKUP(O6,'2015 Avoided Costs'!$AD$9:$AP$38,7)*U6,VLOOKUP(O6,'2015 Avoided Costs'!$B$9:$N$38,9)*S6+VLOOKUP(O6,'2015 Avoided Costs'!$P$9:$AB$38,9)*T6/1000+VLOOKUP(O6,'2015 Avoided Costs'!$AD$9:$AP$38,9)*U6))</f>
        <v>22105.183986849996</v>
      </c>
      <c r="H6" s="49">
        <f t="shared" si="4"/>
        <v>7829.9</v>
      </c>
      <c r="I6" s="49">
        <f t="shared" si="5"/>
        <v>14275.283986849996</v>
      </c>
      <c r="J6" s="49">
        <f t="shared" si="2"/>
        <v>22105.183986849996</v>
      </c>
      <c r="K6" s="49">
        <f t="shared" si="3"/>
        <v>7829.9</v>
      </c>
      <c r="L6" s="49">
        <f t="shared" si="6"/>
        <v>14275.283986849996</v>
      </c>
      <c r="M6" s="62">
        <f t="shared" si="7"/>
        <v>2.8231757732346514</v>
      </c>
      <c r="N6" s="81"/>
      <c r="O6" s="82">
        <v>15</v>
      </c>
      <c r="P6" s="82" t="s">
        <v>55</v>
      </c>
      <c r="Q6" s="83">
        <v>0.05</v>
      </c>
      <c r="R6" s="83">
        <v>1</v>
      </c>
      <c r="S6" s="84">
        <v>9457</v>
      </c>
      <c r="T6" s="85">
        <v>0</v>
      </c>
      <c r="U6" s="86">
        <v>-5220</v>
      </c>
      <c r="V6" s="87">
        <v>8242</v>
      </c>
    </row>
    <row r="7" spans="2:22" s="78" customFormat="1" x14ac:dyDescent="0.3">
      <c r="B7" s="59" t="s">
        <v>49</v>
      </c>
      <c r="C7" s="60" t="s">
        <v>33</v>
      </c>
      <c r="D7" s="61">
        <v>3</v>
      </c>
      <c r="E7" s="80">
        <f t="shared" si="0"/>
        <v>107801.25</v>
      </c>
      <c r="F7" s="80">
        <f t="shared" si="1"/>
        <v>323403.75</v>
      </c>
      <c r="G7" s="49">
        <f>1.15*(1-Q7)*R7*(IF(P7="baseload",VLOOKUP(O7,'2015 Avoided Costs'!$B$9:$N$38,7)*S7+VLOOKUP(O7,'2015 Avoided Costs'!$P$9:$AB$38,7)*T7/1000+VLOOKUP(O7,'2015 Avoided Costs'!$AD$9:$AP$38,7)*U7,VLOOKUP(O7,'2015 Avoided Costs'!$B$9:$N$38,9)*S7+VLOOKUP(O7,'2015 Avoided Costs'!$P$9:$AB$38,9)*T7/1000+VLOOKUP(O7,'2015 Avoided Costs'!$AD$9:$AP$38,9)*U7))</f>
        <v>15772.631058249995</v>
      </c>
      <c r="H7" s="49">
        <f t="shared" si="4"/>
        <v>7829.9</v>
      </c>
      <c r="I7" s="49">
        <f t="shared" si="5"/>
        <v>7942.7310582499958</v>
      </c>
      <c r="J7" s="49">
        <f t="shared" si="2"/>
        <v>47317.893174749988</v>
      </c>
      <c r="K7" s="49">
        <f t="shared" si="3"/>
        <v>23489.699999999997</v>
      </c>
      <c r="L7" s="49">
        <f t="shared" si="6"/>
        <v>23828.193174749991</v>
      </c>
      <c r="M7" s="62">
        <f t="shared" si="7"/>
        <v>2.0144102808784274</v>
      </c>
      <c r="N7" s="81"/>
      <c r="O7" s="88">
        <v>15</v>
      </c>
      <c r="P7" s="88" t="s">
        <v>55</v>
      </c>
      <c r="Q7" s="89">
        <v>0.05</v>
      </c>
      <c r="R7" s="89">
        <v>1</v>
      </c>
      <c r="S7" s="90">
        <v>7565</v>
      </c>
      <c r="T7" s="91">
        <v>0</v>
      </c>
      <c r="U7" s="92">
        <v>-5380</v>
      </c>
      <c r="V7" s="93">
        <v>8242</v>
      </c>
    </row>
    <row r="8" spans="2:22" s="78" customFormat="1" x14ac:dyDescent="0.3">
      <c r="B8" s="59" t="s">
        <v>50</v>
      </c>
      <c r="C8" s="60" t="s">
        <v>105</v>
      </c>
      <c r="D8" s="61">
        <v>135</v>
      </c>
      <c r="E8" s="80">
        <f t="shared" si="0"/>
        <v>442534.83299999993</v>
      </c>
      <c r="F8" s="80">
        <f t="shared" si="1"/>
        <v>59742202.454999991</v>
      </c>
      <c r="G8" s="49">
        <f>1.15*(1-Q8)*R8*(IF(P8="baseload",VLOOKUP(O8,'2015 Avoided Costs'!$B$9:$N$38,7)*S8+VLOOKUP(O8,'2015 Avoided Costs'!$P$9:$AB$38,7)*T8/1000+VLOOKUP(O8,'2015 Avoided Costs'!$AD$9:$AP$38,7)*U8,VLOOKUP(O8,'2015 Avoided Costs'!$B$9:$N$38,9)*S8+VLOOKUP(O8,'2015 Avoided Costs'!$P$9:$AB$38,9)*T8/1000+VLOOKUP(O8,'2015 Avoided Costs'!$AD$9:$AP$38,9)*U8))</f>
        <v>95770.689095378679</v>
      </c>
      <c r="H8" s="49">
        <f t="shared" si="4"/>
        <v>20425</v>
      </c>
      <c r="I8" s="49">
        <f t="shared" si="5"/>
        <v>75345.689095378679</v>
      </c>
      <c r="J8" s="49">
        <f t="shared" si="2"/>
        <v>12929043.027876122</v>
      </c>
      <c r="K8" s="49">
        <f t="shared" si="3"/>
        <v>2757375</v>
      </c>
      <c r="L8" s="49">
        <f t="shared" si="6"/>
        <v>10171668.027876122</v>
      </c>
      <c r="M8" s="62">
        <f t="shared" si="7"/>
        <v>4.688895426946325</v>
      </c>
      <c r="N8" s="81"/>
      <c r="O8" s="94">
        <v>25</v>
      </c>
      <c r="P8" s="95" t="s">
        <v>55</v>
      </c>
      <c r="Q8" s="96">
        <v>0.05</v>
      </c>
      <c r="R8" s="96">
        <v>1</v>
      </c>
      <c r="S8" s="97">
        <v>18633.045599999998</v>
      </c>
      <c r="T8" s="98">
        <v>0</v>
      </c>
      <c r="U8" s="99">
        <v>0</v>
      </c>
      <c r="V8" s="100">
        <v>21500</v>
      </c>
    </row>
    <row r="9" spans="2:22" s="78" customFormat="1" x14ac:dyDescent="0.3">
      <c r="B9" s="59" t="s">
        <v>50</v>
      </c>
      <c r="C9" s="60" t="s">
        <v>106</v>
      </c>
      <c r="D9" s="61">
        <v>245</v>
      </c>
      <c r="E9" s="80">
        <f t="shared" si="0"/>
        <v>124529.98999999998</v>
      </c>
      <c r="F9" s="80">
        <f t="shared" si="1"/>
        <v>30509847.549999993</v>
      </c>
      <c r="G9" s="49">
        <f>1.15*(1-Q9)*R9*(IF(P9="baseload",VLOOKUP(O9,'2015 Avoided Costs'!$B$9:$N$38,7)*S9+VLOOKUP(O9,'2015 Avoided Costs'!$P$9:$AB$38,7)*T9/1000+VLOOKUP(O9,'2015 Avoided Costs'!$AD$9:$AP$38,7)*U9,VLOOKUP(O9,'2015 Avoided Costs'!$B$9:$N$38,9)*S9+VLOOKUP(O9,'2015 Avoided Costs'!$P$9:$AB$38,9)*T9/1000+VLOOKUP(O9,'2015 Avoided Costs'!$AD$9:$AP$38,9)*U9))</f>
        <v>26950.020802860992</v>
      </c>
      <c r="H9" s="49">
        <f t="shared" si="4"/>
        <v>5747.5</v>
      </c>
      <c r="I9" s="49">
        <f t="shared" si="5"/>
        <v>21202.520802860992</v>
      </c>
      <c r="J9" s="49">
        <f t="shared" si="2"/>
        <v>6602755.0967009431</v>
      </c>
      <c r="K9" s="49">
        <f t="shared" si="3"/>
        <v>1408137.5</v>
      </c>
      <c r="L9" s="49">
        <f t="shared" si="6"/>
        <v>5194617.5967009431</v>
      </c>
      <c r="M9" s="62">
        <f t="shared" si="7"/>
        <v>4.6889988347735523</v>
      </c>
      <c r="N9" s="81"/>
      <c r="O9" s="82">
        <v>25</v>
      </c>
      <c r="P9" s="82" t="s">
        <v>55</v>
      </c>
      <c r="Q9" s="101">
        <v>0.05</v>
      </c>
      <c r="R9" s="101">
        <v>1</v>
      </c>
      <c r="S9" s="84">
        <v>5243.3679999999995</v>
      </c>
      <c r="T9" s="85">
        <v>0</v>
      </c>
      <c r="U9" s="86">
        <v>0</v>
      </c>
      <c r="V9" s="87">
        <v>6050</v>
      </c>
    </row>
    <row r="10" spans="2:22" s="78" customFormat="1" x14ac:dyDescent="0.3">
      <c r="B10" s="59" t="s">
        <v>51</v>
      </c>
      <c r="C10" s="60" t="s">
        <v>107</v>
      </c>
      <c r="D10" s="61">
        <v>32</v>
      </c>
      <c r="E10" s="80">
        <f t="shared" si="0"/>
        <v>64046.914037499999</v>
      </c>
      <c r="F10" s="80">
        <f t="shared" si="1"/>
        <v>2049501.2492</v>
      </c>
      <c r="G10" s="49">
        <f>1.15*(1-Q10)*R10*(IF(P10="baseload",VLOOKUP(O10,'2015 Avoided Costs'!$B$9:$N$38,7)*S10+VLOOKUP(O10,'2015 Avoided Costs'!$P$9:$AB$38,7)*T10/1000+VLOOKUP(O10,'2015 Avoided Costs'!$AD$9:$AP$38,7)*U10,VLOOKUP(O10,'2015 Avoided Costs'!$B$9:$N$38,9)*S10+VLOOKUP(O10,'2015 Avoided Costs'!$P$9:$AB$38,9)*T10/1000+VLOOKUP(O10,'2015 Avoided Costs'!$AD$9:$AP$38,9)*U10))</f>
        <v>13860.642449820118</v>
      </c>
      <c r="H10" s="49">
        <f t="shared" si="4"/>
        <v>3065.6499999999996</v>
      </c>
      <c r="I10" s="49">
        <f t="shared" si="5"/>
        <v>10794.992449820118</v>
      </c>
      <c r="J10" s="49">
        <f t="shared" si="2"/>
        <v>443540.55839424377</v>
      </c>
      <c r="K10" s="49">
        <f t="shared" si="3"/>
        <v>98100.799999999988</v>
      </c>
      <c r="L10" s="49">
        <f t="shared" si="6"/>
        <v>345439.75839424378</v>
      </c>
      <c r="M10" s="62">
        <f t="shared" si="7"/>
        <v>4.5212736123889288</v>
      </c>
      <c r="N10" s="81"/>
      <c r="O10" s="82">
        <v>25</v>
      </c>
      <c r="P10" s="82" t="s">
        <v>55</v>
      </c>
      <c r="Q10" s="101">
        <v>0.05</v>
      </c>
      <c r="R10" s="101">
        <v>1</v>
      </c>
      <c r="S10" s="84">
        <v>2696.7121699999998</v>
      </c>
      <c r="T10" s="85">
        <v>0</v>
      </c>
      <c r="U10" s="86">
        <v>0</v>
      </c>
      <c r="V10" s="87">
        <v>3227</v>
      </c>
    </row>
    <row r="11" spans="2:22" s="78" customFormat="1" ht="31.2" x14ac:dyDescent="0.3">
      <c r="B11" s="59" t="s">
        <v>52</v>
      </c>
      <c r="C11" s="60" t="s">
        <v>108</v>
      </c>
      <c r="D11" s="61">
        <v>100</v>
      </c>
      <c r="E11" s="80">
        <f t="shared" si="0"/>
        <v>62583.706462499998</v>
      </c>
      <c r="F11" s="80">
        <f t="shared" si="1"/>
        <v>6258370.6462500002</v>
      </c>
      <c r="G11" s="49">
        <f>1.15*(1-Q11)*R11*(IF(P11="baseload",VLOOKUP(O11,'2015 Avoided Costs'!$B$9:$N$38,7)*S11+VLOOKUP(O11,'2015 Avoided Costs'!$P$9:$AB$38,7)*T11/1000+VLOOKUP(O11,'2015 Avoided Costs'!$AD$9:$AP$38,7)*U11,VLOOKUP(O11,'2015 Avoided Costs'!$B$9:$N$38,9)*S11+VLOOKUP(O11,'2015 Avoided Costs'!$P$9:$AB$38,9)*T11/1000+VLOOKUP(O11,'2015 Avoided Costs'!$AD$9:$AP$38,9)*U11))</f>
        <v>13543.983992004823</v>
      </c>
      <c r="H11" s="49">
        <f t="shared" si="4"/>
        <v>3607.1499999999996</v>
      </c>
      <c r="I11" s="49">
        <f t="shared" si="5"/>
        <v>9936.8339920048238</v>
      </c>
      <c r="J11" s="49">
        <f t="shared" si="2"/>
        <v>1354398.3992004823</v>
      </c>
      <c r="K11" s="49">
        <f t="shared" si="3"/>
        <v>360714.99999999994</v>
      </c>
      <c r="L11" s="49">
        <f>J11-K11</f>
        <v>993683.39920048229</v>
      </c>
      <c r="M11" s="62">
        <f t="shared" si="7"/>
        <v>3.7547604041985569</v>
      </c>
      <c r="N11" s="81"/>
      <c r="O11" s="88">
        <v>25</v>
      </c>
      <c r="P11" s="88" t="s">
        <v>55</v>
      </c>
      <c r="Q11" s="102">
        <v>0.05</v>
      </c>
      <c r="R11" s="102">
        <v>1</v>
      </c>
      <c r="S11" s="90">
        <v>2635.1034299999997</v>
      </c>
      <c r="T11" s="91">
        <v>0</v>
      </c>
      <c r="U11" s="92">
        <v>0</v>
      </c>
      <c r="V11" s="93">
        <v>3797</v>
      </c>
    </row>
    <row r="12" spans="2:22" s="78" customFormat="1" ht="31.2" x14ac:dyDescent="0.3">
      <c r="B12" s="59" t="s">
        <v>50</v>
      </c>
      <c r="C12" s="60" t="s">
        <v>109</v>
      </c>
      <c r="D12" s="61">
        <v>7</v>
      </c>
      <c r="E12" s="80">
        <f t="shared" si="0"/>
        <v>191187.5</v>
      </c>
      <c r="F12" s="80">
        <f t="shared" si="1"/>
        <v>1338312.5</v>
      </c>
      <c r="G12" s="49">
        <f>1.15*(1-Q12)*R12*(IF(P12="baseload",VLOOKUP(O12,'2015 Avoided Costs'!$B$9:$N$38,7)*S12+VLOOKUP(O12,'2015 Avoided Costs'!$P$9:$AB$38,7)*T12/1000+VLOOKUP(O12,'2015 Avoided Costs'!$AD$9:$AP$38,7)*U12,VLOOKUP(O12,'2015 Avoided Costs'!$B$9:$N$38,9)*S12+VLOOKUP(O12,'2015 Avoided Costs'!$P$9:$AB$38,9)*T12/1000+VLOOKUP(O12,'2015 Avoided Costs'!$AD$9:$AP$38,9)*U12))</f>
        <v>40296.795857499994</v>
      </c>
      <c r="H12" s="49">
        <f t="shared" si="4"/>
        <v>14250</v>
      </c>
      <c r="I12" s="49">
        <f t="shared" si="5"/>
        <v>26046.795857499994</v>
      </c>
      <c r="J12" s="49">
        <f t="shared" si="2"/>
        <v>282077.57100249996</v>
      </c>
      <c r="K12" s="49">
        <f t="shared" si="3"/>
        <v>99750</v>
      </c>
      <c r="L12" s="49">
        <f>J12-K12</f>
        <v>182327.57100249996</v>
      </c>
      <c r="M12" s="62">
        <f t="shared" si="7"/>
        <v>2.8278453233333329</v>
      </c>
      <c r="N12" s="81"/>
      <c r="O12" s="95">
        <v>25</v>
      </c>
      <c r="P12" s="95" t="s">
        <v>54</v>
      </c>
      <c r="Q12" s="96">
        <v>0.05</v>
      </c>
      <c r="R12" s="96">
        <v>1</v>
      </c>
      <c r="S12" s="97">
        <v>8050</v>
      </c>
      <c r="T12" s="98">
        <v>0</v>
      </c>
      <c r="U12" s="99">
        <v>0</v>
      </c>
      <c r="V12" s="100">
        <v>15000</v>
      </c>
    </row>
    <row r="13" spans="2:22" s="78" customFormat="1" ht="31.2" x14ac:dyDescent="0.3">
      <c r="B13" s="59" t="s">
        <v>50</v>
      </c>
      <c r="C13" s="60" t="s">
        <v>110</v>
      </c>
      <c r="D13" s="61">
        <v>25</v>
      </c>
      <c r="E13" s="80">
        <f t="shared" si="0"/>
        <v>76208.92518749999</v>
      </c>
      <c r="F13" s="80">
        <f t="shared" si="1"/>
        <v>1905223.1296874997</v>
      </c>
      <c r="G13" s="49">
        <f>1.15*(1-Q13)*R13*(IF(P13="baseload",VLOOKUP(O13,'2015 Avoided Costs'!$B$9:$N$38,7)*S13+VLOOKUP(O13,'2015 Avoided Costs'!$P$9:$AB$38,7)*T13/1000+VLOOKUP(O13,'2015 Avoided Costs'!$AD$9:$AP$38,7)*U13,VLOOKUP(O13,'2015 Avoided Costs'!$B$9:$N$38,9)*S13+VLOOKUP(O13,'2015 Avoided Costs'!$P$9:$AB$38,9)*T13/1000+VLOOKUP(O13,'2015 Avoided Costs'!$AD$9:$AP$38,9)*U13))</f>
        <v>16062.637467408571</v>
      </c>
      <c r="H13" s="49">
        <f t="shared" si="4"/>
        <v>4977.05</v>
      </c>
      <c r="I13" s="49">
        <f t="shared" si="5"/>
        <v>11085.587467408572</v>
      </c>
      <c r="J13" s="49">
        <f t="shared" si="2"/>
        <v>401565.93668521428</v>
      </c>
      <c r="K13" s="49">
        <f t="shared" si="3"/>
        <v>124426.25</v>
      </c>
      <c r="L13" s="49">
        <f t="shared" si="6"/>
        <v>277139.68668521428</v>
      </c>
      <c r="M13" s="62">
        <f t="shared" si="7"/>
        <v>3.2273409886194777</v>
      </c>
      <c r="N13" s="81"/>
      <c r="O13" s="82">
        <v>25</v>
      </c>
      <c r="P13" s="82" t="s">
        <v>54</v>
      </c>
      <c r="Q13" s="101">
        <v>0.05</v>
      </c>
      <c r="R13" s="101">
        <v>1</v>
      </c>
      <c r="S13" s="84">
        <v>3208.7968499999997</v>
      </c>
      <c r="T13" s="85">
        <v>0</v>
      </c>
      <c r="U13" s="86">
        <v>0</v>
      </c>
      <c r="V13" s="87">
        <v>5239</v>
      </c>
    </row>
    <row r="14" spans="2:22" s="78" customFormat="1" ht="13.5" customHeight="1" x14ac:dyDescent="0.3">
      <c r="B14" s="59" t="s">
        <v>51</v>
      </c>
      <c r="C14" s="60" t="s">
        <v>111</v>
      </c>
      <c r="D14" s="61">
        <v>4</v>
      </c>
      <c r="E14" s="80">
        <f t="shared" si="0"/>
        <v>47452.5</v>
      </c>
      <c r="F14" s="80">
        <f t="shared" si="1"/>
        <v>189810</v>
      </c>
      <c r="G14" s="49">
        <f>1.15*(1-Q14)*R14*(IF(P14="baseload",VLOOKUP(O14,'2015 Avoided Costs'!$B$9:$N$38,7)*S14+VLOOKUP(O14,'2015 Avoided Costs'!$P$9:$AB$38,7)*T14/1000+VLOOKUP(O14,'2015 Avoided Costs'!$AD$9:$AP$38,7)*U14,VLOOKUP(O14,'2015 Avoided Costs'!$B$9:$N$38,9)*S14+VLOOKUP(O14,'2015 Avoided Costs'!$P$9:$AB$38,9)*T14/1000+VLOOKUP(O14,'2015 Avoided Costs'!$AD$9:$AP$38,9)*U14))</f>
        <v>10001.614673699998</v>
      </c>
      <c r="H14" s="49">
        <f t="shared" si="4"/>
        <v>2293.2999999999997</v>
      </c>
      <c r="I14" s="49">
        <f t="shared" si="5"/>
        <v>7708.3146736999988</v>
      </c>
      <c r="J14" s="49">
        <f t="shared" si="2"/>
        <v>40006.458694799992</v>
      </c>
      <c r="K14" s="49">
        <f t="shared" si="3"/>
        <v>9173.1999999999989</v>
      </c>
      <c r="L14" s="49">
        <f t="shared" si="6"/>
        <v>30833.258694799995</v>
      </c>
      <c r="M14" s="62">
        <f t="shared" si="7"/>
        <v>4.361232579121789</v>
      </c>
      <c r="N14" s="81"/>
      <c r="O14" s="82">
        <v>25</v>
      </c>
      <c r="P14" s="82" t="s">
        <v>54</v>
      </c>
      <c r="Q14" s="101">
        <v>0.05</v>
      </c>
      <c r="R14" s="101">
        <v>1</v>
      </c>
      <c r="S14" s="84">
        <v>1998</v>
      </c>
      <c r="T14" s="85">
        <v>0</v>
      </c>
      <c r="U14" s="86">
        <v>0</v>
      </c>
      <c r="V14" s="87">
        <v>2414</v>
      </c>
    </row>
    <row r="15" spans="2:22" s="78" customFormat="1" ht="31.2" x14ac:dyDescent="0.3">
      <c r="B15" s="59" t="s">
        <v>52</v>
      </c>
      <c r="C15" s="60" t="s">
        <v>112</v>
      </c>
      <c r="D15" s="61">
        <v>12</v>
      </c>
      <c r="E15" s="80">
        <f t="shared" si="0"/>
        <v>63111.539999999994</v>
      </c>
      <c r="F15" s="80">
        <f t="shared" si="1"/>
        <v>757338.48</v>
      </c>
      <c r="G15" s="49">
        <f>1.15*(1-Q15)*R15*(IF(P15="baseload",VLOOKUP(O15,'2015 Avoided Costs'!$B$9:$N$38,7)*S15+VLOOKUP(O15,'2015 Avoided Costs'!$P$9:$AB$38,7)*T15/1000+VLOOKUP(O15,'2015 Avoided Costs'!$AD$9:$AP$38,7)*U15,VLOOKUP(O15,'2015 Avoided Costs'!$B$9:$N$38,9)*S15+VLOOKUP(O15,'2015 Avoided Costs'!$P$9:$AB$38,9)*T15/1000+VLOOKUP(O15,'2015 Avoided Costs'!$AD$9:$AP$38,9)*U15))</f>
        <v>13302.087446263198</v>
      </c>
      <c r="H15" s="49">
        <f t="shared" si="4"/>
        <v>3607.1499999999996</v>
      </c>
      <c r="I15" s="49">
        <f t="shared" si="5"/>
        <v>9694.9374462631986</v>
      </c>
      <c r="J15" s="49">
        <f t="shared" si="2"/>
        <v>159625.04935515838</v>
      </c>
      <c r="K15" s="49">
        <f t="shared" si="3"/>
        <v>43285.799999999996</v>
      </c>
      <c r="L15" s="49">
        <f t="shared" si="6"/>
        <v>116339.24935515839</v>
      </c>
      <c r="M15" s="62">
        <f t="shared" si="7"/>
        <v>3.6877001084687908</v>
      </c>
      <c r="N15" s="81"/>
      <c r="O15" s="88">
        <v>25</v>
      </c>
      <c r="P15" s="88" t="s">
        <v>54</v>
      </c>
      <c r="Q15" s="102">
        <v>0.05</v>
      </c>
      <c r="R15" s="102">
        <v>1</v>
      </c>
      <c r="S15" s="90">
        <v>2657.328</v>
      </c>
      <c r="T15" s="91">
        <v>0</v>
      </c>
      <c r="U15" s="92">
        <v>0</v>
      </c>
      <c r="V15" s="93">
        <v>3797</v>
      </c>
    </row>
    <row r="16" spans="2:22" s="78" customFormat="1" x14ac:dyDescent="0.3">
      <c r="B16" s="59" t="s">
        <v>50</v>
      </c>
      <c r="C16" s="60" t="s">
        <v>34</v>
      </c>
      <c r="D16" s="61">
        <v>25</v>
      </c>
      <c r="E16" s="80">
        <f t="shared" si="0"/>
        <v>4100.2</v>
      </c>
      <c r="F16" s="80">
        <f t="shared" si="1"/>
        <v>102505</v>
      </c>
      <c r="G16" s="49">
        <f>1.15*(1-Q16)*R16*(IF(P16="baseload",VLOOKUP(O16,'2015 Avoided Costs'!$B$9:$N$38,7)*S16+VLOOKUP(O16,'2015 Avoided Costs'!$P$9:$AB$38,7)*T16/1000+VLOOKUP(O16,'2015 Avoided Costs'!$AD$9:$AP$38,7)*U16,VLOOKUP(O16,'2015 Avoided Costs'!$B$9:$N$38,9)*S16+VLOOKUP(O16,'2015 Avoided Costs'!$P$9:$AB$38,9)*T16/1000+VLOOKUP(O16,'2015 Avoided Costs'!$AD$9:$AP$38,9)*U16))</f>
        <v>903.10074769999972</v>
      </c>
      <c r="H16" s="49">
        <f t="shared" si="4"/>
        <v>2118.5</v>
      </c>
      <c r="I16" s="49">
        <f t="shared" si="5"/>
        <v>-1215.3992523000002</v>
      </c>
      <c r="J16" s="49">
        <f t="shared" si="2"/>
        <v>22577.518692499994</v>
      </c>
      <c r="K16" s="49">
        <f t="shared" si="3"/>
        <v>52962.5</v>
      </c>
      <c r="L16" s="49">
        <f t="shared" si="6"/>
        <v>-30384.981307500006</v>
      </c>
      <c r="M16" s="62">
        <f t="shared" si="7"/>
        <v>0.42629254080717477</v>
      </c>
      <c r="N16" s="81"/>
      <c r="O16" s="95">
        <v>13</v>
      </c>
      <c r="P16" s="95" t="s">
        <v>54</v>
      </c>
      <c r="Q16" s="96">
        <v>0.05</v>
      </c>
      <c r="R16" s="96">
        <v>1</v>
      </c>
      <c r="S16" s="97">
        <v>332</v>
      </c>
      <c r="T16" s="98">
        <v>0</v>
      </c>
      <c r="U16" s="99">
        <v>0</v>
      </c>
      <c r="V16" s="100">
        <v>2230</v>
      </c>
    </row>
    <row r="17" spans="2:22" s="78" customFormat="1" x14ac:dyDescent="0.3">
      <c r="B17" s="59" t="s">
        <v>50</v>
      </c>
      <c r="C17" s="60" t="s">
        <v>35</v>
      </c>
      <c r="D17" s="61">
        <v>50</v>
      </c>
      <c r="E17" s="80">
        <f t="shared" si="0"/>
        <v>10781.55</v>
      </c>
      <c r="F17" s="80">
        <f t="shared" si="1"/>
        <v>539077.5</v>
      </c>
      <c r="G17" s="49">
        <f>1.15*(1-Q17)*R17*(IF(P17="baseload",VLOOKUP(O17,'2015 Avoided Costs'!$B$9:$N$38,7)*S17+VLOOKUP(O17,'2015 Avoided Costs'!$P$9:$AB$38,7)*T17/1000+VLOOKUP(O17,'2015 Avoided Costs'!$AD$9:$AP$38,7)*U17,VLOOKUP(O17,'2015 Avoided Costs'!$B$9:$N$38,9)*S17+VLOOKUP(O17,'2015 Avoided Costs'!$P$9:$AB$38,9)*T17/1000+VLOOKUP(O17,'2015 Avoided Costs'!$AD$9:$AP$38,9)*U17))</f>
        <v>2374.7197371749994</v>
      </c>
      <c r="H17" s="49">
        <f t="shared" si="4"/>
        <v>2118.5</v>
      </c>
      <c r="I17" s="49">
        <f t="shared" si="5"/>
        <v>256.21973717499941</v>
      </c>
      <c r="J17" s="49">
        <f t="shared" si="2"/>
        <v>118735.98685874997</v>
      </c>
      <c r="K17" s="49">
        <f t="shared" si="3"/>
        <v>105925</v>
      </c>
      <c r="L17" s="49">
        <f t="shared" si="6"/>
        <v>12810.986858749966</v>
      </c>
      <c r="M17" s="62">
        <f t="shared" si="7"/>
        <v>1.1209439401345289</v>
      </c>
      <c r="N17" s="81"/>
      <c r="O17" s="82">
        <v>13</v>
      </c>
      <c r="P17" s="82" t="s">
        <v>54</v>
      </c>
      <c r="Q17" s="101">
        <v>0.05</v>
      </c>
      <c r="R17" s="101">
        <v>1</v>
      </c>
      <c r="S17" s="84">
        <v>873</v>
      </c>
      <c r="T17" s="85">
        <v>0</v>
      </c>
      <c r="U17" s="86">
        <v>0</v>
      </c>
      <c r="V17" s="87">
        <v>2230</v>
      </c>
    </row>
    <row r="18" spans="2:22" s="78" customFormat="1" x14ac:dyDescent="0.3">
      <c r="B18" s="59" t="s">
        <v>50</v>
      </c>
      <c r="C18" s="60" t="s">
        <v>36</v>
      </c>
      <c r="D18" s="61">
        <v>105</v>
      </c>
      <c r="E18" s="80">
        <f t="shared" si="0"/>
        <v>19154.849999999999</v>
      </c>
      <c r="F18" s="80">
        <f t="shared" si="1"/>
        <v>2011259.2499999998</v>
      </c>
      <c r="G18" s="49">
        <f>1.15*(1-Q18)*R18*(IF(P18="baseload",VLOOKUP(O18,'2015 Avoided Costs'!$B$9:$N$38,7)*S18+VLOOKUP(O18,'2015 Avoided Costs'!$P$9:$AB$38,7)*T18/1000+VLOOKUP(O18,'2015 Avoided Costs'!$AD$9:$AP$38,7)*U18,VLOOKUP(O18,'2015 Avoided Costs'!$B$9:$N$38,9)*S18+VLOOKUP(O18,'2015 Avoided Costs'!$P$9:$AB$38,9)*T18/1000+VLOOKUP(O18,'2015 Avoided Costs'!$AD$9:$AP$38,9)*U18))</f>
        <v>4219.0037942249992</v>
      </c>
      <c r="H18" s="49">
        <f t="shared" si="4"/>
        <v>2118.5</v>
      </c>
      <c r="I18" s="49">
        <f t="shared" si="5"/>
        <v>2100.5037942249992</v>
      </c>
      <c r="J18" s="49">
        <f t="shared" si="2"/>
        <v>442995.39839362493</v>
      </c>
      <c r="K18" s="49">
        <f t="shared" si="3"/>
        <v>222442.5</v>
      </c>
      <c r="L18" s="49">
        <f t="shared" si="6"/>
        <v>220552.89839362493</v>
      </c>
      <c r="M18" s="62">
        <f t="shared" si="7"/>
        <v>1.9915052132286992</v>
      </c>
      <c r="N18" s="81"/>
      <c r="O18" s="88">
        <v>13</v>
      </c>
      <c r="P18" s="88" t="s">
        <v>54</v>
      </c>
      <c r="Q18" s="102">
        <v>0.05</v>
      </c>
      <c r="R18" s="102">
        <v>1</v>
      </c>
      <c r="S18" s="90">
        <v>1551</v>
      </c>
      <c r="T18" s="91">
        <v>0</v>
      </c>
      <c r="U18" s="92">
        <v>0</v>
      </c>
      <c r="V18" s="93">
        <v>2230</v>
      </c>
    </row>
    <row r="19" spans="2:22" s="78" customFormat="1" ht="31.2" x14ac:dyDescent="0.3">
      <c r="B19" s="59" t="s">
        <v>50</v>
      </c>
      <c r="C19" s="60" t="s">
        <v>113</v>
      </c>
      <c r="D19" s="61">
        <v>10</v>
      </c>
      <c r="E19" s="80">
        <f t="shared" si="0"/>
        <v>41727.42</v>
      </c>
      <c r="F19" s="80">
        <f t="shared" si="1"/>
        <v>417274.19999999995</v>
      </c>
      <c r="G19" s="49">
        <f>1.15*(1-Q19)*R19*(IF(P19="baseload",VLOOKUP(O19,'2015 Avoided Costs'!$B$9:$N$38,7)*S19+VLOOKUP(O19,'2015 Avoided Costs'!$P$9:$AB$38,7)*T19/1000+VLOOKUP(O19,'2015 Avoided Costs'!$AD$9:$AP$38,7)*U19,VLOOKUP(O19,'2015 Avoided Costs'!$B$9:$N$38,9)*S19+VLOOKUP(O19,'2015 Avoided Costs'!$P$9:$AB$38,9)*T19/1000+VLOOKUP(O19,'2015 Avoided Costs'!$AD$9:$AP$38,9)*U19))</f>
        <v>9408.1116958919974</v>
      </c>
      <c r="H19" s="49">
        <f t="shared" si="4"/>
        <v>3012.45</v>
      </c>
      <c r="I19" s="49">
        <f t="shared" si="5"/>
        <v>6395.6616958919976</v>
      </c>
      <c r="J19" s="49">
        <f t="shared" si="2"/>
        <v>94081.116958919971</v>
      </c>
      <c r="K19" s="49">
        <f t="shared" si="3"/>
        <v>30124.5</v>
      </c>
      <c r="L19" s="49">
        <f t="shared" si="6"/>
        <v>63956.616958919971</v>
      </c>
      <c r="M19" s="62">
        <f t="shared" si="7"/>
        <v>3.1230764646357607</v>
      </c>
      <c r="N19" s="81"/>
      <c r="O19" s="95">
        <v>15</v>
      </c>
      <c r="P19" s="95" t="s">
        <v>55</v>
      </c>
      <c r="Q19" s="96">
        <v>0.05</v>
      </c>
      <c r="R19" s="96">
        <v>1</v>
      </c>
      <c r="S19" s="97">
        <v>2928.24</v>
      </c>
      <c r="T19" s="98">
        <v>0</v>
      </c>
      <c r="U19" s="99">
        <v>0</v>
      </c>
      <c r="V19" s="100">
        <v>3171</v>
      </c>
    </row>
    <row r="20" spans="2:22" s="78" customFormat="1" ht="31.2" x14ac:dyDescent="0.3">
      <c r="B20" s="59" t="s">
        <v>50</v>
      </c>
      <c r="C20" s="60" t="s">
        <v>114</v>
      </c>
      <c r="D20" s="61">
        <v>3</v>
      </c>
      <c r="E20" s="80">
        <f t="shared" si="0"/>
        <v>83993.489999999991</v>
      </c>
      <c r="F20" s="80">
        <f t="shared" si="1"/>
        <v>251980.46999999997</v>
      </c>
      <c r="G20" s="49">
        <f>1.15*(1-Q20)*R20*(IF(P20="baseload",VLOOKUP(O20,'2015 Avoided Costs'!$B$9:$N$38,7)*S20+VLOOKUP(O20,'2015 Avoided Costs'!$P$9:$AB$38,7)*T20/1000+VLOOKUP(O20,'2015 Avoided Costs'!$AD$9:$AP$38,7)*U20,VLOOKUP(O20,'2015 Avoided Costs'!$B$9:$N$38,9)*S20+VLOOKUP(O20,'2015 Avoided Costs'!$P$9:$AB$38,9)*T20/1000+VLOOKUP(O20,'2015 Avoided Costs'!$AD$9:$AP$38,9)*U20))</f>
        <v>18937.670616773998</v>
      </c>
      <c r="H20" s="49">
        <f t="shared" si="4"/>
        <v>5225.95</v>
      </c>
      <c r="I20" s="49">
        <f t="shared" si="5"/>
        <v>13711.720616773997</v>
      </c>
      <c r="J20" s="49">
        <f t="shared" si="2"/>
        <v>56813.011850321993</v>
      </c>
      <c r="K20" s="49">
        <f t="shared" si="3"/>
        <v>15677.849999999999</v>
      </c>
      <c r="L20" s="49">
        <f t="shared" si="6"/>
        <v>41135.161850321994</v>
      </c>
      <c r="M20" s="62">
        <f t="shared" si="7"/>
        <v>3.6237756994946371</v>
      </c>
      <c r="N20" s="81"/>
      <c r="O20" s="82">
        <v>15</v>
      </c>
      <c r="P20" s="82" t="s">
        <v>55</v>
      </c>
      <c r="Q20" s="101">
        <v>0.05</v>
      </c>
      <c r="R20" s="101">
        <v>1</v>
      </c>
      <c r="S20" s="84">
        <v>5894.28</v>
      </c>
      <c r="T20" s="85">
        <v>0</v>
      </c>
      <c r="U20" s="86">
        <v>0</v>
      </c>
      <c r="V20" s="87">
        <v>5501</v>
      </c>
    </row>
    <row r="21" spans="2:22" s="78" customFormat="1" ht="31.2" x14ac:dyDescent="0.3">
      <c r="B21" s="59" t="s">
        <v>50</v>
      </c>
      <c r="C21" s="60" t="s">
        <v>115</v>
      </c>
      <c r="D21" s="61">
        <v>5</v>
      </c>
      <c r="E21" s="80">
        <f t="shared" si="0"/>
        <v>99522</v>
      </c>
      <c r="F21" s="80">
        <f t="shared" si="1"/>
        <v>497610</v>
      </c>
      <c r="G21" s="49">
        <f>1.15*(1-Q21)*R21*(IF(P21="baseload",VLOOKUP(O21,'2015 Avoided Costs'!$B$9:$N$38,7)*S21+VLOOKUP(O21,'2015 Avoided Costs'!$P$9:$AB$38,7)*T21/1000+VLOOKUP(O21,'2015 Avoided Costs'!$AD$9:$AP$38,7)*U21,VLOOKUP(O21,'2015 Avoided Costs'!$B$9:$N$38,9)*S21+VLOOKUP(O21,'2015 Avoided Costs'!$P$9:$AB$38,9)*T21/1000+VLOOKUP(O21,'2015 Avoided Costs'!$AD$9:$AP$38,9)*U21))</f>
        <v>25522.076302199996</v>
      </c>
      <c r="H21" s="49">
        <f t="shared" si="4"/>
        <v>4280.7</v>
      </c>
      <c r="I21" s="49">
        <f t="shared" si="5"/>
        <v>21241.376302199995</v>
      </c>
      <c r="J21" s="49">
        <f t="shared" si="2"/>
        <v>127610.38151099999</v>
      </c>
      <c r="K21" s="49">
        <f t="shared" si="3"/>
        <v>21403.5</v>
      </c>
      <c r="L21" s="49">
        <f t="shared" si="6"/>
        <v>106206.88151099999</v>
      </c>
      <c r="M21" s="62">
        <f t="shared" si="7"/>
        <v>5.9621268255659112</v>
      </c>
      <c r="N21" s="81"/>
      <c r="O21" s="82">
        <v>15</v>
      </c>
      <c r="P21" s="82" t="s">
        <v>55</v>
      </c>
      <c r="Q21" s="101">
        <v>0.05</v>
      </c>
      <c r="R21" s="101">
        <v>1</v>
      </c>
      <c r="S21" s="84">
        <v>6984</v>
      </c>
      <c r="T21" s="85">
        <v>0</v>
      </c>
      <c r="U21" s="86">
        <v>1944</v>
      </c>
      <c r="V21" s="87">
        <v>4506</v>
      </c>
    </row>
    <row r="22" spans="2:22" s="78" customFormat="1" ht="31.2" x14ac:dyDescent="0.3">
      <c r="B22" s="59" t="s">
        <v>50</v>
      </c>
      <c r="C22" s="60" t="s">
        <v>116</v>
      </c>
      <c r="D22" s="61">
        <v>1</v>
      </c>
      <c r="E22" s="80">
        <f t="shared" si="0"/>
        <v>221160</v>
      </c>
      <c r="F22" s="80">
        <f t="shared" si="1"/>
        <v>221160</v>
      </c>
      <c r="G22" s="49">
        <f>1.15*(1-Q22)*R22*(IF(P22="baseload",VLOOKUP(O22,'2015 Avoided Costs'!$B$9:$N$38,7)*S22+VLOOKUP(O22,'2015 Avoided Costs'!$P$9:$AB$38,7)*T22/1000+VLOOKUP(O22,'2015 Avoided Costs'!$AD$9:$AP$38,7)*U22,VLOOKUP(O22,'2015 Avoided Costs'!$B$9:$N$38,9)*S22+VLOOKUP(O22,'2015 Avoided Costs'!$P$9:$AB$38,9)*T22/1000+VLOOKUP(O22,'2015 Avoided Costs'!$AD$9:$AP$38,9)*U22))</f>
        <v>56715.725115999987</v>
      </c>
      <c r="H22" s="49">
        <f t="shared" si="4"/>
        <v>8502.5</v>
      </c>
      <c r="I22" s="49">
        <f t="shared" si="5"/>
        <v>48213.225115999987</v>
      </c>
      <c r="J22" s="49">
        <f t="shared" si="2"/>
        <v>56715.725115999987</v>
      </c>
      <c r="K22" s="49">
        <f t="shared" si="3"/>
        <v>8502.5</v>
      </c>
      <c r="L22" s="49">
        <f t="shared" si="6"/>
        <v>48213.225115999987</v>
      </c>
      <c r="M22" s="62">
        <f t="shared" si="7"/>
        <v>6.6704763441340766</v>
      </c>
      <c r="N22" s="81"/>
      <c r="O22" s="82">
        <v>15</v>
      </c>
      <c r="P22" s="82" t="s">
        <v>55</v>
      </c>
      <c r="Q22" s="101">
        <v>0.05</v>
      </c>
      <c r="R22" s="101">
        <v>1</v>
      </c>
      <c r="S22" s="84">
        <v>15520</v>
      </c>
      <c r="T22" s="85">
        <v>0</v>
      </c>
      <c r="U22" s="86">
        <v>4320</v>
      </c>
      <c r="V22" s="87">
        <v>8950</v>
      </c>
    </row>
    <row r="23" spans="2:22" s="78" customFormat="1" ht="31.2" x14ac:dyDescent="0.3">
      <c r="B23" s="59" t="s">
        <v>50</v>
      </c>
      <c r="C23" s="60" t="s">
        <v>117</v>
      </c>
      <c r="D23" s="61">
        <v>12</v>
      </c>
      <c r="E23" s="80">
        <f t="shared" si="0"/>
        <v>149796</v>
      </c>
      <c r="F23" s="80">
        <f t="shared" si="1"/>
        <v>1797552</v>
      </c>
      <c r="G23" s="49">
        <f>1.15*(1-Q23)*R23*(IF(P23="baseload",VLOOKUP(O23,'2015 Avoided Costs'!$B$9:$N$38,7)*S23+VLOOKUP(O23,'2015 Avoided Costs'!$P$9:$AB$38,7)*T23/1000+VLOOKUP(O23,'2015 Avoided Costs'!$AD$9:$AP$38,7)*U23,VLOOKUP(O23,'2015 Avoided Costs'!$B$9:$N$38,9)*S23+VLOOKUP(O23,'2015 Avoided Costs'!$P$9:$AB$38,9)*T23/1000+VLOOKUP(O23,'2015 Avoided Costs'!$AD$9:$AP$38,9)*U23))</f>
        <v>42224.299419599993</v>
      </c>
      <c r="H23" s="49">
        <f t="shared" si="4"/>
        <v>4314.8999999999996</v>
      </c>
      <c r="I23" s="49">
        <f t="shared" si="5"/>
        <v>37909.399419599991</v>
      </c>
      <c r="J23" s="49">
        <f t="shared" si="2"/>
        <v>506691.59303519991</v>
      </c>
      <c r="K23" s="49">
        <f t="shared" si="3"/>
        <v>51778.799999999996</v>
      </c>
      <c r="L23" s="49">
        <f t="shared" si="6"/>
        <v>454912.79303519992</v>
      </c>
      <c r="M23" s="62">
        <f t="shared" si="7"/>
        <v>9.785695941875824</v>
      </c>
      <c r="N23" s="81"/>
      <c r="O23" s="82">
        <v>15</v>
      </c>
      <c r="P23" s="82" t="s">
        <v>55</v>
      </c>
      <c r="Q23" s="101">
        <v>0.05</v>
      </c>
      <c r="R23" s="101">
        <v>1</v>
      </c>
      <c r="S23" s="84">
        <v>10512</v>
      </c>
      <c r="T23" s="85"/>
      <c r="U23" s="86">
        <v>5328</v>
      </c>
      <c r="V23" s="87">
        <v>4542</v>
      </c>
    </row>
    <row r="24" spans="2:22" s="78" customFormat="1" ht="31.2" x14ac:dyDescent="0.3">
      <c r="B24" s="59" t="s">
        <v>50</v>
      </c>
      <c r="C24" s="60" t="s">
        <v>118</v>
      </c>
      <c r="D24" s="61">
        <v>4</v>
      </c>
      <c r="E24" s="80">
        <f t="shared" si="0"/>
        <v>416100</v>
      </c>
      <c r="F24" s="80">
        <f t="shared" si="1"/>
        <v>1664400</v>
      </c>
      <c r="G24" s="49">
        <f>1.15*(1-Q24)*R24*(IF(P24="baseload",VLOOKUP(O24,'2015 Avoided Costs'!$B$9:$N$38,7)*S24+VLOOKUP(O24,'2015 Avoided Costs'!$P$9:$AB$38,7)*T24/1000+VLOOKUP(O24,'2015 Avoided Costs'!$AD$9:$AP$38,7)*U24,VLOOKUP(O24,'2015 Avoided Costs'!$B$9:$N$38,9)*S24+VLOOKUP(O24,'2015 Avoided Costs'!$P$9:$AB$38,9)*T24/1000+VLOOKUP(O24,'2015 Avoided Costs'!$AD$9:$AP$38,9)*U24))</f>
        <v>117289.72060999996</v>
      </c>
      <c r="H24" s="49">
        <f t="shared" si="4"/>
        <v>10516.5</v>
      </c>
      <c r="I24" s="49">
        <f t="shared" si="5"/>
        <v>106773.22060999996</v>
      </c>
      <c r="J24" s="49">
        <f t="shared" si="2"/>
        <v>469158.88243999984</v>
      </c>
      <c r="K24" s="49">
        <f t="shared" si="3"/>
        <v>42066</v>
      </c>
      <c r="L24" s="49">
        <f t="shared" si="6"/>
        <v>427092.88243999984</v>
      </c>
      <c r="M24" s="62">
        <f t="shared" si="7"/>
        <v>11.15292355916892</v>
      </c>
      <c r="N24" s="81"/>
      <c r="O24" s="82">
        <v>15</v>
      </c>
      <c r="P24" s="82" t="s">
        <v>55</v>
      </c>
      <c r="Q24" s="101">
        <v>0.05</v>
      </c>
      <c r="R24" s="101">
        <v>1</v>
      </c>
      <c r="S24" s="84">
        <v>29200</v>
      </c>
      <c r="T24" s="85"/>
      <c r="U24" s="86">
        <v>14800</v>
      </c>
      <c r="V24" s="87">
        <v>11070</v>
      </c>
    </row>
    <row r="25" spans="2:22" s="78" customFormat="1" ht="31.2" x14ac:dyDescent="0.3">
      <c r="B25" s="59" t="s">
        <v>50</v>
      </c>
      <c r="C25" s="60" t="s">
        <v>119</v>
      </c>
      <c r="D25" s="61">
        <v>8</v>
      </c>
      <c r="E25" s="80">
        <f t="shared" si="0"/>
        <v>17474.917499999996</v>
      </c>
      <c r="F25" s="80">
        <f t="shared" si="1"/>
        <v>139799.33999999997</v>
      </c>
      <c r="G25" s="49">
        <f>1.15*(1-Q25)*R25*(IF(P25="baseload",VLOOKUP(O25,'2015 Avoided Costs'!$B$9:$N$38,7)*S25+VLOOKUP(O25,'2015 Avoided Costs'!$P$9:$AB$38,7)*T25/1000+VLOOKUP(O25,'2015 Avoided Costs'!$AD$9:$AP$38,7)*U25,VLOOKUP(O25,'2015 Avoided Costs'!$B$9:$N$38,9)*S25+VLOOKUP(O25,'2015 Avoided Costs'!$P$9:$AB$38,9)*T25/1000+VLOOKUP(O25,'2015 Avoided Costs'!$AD$9:$AP$38,9)*U25))</f>
        <v>3939.9985840604991</v>
      </c>
      <c r="H25" s="49">
        <f t="shared" si="4"/>
        <v>2701.7999999999997</v>
      </c>
      <c r="I25" s="49">
        <f t="shared" si="5"/>
        <v>1238.1985840604993</v>
      </c>
      <c r="J25" s="49">
        <f t="shared" si="2"/>
        <v>31519.988672483993</v>
      </c>
      <c r="K25" s="49">
        <f t="shared" si="3"/>
        <v>21614.399999999998</v>
      </c>
      <c r="L25" s="49">
        <f t="shared" si="6"/>
        <v>9905.5886724839947</v>
      </c>
      <c r="M25" s="62">
        <f t="shared" si="7"/>
        <v>1.4582865438080166</v>
      </c>
      <c r="N25" s="81"/>
      <c r="O25" s="82">
        <v>15</v>
      </c>
      <c r="P25" s="82" t="s">
        <v>55</v>
      </c>
      <c r="Q25" s="101">
        <v>0.05</v>
      </c>
      <c r="R25" s="101">
        <v>1</v>
      </c>
      <c r="S25" s="84">
        <v>1226.31</v>
      </c>
      <c r="T25" s="85">
        <v>0</v>
      </c>
      <c r="U25" s="86">
        <v>0</v>
      </c>
      <c r="V25" s="87">
        <v>2844</v>
      </c>
    </row>
    <row r="26" spans="2:22" s="78" customFormat="1" ht="31.2" x14ac:dyDescent="0.3">
      <c r="B26" s="59" t="s">
        <v>50</v>
      </c>
      <c r="C26" s="60" t="s">
        <v>120</v>
      </c>
      <c r="D26" s="61">
        <v>3</v>
      </c>
      <c r="E26" s="80">
        <f t="shared" si="0"/>
        <v>73224.052499999991</v>
      </c>
      <c r="F26" s="80">
        <f t="shared" si="1"/>
        <v>219672.15749999997</v>
      </c>
      <c r="G26" s="49">
        <f>1.15*(1-Q26)*R26*(IF(P26="baseload",VLOOKUP(O26,'2015 Avoided Costs'!$B$9:$N$38,7)*S26+VLOOKUP(O26,'2015 Avoided Costs'!$P$9:$AB$38,7)*T26/1000+VLOOKUP(O26,'2015 Avoided Costs'!$AD$9:$AP$38,7)*U26,VLOOKUP(O26,'2015 Avoided Costs'!$B$9:$N$38,9)*S26+VLOOKUP(O26,'2015 Avoided Costs'!$P$9:$AB$38,9)*T26/1000+VLOOKUP(O26,'2015 Avoided Costs'!$AD$9:$AP$38,9)*U26))</f>
        <v>16509.529339361496</v>
      </c>
      <c r="H26" s="49">
        <f t="shared" si="4"/>
        <v>8684.9</v>
      </c>
      <c r="I26" s="49">
        <f t="shared" si="5"/>
        <v>7824.629339361496</v>
      </c>
      <c r="J26" s="49">
        <f t="shared" si="2"/>
        <v>49528.588018084483</v>
      </c>
      <c r="K26" s="49">
        <f t="shared" si="3"/>
        <v>26054.699999999997</v>
      </c>
      <c r="L26" s="49">
        <f t="shared" si="6"/>
        <v>23473.888018084486</v>
      </c>
      <c r="M26" s="62">
        <f t="shared" si="7"/>
        <v>1.9009463942430536</v>
      </c>
      <c r="N26" s="81"/>
      <c r="O26" s="82">
        <v>15</v>
      </c>
      <c r="P26" s="82" t="s">
        <v>55</v>
      </c>
      <c r="Q26" s="101">
        <v>0.05</v>
      </c>
      <c r="R26" s="101">
        <v>1</v>
      </c>
      <c r="S26" s="84">
        <v>5138.53</v>
      </c>
      <c r="T26" s="85">
        <v>0</v>
      </c>
      <c r="U26" s="86">
        <v>0</v>
      </c>
      <c r="V26" s="87">
        <v>9142</v>
      </c>
    </row>
    <row r="27" spans="2:22" s="78" customFormat="1" ht="31.2" x14ac:dyDescent="0.3">
      <c r="B27" s="59" t="s">
        <v>50</v>
      </c>
      <c r="C27" s="60" t="s">
        <v>121</v>
      </c>
      <c r="D27" s="61">
        <v>3</v>
      </c>
      <c r="E27" s="80">
        <f t="shared" si="0"/>
        <v>85500</v>
      </c>
      <c r="F27" s="80">
        <f t="shared" si="1"/>
        <v>256500</v>
      </c>
      <c r="G27" s="49">
        <f>1.15*(1-Q27)*R27*(IF(P27="baseload",VLOOKUP(O27,'2015 Avoided Costs'!$B$9:$N$38,7)*S27+VLOOKUP(O27,'2015 Avoided Costs'!$P$9:$AB$38,7)*T27/1000+VLOOKUP(O27,'2015 Avoided Costs'!$AD$9:$AP$38,7)*U27,VLOOKUP(O27,'2015 Avoided Costs'!$B$9:$N$38,9)*S27+VLOOKUP(O27,'2015 Avoided Costs'!$P$9:$AB$38,9)*T27/1000+VLOOKUP(O27,'2015 Avoided Costs'!$AD$9:$AP$38,9)*U27))</f>
        <v>21561.230399999997</v>
      </c>
      <c r="H27" s="49">
        <f t="shared" si="4"/>
        <v>5432.0999999999995</v>
      </c>
      <c r="I27" s="49">
        <f t="shared" si="5"/>
        <v>16129.130399999998</v>
      </c>
      <c r="J27" s="49">
        <f t="shared" si="2"/>
        <v>64683.691199999987</v>
      </c>
      <c r="K27" s="49">
        <f t="shared" si="3"/>
        <v>16296.3</v>
      </c>
      <c r="L27" s="49">
        <f t="shared" si="6"/>
        <v>48387.391199999984</v>
      </c>
      <c r="M27" s="62">
        <f t="shared" si="7"/>
        <v>3.9692256033578168</v>
      </c>
      <c r="N27" s="81"/>
      <c r="O27" s="82">
        <v>15</v>
      </c>
      <c r="P27" s="82" t="s">
        <v>55</v>
      </c>
      <c r="Q27" s="101">
        <v>0.05</v>
      </c>
      <c r="R27" s="101">
        <v>1</v>
      </c>
      <c r="S27" s="84">
        <v>6000</v>
      </c>
      <c r="T27" s="85">
        <v>0</v>
      </c>
      <c r="U27" s="86">
        <v>1440</v>
      </c>
      <c r="V27" s="87">
        <v>5718</v>
      </c>
    </row>
    <row r="28" spans="2:22" s="78" customFormat="1" ht="31.2" x14ac:dyDescent="0.3">
      <c r="B28" s="59" t="s">
        <v>50</v>
      </c>
      <c r="C28" s="60" t="s">
        <v>122</v>
      </c>
      <c r="D28" s="61">
        <v>1</v>
      </c>
      <c r="E28" s="80">
        <f t="shared" si="0"/>
        <v>106839.375</v>
      </c>
      <c r="F28" s="80">
        <f t="shared" si="1"/>
        <v>106839.375</v>
      </c>
      <c r="G28" s="49">
        <f>1.15*(1-Q28)*R28*(IF(P28="baseload",VLOOKUP(O28,'2015 Avoided Costs'!$B$9:$N$38,7)*S28+VLOOKUP(O28,'2015 Avoided Costs'!$P$9:$AB$38,7)*T28/1000+VLOOKUP(O28,'2015 Avoided Costs'!$AD$9:$AP$38,7)*U28,VLOOKUP(O28,'2015 Avoided Costs'!$B$9:$N$38,9)*S28+VLOOKUP(O28,'2015 Avoided Costs'!$P$9:$AB$38,9)*T28/1000+VLOOKUP(O28,'2015 Avoided Costs'!$AD$9:$AP$38,9)*U28))</f>
        <v>26941.919739249995</v>
      </c>
      <c r="H28" s="49">
        <f t="shared" si="4"/>
        <v>6581.5999999999995</v>
      </c>
      <c r="I28" s="49">
        <f t="shared" si="5"/>
        <v>20360.319739249997</v>
      </c>
      <c r="J28" s="49">
        <f t="shared" si="2"/>
        <v>26941.919739249995</v>
      </c>
      <c r="K28" s="49">
        <f t="shared" si="3"/>
        <v>6581.5999999999995</v>
      </c>
      <c r="L28" s="49">
        <f t="shared" si="6"/>
        <v>20360.319739249997</v>
      </c>
      <c r="M28" s="62">
        <f t="shared" si="7"/>
        <v>4.0935212925808306</v>
      </c>
      <c r="N28" s="81"/>
      <c r="O28" s="82">
        <v>15</v>
      </c>
      <c r="P28" s="82" t="s">
        <v>55</v>
      </c>
      <c r="Q28" s="101">
        <v>0.05</v>
      </c>
      <c r="R28" s="101">
        <v>1</v>
      </c>
      <c r="S28" s="84">
        <v>7497.5</v>
      </c>
      <c r="T28" s="85">
        <v>0</v>
      </c>
      <c r="U28" s="86">
        <v>1799</v>
      </c>
      <c r="V28" s="87">
        <v>6928</v>
      </c>
    </row>
    <row r="29" spans="2:22" s="78" customFormat="1" ht="31.2" x14ac:dyDescent="0.3">
      <c r="B29" s="59" t="s">
        <v>50</v>
      </c>
      <c r="C29" s="60" t="s">
        <v>123</v>
      </c>
      <c r="D29" s="61">
        <v>13</v>
      </c>
      <c r="E29" s="80">
        <f t="shared" si="0"/>
        <v>74687.669999999984</v>
      </c>
      <c r="F29" s="80">
        <f t="shared" si="1"/>
        <v>970939.70999999973</v>
      </c>
      <c r="G29" s="49">
        <f>1.15*(1-Q29)*R29*(IF(P29="baseload",VLOOKUP(O29,'2015 Avoided Costs'!$B$9:$N$38,7)*S29+VLOOKUP(O29,'2015 Avoided Costs'!$P$9:$AB$38,7)*T29/1000+VLOOKUP(O29,'2015 Avoided Costs'!$AD$9:$AP$38,7)*U29,VLOOKUP(O29,'2015 Avoided Costs'!$B$9:$N$38,9)*S29+VLOOKUP(O29,'2015 Avoided Costs'!$P$9:$AB$38,9)*T29/1000+VLOOKUP(O29,'2015 Avoided Costs'!$AD$9:$AP$38,9)*U29))</f>
        <v>18446.180579416996</v>
      </c>
      <c r="H29" s="49">
        <f t="shared" si="4"/>
        <v>3280.35</v>
      </c>
      <c r="I29" s="49">
        <f t="shared" si="5"/>
        <v>15165.830579416996</v>
      </c>
      <c r="J29" s="49">
        <f t="shared" si="2"/>
        <v>239800.34753242094</v>
      </c>
      <c r="K29" s="49">
        <f t="shared" si="3"/>
        <v>42644.549999999996</v>
      </c>
      <c r="L29" s="49">
        <f t="shared" si="6"/>
        <v>197155.79753242095</v>
      </c>
      <c r="M29" s="62">
        <f t="shared" si="7"/>
        <v>5.6232355021314788</v>
      </c>
      <c r="N29" s="81"/>
      <c r="O29" s="82">
        <v>15</v>
      </c>
      <c r="P29" s="82" t="s">
        <v>55</v>
      </c>
      <c r="Q29" s="101">
        <v>0.05</v>
      </c>
      <c r="R29" s="101">
        <v>1</v>
      </c>
      <c r="S29" s="84">
        <v>5241.24</v>
      </c>
      <c r="T29" s="85">
        <v>0</v>
      </c>
      <c r="U29" s="86">
        <v>1013</v>
      </c>
      <c r="V29" s="87">
        <v>3453</v>
      </c>
    </row>
    <row r="30" spans="2:22" s="78" customFormat="1" ht="31.2" x14ac:dyDescent="0.3">
      <c r="B30" s="59" t="s">
        <v>50</v>
      </c>
      <c r="C30" s="60" t="s">
        <v>124</v>
      </c>
      <c r="D30" s="61">
        <v>7</v>
      </c>
      <c r="E30" s="80">
        <f t="shared" si="0"/>
        <v>318602.4975</v>
      </c>
      <c r="F30" s="80">
        <f t="shared" si="1"/>
        <v>2230217.4824999999</v>
      </c>
      <c r="G30" s="49">
        <f>1.15*(1-Q30)*R30*(IF(P30="baseload",VLOOKUP(O30,'2015 Avoided Costs'!$B$9:$N$38,7)*S30+VLOOKUP(O30,'2015 Avoided Costs'!$P$9:$AB$38,7)*T30/1000+VLOOKUP(O30,'2015 Avoided Costs'!$AD$9:$AP$38,7)*U30,VLOOKUP(O30,'2015 Avoided Costs'!$B$9:$N$38,9)*S30+VLOOKUP(O30,'2015 Avoided Costs'!$P$9:$AB$38,9)*T30/1000+VLOOKUP(O30,'2015 Avoided Costs'!$AD$9:$AP$38,9)*U30))</f>
        <v>78685.68876116848</v>
      </c>
      <c r="H30" s="49">
        <f t="shared" si="4"/>
        <v>11292.65</v>
      </c>
      <c r="I30" s="49">
        <f t="shared" si="5"/>
        <v>67393.038761168486</v>
      </c>
      <c r="J30" s="49">
        <f t="shared" si="2"/>
        <v>550799.82132817933</v>
      </c>
      <c r="K30" s="49">
        <f t="shared" si="3"/>
        <v>79048.55</v>
      </c>
      <c r="L30" s="49">
        <f t="shared" si="6"/>
        <v>471751.27132817934</v>
      </c>
      <c r="M30" s="62">
        <f t="shared" si="7"/>
        <v>6.967867485591821</v>
      </c>
      <c r="N30" s="81"/>
      <c r="O30" s="88">
        <v>15</v>
      </c>
      <c r="P30" s="88" t="s">
        <v>55</v>
      </c>
      <c r="Q30" s="102">
        <v>0.05</v>
      </c>
      <c r="R30" s="102">
        <v>1</v>
      </c>
      <c r="S30" s="90">
        <v>22358.07</v>
      </c>
      <c r="T30" s="91">
        <v>0</v>
      </c>
      <c r="U30" s="92">
        <v>4320</v>
      </c>
      <c r="V30" s="93">
        <v>11887</v>
      </c>
    </row>
    <row r="31" spans="2:22" s="78" customFormat="1" x14ac:dyDescent="0.3">
      <c r="B31" s="59" t="s">
        <v>50</v>
      </c>
      <c r="C31" s="60" t="s">
        <v>37</v>
      </c>
      <c r="D31" s="61">
        <v>12</v>
      </c>
      <c r="E31" s="80">
        <f t="shared" si="0"/>
        <v>68414.25</v>
      </c>
      <c r="F31" s="80">
        <f t="shared" si="1"/>
        <v>820971</v>
      </c>
      <c r="G31" s="49">
        <f>1.15*(1-Q31)*R31*(IF(P31="baseload",VLOOKUP(O31,'2015 Avoided Costs'!$B$9:$N$38,7)*S31+VLOOKUP(O31,'2015 Avoided Costs'!$P$9:$AB$38,7)*T31/1000+VLOOKUP(O31,'2015 Avoided Costs'!$AD$9:$AP$38,7)*U31,VLOOKUP(O31,'2015 Avoided Costs'!$B$9:$N$38,9)*S31+VLOOKUP(O31,'2015 Avoided Costs'!$P$9:$AB$38,9)*T31/1000+VLOOKUP(O31,'2015 Avoided Costs'!$AD$9:$AP$38,9)*U31))</f>
        <v>36869.887316424989</v>
      </c>
      <c r="H31" s="49">
        <f t="shared" si="4"/>
        <v>9500</v>
      </c>
      <c r="I31" s="49">
        <f t="shared" si="5"/>
        <v>27369.887316424989</v>
      </c>
      <c r="J31" s="49">
        <f t="shared" si="2"/>
        <v>442438.6477970999</v>
      </c>
      <c r="K31" s="49">
        <f t="shared" si="3"/>
        <v>114000</v>
      </c>
      <c r="L31" s="49">
        <f t="shared" si="6"/>
        <v>328438.6477970999</v>
      </c>
      <c r="M31" s="62">
        <f t="shared" si="7"/>
        <v>3.8810407701499989</v>
      </c>
      <c r="N31" s="81"/>
      <c r="O31" s="95">
        <v>15</v>
      </c>
      <c r="P31" s="95" t="s">
        <v>55</v>
      </c>
      <c r="Q31" s="96">
        <v>0.05</v>
      </c>
      <c r="R31" s="96">
        <v>1</v>
      </c>
      <c r="S31" s="97">
        <v>4801</v>
      </c>
      <c r="T31" s="98">
        <v>0</v>
      </c>
      <c r="U31" s="99">
        <v>13521</v>
      </c>
      <c r="V31" s="100">
        <v>10000</v>
      </c>
    </row>
    <row r="32" spans="2:22" s="78" customFormat="1" x14ac:dyDescent="0.3">
      <c r="B32" s="59" t="s">
        <v>50</v>
      </c>
      <c r="C32" s="60" t="s">
        <v>38</v>
      </c>
      <c r="D32" s="61">
        <v>7</v>
      </c>
      <c r="E32" s="80">
        <f t="shared" si="0"/>
        <v>269667</v>
      </c>
      <c r="F32" s="80">
        <f t="shared" si="1"/>
        <v>1887669</v>
      </c>
      <c r="G32" s="49">
        <f>1.15*(1-Q32)*R32*(IF(P32="baseload",VLOOKUP(O32,'2015 Avoided Costs'!$B$9:$N$38,7)*S32+VLOOKUP(O32,'2015 Avoided Costs'!$P$9:$AB$38,7)*T32/1000+VLOOKUP(O32,'2015 Avoided Costs'!$AD$9:$AP$38,7)*U32,VLOOKUP(O32,'2015 Avoided Costs'!$B$9:$N$38,9)*S32+VLOOKUP(O32,'2015 Avoided Costs'!$P$9:$AB$38,9)*T32/1000+VLOOKUP(O32,'2015 Avoided Costs'!$AD$9:$AP$38,9)*U32))</f>
        <v>138678.30448044997</v>
      </c>
      <c r="H32" s="49">
        <f t="shared" si="4"/>
        <v>19000</v>
      </c>
      <c r="I32" s="49">
        <f t="shared" si="5"/>
        <v>119678.30448044997</v>
      </c>
      <c r="J32" s="49">
        <f t="shared" si="2"/>
        <v>970748.13136314973</v>
      </c>
      <c r="K32" s="49">
        <f t="shared" si="3"/>
        <v>133000</v>
      </c>
      <c r="L32" s="49">
        <f t="shared" si="6"/>
        <v>837748.13136314973</v>
      </c>
      <c r="M32" s="62">
        <f t="shared" si="7"/>
        <v>7.2988581305499975</v>
      </c>
      <c r="N32" s="81"/>
      <c r="O32" s="82">
        <v>15</v>
      </c>
      <c r="P32" s="82" t="s">
        <v>55</v>
      </c>
      <c r="Q32" s="101">
        <v>0.05</v>
      </c>
      <c r="R32" s="101">
        <v>1</v>
      </c>
      <c r="S32" s="84">
        <v>18924</v>
      </c>
      <c r="T32" s="85">
        <v>0</v>
      </c>
      <c r="U32" s="86">
        <v>49102</v>
      </c>
      <c r="V32" s="87">
        <v>20000</v>
      </c>
    </row>
    <row r="33" spans="2:22" s="78" customFormat="1" x14ac:dyDescent="0.3">
      <c r="B33" s="59" t="s">
        <v>50</v>
      </c>
      <c r="C33" s="60" t="s">
        <v>39</v>
      </c>
      <c r="D33" s="61">
        <v>21</v>
      </c>
      <c r="E33" s="80">
        <f t="shared" si="0"/>
        <v>163675.5</v>
      </c>
      <c r="F33" s="80">
        <f t="shared" si="1"/>
        <v>3437185.5</v>
      </c>
      <c r="G33" s="49">
        <f>1.15*(1-Q33)*R33*(IF(P33="baseload",VLOOKUP(O33,'2015 Avoided Costs'!$B$9:$N$38,7)*S33+VLOOKUP(O33,'2015 Avoided Costs'!$P$9:$AB$38,7)*T33/1000+VLOOKUP(O33,'2015 Avoided Costs'!$AD$9:$AP$38,7)*U33,VLOOKUP(O33,'2015 Avoided Costs'!$B$9:$N$38,9)*S33+VLOOKUP(O33,'2015 Avoided Costs'!$P$9:$AB$38,9)*T33/1000+VLOOKUP(O33,'2015 Avoided Costs'!$AD$9:$AP$38,9)*U33))</f>
        <v>85913.374845674989</v>
      </c>
      <c r="H33" s="49">
        <f t="shared" si="4"/>
        <v>14250</v>
      </c>
      <c r="I33" s="49">
        <f t="shared" si="5"/>
        <v>71663.374845674989</v>
      </c>
      <c r="J33" s="49">
        <f t="shared" si="2"/>
        <v>1804180.8717591749</v>
      </c>
      <c r="K33" s="49">
        <f t="shared" si="3"/>
        <v>299250</v>
      </c>
      <c r="L33" s="49">
        <f t="shared" si="6"/>
        <v>1504930.8717591749</v>
      </c>
      <c r="M33" s="62">
        <f t="shared" si="7"/>
        <v>6.0290087610999992</v>
      </c>
      <c r="N33" s="81"/>
      <c r="O33" s="88">
        <v>15</v>
      </c>
      <c r="P33" s="88" t="s">
        <v>55</v>
      </c>
      <c r="Q33" s="102">
        <v>0.05</v>
      </c>
      <c r="R33" s="102">
        <v>1</v>
      </c>
      <c r="S33" s="90">
        <v>11486</v>
      </c>
      <c r="T33" s="91">
        <v>0</v>
      </c>
      <c r="U33" s="92">
        <v>30901</v>
      </c>
      <c r="V33" s="93">
        <v>15000</v>
      </c>
    </row>
    <row r="34" spans="2:22" s="78" customFormat="1" ht="31.2" x14ac:dyDescent="0.3">
      <c r="B34" s="59" t="s">
        <v>50</v>
      </c>
      <c r="C34" s="60" t="s">
        <v>125</v>
      </c>
      <c r="D34" s="61">
        <v>4</v>
      </c>
      <c r="E34" s="80">
        <f t="shared" si="0"/>
        <v>896</v>
      </c>
      <c r="F34" s="80">
        <f t="shared" si="1"/>
        <v>3584</v>
      </c>
      <c r="G34" s="49">
        <f>1.15*(1-Q34)*R34*(IF(P34="baseload",VLOOKUP(O34,'2015 Avoided Costs'!$B$9:$N$38,7)*S34+VLOOKUP(O34,'2015 Avoided Costs'!$P$9:$AB$38,7)*T34/1000+VLOOKUP(O34,'2015 Avoided Costs'!$AD$9:$AP$38,7)*U34,VLOOKUP(O34,'2015 Avoided Costs'!$B$9:$N$38,9)*S34+VLOOKUP(O34,'2015 Avoided Costs'!$P$9:$AB$38,9)*T34/1000+VLOOKUP(O34,'2015 Avoided Costs'!$AD$9:$AP$38,9)*U34))</f>
        <v>205.79148800000002</v>
      </c>
      <c r="H34" s="49">
        <f t="shared" si="4"/>
        <v>840</v>
      </c>
      <c r="I34" s="49">
        <f t="shared" si="5"/>
        <v>-634.20851199999993</v>
      </c>
      <c r="J34" s="49">
        <f t="shared" si="2"/>
        <v>823.16595200000006</v>
      </c>
      <c r="K34" s="49">
        <f t="shared" si="3"/>
        <v>3360</v>
      </c>
      <c r="L34" s="49">
        <f t="shared" si="6"/>
        <v>-2536.8340479999997</v>
      </c>
      <c r="M34" s="62">
        <f t="shared" si="7"/>
        <v>0.24498986666666669</v>
      </c>
      <c r="N34" s="81"/>
      <c r="O34" s="95">
        <v>10</v>
      </c>
      <c r="P34" s="95" t="s">
        <v>55</v>
      </c>
      <c r="Q34" s="96">
        <v>0.2</v>
      </c>
      <c r="R34" s="96">
        <v>1</v>
      </c>
      <c r="S34" s="97">
        <v>112</v>
      </c>
      <c r="T34" s="98">
        <v>0</v>
      </c>
      <c r="U34" s="99">
        <v>0</v>
      </c>
      <c r="V34" s="100">
        <v>1050</v>
      </c>
    </row>
    <row r="35" spans="2:22" s="78" customFormat="1" ht="31.2" x14ac:dyDescent="0.3">
      <c r="B35" s="59" t="s">
        <v>50</v>
      </c>
      <c r="C35" s="60" t="s">
        <v>126</v>
      </c>
      <c r="D35" s="61">
        <v>30</v>
      </c>
      <c r="E35" s="80">
        <f t="shared" ref="E35:E66" si="8">O35*S35*(1-Q35)*R35</f>
        <v>5472.3200000000006</v>
      </c>
      <c r="F35" s="80">
        <f t="shared" si="1"/>
        <v>164169.60000000001</v>
      </c>
      <c r="G35" s="49">
        <f>1.15*(1-Q35)*R35*(IF(P35="baseload",VLOOKUP(O35,'2015 Avoided Costs'!$B$9:$N$38,7)*S35+VLOOKUP(O35,'2015 Avoided Costs'!$P$9:$AB$38,7)*T35/1000+VLOOKUP(O35,'2015 Avoided Costs'!$AD$9:$AP$38,7)*U35,VLOOKUP(O35,'2015 Avoided Costs'!$B$9:$N$38,9)*S35+VLOOKUP(O35,'2015 Avoided Costs'!$P$9:$AB$38,9)*T35/1000+VLOOKUP(O35,'2015 Avoided Costs'!$AD$9:$AP$38,9)*U35))</f>
        <v>1256.8715129600002</v>
      </c>
      <c r="H35" s="49">
        <f t="shared" si="4"/>
        <v>840</v>
      </c>
      <c r="I35" s="49">
        <f t="shared" si="5"/>
        <v>416.87151296000025</v>
      </c>
      <c r="J35" s="49">
        <f t="shared" ref="J35:J66" si="9">G35*D35</f>
        <v>37706.145388800011</v>
      </c>
      <c r="K35" s="49">
        <f t="shared" ref="K35:K66" si="10">H35*D35</f>
        <v>25200</v>
      </c>
      <c r="L35" s="49">
        <f t="shared" si="6"/>
        <v>12506.145388800011</v>
      </c>
      <c r="M35" s="62">
        <f t="shared" si="7"/>
        <v>1.496275610666667</v>
      </c>
      <c r="N35" s="81"/>
      <c r="O35" s="82">
        <v>10</v>
      </c>
      <c r="P35" s="82" t="s">
        <v>55</v>
      </c>
      <c r="Q35" s="101">
        <v>0.2</v>
      </c>
      <c r="R35" s="101">
        <v>1</v>
      </c>
      <c r="S35" s="84">
        <v>684.04000000000008</v>
      </c>
      <c r="T35" s="85">
        <v>0</v>
      </c>
      <c r="U35" s="86">
        <v>0</v>
      </c>
      <c r="V35" s="87">
        <v>1050</v>
      </c>
    </row>
    <row r="36" spans="2:22" s="78" customFormat="1" ht="31.2" x14ac:dyDescent="0.3">
      <c r="B36" s="59" t="s">
        <v>50</v>
      </c>
      <c r="C36" s="60" t="s">
        <v>127</v>
      </c>
      <c r="D36" s="61">
        <v>40</v>
      </c>
      <c r="E36" s="80">
        <f t="shared" si="8"/>
        <v>28205.184000000005</v>
      </c>
      <c r="F36" s="80">
        <f t="shared" si="1"/>
        <v>1128207.3600000001</v>
      </c>
      <c r="G36" s="49">
        <f>1.15*(1-Q36)*R36*(IF(P36="baseload",VLOOKUP(O36,'2015 Avoided Costs'!$B$9:$N$38,7)*S36+VLOOKUP(O36,'2015 Avoided Costs'!$P$9:$AB$38,7)*T36/1000+VLOOKUP(O36,'2015 Avoided Costs'!$AD$9:$AP$38,7)*U36,VLOOKUP(O36,'2015 Avoided Costs'!$B$9:$N$38,9)*S36+VLOOKUP(O36,'2015 Avoided Costs'!$P$9:$AB$38,9)*T36/1000+VLOOKUP(O36,'2015 Avoided Costs'!$AD$9:$AP$38,9)*U36))</f>
        <v>6478.110250752</v>
      </c>
      <c r="H36" s="49">
        <f t="shared" si="4"/>
        <v>840</v>
      </c>
      <c r="I36" s="49">
        <f t="shared" si="5"/>
        <v>5638.110250752</v>
      </c>
      <c r="J36" s="49">
        <f t="shared" si="9"/>
        <v>259124.41003008001</v>
      </c>
      <c r="K36" s="49">
        <f t="shared" si="10"/>
        <v>33600</v>
      </c>
      <c r="L36" s="49">
        <f t="shared" si="6"/>
        <v>225524.41003008001</v>
      </c>
      <c r="M36" s="62">
        <f t="shared" si="7"/>
        <v>7.7120360128000005</v>
      </c>
      <c r="N36" s="81"/>
      <c r="O36" s="82">
        <v>10</v>
      </c>
      <c r="P36" s="82" t="s">
        <v>55</v>
      </c>
      <c r="Q36" s="101">
        <v>0.2</v>
      </c>
      <c r="R36" s="101">
        <v>1</v>
      </c>
      <c r="S36" s="84">
        <v>3525.6480000000001</v>
      </c>
      <c r="T36" s="85">
        <v>0</v>
      </c>
      <c r="U36" s="86">
        <v>0</v>
      </c>
      <c r="V36" s="87">
        <v>1050</v>
      </c>
    </row>
    <row r="37" spans="2:22" s="78" customFormat="1" ht="31.2" x14ac:dyDescent="0.3">
      <c r="B37" s="59" t="s">
        <v>48</v>
      </c>
      <c r="C37" s="60" t="s">
        <v>128</v>
      </c>
      <c r="D37" s="61">
        <v>26</v>
      </c>
      <c r="E37" s="80">
        <f t="shared" si="8"/>
        <v>2168.4319999999998</v>
      </c>
      <c r="F37" s="80">
        <f t="shared" si="1"/>
        <v>56379.231999999996</v>
      </c>
      <c r="G37" s="49">
        <f>1.15*(1-Q37)*R37*(IF(P37="baseload",VLOOKUP(O37,'2015 Avoided Costs'!$B$9:$N$38,7)*S37+VLOOKUP(O37,'2015 Avoided Costs'!$P$9:$AB$38,7)*T37/1000+VLOOKUP(O37,'2015 Avoided Costs'!$AD$9:$AP$38,7)*U37,VLOOKUP(O37,'2015 Avoided Costs'!$B$9:$N$38,9)*S37+VLOOKUP(O37,'2015 Avoided Costs'!$P$9:$AB$38,9)*T37/1000+VLOOKUP(O37,'2015 Avoided Costs'!$AD$9:$AP$38,9)*U37))</f>
        <v>498.04112489599999</v>
      </c>
      <c r="H37" s="49">
        <f t="shared" si="4"/>
        <v>1282.5</v>
      </c>
      <c r="I37" s="49">
        <f t="shared" si="5"/>
        <v>-784.45887510400007</v>
      </c>
      <c r="J37" s="49">
        <f t="shared" si="9"/>
        <v>12949.069247296</v>
      </c>
      <c r="K37" s="49">
        <f t="shared" si="10"/>
        <v>33345</v>
      </c>
      <c r="L37" s="49">
        <f t="shared" si="6"/>
        <v>-20395.930752704</v>
      </c>
      <c r="M37" s="62">
        <f t="shared" si="7"/>
        <v>0.38833615976296298</v>
      </c>
      <c r="N37" s="81"/>
      <c r="O37" s="82">
        <v>10</v>
      </c>
      <c r="P37" s="82" t="s">
        <v>55</v>
      </c>
      <c r="Q37" s="101">
        <v>0.05</v>
      </c>
      <c r="R37" s="101">
        <v>1</v>
      </c>
      <c r="S37" s="84">
        <v>228.256</v>
      </c>
      <c r="T37" s="85">
        <v>0</v>
      </c>
      <c r="U37" s="86">
        <v>0</v>
      </c>
      <c r="V37" s="87">
        <v>1350</v>
      </c>
    </row>
    <row r="38" spans="2:22" s="78" customFormat="1" ht="31.2" x14ac:dyDescent="0.3">
      <c r="B38" s="59" t="s">
        <v>48</v>
      </c>
      <c r="C38" s="60" t="s">
        <v>129</v>
      </c>
      <c r="D38" s="61">
        <v>20</v>
      </c>
      <c r="E38" s="80">
        <f t="shared" si="8"/>
        <v>4137.8959999999997</v>
      </c>
      <c r="F38" s="80">
        <f t="shared" si="1"/>
        <v>82757.919999999998</v>
      </c>
      <c r="G38" s="49">
        <f>1.15*(1-Q38)*R38*(IF(P38="baseload",VLOOKUP(O38,'2015 Avoided Costs'!$B$9:$N$38,7)*S38+VLOOKUP(O38,'2015 Avoided Costs'!$P$9:$AB$38,7)*T38/1000+VLOOKUP(O38,'2015 Avoided Costs'!$AD$9:$AP$38,7)*U38,VLOOKUP(O38,'2015 Avoided Costs'!$B$9:$N$38,9)*S38+VLOOKUP(O38,'2015 Avoided Costs'!$P$9:$AB$38,9)*T38/1000+VLOOKUP(O38,'2015 Avoided Costs'!$AD$9:$AP$38,9)*U38))</f>
        <v>950.38367748799976</v>
      </c>
      <c r="H38" s="49">
        <f t="shared" si="4"/>
        <v>1282.5</v>
      </c>
      <c r="I38" s="49">
        <f t="shared" si="5"/>
        <v>-332.11632251200024</v>
      </c>
      <c r="J38" s="49">
        <f t="shared" si="9"/>
        <v>19007.673549759995</v>
      </c>
      <c r="K38" s="49">
        <f t="shared" si="10"/>
        <v>25650</v>
      </c>
      <c r="L38" s="49">
        <f t="shared" si="6"/>
        <v>-6642.3264502400052</v>
      </c>
      <c r="M38" s="62">
        <f t="shared" si="7"/>
        <v>0.74103990447407386</v>
      </c>
      <c r="N38" s="81"/>
      <c r="O38" s="82">
        <v>10</v>
      </c>
      <c r="P38" s="82" t="s">
        <v>55</v>
      </c>
      <c r="Q38" s="101">
        <v>0.05</v>
      </c>
      <c r="R38" s="101">
        <v>1</v>
      </c>
      <c r="S38" s="84">
        <v>435.56799999999998</v>
      </c>
      <c r="T38" s="85">
        <v>0</v>
      </c>
      <c r="U38" s="86">
        <v>0</v>
      </c>
      <c r="V38" s="87">
        <v>1350</v>
      </c>
    </row>
    <row r="39" spans="2:22" s="78" customFormat="1" ht="31.2" x14ac:dyDescent="0.3">
      <c r="B39" s="59" t="s">
        <v>48</v>
      </c>
      <c r="C39" s="60" t="s">
        <v>130</v>
      </c>
      <c r="D39" s="61">
        <v>7</v>
      </c>
      <c r="E39" s="80">
        <f t="shared" si="8"/>
        <v>13406.4</v>
      </c>
      <c r="F39" s="80">
        <f t="shared" si="1"/>
        <v>93844.800000000003</v>
      </c>
      <c r="G39" s="49">
        <f>1.15*(1-Q39)*R39*(IF(P39="baseload",VLOOKUP(O39,'2015 Avoided Costs'!$B$9:$N$38,7)*S39+VLOOKUP(O39,'2015 Avoided Costs'!$P$9:$AB$38,7)*T39/1000+VLOOKUP(O39,'2015 Avoided Costs'!$AD$9:$AP$38,7)*U39,VLOOKUP(O39,'2015 Avoided Costs'!$B$9:$N$38,9)*S39+VLOOKUP(O39,'2015 Avoided Costs'!$P$9:$AB$38,9)*T39/1000+VLOOKUP(O39,'2015 Avoided Costs'!$AD$9:$AP$38,9)*U39))</f>
        <v>3079.1551391999997</v>
      </c>
      <c r="H39" s="49">
        <f t="shared" si="4"/>
        <v>1282.5</v>
      </c>
      <c r="I39" s="49">
        <f t="shared" si="5"/>
        <v>1796.6551391999997</v>
      </c>
      <c r="J39" s="49">
        <f t="shared" si="9"/>
        <v>21554.085974399997</v>
      </c>
      <c r="K39" s="49">
        <f t="shared" si="10"/>
        <v>8977.5</v>
      </c>
      <c r="L39" s="49">
        <f t="shared" si="6"/>
        <v>12576.585974399997</v>
      </c>
      <c r="M39" s="62">
        <f t="shared" si="7"/>
        <v>2.400900693333333</v>
      </c>
      <c r="N39" s="81"/>
      <c r="O39" s="82">
        <v>10</v>
      </c>
      <c r="P39" s="82" t="s">
        <v>55</v>
      </c>
      <c r="Q39" s="101">
        <v>0.05</v>
      </c>
      <c r="R39" s="101">
        <v>1</v>
      </c>
      <c r="S39" s="84">
        <v>1411.2</v>
      </c>
      <c r="T39" s="85">
        <v>0</v>
      </c>
      <c r="U39" s="86">
        <v>0</v>
      </c>
      <c r="V39" s="87">
        <v>1350</v>
      </c>
    </row>
    <row r="40" spans="2:22" s="78" customFormat="1" ht="31.2" x14ac:dyDescent="0.3">
      <c r="B40" s="59" t="s">
        <v>48</v>
      </c>
      <c r="C40" s="60" t="s">
        <v>131</v>
      </c>
      <c r="D40" s="61">
        <v>53</v>
      </c>
      <c r="E40" s="80">
        <f t="shared" si="8"/>
        <v>33970.327999999994</v>
      </c>
      <c r="F40" s="80">
        <f t="shared" si="1"/>
        <v>1800427.3839999996</v>
      </c>
      <c r="G40" s="49">
        <f>1.15*(1-Q40)*R40*(IF(P40="baseload",VLOOKUP(O40,'2015 Avoided Costs'!$B$9:$N$38,7)*S40+VLOOKUP(O40,'2015 Avoided Costs'!$P$9:$AB$38,7)*T40/1000+VLOOKUP(O40,'2015 Avoided Costs'!$AD$9:$AP$38,7)*U40,VLOOKUP(O40,'2015 Avoided Costs'!$B$9:$N$38,9)*S40+VLOOKUP(O40,'2015 Avoided Costs'!$P$9:$AB$38,9)*T40/1000+VLOOKUP(O40,'2015 Avoided Costs'!$AD$9:$AP$38,9)*U40))</f>
        <v>7802.2369943839994</v>
      </c>
      <c r="H40" s="49">
        <f t="shared" si="4"/>
        <v>1282.5</v>
      </c>
      <c r="I40" s="49">
        <f t="shared" si="5"/>
        <v>6519.7369943839994</v>
      </c>
      <c r="J40" s="49">
        <f t="shared" si="9"/>
        <v>413518.56070235197</v>
      </c>
      <c r="K40" s="49">
        <f t="shared" si="10"/>
        <v>67972.5</v>
      </c>
      <c r="L40" s="49">
        <f t="shared" si="6"/>
        <v>345546.06070235197</v>
      </c>
      <c r="M40" s="62">
        <f t="shared" si="7"/>
        <v>6.0836155901629629</v>
      </c>
      <c r="N40" s="81"/>
      <c r="O40" s="82">
        <v>10</v>
      </c>
      <c r="P40" s="82" t="s">
        <v>55</v>
      </c>
      <c r="Q40" s="101">
        <v>0.05</v>
      </c>
      <c r="R40" s="101">
        <v>1</v>
      </c>
      <c r="S40" s="84">
        <v>3575.8240000000001</v>
      </c>
      <c r="T40" s="85">
        <v>0</v>
      </c>
      <c r="U40" s="86">
        <v>0</v>
      </c>
      <c r="V40" s="87">
        <v>1350</v>
      </c>
    </row>
    <row r="41" spans="2:22" s="78" customFormat="1" x14ac:dyDescent="0.3">
      <c r="B41" s="59" t="s">
        <v>49</v>
      </c>
      <c r="C41" s="60" t="s">
        <v>132</v>
      </c>
      <c r="D41" s="61">
        <v>120</v>
      </c>
      <c r="E41" s="80">
        <f t="shared" si="8"/>
        <v>163239</v>
      </c>
      <c r="F41" s="80">
        <f t="shared" si="1"/>
        <v>19588680</v>
      </c>
      <c r="G41" s="49">
        <f>1.15*(1-Q41)*R41*(IF(P41="baseload",VLOOKUP(O41,'2015 Avoided Costs'!$B$9:$N$38,7)*S41+VLOOKUP(O41,'2015 Avoided Costs'!$P$9:$AB$38,7)*T41/1000+VLOOKUP(O41,'2015 Avoided Costs'!$AD$9:$AP$38,7)*U41,VLOOKUP(O41,'2015 Avoided Costs'!$B$9:$N$38,9)*S41+VLOOKUP(O41,'2015 Avoided Costs'!$P$9:$AB$38,9)*T41/1000+VLOOKUP(O41,'2015 Avoided Costs'!$AD$9:$AP$38,9)*U41))</f>
        <v>36681.62346889999</v>
      </c>
      <c r="H41" s="49">
        <f t="shared" si="4"/>
        <v>6318.9000000000005</v>
      </c>
      <c r="I41" s="49">
        <f t="shared" si="5"/>
        <v>30362.723468899989</v>
      </c>
      <c r="J41" s="49">
        <f t="shared" si="9"/>
        <v>4401794.8162679989</v>
      </c>
      <c r="K41" s="49">
        <f t="shared" si="10"/>
        <v>758268.00000000012</v>
      </c>
      <c r="L41" s="49">
        <f t="shared" si="6"/>
        <v>3643526.8162679989</v>
      </c>
      <c r="M41" s="62">
        <f t="shared" si="7"/>
        <v>5.8050647215338085</v>
      </c>
      <c r="N41" s="81"/>
      <c r="O41" s="103">
        <v>15</v>
      </c>
      <c r="P41" s="103" t="s">
        <v>55</v>
      </c>
      <c r="Q41" s="104">
        <v>0.1</v>
      </c>
      <c r="R41" s="104">
        <v>1</v>
      </c>
      <c r="S41" s="105">
        <v>12091.777777777777</v>
      </c>
      <c r="T41" s="61">
        <v>0</v>
      </c>
      <c r="U41" s="106">
        <v>-82</v>
      </c>
      <c r="V41" s="107">
        <v>7021</v>
      </c>
    </row>
    <row r="42" spans="2:22" s="78" customFormat="1" ht="31.2" x14ac:dyDescent="0.3">
      <c r="B42" s="59" t="s">
        <v>50</v>
      </c>
      <c r="C42" s="60" t="s">
        <v>40</v>
      </c>
      <c r="D42" s="61">
        <v>2</v>
      </c>
      <c r="E42" s="80">
        <f t="shared" si="8"/>
        <v>31010.399999999998</v>
      </c>
      <c r="F42" s="80">
        <f t="shared" si="1"/>
        <v>62020.799999999996</v>
      </c>
      <c r="G42" s="49">
        <f>1.15*(1-Q42)*R42*(IF(P42="baseload",VLOOKUP(O42,'2015 Avoided Costs'!$B$9:$N$38,7)*S42+VLOOKUP(O42,'2015 Avoided Costs'!$P$9:$AB$38,7)*T42/1000+VLOOKUP(O42,'2015 Avoided Costs'!$AD$9:$AP$38,7)*U42,VLOOKUP(O42,'2015 Avoided Costs'!$B$9:$N$38,9)*S42+VLOOKUP(O42,'2015 Avoided Costs'!$P$9:$AB$38,9)*T42/1000+VLOOKUP(O42,'2015 Avoided Costs'!$AD$9:$AP$38,9)*U42))</f>
        <v>31033.84184336782</v>
      </c>
      <c r="H42" s="49">
        <f t="shared" si="4"/>
        <v>708.1</v>
      </c>
      <c r="I42" s="49">
        <f t="shared" si="5"/>
        <v>30325.741843367821</v>
      </c>
      <c r="J42" s="49">
        <f t="shared" si="9"/>
        <v>62067.68368673564</v>
      </c>
      <c r="K42" s="49">
        <f t="shared" si="10"/>
        <v>1416.2</v>
      </c>
      <c r="L42" s="49">
        <f t="shared" si="6"/>
        <v>60651.483686735643</v>
      </c>
      <c r="M42" s="62">
        <f t="shared" si="7"/>
        <v>43.826919705363395</v>
      </c>
      <c r="N42" s="81"/>
      <c r="O42" s="95">
        <v>20</v>
      </c>
      <c r="P42" s="95" t="s">
        <v>54</v>
      </c>
      <c r="Q42" s="96">
        <v>0.27</v>
      </c>
      <c r="R42" s="96">
        <v>1</v>
      </c>
      <c r="S42" s="97">
        <v>2124</v>
      </c>
      <c r="T42" s="98">
        <v>304677</v>
      </c>
      <c r="U42" s="99">
        <v>9668</v>
      </c>
      <c r="V42" s="100">
        <v>970</v>
      </c>
    </row>
    <row r="43" spans="2:22" s="78" customFormat="1" ht="31.2" x14ac:dyDescent="0.3">
      <c r="B43" s="59" t="s">
        <v>50</v>
      </c>
      <c r="C43" s="60" t="s">
        <v>41</v>
      </c>
      <c r="D43" s="61">
        <v>15</v>
      </c>
      <c r="E43" s="80">
        <f t="shared" si="8"/>
        <v>8176</v>
      </c>
      <c r="F43" s="80">
        <f t="shared" si="1"/>
        <v>122640</v>
      </c>
      <c r="G43" s="49">
        <f>1.15*(1-Q43)*R43*(IF(P43="baseload",VLOOKUP(O43,'2015 Avoided Costs'!$B$9:$N$38,7)*S43+VLOOKUP(O43,'2015 Avoided Costs'!$P$9:$AB$38,7)*T43/1000+VLOOKUP(O43,'2015 Avoided Costs'!$AD$9:$AP$38,7)*U43,VLOOKUP(O43,'2015 Avoided Costs'!$B$9:$N$38,9)*S43+VLOOKUP(O43,'2015 Avoided Costs'!$P$9:$AB$38,9)*T43/1000+VLOOKUP(O43,'2015 Avoided Costs'!$AD$9:$AP$38,9)*U43))</f>
        <v>10798.957668552674</v>
      </c>
      <c r="H43" s="49">
        <f t="shared" si="4"/>
        <v>1496.5</v>
      </c>
      <c r="I43" s="49">
        <f t="shared" si="5"/>
        <v>9302.4576685526736</v>
      </c>
      <c r="J43" s="49">
        <f t="shared" si="9"/>
        <v>161984.36502829011</v>
      </c>
      <c r="K43" s="49">
        <f t="shared" si="10"/>
        <v>22447.5</v>
      </c>
      <c r="L43" s="49">
        <f t="shared" si="6"/>
        <v>139536.86502829011</v>
      </c>
      <c r="M43" s="62">
        <f t="shared" si="7"/>
        <v>7.2161427788524382</v>
      </c>
      <c r="N43" s="81"/>
      <c r="O43" s="82">
        <v>20</v>
      </c>
      <c r="P43" s="82" t="s">
        <v>54</v>
      </c>
      <c r="Q43" s="101">
        <v>0.27</v>
      </c>
      <c r="R43" s="101">
        <v>1</v>
      </c>
      <c r="S43" s="84">
        <v>560</v>
      </c>
      <c r="T43" s="85">
        <v>80303</v>
      </c>
      <c r="U43" s="86">
        <v>4247</v>
      </c>
      <c r="V43" s="87">
        <v>2050</v>
      </c>
    </row>
    <row r="44" spans="2:22" s="78" customFormat="1" ht="31.2" x14ac:dyDescent="0.3">
      <c r="B44" s="59" t="s">
        <v>50</v>
      </c>
      <c r="C44" s="60" t="s">
        <v>42</v>
      </c>
      <c r="D44" s="61">
        <v>35</v>
      </c>
      <c r="E44" s="80">
        <f t="shared" si="8"/>
        <v>11064</v>
      </c>
      <c r="F44" s="80">
        <f t="shared" si="1"/>
        <v>387240</v>
      </c>
      <c r="G44" s="49">
        <f>1.15*(1-Q44)*R44*(IF(P44="baseload",VLOOKUP(O44,'2015 Avoided Costs'!$B$9:$N$38,7)*S44+VLOOKUP(O44,'2015 Avoided Costs'!$P$9:$AB$38,7)*T44/1000+VLOOKUP(O44,'2015 Avoided Costs'!$AD$9:$AP$38,7)*U44,VLOOKUP(O44,'2015 Avoided Costs'!$B$9:$N$38,9)*S44+VLOOKUP(O44,'2015 Avoided Costs'!$P$9:$AB$38,9)*T44/1000+VLOOKUP(O44,'2015 Avoided Costs'!$AD$9:$AP$38,9)*U44))</f>
        <v>11549.637387237599</v>
      </c>
      <c r="H44" s="49">
        <f t="shared" si="4"/>
        <v>616</v>
      </c>
      <c r="I44" s="49">
        <f t="shared" si="5"/>
        <v>10933.637387237599</v>
      </c>
      <c r="J44" s="49">
        <f t="shared" si="9"/>
        <v>404237.30855331593</v>
      </c>
      <c r="K44" s="49">
        <f t="shared" si="10"/>
        <v>21560</v>
      </c>
      <c r="L44" s="49">
        <f t="shared" si="6"/>
        <v>382677.30855331593</v>
      </c>
      <c r="M44" s="62">
        <f t="shared" si="7"/>
        <v>18.749411342918179</v>
      </c>
      <c r="N44" s="81"/>
      <c r="O44" s="82">
        <v>15</v>
      </c>
      <c r="P44" s="82" t="s">
        <v>54</v>
      </c>
      <c r="Q44" s="101">
        <v>0.2</v>
      </c>
      <c r="R44" s="101">
        <v>1</v>
      </c>
      <c r="S44" s="84">
        <v>922</v>
      </c>
      <c r="T44" s="85">
        <v>132263</v>
      </c>
      <c r="U44" s="86">
        <v>4167</v>
      </c>
      <c r="V44" s="87">
        <v>770</v>
      </c>
    </row>
    <row r="45" spans="2:22" s="78" customFormat="1" ht="31.2" x14ac:dyDescent="0.3">
      <c r="B45" s="59" t="s">
        <v>50</v>
      </c>
      <c r="C45" s="60" t="s">
        <v>43</v>
      </c>
      <c r="D45" s="61">
        <v>140</v>
      </c>
      <c r="E45" s="80">
        <f t="shared" si="8"/>
        <v>25440</v>
      </c>
      <c r="F45" s="80">
        <f t="shared" si="1"/>
        <v>3561600</v>
      </c>
      <c r="G45" s="49">
        <f>1.15*(1-Q45)*R45*(IF(P45="baseload",VLOOKUP(O45,'2015 Avoided Costs'!$B$9:$N$38,7)*S45+VLOOKUP(O45,'2015 Avoided Costs'!$P$9:$AB$38,7)*T45/1000+VLOOKUP(O45,'2015 Avoided Costs'!$AD$9:$AP$38,7)*U45,VLOOKUP(O45,'2015 Avoided Costs'!$B$9:$N$38,9)*S45+VLOOKUP(O45,'2015 Avoided Costs'!$P$9:$AB$38,9)*T45/1000+VLOOKUP(O45,'2015 Avoided Costs'!$AD$9:$AP$38,9)*U45))</f>
        <v>13761.970983315998</v>
      </c>
      <c r="H45" s="49">
        <f t="shared" si="4"/>
        <v>616</v>
      </c>
      <c r="I45" s="49">
        <f t="shared" si="5"/>
        <v>13145.970983315998</v>
      </c>
      <c r="J45" s="49">
        <f t="shared" si="9"/>
        <v>1926675.9376642397</v>
      </c>
      <c r="K45" s="49">
        <f t="shared" si="10"/>
        <v>86240</v>
      </c>
      <c r="L45" s="49">
        <f t="shared" si="6"/>
        <v>1840435.9376642397</v>
      </c>
      <c r="M45" s="62">
        <f t="shared" si="7"/>
        <v>22.340861985902592</v>
      </c>
      <c r="N45" s="81"/>
      <c r="O45" s="82">
        <v>15</v>
      </c>
      <c r="P45" s="82" t="s">
        <v>54</v>
      </c>
      <c r="Q45" s="101">
        <v>0.2</v>
      </c>
      <c r="R45" s="101">
        <v>1</v>
      </c>
      <c r="S45" s="84">
        <v>2120</v>
      </c>
      <c r="T45" s="85">
        <v>304205</v>
      </c>
      <c r="U45" s="86">
        <v>0</v>
      </c>
      <c r="V45" s="87">
        <v>770</v>
      </c>
    </row>
    <row r="46" spans="2:22" s="78" customFormat="1" ht="31.2" x14ac:dyDescent="0.3">
      <c r="B46" s="59" t="s">
        <v>50</v>
      </c>
      <c r="C46" s="60" t="s">
        <v>44</v>
      </c>
      <c r="D46" s="61">
        <v>4</v>
      </c>
      <c r="E46" s="80">
        <f t="shared" si="8"/>
        <v>11064</v>
      </c>
      <c r="F46" s="80">
        <f t="shared" si="1"/>
        <v>44256</v>
      </c>
      <c r="G46" s="49">
        <f>1.15*(1-Q46)*R46*(IF(P46="baseload",VLOOKUP(O46,'2015 Avoided Costs'!$B$9:$N$38,7)*S46+VLOOKUP(O46,'2015 Avoided Costs'!$P$9:$AB$38,7)*T46/1000+VLOOKUP(O46,'2015 Avoided Costs'!$AD$9:$AP$38,7)*U46,VLOOKUP(O46,'2015 Avoided Costs'!$B$9:$N$38,9)*S46+VLOOKUP(O46,'2015 Avoided Costs'!$P$9:$AB$38,9)*T46/1000+VLOOKUP(O46,'2015 Avoided Costs'!$AD$9:$AP$38,9)*U46))</f>
        <v>11549.637387237599</v>
      </c>
      <c r="H46" s="49">
        <f t="shared" si="4"/>
        <v>616</v>
      </c>
      <c r="I46" s="49">
        <f t="shared" si="5"/>
        <v>10933.637387237599</v>
      </c>
      <c r="J46" s="49">
        <f t="shared" si="9"/>
        <v>46198.549548950396</v>
      </c>
      <c r="K46" s="49">
        <f t="shared" si="10"/>
        <v>2464</v>
      </c>
      <c r="L46" s="49">
        <f t="shared" si="6"/>
        <v>43734.549548950396</v>
      </c>
      <c r="M46" s="62">
        <f t="shared" si="7"/>
        <v>18.749411342918179</v>
      </c>
      <c r="N46" s="81"/>
      <c r="O46" s="82">
        <v>15</v>
      </c>
      <c r="P46" s="82" t="s">
        <v>54</v>
      </c>
      <c r="Q46" s="101">
        <v>0.2</v>
      </c>
      <c r="R46" s="101">
        <v>1</v>
      </c>
      <c r="S46" s="84">
        <v>922</v>
      </c>
      <c r="T46" s="85">
        <v>132263</v>
      </c>
      <c r="U46" s="86">
        <v>4167</v>
      </c>
      <c r="V46" s="87">
        <v>770</v>
      </c>
    </row>
    <row r="47" spans="2:22" s="78" customFormat="1" ht="31.2" x14ac:dyDescent="0.3">
      <c r="B47" s="59" t="s">
        <v>50</v>
      </c>
      <c r="C47" s="60" t="s">
        <v>45</v>
      </c>
      <c r="D47" s="61">
        <v>4</v>
      </c>
      <c r="E47" s="80">
        <f t="shared" si="8"/>
        <v>25440</v>
      </c>
      <c r="F47" s="80">
        <f t="shared" si="1"/>
        <v>101760</v>
      </c>
      <c r="G47" s="49">
        <f>1.15*(1-Q47)*R47*(IF(P47="baseload",VLOOKUP(O47,'2015 Avoided Costs'!$B$9:$N$38,7)*S47+VLOOKUP(O47,'2015 Avoided Costs'!$P$9:$AB$38,7)*T47/1000+VLOOKUP(O47,'2015 Avoided Costs'!$AD$9:$AP$38,7)*U47,VLOOKUP(O47,'2015 Avoided Costs'!$B$9:$N$38,9)*S47+VLOOKUP(O47,'2015 Avoided Costs'!$P$9:$AB$38,9)*T47/1000+VLOOKUP(O47,'2015 Avoided Costs'!$AD$9:$AP$38,9)*U47))</f>
        <v>13761.970983315998</v>
      </c>
      <c r="H47" s="49">
        <f t="shared" si="4"/>
        <v>616</v>
      </c>
      <c r="I47" s="49">
        <f t="shared" si="5"/>
        <v>13145.970983315998</v>
      </c>
      <c r="J47" s="49">
        <f t="shared" si="9"/>
        <v>55047.883933263991</v>
      </c>
      <c r="K47" s="49">
        <f t="shared" si="10"/>
        <v>2464</v>
      </c>
      <c r="L47" s="49">
        <f t="shared" si="6"/>
        <v>52583.883933263991</v>
      </c>
      <c r="M47" s="62">
        <f t="shared" si="7"/>
        <v>22.340861985902595</v>
      </c>
      <c r="N47" s="81"/>
      <c r="O47" s="82">
        <v>15</v>
      </c>
      <c r="P47" s="82" t="s">
        <v>54</v>
      </c>
      <c r="Q47" s="101">
        <v>0.2</v>
      </c>
      <c r="R47" s="101">
        <v>1</v>
      </c>
      <c r="S47" s="84">
        <v>2120</v>
      </c>
      <c r="T47" s="85">
        <v>304205</v>
      </c>
      <c r="U47" s="86">
        <v>0</v>
      </c>
      <c r="V47" s="87">
        <v>770</v>
      </c>
    </row>
    <row r="48" spans="2:22" s="78" customFormat="1" x14ac:dyDescent="0.3">
      <c r="B48" s="59" t="s">
        <v>50</v>
      </c>
      <c r="C48" s="60" t="s">
        <v>46</v>
      </c>
      <c r="D48" s="61">
        <v>21</v>
      </c>
      <c r="E48" s="80">
        <f t="shared" si="8"/>
        <v>852</v>
      </c>
      <c r="F48" s="80">
        <f t="shared" si="1"/>
        <v>17892</v>
      </c>
      <c r="G48" s="49">
        <f>1.15*(1-Q48)*R48*(IF(P48="baseload",VLOOKUP(O48,'2015 Avoided Costs'!$B$9:$N$38,7)*S48+VLOOKUP(O48,'2015 Avoided Costs'!$P$9:$AB$38,7)*T48/1000+VLOOKUP(O48,'2015 Avoided Costs'!$AD$9:$AP$38,7)*U48,VLOOKUP(O48,'2015 Avoided Costs'!$B$9:$N$38,9)*S48+VLOOKUP(O48,'2015 Avoided Costs'!$P$9:$AB$38,9)*T48/1000+VLOOKUP(O48,'2015 Avoided Costs'!$AD$9:$AP$38,9)*U48))</f>
        <v>1740.5854141368</v>
      </c>
      <c r="H48" s="49">
        <f t="shared" si="4"/>
        <v>72</v>
      </c>
      <c r="I48" s="49">
        <f t="shared" si="5"/>
        <v>1668.5854141368</v>
      </c>
      <c r="J48" s="49">
        <f t="shared" si="9"/>
        <v>36552.293696872803</v>
      </c>
      <c r="K48" s="49">
        <f t="shared" si="10"/>
        <v>1512</v>
      </c>
      <c r="L48" s="49">
        <f t="shared" si="6"/>
        <v>35040.293696872803</v>
      </c>
      <c r="M48" s="62">
        <f t="shared" si="7"/>
        <v>24.174797418566669</v>
      </c>
      <c r="N48" s="81"/>
      <c r="O48" s="82">
        <v>10</v>
      </c>
      <c r="P48" s="82" t="s">
        <v>54</v>
      </c>
      <c r="Q48" s="101">
        <v>0.4</v>
      </c>
      <c r="R48" s="101">
        <v>1</v>
      </c>
      <c r="S48" s="84">
        <v>142</v>
      </c>
      <c r="T48" s="85">
        <v>20371</v>
      </c>
      <c r="U48" s="86">
        <v>1790</v>
      </c>
      <c r="V48" s="87">
        <v>120</v>
      </c>
    </row>
    <row r="49" spans="2:22" s="78" customFormat="1" x14ac:dyDescent="0.3">
      <c r="B49" s="59" t="s">
        <v>50</v>
      </c>
      <c r="C49" s="60" t="s">
        <v>47</v>
      </c>
      <c r="D49" s="61">
        <v>4</v>
      </c>
      <c r="E49" s="80">
        <f t="shared" si="8"/>
        <v>1998</v>
      </c>
      <c r="F49" s="80">
        <f t="shared" si="1"/>
        <v>7992</v>
      </c>
      <c r="G49" s="49">
        <f>1.15*(1-Q49)*R49*(IF(P49="baseload",VLOOKUP(O49,'2015 Avoided Costs'!$B$9:$N$38,7)*S49+VLOOKUP(O49,'2015 Avoided Costs'!$P$9:$AB$38,7)*T49/1000+VLOOKUP(O49,'2015 Avoided Costs'!$AD$9:$AP$38,7)*U49,VLOOKUP(O49,'2015 Avoided Costs'!$B$9:$N$38,9)*S49+VLOOKUP(O49,'2015 Avoided Costs'!$P$9:$AB$38,9)*T49/1000+VLOOKUP(O49,'2015 Avoided Costs'!$AD$9:$AP$38,9)*U49))</f>
        <v>1124.5526233416001</v>
      </c>
      <c r="H49" s="49">
        <f t="shared" si="4"/>
        <v>30</v>
      </c>
      <c r="I49" s="49">
        <f t="shared" si="5"/>
        <v>1094.5526233416001</v>
      </c>
      <c r="J49" s="49">
        <f t="shared" si="9"/>
        <v>4498.2104933664004</v>
      </c>
      <c r="K49" s="49">
        <f t="shared" si="10"/>
        <v>120</v>
      </c>
      <c r="L49" s="49">
        <f t="shared" si="6"/>
        <v>4378.2104933664004</v>
      </c>
      <c r="M49" s="62">
        <f t="shared" si="7"/>
        <v>37.485087444720001</v>
      </c>
      <c r="N49" s="81"/>
      <c r="O49" s="88">
        <v>10</v>
      </c>
      <c r="P49" s="88" t="s">
        <v>54</v>
      </c>
      <c r="Q49" s="102">
        <v>0.4</v>
      </c>
      <c r="R49" s="102">
        <v>1</v>
      </c>
      <c r="S49" s="90">
        <v>333</v>
      </c>
      <c r="T49" s="91">
        <v>47827</v>
      </c>
      <c r="U49" s="92">
        <v>0</v>
      </c>
      <c r="V49" s="93">
        <v>50</v>
      </c>
    </row>
    <row r="50" spans="2:22" s="78" customFormat="1" x14ac:dyDescent="0.3">
      <c r="B50" s="59" t="s">
        <v>50</v>
      </c>
      <c r="C50" s="60" t="s">
        <v>79</v>
      </c>
      <c r="D50" s="61">
        <v>15</v>
      </c>
      <c r="E50" s="80">
        <f t="shared" si="8"/>
        <v>8217.6</v>
      </c>
      <c r="F50" s="80">
        <f t="shared" si="1"/>
        <v>123264</v>
      </c>
      <c r="G50" s="49">
        <v>1778.4091648000001</v>
      </c>
      <c r="H50" s="49">
        <f t="shared" si="4"/>
        <v>700</v>
      </c>
      <c r="I50" s="49">
        <f t="shared" si="5"/>
        <v>1078.4091648000001</v>
      </c>
      <c r="J50" s="49">
        <f t="shared" si="9"/>
        <v>26676.137472000002</v>
      </c>
      <c r="K50" s="49">
        <f t="shared" si="10"/>
        <v>10500</v>
      </c>
      <c r="L50" s="49">
        <f t="shared" si="6"/>
        <v>16176.137472000002</v>
      </c>
      <c r="M50" s="48">
        <f t="shared" si="7"/>
        <v>2.5405845211428573</v>
      </c>
      <c r="N50" s="81"/>
      <c r="O50" s="95">
        <v>12</v>
      </c>
      <c r="P50" s="95" t="s">
        <v>54</v>
      </c>
      <c r="Q50" s="96">
        <v>0.2</v>
      </c>
      <c r="R50" s="96">
        <v>1</v>
      </c>
      <c r="S50" s="97">
        <v>856</v>
      </c>
      <c r="T50" s="98">
        <v>0</v>
      </c>
      <c r="U50" s="99">
        <v>0</v>
      </c>
      <c r="V50" s="100">
        <v>875</v>
      </c>
    </row>
    <row r="51" spans="2:22" s="78" customFormat="1" x14ac:dyDescent="0.3">
      <c r="B51" s="59" t="s">
        <v>50</v>
      </c>
      <c r="C51" s="60" t="s">
        <v>80</v>
      </c>
      <c r="D51" s="61">
        <v>5</v>
      </c>
      <c r="E51" s="80">
        <f t="shared" si="8"/>
        <v>85334.400000000009</v>
      </c>
      <c r="F51" s="80">
        <f t="shared" si="1"/>
        <v>426672.00000000006</v>
      </c>
      <c r="G51" s="49">
        <f>1.15*(1-Q51)*R51*(IF(P51="baseload",VLOOKUP(O51,'2015 Avoided Costs'!$B$9:$N$38,7)*S51+VLOOKUP(O51,'2015 Avoided Costs'!$P$9:$AB$38,7)*T51/1000+VLOOKUP(O51,'2015 Avoided Costs'!$AD$9:$AP$38,7)*U51,VLOOKUP(O51,'2015 Avoided Costs'!$B$9:$N$38,9)*S51+VLOOKUP(O51,'2015 Avoided Costs'!$P$9:$AB$38,9)*T51/1000+VLOOKUP(O51,'2015 Avoided Costs'!$AD$9:$AP$38,9)*U51))</f>
        <v>26399.097983209595</v>
      </c>
      <c r="H51" s="49">
        <f t="shared" si="4"/>
        <v>828</v>
      </c>
      <c r="I51" s="49">
        <f t="shared" si="5"/>
        <v>25571.097983209595</v>
      </c>
      <c r="J51" s="49">
        <f t="shared" si="9"/>
        <v>131995.48991604798</v>
      </c>
      <c r="K51" s="49">
        <f t="shared" si="10"/>
        <v>4140</v>
      </c>
      <c r="L51" s="49">
        <f t="shared" si="6"/>
        <v>127855.48991604798</v>
      </c>
      <c r="M51" s="62">
        <f t="shared" si="7"/>
        <v>31.882968578755552</v>
      </c>
      <c r="N51" s="81"/>
      <c r="O51" s="82">
        <v>12</v>
      </c>
      <c r="P51" s="82" t="s">
        <v>54</v>
      </c>
      <c r="Q51" s="101">
        <v>0.2</v>
      </c>
      <c r="R51" s="101">
        <v>1</v>
      </c>
      <c r="S51" s="84">
        <v>8889</v>
      </c>
      <c r="T51" s="85">
        <v>340142</v>
      </c>
      <c r="U51" s="86">
        <v>0</v>
      </c>
      <c r="V51" s="87">
        <v>1035</v>
      </c>
    </row>
    <row r="52" spans="2:22" s="78" customFormat="1" x14ac:dyDescent="0.3">
      <c r="B52" s="59" t="s">
        <v>50</v>
      </c>
      <c r="C52" s="60" t="s">
        <v>81</v>
      </c>
      <c r="D52" s="61">
        <v>100</v>
      </c>
      <c r="E52" s="80">
        <f t="shared" si="8"/>
        <v>13516.800000000001</v>
      </c>
      <c r="F52" s="80">
        <f t="shared" si="1"/>
        <v>1351680</v>
      </c>
      <c r="G52" s="49">
        <f>1.15*(1-Q52)*R52*(IF(P52="baseload",VLOOKUP(O52,'2015 Avoided Costs'!$B$9:$N$38,7)*S52+VLOOKUP(O52,'2015 Avoided Costs'!$P$9:$AB$38,7)*T52/1000+VLOOKUP(O52,'2015 Avoided Costs'!$AD$9:$AP$38,7)*U52,VLOOKUP(O52,'2015 Avoided Costs'!$B$9:$N$38,9)*S52+VLOOKUP(O52,'2015 Avoided Costs'!$P$9:$AB$38,9)*T52/1000+VLOOKUP(O52,'2015 Avoided Costs'!$AD$9:$AP$38,9)*U52))</f>
        <v>2983.7322239999994</v>
      </c>
      <c r="H52" s="49">
        <f t="shared" si="4"/>
        <v>2724</v>
      </c>
      <c r="I52" s="49">
        <f t="shared" si="5"/>
        <v>259.73222399999941</v>
      </c>
      <c r="J52" s="49">
        <f t="shared" si="9"/>
        <v>298373.22239999997</v>
      </c>
      <c r="K52" s="49">
        <f t="shared" si="10"/>
        <v>272400</v>
      </c>
      <c r="L52" s="49">
        <f t="shared" si="6"/>
        <v>25973.22239999997</v>
      </c>
      <c r="M52" s="62">
        <f t="shared" si="7"/>
        <v>1.0953495682819383</v>
      </c>
      <c r="N52" s="81"/>
      <c r="O52" s="88">
        <v>12</v>
      </c>
      <c r="P52" s="88" t="s">
        <v>54</v>
      </c>
      <c r="Q52" s="102">
        <v>0.2</v>
      </c>
      <c r="R52" s="102">
        <v>1</v>
      </c>
      <c r="S52" s="90">
        <v>1408</v>
      </c>
      <c r="T52" s="91">
        <v>0</v>
      </c>
      <c r="U52" s="92">
        <v>0</v>
      </c>
      <c r="V52" s="93">
        <v>3405</v>
      </c>
    </row>
    <row r="53" spans="2:22" s="78" customFormat="1" ht="31.2" x14ac:dyDescent="0.3">
      <c r="B53" s="59" t="s">
        <v>51</v>
      </c>
      <c r="C53" s="60" t="s">
        <v>133</v>
      </c>
      <c r="D53" s="61">
        <v>155</v>
      </c>
      <c r="E53" s="80">
        <f t="shared" si="8"/>
        <v>12969.228999999998</v>
      </c>
      <c r="F53" s="80">
        <f t="shared" si="1"/>
        <v>2010230.4949999996</v>
      </c>
      <c r="G53" s="49">
        <f>1.15*(1-Q53)*R53*(IF(P53="baseload",VLOOKUP(O53,'2015 Avoided Costs'!$B$9:$N$38,7)*S53+VLOOKUP(O53,'2015 Avoided Costs'!$P$9:$AB$38,7)*T53/1000+VLOOKUP(O53,'2015 Avoided Costs'!$AD$9:$AP$38,7)*U53,VLOOKUP(O53,'2015 Avoided Costs'!$B$9:$N$38,9)*S53+VLOOKUP(O53,'2015 Avoided Costs'!$P$9:$AB$38,9)*T53/1000+VLOOKUP(O53,'2015 Avoided Costs'!$AD$9:$AP$38,9)*U53))</f>
        <v>2928.4097582057493</v>
      </c>
      <c r="H53" s="49">
        <f t="shared" si="4"/>
        <v>510.15</v>
      </c>
      <c r="I53" s="49">
        <f t="shared" si="5"/>
        <v>2418.2597582057492</v>
      </c>
      <c r="J53" s="49">
        <f t="shared" si="9"/>
        <v>453903.51252189116</v>
      </c>
      <c r="K53" s="49">
        <f t="shared" si="10"/>
        <v>79073.25</v>
      </c>
      <c r="L53" s="49">
        <f t="shared" si="6"/>
        <v>374830.26252189116</v>
      </c>
      <c r="M53" s="62">
        <f t="shared" si="7"/>
        <v>5.7402915969925496</v>
      </c>
      <c r="N53" s="81"/>
      <c r="O53" s="95">
        <v>14</v>
      </c>
      <c r="P53" s="95" t="s">
        <v>55</v>
      </c>
      <c r="Q53" s="96">
        <v>0.05</v>
      </c>
      <c r="R53" s="96">
        <v>1</v>
      </c>
      <c r="S53" s="97">
        <v>975.12999999999988</v>
      </c>
      <c r="T53" s="98">
        <v>0</v>
      </c>
      <c r="U53" s="99">
        <v>0</v>
      </c>
      <c r="V53" s="100">
        <v>537</v>
      </c>
    </row>
    <row r="54" spans="2:22" s="78" customFormat="1" ht="31.2" x14ac:dyDescent="0.3">
      <c r="B54" s="59" t="s">
        <v>48</v>
      </c>
      <c r="C54" s="60" t="s">
        <v>134</v>
      </c>
      <c r="D54" s="61">
        <v>12</v>
      </c>
      <c r="E54" s="80">
        <f t="shared" si="8"/>
        <v>95070.527999999991</v>
      </c>
      <c r="F54" s="80">
        <f t="shared" si="1"/>
        <v>1140846.3359999999</v>
      </c>
      <c r="G54" s="49">
        <f>1.15*(1-Q54)*R54*(IF(P54="baseload",VLOOKUP(O54,'2015 Avoided Costs'!$B$9:$N$38,7)*S54+VLOOKUP(O54,'2015 Avoided Costs'!$P$9:$AB$38,7)*T54/1000+VLOOKUP(O54,'2015 Avoided Costs'!$AD$9:$AP$38,7)*U54,VLOOKUP(O54,'2015 Avoided Costs'!$B$9:$N$38,9)*S54+VLOOKUP(O54,'2015 Avoided Costs'!$P$9:$AB$38,9)*T54/1000+VLOOKUP(O54,'2015 Avoided Costs'!$AD$9:$AP$38,9)*U54))</f>
        <v>21466.616243183995</v>
      </c>
      <c r="H54" s="49">
        <f t="shared" si="4"/>
        <v>3528.2999999999997</v>
      </c>
      <c r="I54" s="49">
        <f t="shared" si="5"/>
        <v>17938.316243183996</v>
      </c>
      <c r="J54" s="49">
        <f t="shared" si="9"/>
        <v>257599.39491820795</v>
      </c>
      <c r="K54" s="49">
        <f t="shared" si="10"/>
        <v>42339.6</v>
      </c>
      <c r="L54" s="49">
        <f t="shared" si="6"/>
        <v>215259.79491820795</v>
      </c>
      <c r="M54" s="62">
        <f t="shared" si="7"/>
        <v>6.0841244347657506</v>
      </c>
      <c r="N54" s="81"/>
      <c r="O54" s="82">
        <v>14</v>
      </c>
      <c r="P54" s="82" t="s">
        <v>55</v>
      </c>
      <c r="Q54" s="101">
        <v>0.05</v>
      </c>
      <c r="R54" s="101">
        <v>1</v>
      </c>
      <c r="S54" s="84">
        <v>7148.16</v>
      </c>
      <c r="T54" s="85">
        <v>0</v>
      </c>
      <c r="U54" s="86">
        <v>0</v>
      </c>
      <c r="V54" s="87">
        <v>3714</v>
      </c>
    </row>
    <row r="55" spans="2:22" s="78" customFormat="1" ht="31.2" x14ac:dyDescent="0.3">
      <c r="B55" s="59" t="s">
        <v>51</v>
      </c>
      <c r="C55" s="60" t="s">
        <v>135</v>
      </c>
      <c r="D55" s="61">
        <v>33</v>
      </c>
      <c r="E55" s="80">
        <f t="shared" si="8"/>
        <v>269744.61499999999</v>
      </c>
      <c r="F55" s="80">
        <f t="shared" si="1"/>
        <v>8901572.2949999999</v>
      </c>
      <c r="G55" s="49">
        <f>1.15*(1-Q55)*R55*(IF(P55="baseload",VLOOKUP(O55,'2015 Avoided Costs'!$B$9:$N$38,7)*S55+VLOOKUP(O55,'2015 Avoided Costs'!$P$9:$AB$38,7)*T55/1000+VLOOKUP(O55,'2015 Avoided Costs'!$AD$9:$AP$38,7)*U55,VLOOKUP(O55,'2015 Avoided Costs'!$B$9:$N$38,9)*S55+VLOOKUP(O55,'2015 Avoided Costs'!$P$9:$AB$38,9)*T55/1000+VLOOKUP(O55,'2015 Avoided Costs'!$AD$9:$AP$38,9)*U55))</f>
        <v>60907.457397001228</v>
      </c>
      <c r="H55" s="49">
        <f t="shared" si="4"/>
        <v>10619.1</v>
      </c>
      <c r="I55" s="49">
        <f t="shared" si="5"/>
        <v>50288.357397001229</v>
      </c>
      <c r="J55" s="49">
        <f t="shared" si="9"/>
        <v>2009946.0941010406</v>
      </c>
      <c r="K55" s="49">
        <f t="shared" si="10"/>
        <v>350430.3</v>
      </c>
      <c r="L55" s="49">
        <f t="shared" si="6"/>
        <v>1659515.7941010406</v>
      </c>
      <c r="M55" s="62">
        <f t="shared" si="7"/>
        <v>5.7356515521090516</v>
      </c>
      <c r="N55" s="81"/>
      <c r="O55" s="82">
        <v>14</v>
      </c>
      <c r="P55" s="82" t="s">
        <v>55</v>
      </c>
      <c r="Q55" s="101">
        <v>0.05</v>
      </c>
      <c r="R55" s="101">
        <v>1</v>
      </c>
      <c r="S55" s="84">
        <v>20281.55</v>
      </c>
      <c r="T55" s="85">
        <v>0</v>
      </c>
      <c r="U55" s="86">
        <v>0</v>
      </c>
      <c r="V55" s="87">
        <v>11178</v>
      </c>
    </row>
    <row r="56" spans="2:22" s="78" customFormat="1" ht="31.2" x14ac:dyDescent="0.3">
      <c r="B56" s="59" t="s">
        <v>48</v>
      </c>
      <c r="C56" s="60" t="s">
        <v>136</v>
      </c>
      <c r="D56" s="61">
        <v>12</v>
      </c>
      <c r="E56" s="80">
        <f t="shared" si="8"/>
        <v>383456.55599999998</v>
      </c>
      <c r="F56" s="80">
        <f t="shared" si="1"/>
        <v>4601478.6720000003</v>
      </c>
      <c r="G56" s="49">
        <f>1.15*(1-Q56)*R56*(IF(P56="baseload",VLOOKUP(O56,'2015 Avoided Costs'!$B$9:$N$38,7)*S56+VLOOKUP(O56,'2015 Avoided Costs'!$P$9:$AB$38,7)*T56/1000+VLOOKUP(O56,'2015 Avoided Costs'!$AD$9:$AP$38,7)*U56,VLOOKUP(O56,'2015 Avoided Costs'!$B$9:$N$38,9)*S56+VLOOKUP(O56,'2015 Avoided Costs'!$P$9:$AB$38,9)*T56/1000+VLOOKUP(O56,'2015 Avoided Costs'!$AD$9:$AP$38,9)*U56))</f>
        <v>86583.244110992979</v>
      </c>
      <c r="H56" s="49">
        <f t="shared" si="4"/>
        <v>14231.949999999999</v>
      </c>
      <c r="I56" s="49">
        <f t="shared" si="5"/>
        <v>72351.294110992982</v>
      </c>
      <c r="J56" s="49">
        <f t="shared" si="9"/>
        <v>1038998.9293319157</v>
      </c>
      <c r="K56" s="49">
        <f t="shared" si="10"/>
        <v>170783.4</v>
      </c>
      <c r="L56" s="49">
        <f t="shared" si="6"/>
        <v>868215.52933191566</v>
      </c>
      <c r="M56" s="62">
        <f t="shared" si="7"/>
        <v>6.0837231799572775</v>
      </c>
      <c r="N56" s="81"/>
      <c r="O56" s="82">
        <v>14</v>
      </c>
      <c r="P56" s="82" t="s">
        <v>55</v>
      </c>
      <c r="Q56" s="101">
        <v>0.05</v>
      </c>
      <c r="R56" s="101">
        <v>1</v>
      </c>
      <c r="S56" s="84">
        <v>28831.32</v>
      </c>
      <c r="T56" s="85">
        <v>0</v>
      </c>
      <c r="U56" s="86">
        <v>0</v>
      </c>
      <c r="V56" s="87">
        <v>14981</v>
      </c>
    </row>
    <row r="57" spans="2:22" s="78" customFormat="1" ht="31.2" x14ac:dyDescent="0.3">
      <c r="B57" s="59" t="s">
        <v>51</v>
      </c>
      <c r="C57" s="60" t="s">
        <v>137</v>
      </c>
      <c r="D57" s="61">
        <v>40</v>
      </c>
      <c r="E57" s="80">
        <f t="shared" si="8"/>
        <v>30952.424999999999</v>
      </c>
      <c r="F57" s="80">
        <f t="shared" si="1"/>
        <v>1238097</v>
      </c>
      <c r="G57" s="49">
        <f>1.15*(1-Q57)*R57*(IF(P57="baseload",VLOOKUP(O57,'2015 Avoided Costs'!$B$9:$N$38,7)*S57+VLOOKUP(O57,'2015 Avoided Costs'!$P$9:$AB$38,7)*T57/1000+VLOOKUP(O57,'2015 Avoided Costs'!$AD$9:$AP$38,7)*U57,VLOOKUP(O57,'2015 Avoided Costs'!$B$9:$N$38,9)*S57+VLOOKUP(O57,'2015 Avoided Costs'!$P$9:$AB$38,9)*T57/1000+VLOOKUP(O57,'2015 Avoided Costs'!$AD$9:$AP$38,9)*U57))</f>
        <v>6988.9569696187482</v>
      </c>
      <c r="H57" s="49">
        <f t="shared" si="4"/>
        <v>2190.6999999999998</v>
      </c>
      <c r="I57" s="49">
        <f t="shared" si="5"/>
        <v>4798.2569696187484</v>
      </c>
      <c r="J57" s="49">
        <f t="shared" si="9"/>
        <v>279558.27878474991</v>
      </c>
      <c r="K57" s="49">
        <f t="shared" si="10"/>
        <v>87628</v>
      </c>
      <c r="L57" s="49">
        <f t="shared" si="6"/>
        <v>191930.27878474991</v>
      </c>
      <c r="M57" s="62">
        <f t="shared" si="7"/>
        <v>3.1902848265936679</v>
      </c>
      <c r="N57" s="81"/>
      <c r="O57" s="82">
        <v>14</v>
      </c>
      <c r="P57" s="82" t="s">
        <v>55</v>
      </c>
      <c r="Q57" s="101">
        <v>0.05</v>
      </c>
      <c r="R57" s="101">
        <v>1</v>
      </c>
      <c r="S57" s="84">
        <v>2327.25</v>
      </c>
      <c r="T57" s="85">
        <v>0</v>
      </c>
      <c r="U57" s="86">
        <v>0</v>
      </c>
      <c r="V57" s="87">
        <v>2306</v>
      </c>
    </row>
    <row r="58" spans="2:22" s="78" customFormat="1" ht="31.2" x14ac:dyDescent="0.3">
      <c r="B58" s="59" t="s">
        <v>48</v>
      </c>
      <c r="C58" s="60" t="s">
        <v>138</v>
      </c>
      <c r="D58" s="61">
        <v>20</v>
      </c>
      <c r="E58" s="80">
        <f t="shared" si="8"/>
        <v>32106.199999999997</v>
      </c>
      <c r="F58" s="80">
        <f t="shared" si="1"/>
        <v>642124</v>
      </c>
      <c r="G58" s="49">
        <f>1.15*(1-Q58)*R58*(IF(P58="baseload",VLOOKUP(O58,'2015 Avoided Costs'!$B$9:$N$38,7)*S58+VLOOKUP(O58,'2015 Avoided Costs'!$P$9:$AB$38,7)*T58/1000+VLOOKUP(O58,'2015 Avoided Costs'!$AD$9:$AP$38,7)*U58,VLOOKUP(O58,'2015 Avoided Costs'!$B$9:$N$38,9)*S58+VLOOKUP(O58,'2015 Avoided Costs'!$P$9:$AB$38,9)*T58/1000+VLOOKUP(O58,'2015 Avoided Costs'!$AD$9:$AP$38,9)*U58))</f>
        <v>7249.4756148499982</v>
      </c>
      <c r="H58" s="49">
        <f t="shared" si="4"/>
        <v>2145.1</v>
      </c>
      <c r="I58" s="49">
        <f t="shared" si="5"/>
        <v>5104.3756148499979</v>
      </c>
      <c r="J58" s="49">
        <f t="shared" si="9"/>
        <v>144989.51229699998</v>
      </c>
      <c r="K58" s="49">
        <f t="shared" si="10"/>
        <v>42902</v>
      </c>
      <c r="L58" s="49">
        <f t="shared" si="6"/>
        <v>102087.51229699998</v>
      </c>
      <c r="M58" s="62">
        <f t="shared" si="7"/>
        <v>3.3795513565101856</v>
      </c>
      <c r="N58" s="81"/>
      <c r="O58" s="82">
        <v>14</v>
      </c>
      <c r="P58" s="82" t="s">
        <v>55</v>
      </c>
      <c r="Q58" s="101">
        <v>0.05</v>
      </c>
      <c r="R58" s="101">
        <v>1</v>
      </c>
      <c r="S58" s="84">
        <v>2414</v>
      </c>
      <c r="T58" s="85">
        <v>0</v>
      </c>
      <c r="U58" s="86">
        <v>0</v>
      </c>
      <c r="V58" s="87">
        <v>2258</v>
      </c>
    </row>
    <row r="59" spans="2:22" s="78" customFormat="1" ht="31.2" x14ac:dyDescent="0.3">
      <c r="B59" s="59" t="s">
        <v>51</v>
      </c>
      <c r="C59" s="60" t="s">
        <v>139</v>
      </c>
      <c r="D59" s="61">
        <v>16</v>
      </c>
      <c r="E59" s="80">
        <f t="shared" si="8"/>
        <v>177346.72200000001</v>
      </c>
      <c r="F59" s="80">
        <f t="shared" si="1"/>
        <v>2837547.5520000001</v>
      </c>
      <c r="G59" s="49">
        <f>1.15*(1-Q59)*R59*(IF(P59="baseload",VLOOKUP(O59,'2015 Avoided Costs'!$B$9:$N$38,7)*S59+VLOOKUP(O59,'2015 Avoided Costs'!$P$9:$AB$38,7)*T59/1000+VLOOKUP(O59,'2015 Avoided Costs'!$AD$9:$AP$38,7)*U59,VLOOKUP(O59,'2015 Avoided Costs'!$B$9:$N$38,9)*S59+VLOOKUP(O59,'2015 Avoided Costs'!$P$9:$AB$38,9)*T59/1000+VLOOKUP(O59,'2015 Avoided Costs'!$AD$9:$AP$38,9)*U59))</f>
        <v>40044.313450753492</v>
      </c>
      <c r="H59" s="49">
        <f t="shared" si="4"/>
        <v>12549.5</v>
      </c>
      <c r="I59" s="49">
        <f t="shared" si="5"/>
        <v>27494.813450753492</v>
      </c>
      <c r="J59" s="49">
        <f t="shared" si="9"/>
        <v>640709.01521205588</v>
      </c>
      <c r="K59" s="49">
        <f t="shared" si="10"/>
        <v>200792</v>
      </c>
      <c r="L59" s="49">
        <f t="shared" si="6"/>
        <v>439917.01521205588</v>
      </c>
      <c r="M59" s="62">
        <f t="shared" si="7"/>
        <v>3.1909090761188486</v>
      </c>
      <c r="N59" s="81"/>
      <c r="O59" s="82">
        <v>14</v>
      </c>
      <c r="P59" s="82" t="s">
        <v>55</v>
      </c>
      <c r="Q59" s="101">
        <v>0.05</v>
      </c>
      <c r="R59" s="101">
        <v>1</v>
      </c>
      <c r="S59" s="84">
        <v>13334.34</v>
      </c>
      <c r="T59" s="85">
        <v>0</v>
      </c>
      <c r="U59" s="86">
        <v>0</v>
      </c>
      <c r="V59" s="87">
        <v>13210</v>
      </c>
    </row>
    <row r="60" spans="2:22" s="78" customFormat="1" ht="31.2" x14ac:dyDescent="0.3">
      <c r="B60" s="59" t="s">
        <v>48</v>
      </c>
      <c r="C60" s="60" t="s">
        <v>140</v>
      </c>
      <c r="D60" s="61">
        <v>11</v>
      </c>
      <c r="E60" s="80">
        <f t="shared" si="8"/>
        <v>350771.54</v>
      </c>
      <c r="F60" s="80">
        <f t="shared" si="1"/>
        <v>3858486.94</v>
      </c>
      <c r="G60" s="49">
        <f>1.15*(1-Q60)*R60*(IF(P60="baseload",VLOOKUP(O60,'2015 Avoided Costs'!$B$9:$N$38,7)*S60+VLOOKUP(O60,'2015 Avoided Costs'!$P$9:$AB$38,7)*T60/1000+VLOOKUP(O60,'2015 Avoided Costs'!$AD$9:$AP$38,7)*U60,VLOOKUP(O60,'2015 Avoided Costs'!$B$9:$N$38,9)*S60+VLOOKUP(O60,'2015 Avoided Costs'!$P$9:$AB$38,9)*T60/1000+VLOOKUP(O60,'2015 Avoided Costs'!$AD$9:$AP$38,9)*U60))</f>
        <v>79203.073724494985</v>
      </c>
      <c r="H60" s="49">
        <f t="shared" si="4"/>
        <v>23433.649999999998</v>
      </c>
      <c r="I60" s="49">
        <f t="shared" si="5"/>
        <v>55769.423724494991</v>
      </c>
      <c r="J60" s="49">
        <f t="shared" si="9"/>
        <v>871233.81096944481</v>
      </c>
      <c r="K60" s="49">
        <f t="shared" si="10"/>
        <v>257770.14999999997</v>
      </c>
      <c r="L60" s="49">
        <f t="shared" si="6"/>
        <v>613463.66096944478</v>
      </c>
      <c r="M60" s="62">
        <f t="shared" si="7"/>
        <v>3.3798863482425912</v>
      </c>
      <c r="N60" s="81"/>
      <c r="O60" s="82">
        <v>14</v>
      </c>
      <c r="P60" s="82" t="s">
        <v>55</v>
      </c>
      <c r="Q60" s="101">
        <v>0.05</v>
      </c>
      <c r="R60" s="101">
        <v>1</v>
      </c>
      <c r="S60" s="84">
        <v>26373.8</v>
      </c>
      <c r="T60" s="85">
        <v>0</v>
      </c>
      <c r="U60" s="86">
        <v>0</v>
      </c>
      <c r="V60" s="87">
        <v>24667</v>
      </c>
    </row>
    <row r="61" spans="2:22" s="78" customFormat="1" x14ac:dyDescent="0.3">
      <c r="B61" s="59" t="s">
        <v>51</v>
      </c>
      <c r="C61" s="60" t="s">
        <v>141</v>
      </c>
      <c r="D61" s="61">
        <v>70</v>
      </c>
      <c r="E61" s="80">
        <f t="shared" si="8"/>
        <v>22248.239999999998</v>
      </c>
      <c r="F61" s="80">
        <f t="shared" si="1"/>
        <v>1557376.7999999998</v>
      </c>
      <c r="G61" s="49">
        <f>1.15*(1-Q61)*R61*(IF(P61="baseload",VLOOKUP(O61,'2015 Avoided Costs'!$B$9:$N$38,7)*S61+VLOOKUP(O61,'2015 Avoided Costs'!$P$9:$AB$38,7)*T61/1000+VLOOKUP(O61,'2015 Avoided Costs'!$AD$9:$AP$38,7)*U61,VLOOKUP(O61,'2015 Avoided Costs'!$B$9:$N$38,9)*S61+VLOOKUP(O61,'2015 Avoided Costs'!$P$9:$AB$38,9)*T61/1000+VLOOKUP(O61,'2015 Avoided Costs'!$AD$9:$AP$38,9)*U61))</f>
        <v>5023.5802852199986</v>
      </c>
      <c r="H61" s="49">
        <f t="shared" si="4"/>
        <v>2465.25</v>
      </c>
      <c r="I61" s="49">
        <f t="shared" si="5"/>
        <v>2558.3302852199986</v>
      </c>
      <c r="J61" s="49">
        <f t="shared" si="9"/>
        <v>351650.61996539991</v>
      </c>
      <c r="K61" s="49">
        <f t="shared" si="10"/>
        <v>172567.5</v>
      </c>
      <c r="L61" s="49">
        <f t="shared" si="6"/>
        <v>179083.11996539991</v>
      </c>
      <c r="M61" s="62">
        <f t="shared" si="7"/>
        <v>2.0377569354913287</v>
      </c>
      <c r="N61" s="81"/>
      <c r="O61" s="82">
        <v>14</v>
      </c>
      <c r="P61" s="82" t="s">
        <v>55</v>
      </c>
      <c r="Q61" s="101">
        <v>0.05</v>
      </c>
      <c r="R61" s="101">
        <v>1</v>
      </c>
      <c r="S61" s="84">
        <v>1672.8</v>
      </c>
      <c r="T61" s="85">
        <v>0</v>
      </c>
      <c r="U61" s="86">
        <v>0</v>
      </c>
      <c r="V61" s="87">
        <v>2595</v>
      </c>
    </row>
    <row r="62" spans="2:22" s="78" customFormat="1" x14ac:dyDescent="0.3">
      <c r="B62" s="59" t="s">
        <v>48</v>
      </c>
      <c r="C62" s="60" t="s">
        <v>142</v>
      </c>
      <c r="D62" s="61">
        <v>195</v>
      </c>
      <c r="E62" s="80">
        <f t="shared" si="8"/>
        <v>18846.233</v>
      </c>
      <c r="F62" s="80">
        <f t="shared" si="1"/>
        <v>3675015.4350000001</v>
      </c>
      <c r="G62" s="49">
        <f>1.15*(1-Q62)*R62*(IF(P62="baseload",VLOOKUP(O62,'2015 Avoided Costs'!$B$9:$N$38,7)*S62+VLOOKUP(O62,'2015 Avoided Costs'!$P$9:$AB$38,7)*T62/1000+VLOOKUP(O62,'2015 Avoided Costs'!$AD$9:$AP$38,7)*U62,VLOOKUP(O62,'2015 Avoided Costs'!$B$9:$N$38,9)*S62+VLOOKUP(O62,'2015 Avoided Costs'!$P$9:$AB$38,9)*T62/1000+VLOOKUP(O62,'2015 Avoided Costs'!$AD$9:$AP$38,9)*U62))</f>
        <v>4255.4181611427493</v>
      </c>
      <c r="H62" s="49">
        <f t="shared" si="4"/>
        <v>1973.1499999999999</v>
      </c>
      <c r="I62" s="49">
        <f t="shared" si="5"/>
        <v>2282.2681611427497</v>
      </c>
      <c r="J62" s="49">
        <f t="shared" si="9"/>
        <v>829806.54142283613</v>
      </c>
      <c r="K62" s="49">
        <f t="shared" si="10"/>
        <v>384764.25</v>
      </c>
      <c r="L62" s="49">
        <f t="shared" si="6"/>
        <v>445042.29142283613</v>
      </c>
      <c r="M62" s="62">
        <f t="shared" si="7"/>
        <v>2.1566622715671637</v>
      </c>
      <c r="N62" s="81"/>
      <c r="O62" s="82">
        <v>14</v>
      </c>
      <c r="P62" s="82" t="s">
        <v>55</v>
      </c>
      <c r="Q62" s="101">
        <v>0.05</v>
      </c>
      <c r="R62" s="101">
        <v>1</v>
      </c>
      <c r="S62" s="84">
        <v>1417.01</v>
      </c>
      <c r="T62" s="85">
        <v>0</v>
      </c>
      <c r="U62" s="86">
        <v>0</v>
      </c>
      <c r="V62" s="87">
        <v>2077</v>
      </c>
    </row>
    <row r="63" spans="2:22" s="78" customFormat="1" x14ac:dyDescent="0.3">
      <c r="B63" s="59" t="s">
        <v>51</v>
      </c>
      <c r="C63" s="60" t="s">
        <v>143</v>
      </c>
      <c r="D63" s="61">
        <v>41</v>
      </c>
      <c r="E63" s="80">
        <f t="shared" si="8"/>
        <v>110968.54999999999</v>
      </c>
      <c r="F63" s="80">
        <f t="shared" si="1"/>
        <v>4549710.55</v>
      </c>
      <c r="G63" s="49">
        <f>1.15*(1-Q63)*R63*(IF(P63="baseload",VLOOKUP(O63,'2015 Avoided Costs'!$B$9:$N$38,7)*S63+VLOOKUP(O63,'2015 Avoided Costs'!$P$9:$AB$38,7)*T63/1000+VLOOKUP(O63,'2015 Avoided Costs'!$AD$9:$AP$38,7)*U63,VLOOKUP(O63,'2015 Avoided Costs'!$B$9:$N$38,9)*S63+VLOOKUP(O63,'2015 Avoided Costs'!$P$9:$AB$38,9)*T63/1000+VLOOKUP(O63,'2015 Avoided Costs'!$AD$9:$AP$38,9)*U63))</f>
        <v>25056.337942212496</v>
      </c>
      <c r="H63" s="49">
        <f t="shared" si="4"/>
        <v>12295.849999999999</v>
      </c>
      <c r="I63" s="49">
        <f t="shared" si="5"/>
        <v>12760.487942212498</v>
      </c>
      <c r="J63" s="49">
        <f t="shared" si="9"/>
        <v>1027309.8556307124</v>
      </c>
      <c r="K63" s="49">
        <f t="shared" si="10"/>
        <v>504129.84999999992</v>
      </c>
      <c r="L63" s="49">
        <f t="shared" si="6"/>
        <v>523180.00563071243</v>
      </c>
      <c r="M63" s="62">
        <f t="shared" si="7"/>
        <v>2.0377881921308818</v>
      </c>
      <c r="N63" s="81"/>
      <c r="O63" s="82">
        <v>14</v>
      </c>
      <c r="P63" s="82" t="s">
        <v>55</v>
      </c>
      <c r="Q63" s="101">
        <v>0.05</v>
      </c>
      <c r="R63" s="101">
        <v>1</v>
      </c>
      <c r="S63" s="84">
        <v>8343.5</v>
      </c>
      <c r="T63" s="85">
        <v>0</v>
      </c>
      <c r="U63" s="86">
        <v>0</v>
      </c>
      <c r="V63" s="87">
        <v>12943</v>
      </c>
    </row>
    <row r="64" spans="2:22" s="78" customFormat="1" x14ac:dyDescent="0.3">
      <c r="B64" s="59" t="s">
        <v>48</v>
      </c>
      <c r="C64" s="60" t="s">
        <v>144</v>
      </c>
      <c r="D64" s="61">
        <v>45</v>
      </c>
      <c r="E64" s="80">
        <f t="shared" si="8"/>
        <v>131606.15999999997</v>
      </c>
      <c r="F64" s="80">
        <f t="shared" si="1"/>
        <v>5922277.1999999993</v>
      </c>
      <c r="G64" s="49">
        <f>1.15*(1-Q64)*R64*(IF(P64="baseload",VLOOKUP(O64,'2015 Avoided Costs'!$B$9:$N$38,7)*S64+VLOOKUP(O64,'2015 Avoided Costs'!$P$9:$AB$38,7)*T64/1000+VLOOKUP(O64,'2015 Avoided Costs'!$AD$9:$AP$38,7)*U64,VLOOKUP(O64,'2015 Avoided Costs'!$B$9:$N$38,9)*S64+VLOOKUP(O64,'2015 Avoided Costs'!$P$9:$AB$38,9)*T64/1000+VLOOKUP(O64,'2015 Avoided Costs'!$AD$9:$AP$38,9)*U64))</f>
        <v>29716.243207979991</v>
      </c>
      <c r="H64" s="49">
        <f t="shared" si="4"/>
        <v>13775.949999999999</v>
      </c>
      <c r="I64" s="49">
        <f t="shared" si="5"/>
        <v>15940.293207979992</v>
      </c>
      <c r="J64" s="49">
        <f t="shared" si="9"/>
        <v>1337230.9443590995</v>
      </c>
      <c r="K64" s="49">
        <f t="shared" si="10"/>
        <v>619917.75</v>
      </c>
      <c r="L64" s="49">
        <f t="shared" si="6"/>
        <v>717313.19435909949</v>
      </c>
      <c r="M64" s="62">
        <f t="shared" si="7"/>
        <v>2.157110268836631</v>
      </c>
      <c r="N64" s="81"/>
      <c r="O64" s="88">
        <v>14</v>
      </c>
      <c r="P64" s="88" t="s">
        <v>55</v>
      </c>
      <c r="Q64" s="102">
        <v>0.05</v>
      </c>
      <c r="R64" s="102">
        <v>1</v>
      </c>
      <c r="S64" s="90">
        <v>9895.1999999999989</v>
      </c>
      <c r="T64" s="91">
        <v>0</v>
      </c>
      <c r="U64" s="92">
        <v>0</v>
      </c>
      <c r="V64" s="93">
        <v>14501</v>
      </c>
    </row>
    <row r="65" spans="2:30" s="78" customFormat="1" x14ac:dyDescent="0.3">
      <c r="B65" s="59" t="s">
        <v>51</v>
      </c>
      <c r="C65" s="60" t="s">
        <v>145</v>
      </c>
      <c r="D65" s="61">
        <v>2</v>
      </c>
      <c r="E65" s="80">
        <f t="shared" si="8"/>
        <v>16744.965999999997</v>
      </c>
      <c r="F65" s="80">
        <f t="shared" si="1"/>
        <v>33489.931999999993</v>
      </c>
      <c r="G65" s="49">
        <f>1.15*(1-Q65)*R65*(IF(P65="baseload",VLOOKUP(O65,'2015 Avoided Costs'!$B$9:$N$38,7)*S65+VLOOKUP(O65,'2015 Avoided Costs'!$P$9:$AB$38,7)*T65/1000+VLOOKUP(O65,'2015 Avoided Costs'!$AD$9:$AP$38,7)*U65,VLOOKUP(O65,'2015 Avoided Costs'!$B$9:$N$38,9)*S65+VLOOKUP(O65,'2015 Avoided Costs'!$P$9:$AB$38,9)*T65/1000+VLOOKUP(O65,'2015 Avoided Costs'!$AD$9:$AP$38,9)*U65))</f>
        <v>3780.9589016604991</v>
      </c>
      <c r="H65" s="49">
        <f t="shared" si="4"/>
        <v>1814.5</v>
      </c>
      <c r="I65" s="49">
        <f t="shared" si="5"/>
        <v>1966.4589016604991</v>
      </c>
      <c r="J65" s="49">
        <f t="shared" si="9"/>
        <v>7561.9178033209982</v>
      </c>
      <c r="K65" s="49">
        <f t="shared" si="10"/>
        <v>3629</v>
      </c>
      <c r="L65" s="49">
        <f t="shared" si="6"/>
        <v>3932.9178033209982</v>
      </c>
      <c r="M65" s="62">
        <f t="shared" si="7"/>
        <v>2.0837469835549731</v>
      </c>
      <c r="N65" s="81"/>
      <c r="O65" s="95">
        <v>14</v>
      </c>
      <c r="P65" s="95" t="s">
        <v>55</v>
      </c>
      <c r="Q65" s="96">
        <v>0.05</v>
      </c>
      <c r="R65" s="96">
        <v>1</v>
      </c>
      <c r="S65" s="97">
        <v>1259.02</v>
      </c>
      <c r="T65" s="98">
        <v>0</v>
      </c>
      <c r="U65" s="99">
        <v>0</v>
      </c>
      <c r="V65" s="100">
        <v>1910</v>
      </c>
    </row>
    <row r="66" spans="2:30" s="78" customFormat="1" x14ac:dyDescent="0.3">
      <c r="B66" s="59" t="s">
        <v>48</v>
      </c>
      <c r="C66" s="60" t="s">
        <v>145</v>
      </c>
      <c r="D66" s="61">
        <v>6</v>
      </c>
      <c r="E66" s="80">
        <f t="shared" si="8"/>
        <v>33602.184000000001</v>
      </c>
      <c r="F66" s="80">
        <f t="shared" si="1"/>
        <v>201613.10399999999</v>
      </c>
      <c r="G66" s="49">
        <f>1.15*(1-Q66)*R66*(IF(P66="baseload",VLOOKUP(O66,'2015 Avoided Costs'!$B$9:$N$38,7)*S66+VLOOKUP(O66,'2015 Avoided Costs'!$P$9:$AB$38,7)*T66/1000+VLOOKUP(O66,'2015 Avoided Costs'!$AD$9:$AP$38,7)*U66,VLOOKUP(O66,'2015 Avoided Costs'!$B$9:$N$38,9)*S66+VLOOKUP(O66,'2015 Avoided Costs'!$P$9:$AB$38,9)*T66/1000+VLOOKUP(O66,'2015 Avoided Costs'!$AD$9:$AP$38,9)*U66))</f>
        <v>7587.2639401019978</v>
      </c>
      <c r="H66" s="49">
        <f t="shared" si="4"/>
        <v>3319.2999999999997</v>
      </c>
      <c r="I66" s="49">
        <f t="shared" si="5"/>
        <v>4267.9639401019977</v>
      </c>
      <c r="J66" s="49">
        <f t="shared" si="9"/>
        <v>45523.583640611985</v>
      </c>
      <c r="K66" s="49">
        <f t="shared" si="10"/>
        <v>19915.8</v>
      </c>
      <c r="L66" s="49">
        <f t="shared" si="6"/>
        <v>25607.783640611986</v>
      </c>
      <c r="M66" s="62">
        <f t="shared" si="7"/>
        <v>2.2858024101774466</v>
      </c>
      <c r="N66" s="81"/>
      <c r="O66" s="82">
        <v>14</v>
      </c>
      <c r="P66" s="82" t="s">
        <v>55</v>
      </c>
      <c r="Q66" s="101">
        <v>0.05</v>
      </c>
      <c r="R66" s="101">
        <v>1</v>
      </c>
      <c r="S66" s="84">
        <v>2526.48</v>
      </c>
      <c r="T66" s="85">
        <v>0</v>
      </c>
      <c r="U66" s="86">
        <v>0</v>
      </c>
      <c r="V66" s="87">
        <v>3494</v>
      </c>
    </row>
    <row r="67" spans="2:30" s="78" customFormat="1" x14ac:dyDescent="0.3">
      <c r="B67" s="59" t="s">
        <v>51</v>
      </c>
      <c r="C67" s="60" t="s">
        <v>146</v>
      </c>
      <c r="D67" s="61">
        <v>1</v>
      </c>
      <c r="E67" s="80">
        <f t="shared" ref="E67:E98" si="11">O67*S67*(1-Q67)*R67</f>
        <v>101292.79999999999</v>
      </c>
      <c r="F67" s="80">
        <f t="shared" ref="F67:F109" si="12">D67*E67</f>
        <v>101292.79999999999</v>
      </c>
      <c r="G67" s="49">
        <f>1.15*(1-Q67)*R67*(IF(P67="baseload",VLOOKUP(O67,'2015 Avoided Costs'!$B$9:$N$38,7)*S67+VLOOKUP(O67,'2015 Avoided Costs'!$P$9:$AB$38,7)*T67/1000+VLOOKUP(O67,'2015 Avoided Costs'!$AD$9:$AP$38,7)*U67,VLOOKUP(O67,'2015 Avoided Costs'!$B$9:$N$38,9)*S67+VLOOKUP(O67,'2015 Avoided Costs'!$P$9:$AB$38,9)*T67/1000+VLOOKUP(O67,'2015 Avoided Costs'!$AD$9:$AP$38,9)*U67))</f>
        <v>22871.585038399997</v>
      </c>
      <c r="H67" s="49">
        <f t="shared" si="4"/>
        <v>10974.4</v>
      </c>
      <c r="I67" s="49">
        <f t="shared" si="5"/>
        <v>11897.185038399997</v>
      </c>
      <c r="J67" s="49">
        <f t="shared" ref="J67:J98" si="13">G67*D67</f>
        <v>22871.585038399997</v>
      </c>
      <c r="K67" s="49">
        <f t="shared" ref="K67:K98" si="14">H67*D67</f>
        <v>10974.4</v>
      </c>
      <c r="L67" s="49">
        <f t="shared" si="6"/>
        <v>11897.185038399997</v>
      </c>
      <c r="M67" s="62">
        <f t="shared" si="7"/>
        <v>2.0840852382271464</v>
      </c>
      <c r="N67" s="81"/>
      <c r="O67" s="82">
        <v>14</v>
      </c>
      <c r="P67" s="82" t="s">
        <v>55</v>
      </c>
      <c r="Q67" s="101">
        <v>0.05</v>
      </c>
      <c r="R67" s="101">
        <v>1</v>
      </c>
      <c r="S67" s="84">
        <v>7616</v>
      </c>
      <c r="T67" s="85">
        <v>0</v>
      </c>
      <c r="U67" s="86">
        <v>0</v>
      </c>
      <c r="V67" s="87">
        <v>11552</v>
      </c>
    </row>
    <row r="68" spans="2:30" s="78" customFormat="1" x14ac:dyDescent="0.3">
      <c r="B68" s="59" t="s">
        <v>48</v>
      </c>
      <c r="C68" s="60" t="s">
        <v>146</v>
      </c>
      <c r="D68" s="61">
        <v>1</v>
      </c>
      <c r="E68" s="80">
        <f t="shared" si="11"/>
        <v>138852</v>
      </c>
      <c r="F68" s="80">
        <f t="shared" si="12"/>
        <v>138852</v>
      </c>
      <c r="G68" s="49">
        <f>1.15*(1-Q68)*R68*(IF(P68="baseload",VLOOKUP(O68,'2015 Avoided Costs'!$B$9:$N$38,7)*S68+VLOOKUP(O68,'2015 Avoided Costs'!$P$9:$AB$38,7)*T68/1000+VLOOKUP(O68,'2015 Avoided Costs'!$AD$9:$AP$38,7)*U68,VLOOKUP(O68,'2015 Avoided Costs'!$B$9:$N$38,9)*S68+VLOOKUP(O68,'2015 Avoided Costs'!$P$9:$AB$38,9)*T68/1000+VLOOKUP(O68,'2015 Avoided Costs'!$AD$9:$AP$38,9)*U68))</f>
        <v>31352.330330999994</v>
      </c>
      <c r="H68" s="49">
        <f t="shared" ref="H68:H111" si="15">(((1-Q68)*V68))</f>
        <v>13718</v>
      </c>
      <c r="I68" s="49">
        <f t="shared" ref="I68:I111" si="16">G68-H68</f>
        <v>17634.330330999994</v>
      </c>
      <c r="J68" s="49">
        <f t="shared" si="13"/>
        <v>31352.330330999994</v>
      </c>
      <c r="K68" s="49">
        <f t="shared" si="14"/>
        <v>13718</v>
      </c>
      <c r="L68" s="49">
        <f t="shared" ref="L68:L111" si="17">J68-K68</f>
        <v>17634.330330999994</v>
      </c>
      <c r="M68" s="62">
        <f t="shared" ref="M68:M113" si="18">(J68)/K68</f>
        <v>2.285488433518005</v>
      </c>
      <c r="N68" s="81"/>
      <c r="O68" s="82">
        <v>14</v>
      </c>
      <c r="P68" s="82" t="s">
        <v>55</v>
      </c>
      <c r="Q68" s="101">
        <v>0.05</v>
      </c>
      <c r="R68" s="101">
        <v>1</v>
      </c>
      <c r="S68" s="84">
        <v>10440</v>
      </c>
      <c r="T68" s="85">
        <v>0</v>
      </c>
      <c r="U68" s="86">
        <v>0</v>
      </c>
      <c r="V68" s="87">
        <v>14440</v>
      </c>
    </row>
    <row r="69" spans="2:30" s="78" customFormat="1" x14ac:dyDescent="0.3">
      <c r="B69" s="59" t="s">
        <v>51</v>
      </c>
      <c r="C69" s="60" t="s">
        <v>147</v>
      </c>
      <c r="D69" s="61">
        <v>25</v>
      </c>
      <c r="E69" s="80">
        <f t="shared" si="11"/>
        <v>9319.5759999999991</v>
      </c>
      <c r="F69" s="80">
        <f t="shared" si="12"/>
        <v>232989.39999999997</v>
      </c>
      <c r="G69" s="49">
        <f>1.15*(1-Q69)*R69*(IF(P69="baseload",VLOOKUP(O69,'2015 Avoided Costs'!$B$9:$N$38,7)*S69+VLOOKUP(O69,'2015 Avoided Costs'!$P$9:$AB$38,7)*T69/1000+VLOOKUP(O69,'2015 Avoided Costs'!$AD$9:$AP$38,7)*U69,VLOOKUP(O69,'2015 Avoided Costs'!$B$9:$N$38,9)*S69+VLOOKUP(O69,'2015 Avoided Costs'!$P$9:$AB$38,9)*T69/1000+VLOOKUP(O69,'2015 Avoided Costs'!$AD$9:$AP$38,9)*U69))</f>
        <v>2104.3299721779995</v>
      </c>
      <c r="H69" s="49">
        <f t="shared" si="15"/>
        <v>1580.8</v>
      </c>
      <c r="I69" s="49">
        <f t="shared" si="16"/>
        <v>523.52997217799953</v>
      </c>
      <c r="J69" s="49">
        <f t="shared" si="13"/>
        <v>52608.249304449986</v>
      </c>
      <c r="K69" s="49">
        <f t="shared" si="14"/>
        <v>39520</v>
      </c>
      <c r="L69" s="49">
        <f t="shared" si="17"/>
        <v>13088.249304449986</v>
      </c>
      <c r="M69" s="62">
        <f t="shared" si="18"/>
        <v>1.3311803973798073</v>
      </c>
      <c r="N69" s="81"/>
      <c r="O69" s="82">
        <v>14</v>
      </c>
      <c r="P69" s="82" t="s">
        <v>55</v>
      </c>
      <c r="Q69" s="101">
        <v>0.05</v>
      </c>
      <c r="R69" s="101">
        <v>1</v>
      </c>
      <c r="S69" s="84">
        <v>700.72</v>
      </c>
      <c r="T69" s="85">
        <v>0</v>
      </c>
      <c r="U69" s="86">
        <v>0</v>
      </c>
      <c r="V69" s="87">
        <v>1664</v>
      </c>
    </row>
    <row r="70" spans="2:30" s="78" customFormat="1" x14ac:dyDescent="0.3">
      <c r="B70" s="59" t="s">
        <v>48</v>
      </c>
      <c r="C70" s="60" t="s">
        <v>147</v>
      </c>
      <c r="D70" s="61">
        <v>33</v>
      </c>
      <c r="E70" s="80">
        <f t="shared" si="11"/>
        <v>21455.826000000001</v>
      </c>
      <c r="F70" s="80">
        <f t="shared" si="12"/>
        <v>708042.25800000003</v>
      </c>
      <c r="G70" s="49">
        <f>1.15*(1-Q70)*R70*(IF(P70="baseload",VLOOKUP(O70,'2015 Avoided Costs'!$B$9:$N$38,7)*S70+VLOOKUP(O70,'2015 Avoided Costs'!$P$9:$AB$38,7)*T70/1000+VLOOKUP(O70,'2015 Avoided Costs'!$AD$9:$AP$38,7)*U70,VLOOKUP(O70,'2015 Avoided Costs'!$B$9:$N$38,9)*S70+VLOOKUP(O70,'2015 Avoided Costs'!$P$9:$AB$38,9)*T70/1000+VLOOKUP(O70,'2015 Avoided Costs'!$AD$9:$AP$38,9)*U70))</f>
        <v>4844.6557793654983</v>
      </c>
      <c r="H70" s="49">
        <f t="shared" si="15"/>
        <v>3312.6499999999996</v>
      </c>
      <c r="I70" s="49">
        <f t="shared" si="16"/>
        <v>1532.0057793654987</v>
      </c>
      <c r="J70" s="49">
        <f t="shared" si="13"/>
        <v>159873.64071906146</v>
      </c>
      <c r="K70" s="49">
        <f t="shared" si="14"/>
        <v>109317.44999999998</v>
      </c>
      <c r="L70" s="49">
        <f t="shared" si="17"/>
        <v>50556.190719061473</v>
      </c>
      <c r="M70" s="62">
        <f t="shared" si="18"/>
        <v>1.4624713686521362</v>
      </c>
      <c r="N70" s="81"/>
      <c r="O70" s="82">
        <v>14</v>
      </c>
      <c r="P70" s="82" t="s">
        <v>55</v>
      </c>
      <c r="Q70" s="101">
        <v>0.05</v>
      </c>
      <c r="R70" s="101">
        <v>1</v>
      </c>
      <c r="S70" s="84">
        <v>1613.22</v>
      </c>
      <c r="T70" s="85">
        <v>0</v>
      </c>
      <c r="U70" s="86">
        <v>0</v>
      </c>
      <c r="V70" s="87">
        <v>3487</v>
      </c>
    </row>
    <row r="71" spans="2:30" s="78" customFormat="1" x14ac:dyDescent="0.3">
      <c r="B71" s="59" t="s">
        <v>51</v>
      </c>
      <c r="C71" s="60" t="s">
        <v>148</v>
      </c>
      <c r="D71" s="61">
        <v>17</v>
      </c>
      <c r="E71" s="80">
        <f t="shared" si="11"/>
        <v>120891.68000000001</v>
      </c>
      <c r="F71" s="80">
        <f t="shared" si="12"/>
        <v>2055158.56</v>
      </c>
      <c r="G71" s="49">
        <f>1.15*(1-Q71)*R71*(IF(P71="baseload",VLOOKUP(O71,'2015 Avoided Costs'!$B$9:$N$38,7)*S71+VLOOKUP(O71,'2015 Avoided Costs'!$P$9:$AB$38,7)*T71/1000+VLOOKUP(O71,'2015 Avoided Costs'!$AD$9:$AP$38,7)*U71,VLOOKUP(O71,'2015 Avoided Costs'!$B$9:$N$38,9)*S71+VLOOKUP(O71,'2015 Avoided Costs'!$P$9:$AB$38,9)*T71/1000+VLOOKUP(O71,'2015 Avoided Costs'!$AD$9:$AP$38,9)*U71))</f>
        <v>27296.948446039998</v>
      </c>
      <c r="H71" s="49">
        <f t="shared" si="15"/>
        <v>20508.599999999999</v>
      </c>
      <c r="I71" s="49">
        <f t="shared" si="16"/>
        <v>6788.3484460399995</v>
      </c>
      <c r="J71" s="49">
        <f t="shared" si="13"/>
        <v>464048.12358267995</v>
      </c>
      <c r="K71" s="49">
        <f t="shared" si="14"/>
        <v>348646.19999999995</v>
      </c>
      <c r="L71" s="49">
        <f t="shared" si="17"/>
        <v>115401.92358268</v>
      </c>
      <c r="M71" s="62">
        <f t="shared" si="18"/>
        <v>1.3310000900129701</v>
      </c>
      <c r="N71" s="81"/>
      <c r="O71" s="82">
        <v>14</v>
      </c>
      <c r="P71" s="82" t="s">
        <v>55</v>
      </c>
      <c r="Q71" s="101">
        <v>0.05</v>
      </c>
      <c r="R71" s="101">
        <v>1</v>
      </c>
      <c r="S71" s="84">
        <v>9089.6</v>
      </c>
      <c r="T71" s="85">
        <v>0</v>
      </c>
      <c r="U71" s="86">
        <v>0</v>
      </c>
      <c r="V71" s="87">
        <v>21588</v>
      </c>
    </row>
    <row r="72" spans="2:30" s="78" customFormat="1" x14ac:dyDescent="0.3">
      <c r="B72" s="59" t="s">
        <v>48</v>
      </c>
      <c r="C72" s="60" t="s">
        <v>148</v>
      </c>
      <c r="D72" s="61">
        <v>21</v>
      </c>
      <c r="E72" s="80">
        <f t="shared" si="11"/>
        <v>215624.38799999998</v>
      </c>
      <c r="F72" s="80">
        <f t="shared" si="12"/>
        <v>4528112.1479999991</v>
      </c>
      <c r="G72" s="49">
        <f>1.15*(1-Q72)*R72*(IF(P72="baseload",VLOOKUP(O72,'2015 Avoided Costs'!$B$9:$N$38,7)*S72+VLOOKUP(O72,'2015 Avoided Costs'!$P$9:$AB$38,7)*T72/1000+VLOOKUP(O72,'2015 Avoided Costs'!$AD$9:$AP$38,7)*U72,VLOOKUP(O72,'2015 Avoided Costs'!$B$9:$N$38,9)*S72+VLOOKUP(O72,'2015 Avoided Costs'!$P$9:$AB$38,9)*T72/1000+VLOOKUP(O72,'2015 Avoided Costs'!$AD$9:$AP$38,9)*U72))</f>
        <v>48687.286031138981</v>
      </c>
      <c r="H72" s="49">
        <f t="shared" si="15"/>
        <v>33293.699999999997</v>
      </c>
      <c r="I72" s="49">
        <f t="shared" si="16"/>
        <v>15393.586031138984</v>
      </c>
      <c r="J72" s="49">
        <f t="shared" si="13"/>
        <v>1022433.0066539187</v>
      </c>
      <c r="K72" s="49">
        <f t="shared" si="14"/>
        <v>699167.7</v>
      </c>
      <c r="L72" s="49">
        <f t="shared" si="17"/>
        <v>323265.3066539187</v>
      </c>
      <c r="M72" s="62">
        <f t="shared" si="18"/>
        <v>1.4623573237921585</v>
      </c>
      <c r="N72" s="81"/>
      <c r="O72" s="82">
        <v>14</v>
      </c>
      <c r="P72" s="82" t="s">
        <v>55</v>
      </c>
      <c r="Q72" s="101">
        <v>0.05</v>
      </c>
      <c r="R72" s="101">
        <v>1</v>
      </c>
      <c r="S72" s="84">
        <v>16212.359999999999</v>
      </c>
      <c r="T72" s="85">
        <v>0</v>
      </c>
      <c r="U72" s="86">
        <v>0</v>
      </c>
      <c r="V72" s="87">
        <v>35046</v>
      </c>
    </row>
    <row r="73" spans="2:30" s="78" customFormat="1" x14ac:dyDescent="0.3">
      <c r="B73" s="59" t="s">
        <v>51</v>
      </c>
      <c r="C73" s="60" t="s">
        <v>149</v>
      </c>
      <c r="D73" s="61">
        <v>17</v>
      </c>
      <c r="E73" s="80">
        <f t="shared" si="11"/>
        <v>213465</v>
      </c>
      <c r="F73" s="80">
        <f t="shared" si="12"/>
        <v>3628905</v>
      </c>
      <c r="G73" s="49">
        <f>1.15*(1-Q73)*R73*(IF(P73="baseload",VLOOKUP(O73,'2015 Avoided Costs'!$B$9:$N$38,7)*S73+VLOOKUP(O73,'2015 Avoided Costs'!$P$9:$AB$38,7)*T73/1000+VLOOKUP(O73,'2015 Avoided Costs'!$AD$9:$AP$38,7)*U73,VLOOKUP(O73,'2015 Avoided Costs'!$B$9:$N$38,9)*S73+VLOOKUP(O73,'2015 Avoided Costs'!$P$9:$AB$38,9)*T73/1000+VLOOKUP(O73,'2015 Avoided Costs'!$AD$9:$AP$38,9)*U73))</f>
        <v>48199.703238749993</v>
      </c>
      <c r="H73" s="49">
        <f t="shared" si="15"/>
        <v>12861.099999999999</v>
      </c>
      <c r="I73" s="49">
        <f t="shared" si="16"/>
        <v>35338.603238749994</v>
      </c>
      <c r="J73" s="49">
        <f t="shared" si="13"/>
        <v>819394.95505874988</v>
      </c>
      <c r="K73" s="49">
        <f t="shared" si="14"/>
        <v>218638.69999999998</v>
      </c>
      <c r="L73" s="49">
        <f t="shared" si="17"/>
        <v>600756.25505874993</v>
      </c>
      <c r="M73" s="62">
        <f t="shared" si="18"/>
        <v>3.7477123448810752</v>
      </c>
      <c r="N73" s="81"/>
      <c r="O73" s="82">
        <v>14</v>
      </c>
      <c r="P73" s="82" t="s">
        <v>55</v>
      </c>
      <c r="Q73" s="101">
        <v>0.05</v>
      </c>
      <c r="R73" s="101">
        <v>1</v>
      </c>
      <c r="S73" s="84">
        <v>16050</v>
      </c>
      <c r="T73" s="85">
        <v>0</v>
      </c>
      <c r="U73" s="86">
        <v>0</v>
      </c>
      <c r="V73" s="87">
        <v>13538</v>
      </c>
    </row>
    <row r="74" spans="2:30" s="78" customFormat="1" x14ac:dyDescent="0.3">
      <c r="B74" s="59" t="s">
        <v>48</v>
      </c>
      <c r="C74" s="60" t="s">
        <v>149</v>
      </c>
      <c r="D74" s="61">
        <v>5</v>
      </c>
      <c r="E74" s="80">
        <f t="shared" si="11"/>
        <v>125020</v>
      </c>
      <c r="F74" s="80">
        <f t="shared" si="12"/>
        <v>625100</v>
      </c>
      <c r="G74" s="49">
        <f>1.15*(1-Q74)*R74*(IF(P74="baseload",VLOOKUP(O74,'2015 Avoided Costs'!$B$9:$N$38,7)*S74+VLOOKUP(O74,'2015 Avoided Costs'!$P$9:$AB$38,7)*T74/1000+VLOOKUP(O74,'2015 Avoided Costs'!$AD$9:$AP$38,7)*U74,VLOOKUP(O74,'2015 Avoided Costs'!$B$9:$N$38,9)*S74+VLOOKUP(O74,'2015 Avoided Costs'!$P$9:$AB$38,9)*T74/1000+VLOOKUP(O74,'2015 Avoided Costs'!$AD$9:$AP$38,9)*U74))</f>
        <v>28229.109684999996</v>
      </c>
      <c r="H74" s="49">
        <f t="shared" si="15"/>
        <v>6859</v>
      </c>
      <c r="I74" s="49">
        <f t="shared" si="16"/>
        <v>21370.109684999996</v>
      </c>
      <c r="J74" s="49">
        <f t="shared" si="13"/>
        <v>141145.54842499999</v>
      </c>
      <c r="K74" s="49">
        <f t="shared" si="14"/>
        <v>34295</v>
      </c>
      <c r="L74" s="49">
        <f t="shared" si="17"/>
        <v>106850.54842499999</v>
      </c>
      <c r="M74" s="62">
        <f t="shared" si="18"/>
        <v>4.1156305124653736</v>
      </c>
      <c r="N74" s="81"/>
      <c r="O74" s="82">
        <v>14</v>
      </c>
      <c r="P74" s="82" t="s">
        <v>55</v>
      </c>
      <c r="Q74" s="101">
        <v>0.05</v>
      </c>
      <c r="R74" s="101">
        <v>1</v>
      </c>
      <c r="S74" s="84">
        <v>9400</v>
      </c>
      <c r="T74" s="85">
        <v>0</v>
      </c>
      <c r="U74" s="86">
        <v>0</v>
      </c>
      <c r="V74" s="87">
        <v>7220</v>
      </c>
    </row>
    <row r="75" spans="2:30" s="78" customFormat="1" x14ac:dyDescent="0.3">
      <c r="B75" s="59" t="s">
        <v>51</v>
      </c>
      <c r="C75" s="60" t="s">
        <v>150</v>
      </c>
      <c r="D75" s="61">
        <v>1</v>
      </c>
      <c r="E75" s="80">
        <f t="shared" si="11"/>
        <v>23623.46</v>
      </c>
      <c r="F75" s="80">
        <f t="shared" si="12"/>
        <v>23623.46</v>
      </c>
      <c r="G75" s="49">
        <f>1.15*(1-Q75)*R75*(IF(P75="baseload",VLOOKUP(O75,'2015 Avoided Costs'!$B$9:$N$38,7)*S75+VLOOKUP(O75,'2015 Avoided Costs'!$P$9:$AB$38,7)*T75/1000+VLOOKUP(O75,'2015 Avoided Costs'!$AD$9:$AP$38,7)*U75,VLOOKUP(O75,'2015 Avoided Costs'!$B$9:$N$38,9)*S75+VLOOKUP(O75,'2015 Avoided Costs'!$P$9:$AB$38,9)*T75/1000+VLOOKUP(O75,'2015 Avoided Costs'!$AD$9:$AP$38,9)*U75))</f>
        <v>5334.1004917549999</v>
      </c>
      <c r="H75" s="49">
        <f t="shared" si="15"/>
        <v>1423.1</v>
      </c>
      <c r="I75" s="49">
        <f t="shared" si="16"/>
        <v>3911.000491755</v>
      </c>
      <c r="J75" s="49">
        <f t="shared" si="13"/>
        <v>5334.1004917549999</v>
      </c>
      <c r="K75" s="49">
        <f t="shared" si="14"/>
        <v>1423.1</v>
      </c>
      <c r="L75" s="49">
        <f t="shared" si="17"/>
        <v>3911.000491755</v>
      </c>
      <c r="M75" s="62">
        <f t="shared" si="18"/>
        <v>3.74822605</v>
      </c>
      <c r="N75" s="81"/>
      <c r="O75" s="82">
        <v>14</v>
      </c>
      <c r="P75" s="82" t="s">
        <v>55</v>
      </c>
      <c r="Q75" s="101">
        <v>0.05</v>
      </c>
      <c r="R75" s="101">
        <v>1</v>
      </c>
      <c r="S75" s="84">
        <v>1776.2</v>
      </c>
      <c r="T75" s="85">
        <v>0</v>
      </c>
      <c r="U75" s="86">
        <v>0</v>
      </c>
      <c r="V75" s="87">
        <v>1498</v>
      </c>
      <c r="AD75" s="108"/>
    </row>
    <row r="76" spans="2:30" s="78" customFormat="1" x14ac:dyDescent="0.3">
      <c r="B76" s="59" t="s">
        <v>48</v>
      </c>
      <c r="C76" s="60" t="s">
        <v>150</v>
      </c>
      <c r="D76" s="61">
        <v>1</v>
      </c>
      <c r="E76" s="80">
        <f t="shared" si="11"/>
        <v>25691.609999999997</v>
      </c>
      <c r="F76" s="80">
        <f t="shared" si="12"/>
        <v>25691.609999999997</v>
      </c>
      <c r="G76" s="49">
        <f>1.15*(1-Q76)*R76*(IF(P76="baseload",VLOOKUP(O76,'2015 Avoided Costs'!$B$9:$N$38,7)*S76+VLOOKUP(O76,'2015 Avoided Costs'!$P$9:$AB$38,7)*T76/1000+VLOOKUP(O76,'2015 Avoided Costs'!$AD$9:$AP$38,7)*U76,VLOOKUP(O76,'2015 Avoided Costs'!$B$9:$N$38,9)*S76+VLOOKUP(O76,'2015 Avoided Costs'!$P$9:$AB$38,9)*T76/1000+VLOOKUP(O76,'2015 Avoided Costs'!$AD$9:$AP$38,9)*U76))</f>
        <v>5801.082040267499</v>
      </c>
      <c r="H76" s="49">
        <f t="shared" si="15"/>
        <v>1409.8</v>
      </c>
      <c r="I76" s="49">
        <f t="shared" si="16"/>
        <v>4391.2820402674988</v>
      </c>
      <c r="J76" s="49">
        <f t="shared" si="13"/>
        <v>5801.082040267499</v>
      </c>
      <c r="K76" s="49">
        <f t="shared" si="14"/>
        <v>1409.8</v>
      </c>
      <c r="L76" s="49">
        <f t="shared" si="17"/>
        <v>4391.2820402674988</v>
      </c>
      <c r="M76" s="62">
        <f t="shared" si="18"/>
        <v>4.1148262450471691</v>
      </c>
      <c r="N76" s="81"/>
      <c r="O76" s="88">
        <v>14</v>
      </c>
      <c r="P76" s="88" t="s">
        <v>55</v>
      </c>
      <c r="Q76" s="102">
        <v>0.05</v>
      </c>
      <c r="R76" s="102">
        <v>1</v>
      </c>
      <c r="S76" s="90">
        <v>1931.7</v>
      </c>
      <c r="T76" s="91">
        <v>0</v>
      </c>
      <c r="U76" s="92">
        <v>0</v>
      </c>
      <c r="V76" s="93">
        <v>1484</v>
      </c>
      <c r="AD76" s="108"/>
    </row>
    <row r="77" spans="2:30" s="78" customFormat="1" x14ac:dyDescent="0.3">
      <c r="B77" s="59" t="s">
        <v>50</v>
      </c>
      <c r="C77" s="60" t="s">
        <v>151</v>
      </c>
      <c r="D77" s="61">
        <v>400</v>
      </c>
      <c r="E77" s="80">
        <f t="shared" si="11"/>
        <v>10587.908159999997</v>
      </c>
      <c r="F77" s="80">
        <f t="shared" si="12"/>
        <v>4235163.2639999986</v>
      </c>
      <c r="G77" s="49">
        <f>1.15*(1-Q77)*R77*(IF(P77="baseload",VLOOKUP(O77,'2015 Avoided Costs'!$B$9:$N$38,7)*S77+VLOOKUP(O77,'2015 Avoided Costs'!$P$9:$AB$38,7)*T77/1000+VLOOKUP(O77,'2015 Avoided Costs'!$AD$9:$AP$38,7)*U77,VLOOKUP(O77,'2015 Avoided Costs'!$B$9:$N$38,9)*S77+VLOOKUP(O77,'2015 Avoided Costs'!$P$9:$AB$38,9)*T77/1000+VLOOKUP(O77,'2015 Avoided Costs'!$AD$9:$AP$38,9)*U77))</f>
        <v>2917.7700939883193</v>
      </c>
      <c r="H77" s="49">
        <f t="shared" si="15"/>
        <v>448.22999999999996</v>
      </c>
      <c r="I77" s="49">
        <f t="shared" si="16"/>
        <v>2469.5400939883193</v>
      </c>
      <c r="J77" s="49">
        <f t="shared" si="13"/>
        <v>1167108.0375953277</v>
      </c>
      <c r="K77" s="49">
        <f t="shared" si="14"/>
        <v>179291.99999999997</v>
      </c>
      <c r="L77" s="49">
        <f t="shared" si="17"/>
        <v>987816.03759532771</v>
      </c>
      <c r="M77" s="62">
        <f t="shared" si="18"/>
        <v>6.5095377239103129</v>
      </c>
      <c r="N77" s="81"/>
      <c r="O77" s="95">
        <v>20</v>
      </c>
      <c r="P77" s="95" t="s">
        <v>55</v>
      </c>
      <c r="Q77" s="96">
        <v>0.33</v>
      </c>
      <c r="R77" s="96">
        <v>1</v>
      </c>
      <c r="S77" s="97">
        <v>790.14239999999995</v>
      </c>
      <c r="T77" s="98">
        <v>0</v>
      </c>
      <c r="U77" s="99">
        <v>409</v>
      </c>
      <c r="V77" s="100">
        <v>669</v>
      </c>
      <c r="AD77" s="108"/>
    </row>
    <row r="78" spans="2:30" s="78" customFormat="1" x14ac:dyDescent="0.3">
      <c r="B78" s="59" t="s">
        <v>50</v>
      </c>
      <c r="C78" s="60" t="s">
        <v>152</v>
      </c>
      <c r="D78" s="61">
        <v>800</v>
      </c>
      <c r="E78" s="80">
        <f t="shared" si="11"/>
        <v>26387.472959999999</v>
      </c>
      <c r="F78" s="80">
        <f t="shared" si="12"/>
        <v>21109978.368000001</v>
      </c>
      <c r="G78" s="49">
        <f>1.15*(1-Q78)*R78*(IF(P78="baseload",VLOOKUP(O78,'2015 Avoided Costs'!$B$9:$N$38,7)*S78+VLOOKUP(O78,'2015 Avoided Costs'!$P$9:$AB$38,7)*T78/1000+VLOOKUP(O78,'2015 Avoided Costs'!$AD$9:$AP$38,7)*U78,VLOOKUP(O78,'2015 Avoided Costs'!$B$9:$N$38,9)*S78+VLOOKUP(O78,'2015 Avoided Costs'!$P$9:$AB$38,9)*T78/1000+VLOOKUP(O78,'2015 Avoided Costs'!$AD$9:$AP$38,9)*U78))</f>
        <v>6408.2217992779188</v>
      </c>
      <c r="H78" s="49">
        <f t="shared" si="15"/>
        <v>1117.56</v>
      </c>
      <c r="I78" s="49">
        <f t="shared" si="16"/>
        <v>5290.6617992779193</v>
      </c>
      <c r="J78" s="49">
        <f t="shared" si="13"/>
        <v>5126577.4394223355</v>
      </c>
      <c r="K78" s="49">
        <f t="shared" si="14"/>
        <v>894048</v>
      </c>
      <c r="L78" s="49">
        <f t="shared" si="17"/>
        <v>4232529.4394223355</v>
      </c>
      <c r="M78" s="62">
        <f t="shared" si="18"/>
        <v>5.7341187938705032</v>
      </c>
      <c r="N78" s="81"/>
      <c r="O78" s="82">
        <v>20</v>
      </c>
      <c r="P78" s="82" t="s">
        <v>55</v>
      </c>
      <c r="Q78" s="101">
        <v>0.33</v>
      </c>
      <c r="R78" s="101">
        <v>1</v>
      </c>
      <c r="S78" s="84">
        <v>1969.2143999999998</v>
      </c>
      <c r="T78" s="85">
        <v>0</v>
      </c>
      <c r="U78" s="86">
        <v>409</v>
      </c>
      <c r="V78" s="87">
        <v>1668</v>
      </c>
      <c r="AD78" s="108"/>
    </row>
    <row r="79" spans="2:30" s="78" customFormat="1" x14ac:dyDescent="0.3">
      <c r="B79" s="59" t="s">
        <v>50</v>
      </c>
      <c r="C79" s="60" t="s">
        <v>153</v>
      </c>
      <c r="D79" s="61">
        <v>200</v>
      </c>
      <c r="E79" s="80">
        <f t="shared" si="11"/>
        <v>21420.639679999997</v>
      </c>
      <c r="F79" s="80">
        <f t="shared" si="12"/>
        <v>4284127.9359999998</v>
      </c>
      <c r="G79" s="49">
        <f>1.15*(1-Q79)*R79*(IF(P79="baseload",VLOOKUP(O79,'2015 Avoided Costs'!$B$9:$N$38,7)*S79+VLOOKUP(O79,'2015 Avoided Costs'!$P$9:$AB$38,7)*T79/1000+VLOOKUP(O79,'2015 Avoided Costs'!$AD$9:$AP$38,7)*U79,VLOOKUP(O79,'2015 Avoided Costs'!$B$9:$N$38,9)*S79+VLOOKUP(O79,'2015 Avoided Costs'!$P$9:$AB$38,9)*T79/1000+VLOOKUP(O79,'2015 Avoided Costs'!$AD$9:$AP$38,9)*U79))</f>
        <v>5310.9452659353583</v>
      </c>
      <c r="H79" s="49">
        <f t="shared" si="15"/>
        <v>540.02</v>
      </c>
      <c r="I79" s="49">
        <f t="shared" si="16"/>
        <v>4770.9252659353588</v>
      </c>
      <c r="J79" s="49">
        <f t="shared" si="13"/>
        <v>1062189.0531870716</v>
      </c>
      <c r="K79" s="49">
        <f t="shared" si="14"/>
        <v>108004</v>
      </c>
      <c r="L79" s="49">
        <f t="shared" si="17"/>
        <v>954185.05318707158</v>
      </c>
      <c r="M79" s="62">
        <f t="shared" si="18"/>
        <v>9.8347195769329989</v>
      </c>
      <c r="N79" s="81"/>
      <c r="O79" s="82">
        <v>20</v>
      </c>
      <c r="P79" s="82" t="s">
        <v>55</v>
      </c>
      <c r="Q79" s="101">
        <v>0.33</v>
      </c>
      <c r="R79" s="101">
        <v>1</v>
      </c>
      <c r="S79" s="84">
        <v>1598.5552</v>
      </c>
      <c r="T79" s="85">
        <v>0</v>
      </c>
      <c r="U79" s="86">
        <v>409</v>
      </c>
      <c r="V79" s="87">
        <v>806</v>
      </c>
    </row>
    <row r="80" spans="2:30" s="78" customFormat="1" x14ac:dyDescent="0.3">
      <c r="B80" s="59" t="s">
        <v>50</v>
      </c>
      <c r="C80" s="60" t="s">
        <v>154</v>
      </c>
      <c r="D80" s="61">
        <v>400</v>
      </c>
      <c r="E80" s="80">
        <f t="shared" si="11"/>
        <v>43196.365959999988</v>
      </c>
      <c r="F80" s="80">
        <f t="shared" si="12"/>
        <v>17278546.383999996</v>
      </c>
      <c r="G80" s="49">
        <f>1.15*(1-Q80)*R80*(IF(P80="baseload",VLOOKUP(O80,'2015 Avoided Costs'!$B$9:$N$38,7)*S80+VLOOKUP(O80,'2015 Avoided Costs'!$P$9:$AB$38,7)*T80/1000+VLOOKUP(O80,'2015 Avoided Costs'!$AD$9:$AP$38,7)*U80,VLOOKUP(O80,'2015 Avoided Costs'!$B$9:$N$38,9)*S80+VLOOKUP(O80,'2015 Avoided Costs'!$P$9:$AB$38,9)*T80/1000+VLOOKUP(O80,'2015 Avoided Costs'!$AD$9:$AP$38,9)*U80))</f>
        <v>10121.655047507667</v>
      </c>
      <c r="H80" s="49">
        <f t="shared" si="15"/>
        <v>1088.7499999999998</v>
      </c>
      <c r="I80" s="49">
        <f t="shared" si="16"/>
        <v>9032.9050475076674</v>
      </c>
      <c r="J80" s="49">
        <f t="shared" si="13"/>
        <v>4048662.0190030672</v>
      </c>
      <c r="K80" s="49">
        <f t="shared" si="14"/>
        <v>435499.99999999988</v>
      </c>
      <c r="L80" s="49">
        <f t="shared" si="17"/>
        <v>3613162.0190030672</v>
      </c>
      <c r="M80" s="62">
        <f t="shared" si="18"/>
        <v>9.2965832812929232</v>
      </c>
      <c r="N80" s="81"/>
      <c r="O80" s="82">
        <v>20</v>
      </c>
      <c r="P80" s="82" t="s">
        <v>55</v>
      </c>
      <c r="Q80" s="101">
        <v>0.33</v>
      </c>
      <c r="R80" s="101">
        <v>1</v>
      </c>
      <c r="S80" s="84">
        <v>3223.6093999999998</v>
      </c>
      <c r="T80" s="85">
        <v>0</v>
      </c>
      <c r="U80" s="86">
        <v>409</v>
      </c>
      <c r="V80" s="87">
        <v>1625</v>
      </c>
    </row>
    <row r="81" spans="2:22" s="78" customFormat="1" x14ac:dyDescent="0.3">
      <c r="B81" s="59" t="s">
        <v>49</v>
      </c>
      <c r="C81" s="60" t="s">
        <v>155</v>
      </c>
      <c r="D81" s="61">
        <v>35</v>
      </c>
      <c r="E81" s="80">
        <f t="shared" si="11"/>
        <v>56520.936000000002</v>
      </c>
      <c r="F81" s="80">
        <f t="shared" si="12"/>
        <v>1978232.76</v>
      </c>
      <c r="G81" s="49">
        <f>1.15*(1-Q81)*R81*(IF(P81="baseload",VLOOKUP(O81,'2015 Avoided Costs'!$B$9:$N$38,7)*S81+VLOOKUP(O81,'2015 Avoided Costs'!$P$9:$AB$38,7)*T81/1000+VLOOKUP(O81,'2015 Avoided Costs'!$AD$9:$AP$38,7)*U81,VLOOKUP(O81,'2015 Avoided Costs'!$B$9:$N$38,9)*S81+VLOOKUP(O81,'2015 Avoided Costs'!$P$9:$AB$38,9)*T81/1000+VLOOKUP(O81,'2015 Avoided Costs'!$AD$9:$AP$38,9)*U81))</f>
        <v>19936.31218601104</v>
      </c>
      <c r="H81" s="49">
        <f t="shared" si="15"/>
        <v>10120</v>
      </c>
      <c r="I81" s="49">
        <f t="shared" si="16"/>
        <v>9816.3121860110405</v>
      </c>
      <c r="J81" s="49">
        <f t="shared" si="13"/>
        <v>697770.9265103864</v>
      </c>
      <c r="K81" s="49">
        <f t="shared" si="14"/>
        <v>354200</v>
      </c>
      <c r="L81" s="49">
        <f t="shared" si="17"/>
        <v>343570.9265103864</v>
      </c>
      <c r="M81" s="62">
        <f t="shared" si="18"/>
        <v>1.9699913227283636</v>
      </c>
      <c r="N81" s="81"/>
      <c r="O81" s="95">
        <v>15</v>
      </c>
      <c r="P81" s="95" t="s">
        <v>54</v>
      </c>
      <c r="Q81" s="96">
        <v>0.08</v>
      </c>
      <c r="R81" s="96">
        <v>1</v>
      </c>
      <c r="S81" s="97">
        <v>4095.7200000000003</v>
      </c>
      <c r="T81" s="98">
        <v>232128</v>
      </c>
      <c r="U81" s="99">
        <v>238</v>
      </c>
      <c r="V81" s="100">
        <v>11000</v>
      </c>
    </row>
    <row r="82" spans="2:22" s="78" customFormat="1" x14ac:dyDescent="0.3">
      <c r="B82" s="59" t="s">
        <v>49</v>
      </c>
      <c r="C82" s="60" t="s">
        <v>156</v>
      </c>
      <c r="D82" s="61">
        <v>40</v>
      </c>
      <c r="E82" s="80">
        <f t="shared" si="11"/>
        <v>127272.89154000001</v>
      </c>
      <c r="F82" s="80">
        <f t="shared" si="12"/>
        <v>5090915.6616000002</v>
      </c>
      <c r="G82" s="49">
        <f>1.15*(1-Q82)*R82*(IF(P82="baseload",VLOOKUP(O82,'2015 Avoided Costs'!$B$9:$N$38,7)*S82+VLOOKUP(O82,'2015 Avoided Costs'!$P$9:$AB$38,7)*T82/1000+VLOOKUP(O82,'2015 Avoided Costs'!$AD$9:$AP$38,7)*U82,VLOOKUP(O82,'2015 Avoided Costs'!$B$9:$N$38,9)*S82+VLOOKUP(O82,'2015 Avoided Costs'!$P$9:$AB$38,9)*T82/1000+VLOOKUP(O82,'2015 Avoided Costs'!$AD$9:$AP$38,9)*U82))</f>
        <v>44890.896489774335</v>
      </c>
      <c r="H82" s="49">
        <f t="shared" si="15"/>
        <v>10120</v>
      </c>
      <c r="I82" s="49">
        <f t="shared" si="16"/>
        <v>34770.896489774335</v>
      </c>
      <c r="J82" s="49">
        <f t="shared" si="13"/>
        <v>1795635.8595909735</v>
      </c>
      <c r="K82" s="49">
        <f t="shared" si="14"/>
        <v>404800</v>
      </c>
      <c r="L82" s="49">
        <f t="shared" si="17"/>
        <v>1390835.8595909735</v>
      </c>
      <c r="M82" s="62">
        <f t="shared" si="18"/>
        <v>4.4358593369342234</v>
      </c>
      <c r="N82" s="81"/>
      <c r="O82" s="82">
        <v>15</v>
      </c>
      <c r="P82" s="82" t="s">
        <v>54</v>
      </c>
      <c r="Q82" s="101">
        <v>0.08</v>
      </c>
      <c r="R82" s="101">
        <v>1</v>
      </c>
      <c r="S82" s="84">
        <v>9222.6733000000004</v>
      </c>
      <c r="T82" s="85">
        <v>522704</v>
      </c>
      <c r="U82" s="86">
        <v>535</v>
      </c>
      <c r="V82" s="87">
        <v>11000</v>
      </c>
    </row>
    <row r="83" spans="2:22" s="78" customFormat="1" x14ac:dyDescent="0.3">
      <c r="B83" s="59" t="s">
        <v>49</v>
      </c>
      <c r="C83" s="60" t="s">
        <v>157</v>
      </c>
      <c r="D83" s="61">
        <v>8</v>
      </c>
      <c r="E83" s="80">
        <f t="shared" si="11"/>
        <v>166372.11000000002</v>
      </c>
      <c r="F83" s="80">
        <f t="shared" si="12"/>
        <v>1330976.8800000001</v>
      </c>
      <c r="G83" s="49">
        <f>1.15*(1-Q83)*R83*(IF(P83="baseload",VLOOKUP(O83,'2015 Avoided Costs'!$B$9:$N$38,7)*S83+VLOOKUP(O83,'2015 Avoided Costs'!$P$9:$AB$38,7)*T83/1000+VLOOKUP(O83,'2015 Avoided Costs'!$AD$9:$AP$38,7)*U83,VLOOKUP(O83,'2015 Avoided Costs'!$B$9:$N$38,9)*S83+VLOOKUP(O83,'2015 Avoided Costs'!$P$9:$AB$38,9)*T83/1000+VLOOKUP(O83,'2015 Avoided Costs'!$AD$9:$AP$38,9)*U83))</f>
        <v>58682.6325103954</v>
      </c>
      <c r="H83" s="49">
        <f t="shared" si="15"/>
        <v>23000</v>
      </c>
      <c r="I83" s="49">
        <f t="shared" si="16"/>
        <v>35682.6325103954</v>
      </c>
      <c r="J83" s="49">
        <f t="shared" si="13"/>
        <v>469461.0600831632</v>
      </c>
      <c r="K83" s="49">
        <f t="shared" si="14"/>
        <v>184000</v>
      </c>
      <c r="L83" s="49">
        <f t="shared" si="17"/>
        <v>285461.0600831632</v>
      </c>
      <c r="M83" s="62">
        <f t="shared" si="18"/>
        <v>2.5514188047998001</v>
      </c>
      <c r="N83" s="81"/>
      <c r="O83" s="82">
        <v>15</v>
      </c>
      <c r="P83" s="82" t="s">
        <v>54</v>
      </c>
      <c r="Q83" s="101">
        <v>0.08</v>
      </c>
      <c r="R83" s="101">
        <v>1</v>
      </c>
      <c r="S83" s="84">
        <v>12055.95</v>
      </c>
      <c r="T83" s="85">
        <v>683280</v>
      </c>
      <c r="U83" s="86">
        <v>700</v>
      </c>
      <c r="V83" s="87">
        <v>25000</v>
      </c>
    </row>
    <row r="84" spans="2:22" s="78" customFormat="1" x14ac:dyDescent="0.3">
      <c r="B84" s="59" t="s">
        <v>49</v>
      </c>
      <c r="C84" s="60" t="s">
        <v>158</v>
      </c>
      <c r="D84" s="61">
        <v>8</v>
      </c>
      <c r="E84" s="80">
        <f t="shared" si="11"/>
        <v>234634.30818000002</v>
      </c>
      <c r="F84" s="80">
        <f t="shared" si="12"/>
        <v>1877074.4654400002</v>
      </c>
      <c r="G84" s="49">
        <f>1.15*(1-Q84)*R84*(IF(P84="baseload",VLOOKUP(O84,'2015 Avoided Costs'!$B$9:$N$38,7)*S84+VLOOKUP(O84,'2015 Avoided Costs'!$P$9:$AB$38,7)*T84/1000+VLOOKUP(O84,'2015 Avoided Costs'!$AD$9:$AP$38,7)*U84,VLOOKUP(O84,'2015 Avoided Costs'!$B$9:$N$38,9)*S84+VLOOKUP(O84,'2015 Avoided Costs'!$P$9:$AB$38,9)*T84/1000+VLOOKUP(O84,'2015 Avoided Costs'!$AD$9:$AP$38,9)*U84))</f>
        <v>82759.708770263169</v>
      </c>
      <c r="H84" s="49">
        <f t="shared" si="15"/>
        <v>23000</v>
      </c>
      <c r="I84" s="49">
        <f t="shared" si="16"/>
        <v>59759.708770263169</v>
      </c>
      <c r="J84" s="49">
        <f t="shared" si="13"/>
        <v>662077.67016210535</v>
      </c>
      <c r="K84" s="49">
        <f t="shared" si="14"/>
        <v>184000</v>
      </c>
      <c r="L84" s="49">
        <f t="shared" si="17"/>
        <v>478077.67016210535</v>
      </c>
      <c r="M84" s="62">
        <f t="shared" si="18"/>
        <v>3.5982482074027464</v>
      </c>
      <c r="N84" s="81"/>
      <c r="O84" s="88">
        <v>15</v>
      </c>
      <c r="P84" s="88" t="s">
        <v>54</v>
      </c>
      <c r="Q84" s="102">
        <v>0.08</v>
      </c>
      <c r="R84" s="102">
        <v>1</v>
      </c>
      <c r="S84" s="90">
        <v>17002.486100000002</v>
      </c>
      <c r="T84" s="91">
        <v>963629</v>
      </c>
      <c r="U84" s="92">
        <v>987</v>
      </c>
      <c r="V84" s="93">
        <v>25000</v>
      </c>
    </row>
    <row r="85" spans="2:22" s="78" customFormat="1" x14ac:dyDescent="0.3">
      <c r="B85" s="59" t="s">
        <v>50</v>
      </c>
      <c r="C85" s="60" t="s">
        <v>82</v>
      </c>
      <c r="D85" s="61">
        <v>8</v>
      </c>
      <c r="E85" s="80">
        <f t="shared" si="11"/>
        <v>24105.600000000002</v>
      </c>
      <c r="F85" s="80">
        <f t="shared" si="12"/>
        <v>192844.80000000002</v>
      </c>
      <c r="G85" s="49">
        <f>1.15*(1-Q85)*R85*(IF(P85="baseload",VLOOKUP(O85,'2015 Avoided Costs'!$B$9:$N$38,7)*S85+VLOOKUP(O85,'2015 Avoided Costs'!$P$9:$AB$38,7)*T85/1000+VLOOKUP(O85,'2015 Avoided Costs'!$AD$9:$AP$38,7)*U85,VLOOKUP(O85,'2015 Avoided Costs'!$B$9:$N$38,9)*S85+VLOOKUP(O85,'2015 Avoided Costs'!$P$9:$AB$38,9)*T85/1000+VLOOKUP(O85,'2015 Avoided Costs'!$AD$9:$AP$38,9)*U85))</f>
        <v>5321.1304079999991</v>
      </c>
      <c r="H85" s="49">
        <f t="shared" si="15"/>
        <v>1520</v>
      </c>
      <c r="I85" s="49">
        <f t="shared" si="16"/>
        <v>3801.1304079999991</v>
      </c>
      <c r="J85" s="49">
        <f t="shared" si="13"/>
        <v>42569.043263999993</v>
      </c>
      <c r="K85" s="49">
        <f t="shared" si="14"/>
        <v>12160</v>
      </c>
      <c r="L85" s="49">
        <f t="shared" si="17"/>
        <v>30409.043263999993</v>
      </c>
      <c r="M85" s="62">
        <f t="shared" si="18"/>
        <v>3.5007436894736834</v>
      </c>
      <c r="N85" s="81"/>
      <c r="O85" s="95">
        <v>12</v>
      </c>
      <c r="P85" s="95" t="s">
        <v>54</v>
      </c>
      <c r="Q85" s="96">
        <v>0.2</v>
      </c>
      <c r="R85" s="96">
        <v>1</v>
      </c>
      <c r="S85" s="97">
        <v>2511</v>
      </c>
      <c r="T85" s="98">
        <v>0</v>
      </c>
      <c r="U85" s="99">
        <v>0</v>
      </c>
      <c r="V85" s="100">
        <v>1900</v>
      </c>
    </row>
    <row r="86" spans="2:22" s="78" customFormat="1" x14ac:dyDescent="0.3">
      <c r="B86" s="59" t="s">
        <v>50</v>
      </c>
      <c r="C86" s="60" t="s">
        <v>83</v>
      </c>
      <c r="D86" s="61">
        <v>8</v>
      </c>
      <c r="E86" s="80">
        <f t="shared" si="11"/>
        <v>32131.200000000001</v>
      </c>
      <c r="F86" s="80">
        <f t="shared" si="12"/>
        <v>257049.60000000001</v>
      </c>
      <c r="G86" s="49">
        <f>1.15*(1-Q86)*R86*(IF(P86="baseload",VLOOKUP(O86,'2015 Avoided Costs'!$B$9:$N$38,7)*S86+VLOOKUP(O86,'2015 Avoided Costs'!$P$9:$AB$38,7)*T86/1000+VLOOKUP(O86,'2015 Avoided Costs'!$AD$9:$AP$38,7)*U86,VLOOKUP(O86,'2015 Avoided Costs'!$B$9:$N$38,9)*S86+VLOOKUP(O86,'2015 Avoided Costs'!$P$9:$AB$38,9)*T86/1000+VLOOKUP(O86,'2015 Avoided Costs'!$AD$9:$AP$38,9)*U86))</f>
        <v>7092.7214159999994</v>
      </c>
      <c r="H86" s="49">
        <f t="shared" si="15"/>
        <v>1520</v>
      </c>
      <c r="I86" s="49">
        <f t="shared" si="16"/>
        <v>5572.7214159999994</v>
      </c>
      <c r="J86" s="49">
        <f t="shared" si="13"/>
        <v>56741.771327999995</v>
      </c>
      <c r="K86" s="49">
        <f t="shared" si="14"/>
        <v>12160</v>
      </c>
      <c r="L86" s="49">
        <f t="shared" si="17"/>
        <v>44581.771327999995</v>
      </c>
      <c r="M86" s="62">
        <f t="shared" si="18"/>
        <v>4.6662640894736835</v>
      </c>
      <c r="N86" s="81"/>
      <c r="O86" s="82">
        <v>12</v>
      </c>
      <c r="P86" s="82" t="s">
        <v>54</v>
      </c>
      <c r="Q86" s="101">
        <v>0.2</v>
      </c>
      <c r="R86" s="101">
        <v>1</v>
      </c>
      <c r="S86" s="84">
        <v>3347</v>
      </c>
      <c r="T86" s="85">
        <v>0</v>
      </c>
      <c r="U86" s="86">
        <v>0</v>
      </c>
      <c r="V86" s="87">
        <v>1900</v>
      </c>
    </row>
    <row r="87" spans="2:22" s="78" customFormat="1" x14ac:dyDescent="0.3">
      <c r="B87" s="59" t="s">
        <v>50</v>
      </c>
      <c r="C87" s="60" t="s">
        <v>84</v>
      </c>
      <c r="D87" s="61">
        <v>7</v>
      </c>
      <c r="E87" s="80">
        <f t="shared" si="11"/>
        <v>40166.400000000001</v>
      </c>
      <c r="F87" s="80">
        <f t="shared" si="12"/>
        <v>281164.79999999999</v>
      </c>
      <c r="G87" s="49">
        <f>1.15*(1-Q87)*R87*(IF(P87="baseload",VLOOKUP(O87,'2015 Avoided Costs'!$B$9:$N$38,7)*S87+VLOOKUP(O87,'2015 Avoided Costs'!$P$9:$AB$38,7)*T87/1000+VLOOKUP(O87,'2015 Avoided Costs'!$AD$9:$AP$38,7)*U87,VLOOKUP(O87,'2015 Avoided Costs'!$B$9:$N$38,9)*S87+VLOOKUP(O87,'2015 Avoided Costs'!$P$9:$AB$38,9)*T87/1000+VLOOKUP(O87,'2015 Avoided Costs'!$AD$9:$AP$38,9)*U87))</f>
        <v>8866.4315519999982</v>
      </c>
      <c r="H87" s="49">
        <f t="shared" si="15"/>
        <v>1520</v>
      </c>
      <c r="I87" s="49">
        <f t="shared" si="16"/>
        <v>7346.4315519999982</v>
      </c>
      <c r="J87" s="49">
        <f t="shared" si="13"/>
        <v>62065.020863999991</v>
      </c>
      <c r="K87" s="49">
        <f t="shared" si="14"/>
        <v>10640</v>
      </c>
      <c r="L87" s="49">
        <f t="shared" si="17"/>
        <v>51425.020863999991</v>
      </c>
      <c r="M87" s="62">
        <f t="shared" si="18"/>
        <v>5.8331786526315783</v>
      </c>
      <c r="N87" s="81"/>
      <c r="O87" s="82">
        <v>12</v>
      </c>
      <c r="P87" s="82" t="s">
        <v>54</v>
      </c>
      <c r="Q87" s="101">
        <v>0.2</v>
      </c>
      <c r="R87" s="101">
        <v>1</v>
      </c>
      <c r="S87" s="84">
        <v>4184</v>
      </c>
      <c r="T87" s="85">
        <v>0</v>
      </c>
      <c r="U87" s="86">
        <v>0</v>
      </c>
      <c r="V87" s="87">
        <v>1900</v>
      </c>
    </row>
    <row r="88" spans="2:22" s="78" customFormat="1" x14ac:dyDescent="0.3">
      <c r="B88" s="59" t="s">
        <v>50</v>
      </c>
      <c r="C88" s="60" t="s">
        <v>85</v>
      </c>
      <c r="D88" s="61">
        <v>7</v>
      </c>
      <c r="E88" s="80">
        <f t="shared" si="11"/>
        <v>48201.600000000006</v>
      </c>
      <c r="F88" s="80">
        <f t="shared" si="12"/>
        <v>337411.20000000007</v>
      </c>
      <c r="G88" s="49">
        <f>1.15*(1-Q88)*R88*(IF(P88="baseload",VLOOKUP(O88,'2015 Avoided Costs'!$B$9:$N$38,7)*S88+VLOOKUP(O88,'2015 Avoided Costs'!$P$9:$AB$38,7)*T88/1000+VLOOKUP(O88,'2015 Avoided Costs'!$AD$9:$AP$38,7)*U88,VLOOKUP(O88,'2015 Avoided Costs'!$B$9:$N$38,9)*S88+VLOOKUP(O88,'2015 Avoided Costs'!$P$9:$AB$38,9)*T88/1000+VLOOKUP(O88,'2015 Avoided Costs'!$AD$9:$AP$38,9)*U88))</f>
        <v>10640.141688</v>
      </c>
      <c r="H88" s="49">
        <f t="shared" si="15"/>
        <v>1520</v>
      </c>
      <c r="I88" s="49">
        <f t="shared" si="16"/>
        <v>9120.1416879999997</v>
      </c>
      <c r="J88" s="49">
        <f t="shared" si="13"/>
        <v>74480.991815999994</v>
      </c>
      <c r="K88" s="49">
        <f t="shared" si="14"/>
        <v>10640</v>
      </c>
      <c r="L88" s="49">
        <f t="shared" si="17"/>
        <v>63840.991815999994</v>
      </c>
      <c r="M88" s="62">
        <f t="shared" si="18"/>
        <v>7.0000932157894731</v>
      </c>
      <c r="N88" s="81"/>
      <c r="O88" s="88">
        <v>12</v>
      </c>
      <c r="P88" s="88" t="s">
        <v>54</v>
      </c>
      <c r="Q88" s="102">
        <v>0.2</v>
      </c>
      <c r="R88" s="102">
        <v>1</v>
      </c>
      <c r="S88" s="90">
        <v>5021</v>
      </c>
      <c r="T88" s="91">
        <v>0</v>
      </c>
      <c r="U88" s="92">
        <v>0</v>
      </c>
      <c r="V88" s="93">
        <v>1900</v>
      </c>
    </row>
    <row r="89" spans="2:22" s="78" customFormat="1" x14ac:dyDescent="0.3">
      <c r="B89" s="59" t="s">
        <v>67</v>
      </c>
      <c r="C89" s="60" t="s">
        <v>86</v>
      </c>
      <c r="D89" s="61">
        <v>60</v>
      </c>
      <c r="E89" s="80">
        <f t="shared" si="11"/>
        <v>17037</v>
      </c>
      <c r="F89" s="80">
        <f t="shared" si="12"/>
        <v>1022220</v>
      </c>
      <c r="G89" s="49">
        <f>1.15*(1-Q89)*R89*(IF(P89="baseload",VLOOKUP(O89,'2015 Avoided Costs'!$B$9:$N$38,7)*S89+VLOOKUP(O89,'2015 Avoided Costs'!$P$9:$AB$38,7)*T89/1000+VLOOKUP(O89,'2015 Avoided Costs'!$AD$9:$AP$38,7)*U89,VLOOKUP(O89,'2015 Avoided Costs'!$B$9:$N$38,9)*S89+VLOOKUP(O89,'2015 Avoided Costs'!$P$9:$AB$38,9)*T89/1000+VLOOKUP(O89,'2015 Avoided Costs'!$AD$9:$AP$38,9)*U89))</f>
        <v>3254.5273124999994</v>
      </c>
      <c r="H89" s="49">
        <f t="shared" si="15"/>
        <v>1935</v>
      </c>
      <c r="I89" s="49">
        <f t="shared" si="16"/>
        <v>1319.5273124999994</v>
      </c>
      <c r="J89" s="49">
        <f t="shared" si="13"/>
        <v>195271.63874999995</v>
      </c>
      <c r="K89" s="49">
        <f t="shared" si="14"/>
        <v>116100</v>
      </c>
      <c r="L89" s="49">
        <f t="shared" si="17"/>
        <v>79171.638749999955</v>
      </c>
      <c r="M89" s="62">
        <f t="shared" si="18"/>
        <v>1.681926259689922</v>
      </c>
      <c r="N89" s="81"/>
      <c r="O89" s="103">
        <v>18</v>
      </c>
      <c r="P89" s="103" t="s">
        <v>55</v>
      </c>
      <c r="Q89" s="104">
        <v>0</v>
      </c>
      <c r="R89" s="104">
        <v>1</v>
      </c>
      <c r="S89" s="105">
        <v>946.5</v>
      </c>
      <c r="T89" s="61">
        <v>0</v>
      </c>
      <c r="U89" s="109">
        <v>-279</v>
      </c>
      <c r="V89" s="107">
        <v>1935</v>
      </c>
    </row>
    <row r="90" spans="2:22" s="78" customFormat="1" x14ac:dyDescent="0.3">
      <c r="B90" s="59" t="s">
        <v>52</v>
      </c>
      <c r="C90" s="60" t="s">
        <v>66</v>
      </c>
      <c r="D90" s="61">
        <v>60</v>
      </c>
      <c r="E90" s="80">
        <f t="shared" si="11"/>
        <v>1900.8</v>
      </c>
      <c r="F90" s="80">
        <f t="shared" si="12"/>
        <v>114048</v>
      </c>
      <c r="G90" s="49">
        <f>1.15*(1-Q90)*R90*(IF(P90="baseload",VLOOKUP(O90,'2015 Avoided Costs'!$B$9:$N$38,7)*S90+VLOOKUP(O90,'2015 Avoided Costs'!$P$9:$AB$38,7)*T90/1000+VLOOKUP(O90,'2015 Avoided Costs'!$AD$9:$AP$38,7)*U90,VLOOKUP(O90,'2015 Avoided Costs'!$B$9:$N$38,9)*S90+VLOOKUP(O90,'2015 Avoided Costs'!$P$9:$AB$38,9)*T90/1000+VLOOKUP(O90,'2015 Avoided Costs'!$AD$9:$AP$38,9)*U90))</f>
        <v>423.51714239999995</v>
      </c>
      <c r="H90" s="49">
        <f t="shared" si="15"/>
        <v>519.75</v>
      </c>
      <c r="I90" s="49">
        <f t="shared" si="16"/>
        <v>-96.232857600000045</v>
      </c>
      <c r="J90" s="49">
        <f t="shared" si="13"/>
        <v>25411.028543999997</v>
      </c>
      <c r="K90" s="49">
        <f t="shared" si="14"/>
        <v>31185</v>
      </c>
      <c r="L90" s="49">
        <f t="shared" si="17"/>
        <v>-5773.9714560000029</v>
      </c>
      <c r="M90" s="62">
        <f t="shared" si="18"/>
        <v>0.81484779682539676</v>
      </c>
      <c r="N90" s="81"/>
      <c r="O90" s="103">
        <v>18</v>
      </c>
      <c r="P90" s="103" t="s">
        <v>55</v>
      </c>
      <c r="Q90" s="110">
        <v>0.17499999999999999</v>
      </c>
      <c r="R90" s="104">
        <v>1</v>
      </c>
      <c r="S90" s="105">
        <v>128</v>
      </c>
      <c r="T90" s="61">
        <v>0</v>
      </c>
      <c r="U90" s="109">
        <v>0</v>
      </c>
      <c r="V90" s="107">
        <v>630</v>
      </c>
    </row>
    <row r="91" spans="2:22" s="78" customFormat="1" ht="29.25" customHeight="1" x14ac:dyDescent="0.3">
      <c r="B91" s="59" t="s">
        <v>67</v>
      </c>
      <c r="C91" s="60" t="s">
        <v>87</v>
      </c>
      <c r="D91" s="61">
        <v>15</v>
      </c>
      <c r="E91" s="80">
        <f t="shared" si="11"/>
        <v>5291.9901999999993</v>
      </c>
      <c r="F91" s="80">
        <f t="shared" si="12"/>
        <v>79379.852999999988</v>
      </c>
      <c r="G91" s="49">
        <f>1.15*(1-Q91)*R91*(IF(P91="baseload",VLOOKUP(O91,'2015 Avoided Costs'!$B$9:$N$38,7)*S91+VLOOKUP(O91,'2015 Avoided Costs'!$P$9:$AB$38,7)*T91/1000+VLOOKUP(O91,'2015 Avoided Costs'!$AD$9:$AP$38,7)*U91,VLOOKUP(O91,'2015 Avoided Costs'!$B$9:$N$38,9)*S91+VLOOKUP(O91,'2015 Avoided Costs'!$P$9:$AB$38,9)*T91/1000+VLOOKUP(O91,'2015 Avoided Costs'!$AD$9:$AP$38,9)*U91))</f>
        <v>1137.57388677779</v>
      </c>
      <c r="H91" s="49">
        <f t="shared" si="15"/>
        <v>2139.34</v>
      </c>
      <c r="I91" s="49">
        <f t="shared" si="16"/>
        <v>-1001.7661132222102</v>
      </c>
      <c r="J91" s="49">
        <f t="shared" si="13"/>
        <v>17063.608301666849</v>
      </c>
      <c r="K91" s="49">
        <f t="shared" si="14"/>
        <v>32090.100000000002</v>
      </c>
      <c r="L91" s="49">
        <f t="shared" si="17"/>
        <v>-15026.491698333153</v>
      </c>
      <c r="M91" s="62">
        <f t="shared" si="18"/>
        <v>0.53174057736394864</v>
      </c>
      <c r="N91" s="81"/>
      <c r="O91" s="95">
        <v>20</v>
      </c>
      <c r="P91" s="95" t="s">
        <v>54</v>
      </c>
      <c r="Q91" s="96">
        <v>0.02</v>
      </c>
      <c r="R91" s="96">
        <v>1</v>
      </c>
      <c r="S91" s="97">
        <v>269.99950000000001</v>
      </c>
      <c r="T91" s="98">
        <v>0</v>
      </c>
      <c r="U91" s="99">
        <v>0</v>
      </c>
      <c r="V91" s="100">
        <v>2183</v>
      </c>
    </row>
    <row r="92" spans="2:22" s="78" customFormat="1" ht="29.25" customHeight="1" x14ac:dyDescent="0.3">
      <c r="B92" s="59" t="s">
        <v>67</v>
      </c>
      <c r="C92" s="60" t="s">
        <v>88</v>
      </c>
      <c r="D92" s="61">
        <v>15</v>
      </c>
      <c r="E92" s="80">
        <f t="shared" si="11"/>
        <v>7996.7960800000001</v>
      </c>
      <c r="F92" s="80">
        <f t="shared" si="12"/>
        <v>119951.9412</v>
      </c>
      <c r="G92" s="49">
        <f>1.15*(1-Q92)*R92*(IF(P92="baseload",VLOOKUP(O92,'2015 Avoided Costs'!$B$9:$N$38,7)*S92+VLOOKUP(O92,'2015 Avoided Costs'!$P$9:$AB$38,7)*T92/1000+VLOOKUP(O92,'2015 Avoided Costs'!$AD$9:$AP$38,7)*U92,VLOOKUP(O92,'2015 Avoided Costs'!$B$9:$N$38,9)*S92+VLOOKUP(O92,'2015 Avoided Costs'!$P$9:$AB$38,9)*T92/1000+VLOOKUP(O92,'2015 Avoided Costs'!$AD$9:$AP$38,9)*U92))</f>
        <v>1719.0028807111159</v>
      </c>
      <c r="H92" s="49">
        <f t="shared" si="15"/>
        <v>2139.34</v>
      </c>
      <c r="I92" s="49">
        <f t="shared" si="16"/>
        <v>-420.3371192888842</v>
      </c>
      <c r="J92" s="49">
        <f t="shared" si="13"/>
        <v>25785.043210666739</v>
      </c>
      <c r="K92" s="49">
        <f t="shared" si="14"/>
        <v>32090.100000000002</v>
      </c>
      <c r="L92" s="49">
        <f t="shared" si="17"/>
        <v>-6305.0567893332627</v>
      </c>
      <c r="M92" s="62">
        <f t="shared" si="18"/>
        <v>0.8035201888017407</v>
      </c>
      <c r="N92" s="81"/>
      <c r="O92" s="82">
        <v>20</v>
      </c>
      <c r="P92" s="82" t="s">
        <v>54</v>
      </c>
      <c r="Q92" s="101">
        <v>0.02</v>
      </c>
      <c r="R92" s="101">
        <v>1</v>
      </c>
      <c r="S92" s="84">
        <v>407.99979999999999</v>
      </c>
      <c r="T92" s="85">
        <v>0</v>
      </c>
      <c r="U92" s="86">
        <v>0</v>
      </c>
      <c r="V92" s="87">
        <v>2183</v>
      </c>
    </row>
    <row r="93" spans="2:22" s="78" customFormat="1" ht="29.25" customHeight="1" x14ac:dyDescent="0.3">
      <c r="B93" s="59" t="s">
        <v>67</v>
      </c>
      <c r="C93" s="60" t="s">
        <v>89</v>
      </c>
      <c r="D93" s="61">
        <v>20</v>
      </c>
      <c r="E93" s="80">
        <f t="shared" si="11"/>
        <v>6761.9843199999996</v>
      </c>
      <c r="F93" s="80">
        <f t="shared" si="12"/>
        <v>135239.68640000001</v>
      </c>
      <c r="G93" s="49">
        <f>1.15*(1-Q93)*R93*(IF(P93="baseload",VLOOKUP(O93,'2015 Avoided Costs'!$B$9:$N$38,7)*S93+VLOOKUP(O93,'2015 Avoided Costs'!$P$9:$AB$38,7)*T93/1000+VLOOKUP(O93,'2015 Avoided Costs'!$AD$9:$AP$38,7)*U93,VLOOKUP(O93,'2015 Avoided Costs'!$B$9:$N$38,9)*S93+VLOOKUP(O93,'2015 Avoided Costs'!$P$9:$AB$38,9)*T93/1000+VLOOKUP(O93,'2015 Avoided Costs'!$AD$9:$AP$38,9)*U93))</f>
        <v>1453.5659543044637</v>
      </c>
      <c r="H93" s="49">
        <f t="shared" si="15"/>
        <v>2139.34</v>
      </c>
      <c r="I93" s="49">
        <f t="shared" si="16"/>
        <v>-685.77404569553642</v>
      </c>
      <c r="J93" s="49">
        <f t="shared" si="13"/>
        <v>29071.319086089276</v>
      </c>
      <c r="K93" s="49">
        <f t="shared" si="14"/>
        <v>42786.8</v>
      </c>
      <c r="L93" s="49">
        <f t="shared" si="17"/>
        <v>-13715.480913910727</v>
      </c>
      <c r="M93" s="62">
        <f t="shared" si="18"/>
        <v>0.679445976004031</v>
      </c>
      <c r="N93" s="81"/>
      <c r="O93" s="82">
        <v>20</v>
      </c>
      <c r="P93" s="82" t="s">
        <v>54</v>
      </c>
      <c r="Q93" s="101">
        <v>0.02</v>
      </c>
      <c r="R93" s="101">
        <v>1</v>
      </c>
      <c r="S93" s="84">
        <v>344.99919999999997</v>
      </c>
      <c r="T93" s="85">
        <v>0</v>
      </c>
      <c r="U93" s="86">
        <v>0</v>
      </c>
      <c r="V93" s="87">
        <v>2183</v>
      </c>
    </row>
    <row r="94" spans="2:22" s="78" customFormat="1" ht="29.25" customHeight="1" x14ac:dyDescent="0.3">
      <c r="B94" s="59" t="s">
        <v>67</v>
      </c>
      <c r="C94" s="60" t="s">
        <v>90</v>
      </c>
      <c r="D94" s="61">
        <v>20</v>
      </c>
      <c r="E94" s="80">
        <f t="shared" si="11"/>
        <v>10446.792160000001</v>
      </c>
      <c r="F94" s="80">
        <f t="shared" si="12"/>
        <v>208935.8432</v>
      </c>
      <c r="G94" s="49">
        <f>1.15*(1-Q94)*R94*(IF(P94="baseload",VLOOKUP(O94,'2015 Avoided Costs'!$B$9:$N$38,7)*S94+VLOOKUP(O94,'2015 Avoided Costs'!$P$9:$AB$38,7)*T94/1000+VLOOKUP(O94,'2015 Avoided Costs'!$AD$9:$AP$38,7)*U94,VLOOKUP(O94,'2015 Avoided Costs'!$B$9:$N$38,9)*S94+VLOOKUP(O94,'2015 Avoided Costs'!$P$9:$AB$38,9)*T94/1000+VLOOKUP(O94,'2015 Avoided Costs'!$AD$9:$AP$38,9)*U94))</f>
        <v>2245.6575905622321</v>
      </c>
      <c r="H94" s="49">
        <f t="shared" si="15"/>
        <v>2139.34</v>
      </c>
      <c r="I94" s="49">
        <f t="shared" si="16"/>
        <v>106.317590562232</v>
      </c>
      <c r="J94" s="49">
        <f t="shared" si="13"/>
        <v>44913.151811244643</v>
      </c>
      <c r="K94" s="49">
        <f t="shared" si="14"/>
        <v>42786.8</v>
      </c>
      <c r="L94" s="49">
        <f t="shared" si="17"/>
        <v>2126.35181124464</v>
      </c>
      <c r="M94" s="62">
        <f t="shared" si="18"/>
        <v>1.0496964440258361</v>
      </c>
      <c r="N94" s="81"/>
      <c r="O94" s="82">
        <v>20</v>
      </c>
      <c r="P94" s="82" t="s">
        <v>54</v>
      </c>
      <c r="Q94" s="101">
        <v>0.02</v>
      </c>
      <c r="R94" s="101">
        <v>1</v>
      </c>
      <c r="S94" s="84">
        <v>532.99959999999999</v>
      </c>
      <c r="T94" s="85">
        <v>0</v>
      </c>
      <c r="U94" s="86">
        <v>0</v>
      </c>
      <c r="V94" s="87">
        <v>2183</v>
      </c>
    </row>
    <row r="95" spans="2:22" s="78" customFormat="1" ht="29.25" customHeight="1" x14ac:dyDescent="0.3">
      <c r="B95" s="59" t="s">
        <v>67</v>
      </c>
      <c r="C95" s="60" t="s">
        <v>91</v>
      </c>
      <c r="D95" s="61">
        <v>25</v>
      </c>
      <c r="E95" s="80">
        <f t="shared" si="11"/>
        <v>8232</v>
      </c>
      <c r="F95" s="80">
        <f t="shared" si="12"/>
        <v>205800</v>
      </c>
      <c r="G95" s="49">
        <f>1.15*(1-Q95)*R95*(IF(P95="baseload",VLOOKUP(O95,'2015 Avoided Costs'!$B$9:$N$38,7)*S95+VLOOKUP(O95,'2015 Avoided Costs'!$P$9:$AB$38,7)*T95/1000+VLOOKUP(O95,'2015 Avoided Costs'!$AD$9:$AP$38,7)*U95,VLOOKUP(O95,'2015 Avoided Costs'!$B$9:$N$38,9)*S95+VLOOKUP(O95,'2015 Avoided Costs'!$P$9:$AB$38,9)*T95/1000+VLOOKUP(O95,'2015 Avoided Costs'!$AD$9:$AP$38,9)*U95))</f>
        <v>1769.5626563999999</v>
      </c>
      <c r="H95" s="49">
        <f t="shared" si="15"/>
        <v>2139.34</v>
      </c>
      <c r="I95" s="49">
        <f t="shared" si="16"/>
        <v>-369.77734360000022</v>
      </c>
      <c r="J95" s="49">
        <f t="shared" si="13"/>
        <v>44239.066409999999</v>
      </c>
      <c r="K95" s="49">
        <f t="shared" si="14"/>
        <v>53483.5</v>
      </c>
      <c r="L95" s="49">
        <f t="shared" si="17"/>
        <v>-9244.4335900000005</v>
      </c>
      <c r="M95" s="62">
        <f t="shared" si="18"/>
        <v>0.8271535409986257</v>
      </c>
      <c r="N95" s="81"/>
      <c r="O95" s="82">
        <v>20</v>
      </c>
      <c r="P95" s="82" t="s">
        <v>54</v>
      </c>
      <c r="Q95" s="101">
        <v>0.02</v>
      </c>
      <c r="R95" s="101">
        <v>1</v>
      </c>
      <c r="S95" s="84">
        <v>420</v>
      </c>
      <c r="T95" s="85">
        <v>0</v>
      </c>
      <c r="U95" s="86">
        <v>0</v>
      </c>
      <c r="V95" s="87">
        <v>2183</v>
      </c>
    </row>
    <row r="96" spans="2:22" s="78" customFormat="1" ht="29.25" customHeight="1" x14ac:dyDescent="0.3">
      <c r="B96" s="59" t="s">
        <v>67</v>
      </c>
      <c r="C96" s="60" t="s">
        <v>92</v>
      </c>
      <c r="D96" s="61">
        <v>25</v>
      </c>
      <c r="E96" s="80">
        <f t="shared" si="11"/>
        <v>11426.8</v>
      </c>
      <c r="F96" s="80">
        <f t="shared" si="12"/>
        <v>285670</v>
      </c>
      <c r="G96" s="49">
        <f>1.15*(1-Q96)*R96*(IF(P96="baseload",VLOOKUP(O96,'2015 Avoided Costs'!$B$9:$N$38,7)*S96+VLOOKUP(O96,'2015 Avoided Costs'!$P$9:$AB$38,7)*T96/1000+VLOOKUP(O96,'2015 Avoided Costs'!$AD$9:$AP$38,7)*U96,VLOOKUP(O96,'2015 Avoided Costs'!$B$9:$N$38,9)*S96+VLOOKUP(O96,'2015 Avoided Costs'!$P$9:$AB$38,9)*T96/1000+VLOOKUP(O96,'2015 Avoided Costs'!$AD$9:$AP$38,9)*U96))</f>
        <v>2456.32149686</v>
      </c>
      <c r="H96" s="49">
        <f t="shared" si="15"/>
        <v>2139.34</v>
      </c>
      <c r="I96" s="49">
        <f t="shared" si="16"/>
        <v>316.98149685999988</v>
      </c>
      <c r="J96" s="49">
        <f t="shared" si="13"/>
        <v>61408.037421499997</v>
      </c>
      <c r="K96" s="49">
        <f t="shared" si="14"/>
        <v>53483.5</v>
      </c>
      <c r="L96" s="49">
        <f t="shared" si="17"/>
        <v>7924.5374214999974</v>
      </c>
      <c r="M96" s="62">
        <f t="shared" si="18"/>
        <v>1.1481678914338067</v>
      </c>
      <c r="N96" s="81"/>
      <c r="O96" s="88">
        <v>20</v>
      </c>
      <c r="P96" s="88" t="s">
        <v>54</v>
      </c>
      <c r="Q96" s="102">
        <v>0.02</v>
      </c>
      <c r="R96" s="102">
        <v>1</v>
      </c>
      <c r="S96" s="90">
        <v>583</v>
      </c>
      <c r="T96" s="91">
        <v>0</v>
      </c>
      <c r="U96" s="92">
        <v>0</v>
      </c>
      <c r="V96" s="93">
        <v>2183</v>
      </c>
    </row>
    <row r="97" spans="2:22" s="78" customFormat="1" x14ac:dyDescent="0.3">
      <c r="B97" s="59" t="s">
        <v>67</v>
      </c>
      <c r="C97" s="60" t="s">
        <v>94</v>
      </c>
      <c r="D97" s="61">
        <v>600</v>
      </c>
      <c r="E97" s="80">
        <f t="shared" si="11"/>
        <v>1158.3</v>
      </c>
      <c r="F97" s="80">
        <f t="shared" si="12"/>
        <v>694980</v>
      </c>
      <c r="G97" s="49">
        <f>1.15*(1-Q97)*R97*(IF(P97="baseload",VLOOKUP(O97,'2015 Avoided Costs'!$B$9:$N$38,7)*S97+VLOOKUP(O97,'2015 Avoided Costs'!$P$9:$AB$38,7)*T97/1000+VLOOKUP(O97,'2015 Avoided Costs'!$AD$9:$AP$38,7)*U97,VLOOKUP(O97,'2015 Avoided Costs'!$B$9:$N$38,9)*S97+VLOOKUP(O97,'2015 Avoided Costs'!$P$9:$AB$38,9)*T97/1000+VLOOKUP(O97,'2015 Avoided Costs'!$AD$9:$AP$38,9)*U97))</f>
        <v>2059.6966965193496</v>
      </c>
      <c r="H97" s="49">
        <f t="shared" si="15"/>
        <v>540</v>
      </c>
      <c r="I97" s="49">
        <f t="shared" si="16"/>
        <v>1519.6966965193496</v>
      </c>
      <c r="J97" s="49">
        <f t="shared" si="13"/>
        <v>1235818.0179116097</v>
      </c>
      <c r="K97" s="49">
        <f t="shared" si="14"/>
        <v>324000</v>
      </c>
      <c r="L97" s="49">
        <f t="shared" si="17"/>
        <v>911818.01791160973</v>
      </c>
      <c r="M97" s="62">
        <f t="shared" si="18"/>
        <v>3.814253141702499</v>
      </c>
      <c r="N97" s="81"/>
      <c r="O97" s="103">
        <v>11</v>
      </c>
      <c r="P97" s="103" t="s">
        <v>54</v>
      </c>
      <c r="Q97" s="104">
        <v>0.1</v>
      </c>
      <c r="R97" s="104">
        <v>1</v>
      </c>
      <c r="S97" s="105">
        <v>117</v>
      </c>
      <c r="T97" s="61">
        <v>58121</v>
      </c>
      <c r="U97" s="109">
        <v>396</v>
      </c>
      <c r="V97" s="107">
        <v>600</v>
      </c>
    </row>
    <row r="98" spans="2:22" s="78" customFormat="1" ht="31.2" x14ac:dyDescent="0.3">
      <c r="B98" s="59" t="s">
        <v>67</v>
      </c>
      <c r="C98" s="60" t="s">
        <v>93</v>
      </c>
      <c r="D98" s="61">
        <v>15</v>
      </c>
      <c r="E98" s="80">
        <f t="shared" si="11"/>
        <v>434.72</v>
      </c>
      <c r="F98" s="80">
        <f t="shared" si="12"/>
        <v>6520.8</v>
      </c>
      <c r="G98" s="49">
        <f>1.15*(1-Q98)*R98*(IF(P98="baseload",VLOOKUP(O98,'2015 Avoided Costs'!$B$9:$N$38,7)*S98+VLOOKUP(O98,'2015 Avoided Costs'!$P$9:$AB$38,7)*T98/1000+VLOOKUP(O98,'2015 Avoided Costs'!$AD$9:$AP$38,7)*U98,VLOOKUP(O98,'2015 Avoided Costs'!$B$9:$N$38,9)*S98+VLOOKUP(O98,'2015 Avoided Costs'!$P$9:$AB$38,9)*T98/1000+VLOOKUP(O98,'2015 Avoided Costs'!$AD$9:$AP$38,9)*U98))</f>
        <v>495.42959818612002</v>
      </c>
      <c r="H98" s="49">
        <f t="shared" si="15"/>
        <v>78</v>
      </c>
      <c r="I98" s="49">
        <f t="shared" si="16"/>
        <v>417.42959818612002</v>
      </c>
      <c r="J98" s="49">
        <f t="shared" si="13"/>
        <v>7431.4439727918007</v>
      </c>
      <c r="K98" s="49">
        <f t="shared" si="14"/>
        <v>1170</v>
      </c>
      <c r="L98" s="49">
        <f t="shared" si="17"/>
        <v>6261.4439727918007</v>
      </c>
      <c r="M98" s="62">
        <f t="shared" si="18"/>
        <v>6.3516615152066676</v>
      </c>
      <c r="N98" s="81"/>
      <c r="O98" s="103">
        <v>11</v>
      </c>
      <c r="P98" s="103" t="s">
        <v>54</v>
      </c>
      <c r="Q98" s="104">
        <v>0.48</v>
      </c>
      <c r="R98" s="104">
        <v>1</v>
      </c>
      <c r="S98" s="105">
        <v>76</v>
      </c>
      <c r="T98" s="61">
        <v>19814</v>
      </c>
      <c r="U98" s="109">
        <v>201</v>
      </c>
      <c r="V98" s="107">
        <v>150</v>
      </c>
    </row>
    <row r="99" spans="2:22" s="78" customFormat="1" x14ac:dyDescent="0.3">
      <c r="B99" s="59" t="s">
        <v>65</v>
      </c>
      <c r="C99" s="60" t="s">
        <v>68</v>
      </c>
      <c r="D99" s="61">
        <v>10</v>
      </c>
      <c r="E99" s="80">
        <f t="shared" ref="E99:E113" si="19">O99*S99*(1-Q99)*R99</f>
        <v>47817</v>
      </c>
      <c r="F99" s="80">
        <f t="shared" si="12"/>
        <v>478170</v>
      </c>
      <c r="G99" s="49">
        <f>1.15*(1-Q99)*R99*(IF(P99="baseload",VLOOKUP(O99,'2015 Avoided Costs'!$B$9:$N$38,7)*S99+VLOOKUP(O99,'2015 Avoided Costs'!$P$9:$AB$38,7)*T99/1000+VLOOKUP(O99,'2015 Avoided Costs'!$AD$9:$AP$38,7)*U99,VLOOKUP(O99,'2015 Avoided Costs'!$B$9:$N$38,9)*S99+VLOOKUP(O99,'2015 Avoided Costs'!$P$9:$AB$38,9)*T99/1000+VLOOKUP(O99,'2015 Avoided Costs'!$AD$9:$AP$38,9)*U99))</f>
        <v>10781.104534199998</v>
      </c>
      <c r="H99" s="49">
        <f t="shared" si="15"/>
        <v>7559.1</v>
      </c>
      <c r="I99" s="49">
        <f t="shared" si="16"/>
        <v>3222.0045341999976</v>
      </c>
      <c r="J99" s="49">
        <f t="shared" ref="J99:J113" si="20">G99*D99</f>
        <v>107811.04534199998</v>
      </c>
      <c r="K99" s="49">
        <f t="shared" ref="K99:K113" si="21">H99*D99</f>
        <v>75591</v>
      </c>
      <c r="L99" s="49">
        <f t="shared" si="17"/>
        <v>32220.045341999983</v>
      </c>
      <c r="M99" s="62">
        <f t="shared" si="18"/>
        <v>1.4262418190260744</v>
      </c>
      <c r="N99" s="81"/>
      <c r="O99" s="95">
        <v>15</v>
      </c>
      <c r="P99" s="95" t="s">
        <v>55</v>
      </c>
      <c r="Q99" s="96">
        <v>0.1</v>
      </c>
      <c r="R99" s="96">
        <v>1</v>
      </c>
      <c r="S99" s="97">
        <v>3542</v>
      </c>
      <c r="T99" s="98">
        <v>0</v>
      </c>
      <c r="U99" s="99">
        <v>0</v>
      </c>
      <c r="V99" s="100">
        <v>8399</v>
      </c>
    </row>
    <row r="100" spans="2:22" s="78" customFormat="1" x14ac:dyDescent="0.3">
      <c r="B100" s="59" t="s">
        <v>65</v>
      </c>
      <c r="C100" s="60" t="s">
        <v>69</v>
      </c>
      <c r="D100" s="61">
        <v>10</v>
      </c>
      <c r="E100" s="80">
        <f t="shared" si="19"/>
        <v>32130</v>
      </c>
      <c r="F100" s="80">
        <f t="shared" si="12"/>
        <v>321300</v>
      </c>
      <c r="G100" s="49">
        <f>1.15*(1-Q100)*R100*(IF(P100="baseload",VLOOKUP(O100,'2015 Avoided Costs'!$B$9:$N$38,7)*S100+VLOOKUP(O100,'2015 Avoided Costs'!$P$9:$AB$38,7)*T100/1000+VLOOKUP(O100,'2015 Avoided Costs'!$AD$9:$AP$38,7)*U100,VLOOKUP(O100,'2015 Avoided Costs'!$B$9:$N$38,9)*S100+VLOOKUP(O100,'2015 Avoided Costs'!$P$9:$AB$38,9)*T100/1000+VLOOKUP(O100,'2015 Avoided Costs'!$AD$9:$AP$38,9)*U100))</f>
        <v>7244.2204379999994</v>
      </c>
      <c r="H100" s="49">
        <f t="shared" si="15"/>
        <v>7559.1</v>
      </c>
      <c r="I100" s="49">
        <f t="shared" si="16"/>
        <v>-314.87956200000099</v>
      </c>
      <c r="J100" s="49">
        <f t="shared" si="20"/>
        <v>72442.204379999996</v>
      </c>
      <c r="K100" s="49">
        <f t="shared" si="21"/>
        <v>75591</v>
      </c>
      <c r="L100" s="49">
        <f t="shared" si="17"/>
        <v>-3148.7956200000044</v>
      </c>
      <c r="M100" s="62">
        <f t="shared" si="18"/>
        <v>0.95834430527443737</v>
      </c>
      <c r="N100" s="81"/>
      <c r="O100" s="82">
        <v>15</v>
      </c>
      <c r="P100" s="82" t="s">
        <v>55</v>
      </c>
      <c r="Q100" s="101">
        <v>0.1</v>
      </c>
      <c r="R100" s="101">
        <v>1</v>
      </c>
      <c r="S100" s="84">
        <v>2380</v>
      </c>
      <c r="T100" s="85">
        <v>0</v>
      </c>
      <c r="U100" s="86">
        <v>0</v>
      </c>
      <c r="V100" s="87">
        <v>8399</v>
      </c>
    </row>
    <row r="101" spans="2:22" s="78" customFormat="1" x14ac:dyDescent="0.3">
      <c r="B101" s="59" t="s">
        <v>72</v>
      </c>
      <c r="C101" s="60" t="s">
        <v>70</v>
      </c>
      <c r="D101" s="61">
        <v>8</v>
      </c>
      <c r="E101" s="80">
        <f t="shared" si="19"/>
        <v>115330.5</v>
      </c>
      <c r="F101" s="80">
        <f t="shared" si="12"/>
        <v>922644</v>
      </c>
      <c r="G101" s="49">
        <f>1.15*(1-Q101)*R101*(IF(P101="baseload",VLOOKUP(O101,'2015 Avoided Costs'!$B$9:$N$38,7)*S101+VLOOKUP(O101,'2015 Avoided Costs'!$P$9:$AB$38,7)*T101/1000+VLOOKUP(O101,'2015 Avoided Costs'!$AD$9:$AP$38,7)*U101,VLOOKUP(O101,'2015 Avoided Costs'!$B$9:$N$38,9)*S101+VLOOKUP(O101,'2015 Avoided Costs'!$P$9:$AB$38,9)*T101/1000+VLOOKUP(O101,'2015 Avoided Costs'!$AD$9:$AP$38,9)*U101))</f>
        <v>26003.098824299996</v>
      </c>
      <c r="H101" s="49">
        <f t="shared" si="15"/>
        <v>14400</v>
      </c>
      <c r="I101" s="49">
        <f t="shared" si="16"/>
        <v>11603.098824299996</v>
      </c>
      <c r="J101" s="49">
        <f t="shared" si="20"/>
        <v>208024.79059439996</v>
      </c>
      <c r="K101" s="49">
        <f t="shared" si="21"/>
        <v>115200</v>
      </c>
      <c r="L101" s="49">
        <f t="shared" si="17"/>
        <v>92824.790594399965</v>
      </c>
      <c r="M101" s="62">
        <f t="shared" si="18"/>
        <v>1.8057707516874997</v>
      </c>
      <c r="N101" s="81"/>
      <c r="O101" s="82">
        <v>15</v>
      </c>
      <c r="P101" s="82" t="s">
        <v>55</v>
      </c>
      <c r="Q101" s="101">
        <v>0.1</v>
      </c>
      <c r="R101" s="101">
        <v>1</v>
      </c>
      <c r="S101" s="84">
        <v>8543</v>
      </c>
      <c r="T101" s="85">
        <v>0</v>
      </c>
      <c r="U101" s="86">
        <v>0</v>
      </c>
      <c r="V101" s="87">
        <v>16000</v>
      </c>
    </row>
    <row r="102" spans="2:22" s="78" customFormat="1" x14ac:dyDescent="0.3">
      <c r="B102" s="59" t="s">
        <v>65</v>
      </c>
      <c r="C102" s="60" t="s">
        <v>71</v>
      </c>
      <c r="D102" s="61">
        <v>2</v>
      </c>
      <c r="E102" s="80">
        <f t="shared" si="19"/>
        <v>84240</v>
      </c>
      <c r="F102" s="80">
        <f t="shared" si="12"/>
        <v>168480</v>
      </c>
      <c r="G102" s="49">
        <f>1.15*(1-Q102)*R102*(IF(P102="baseload",VLOOKUP(O102,'2015 Avoided Costs'!$B$9:$N$38,7)*S102+VLOOKUP(O102,'2015 Avoided Costs'!$P$9:$AB$38,7)*T102/1000+VLOOKUP(O102,'2015 Avoided Costs'!$AD$9:$AP$38,7)*U102,VLOOKUP(O102,'2015 Avoided Costs'!$B$9:$N$38,9)*S102+VLOOKUP(O102,'2015 Avoided Costs'!$P$9:$AB$38,9)*T102/1000+VLOOKUP(O102,'2015 Avoided Costs'!$AD$9:$AP$38,9)*U102))</f>
        <v>18993.250223999996</v>
      </c>
      <c r="H102" s="49">
        <f t="shared" si="15"/>
        <v>14400</v>
      </c>
      <c r="I102" s="49">
        <f t="shared" si="16"/>
        <v>4593.2502239999958</v>
      </c>
      <c r="J102" s="49">
        <f t="shared" si="20"/>
        <v>37986.500447999992</v>
      </c>
      <c r="K102" s="49">
        <f t="shared" si="21"/>
        <v>28800</v>
      </c>
      <c r="L102" s="49">
        <f t="shared" si="17"/>
        <v>9186.5004479999916</v>
      </c>
      <c r="M102" s="62">
        <f t="shared" si="18"/>
        <v>1.3189757099999997</v>
      </c>
      <c r="N102" s="81"/>
      <c r="O102" s="88">
        <v>15</v>
      </c>
      <c r="P102" s="88" t="s">
        <v>55</v>
      </c>
      <c r="Q102" s="102">
        <v>0.1</v>
      </c>
      <c r="R102" s="102">
        <v>1</v>
      </c>
      <c r="S102" s="90">
        <v>6240</v>
      </c>
      <c r="T102" s="91">
        <v>0</v>
      </c>
      <c r="U102" s="92">
        <v>0</v>
      </c>
      <c r="V102" s="93">
        <v>16000</v>
      </c>
    </row>
    <row r="103" spans="2:22" s="78" customFormat="1" ht="46.8" x14ac:dyDescent="0.3">
      <c r="B103" s="59" t="s">
        <v>65</v>
      </c>
      <c r="C103" s="60" t="s">
        <v>159</v>
      </c>
      <c r="D103" s="61">
        <v>5</v>
      </c>
      <c r="E103" s="80">
        <f t="shared" si="19"/>
        <v>896</v>
      </c>
      <c r="F103" s="80">
        <f t="shared" si="12"/>
        <v>4480</v>
      </c>
      <c r="G103" s="49">
        <f>1.15*(1-Q103)*R103*(IF(P103="baseload",VLOOKUP(O103,'2015 Avoided Costs'!$B$9:$N$38,7)*S103+VLOOKUP(O103,'2015 Avoided Costs'!$P$9:$AB$38,7)*T103/1000+VLOOKUP(O103,'2015 Avoided Costs'!$AD$9:$AP$38,7)*U103,VLOOKUP(O103,'2015 Avoided Costs'!$B$9:$N$38,9)*S103+VLOOKUP(O103,'2015 Avoided Costs'!$P$9:$AB$38,9)*T103/1000+VLOOKUP(O103,'2015 Avoided Costs'!$AD$9:$AP$38,9)*U103))</f>
        <v>205.79148800000002</v>
      </c>
      <c r="H103" s="49">
        <f t="shared" si="15"/>
        <v>840</v>
      </c>
      <c r="I103" s="49">
        <f t="shared" si="16"/>
        <v>-634.20851199999993</v>
      </c>
      <c r="J103" s="49">
        <f t="shared" si="20"/>
        <v>1028.9574400000001</v>
      </c>
      <c r="K103" s="49">
        <f t="shared" si="21"/>
        <v>4200</v>
      </c>
      <c r="L103" s="49">
        <f t="shared" si="17"/>
        <v>-3171.0425599999999</v>
      </c>
      <c r="M103" s="48">
        <f t="shared" si="18"/>
        <v>0.24498986666666669</v>
      </c>
      <c r="N103" s="111"/>
      <c r="O103" s="95">
        <v>10</v>
      </c>
      <c r="P103" s="95" t="s">
        <v>55</v>
      </c>
      <c r="Q103" s="96">
        <v>0.2</v>
      </c>
      <c r="R103" s="96">
        <v>1</v>
      </c>
      <c r="S103" s="97">
        <v>112</v>
      </c>
      <c r="T103" s="98">
        <v>0</v>
      </c>
      <c r="U103" s="99">
        <v>0</v>
      </c>
      <c r="V103" s="100">
        <v>1050</v>
      </c>
    </row>
    <row r="104" spans="2:22" s="78" customFormat="1" ht="46.8" x14ac:dyDescent="0.3">
      <c r="B104" s="59" t="s">
        <v>65</v>
      </c>
      <c r="C104" s="60" t="s">
        <v>160</v>
      </c>
      <c r="D104" s="61">
        <v>5</v>
      </c>
      <c r="E104" s="80">
        <f t="shared" si="19"/>
        <v>2240</v>
      </c>
      <c r="F104" s="80">
        <f t="shared" si="12"/>
        <v>11200</v>
      </c>
      <c r="G104" s="49">
        <f>1.15*(1-Q104)*R104*(IF(P104="baseload",VLOOKUP(O104,'2015 Avoided Costs'!$B$9:$N$38,7)*S104+VLOOKUP(O104,'2015 Avoided Costs'!$P$9:$AB$38,7)*T104/1000+VLOOKUP(O104,'2015 Avoided Costs'!$AD$9:$AP$38,7)*U104,VLOOKUP(O104,'2015 Avoided Costs'!$B$9:$N$38,9)*S104+VLOOKUP(O104,'2015 Avoided Costs'!$P$9:$AB$38,9)*T104/1000+VLOOKUP(O104,'2015 Avoided Costs'!$AD$9:$AP$38,9)*U104))</f>
        <v>514.47871999999995</v>
      </c>
      <c r="H104" s="49">
        <f t="shared" si="15"/>
        <v>840</v>
      </c>
      <c r="I104" s="49">
        <f t="shared" si="16"/>
        <v>-325.52128000000005</v>
      </c>
      <c r="J104" s="49">
        <f t="shared" si="20"/>
        <v>2572.3935999999999</v>
      </c>
      <c r="K104" s="49">
        <f t="shared" si="21"/>
        <v>4200</v>
      </c>
      <c r="L104" s="49">
        <f t="shared" si="17"/>
        <v>-1627.6064000000001</v>
      </c>
      <c r="M104" s="48">
        <f t="shared" si="18"/>
        <v>0.61247466666666661</v>
      </c>
      <c r="N104" s="111"/>
      <c r="O104" s="82">
        <v>10</v>
      </c>
      <c r="P104" s="82" t="s">
        <v>55</v>
      </c>
      <c r="Q104" s="101">
        <v>0.2</v>
      </c>
      <c r="R104" s="101">
        <v>1</v>
      </c>
      <c r="S104" s="84">
        <v>280</v>
      </c>
      <c r="T104" s="85">
        <v>0</v>
      </c>
      <c r="U104" s="86">
        <v>0</v>
      </c>
      <c r="V104" s="87">
        <v>1050</v>
      </c>
    </row>
    <row r="105" spans="2:22" s="78" customFormat="1" ht="46.8" x14ac:dyDescent="0.3">
      <c r="B105" s="59" t="s">
        <v>65</v>
      </c>
      <c r="C105" s="60" t="s">
        <v>161</v>
      </c>
      <c r="D105" s="61">
        <v>20</v>
      </c>
      <c r="E105" s="80">
        <f t="shared" si="19"/>
        <v>5472.3200000000006</v>
      </c>
      <c r="F105" s="80">
        <f t="shared" si="12"/>
        <v>109446.40000000001</v>
      </c>
      <c r="G105" s="49">
        <f>1.15*(1-Q105)*R105*(IF(P105="baseload",VLOOKUP(O105,'2015 Avoided Costs'!$B$9:$N$38,7)*S105+VLOOKUP(O105,'2015 Avoided Costs'!$P$9:$AB$38,7)*T105/1000+VLOOKUP(O105,'2015 Avoided Costs'!$AD$9:$AP$38,7)*U105,VLOOKUP(O105,'2015 Avoided Costs'!$B$9:$N$38,9)*S105+VLOOKUP(O105,'2015 Avoided Costs'!$P$9:$AB$38,9)*T105/1000+VLOOKUP(O105,'2015 Avoided Costs'!$AD$9:$AP$38,9)*U105))</f>
        <v>1256.8715129600002</v>
      </c>
      <c r="H105" s="49">
        <f t="shared" si="15"/>
        <v>840</v>
      </c>
      <c r="I105" s="49">
        <f t="shared" si="16"/>
        <v>416.87151296000025</v>
      </c>
      <c r="J105" s="49">
        <f t="shared" si="20"/>
        <v>25137.430259200006</v>
      </c>
      <c r="K105" s="49">
        <f t="shared" si="21"/>
        <v>16800</v>
      </c>
      <c r="L105" s="49">
        <f t="shared" si="17"/>
        <v>8337.4302592000058</v>
      </c>
      <c r="M105" s="48">
        <f t="shared" si="18"/>
        <v>1.496275610666667</v>
      </c>
      <c r="N105" s="111"/>
      <c r="O105" s="82">
        <v>10</v>
      </c>
      <c r="P105" s="82" t="s">
        <v>55</v>
      </c>
      <c r="Q105" s="101">
        <v>0.2</v>
      </c>
      <c r="R105" s="101">
        <v>1</v>
      </c>
      <c r="S105" s="84">
        <v>684.04000000000008</v>
      </c>
      <c r="T105" s="85">
        <v>0</v>
      </c>
      <c r="U105" s="86">
        <v>0</v>
      </c>
      <c r="V105" s="87">
        <v>1050</v>
      </c>
    </row>
    <row r="106" spans="2:22" s="78" customFormat="1" ht="46.8" x14ac:dyDescent="0.3">
      <c r="B106" s="59" t="s">
        <v>65</v>
      </c>
      <c r="C106" s="60" t="s">
        <v>162</v>
      </c>
      <c r="D106" s="61">
        <v>20</v>
      </c>
      <c r="E106" s="80">
        <f t="shared" si="19"/>
        <v>28205.184000000005</v>
      </c>
      <c r="F106" s="80">
        <f t="shared" si="12"/>
        <v>564103.68000000005</v>
      </c>
      <c r="G106" s="49">
        <f>1.15*(1-Q106)*R106*(IF(P106="baseload",VLOOKUP(O106,'2015 Avoided Costs'!$B$9:$N$38,7)*S106+VLOOKUP(O106,'2015 Avoided Costs'!$P$9:$AB$38,7)*T106/1000+VLOOKUP(O106,'2015 Avoided Costs'!$AD$9:$AP$38,7)*U106,VLOOKUP(O106,'2015 Avoided Costs'!$B$9:$N$38,9)*S106+VLOOKUP(O106,'2015 Avoided Costs'!$P$9:$AB$38,9)*T106/1000+VLOOKUP(O106,'2015 Avoided Costs'!$AD$9:$AP$38,9)*U106))</f>
        <v>6478.110250752</v>
      </c>
      <c r="H106" s="49">
        <f t="shared" si="15"/>
        <v>840</v>
      </c>
      <c r="I106" s="49">
        <f t="shared" si="16"/>
        <v>5638.110250752</v>
      </c>
      <c r="J106" s="49">
        <f t="shared" si="20"/>
        <v>129562.20501504</v>
      </c>
      <c r="K106" s="49">
        <f t="shared" si="21"/>
        <v>16800</v>
      </c>
      <c r="L106" s="49">
        <f t="shared" si="17"/>
        <v>112762.20501504</v>
      </c>
      <c r="M106" s="48">
        <f t="shared" si="18"/>
        <v>7.7120360128000005</v>
      </c>
      <c r="N106" s="111"/>
      <c r="O106" s="82">
        <v>10</v>
      </c>
      <c r="P106" s="82" t="s">
        <v>55</v>
      </c>
      <c r="Q106" s="101">
        <v>0.2</v>
      </c>
      <c r="R106" s="101">
        <v>1</v>
      </c>
      <c r="S106" s="84">
        <v>3525.6480000000001</v>
      </c>
      <c r="T106" s="85">
        <v>0</v>
      </c>
      <c r="U106" s="86">
        <v>0</v>
      </c>
      <c r="V106" s="87">
        <v>1050</v>
      </c>
    </row>
    <row r="107" spans="2:22" s="78" customFormat="1" ht="46.8" x14ac:dyDescent="0.3">
      <c r="B107" s="59" t="s">
        <v>48</v>
      </c>
      <c r="C107" s="60" t="s">
        <v>163</v>
      </c>
      <c r="D107" s="61">
        <v>20</v>
      </c>
      <c r="E107" s="80">
        <f t="shared" si="19"/>
        <v>2168.4319999999998</v>
      </c>
      <c r="F107" s="80">
        <f t="shared" si="12"/>
        <v>43368.639999999999</v>
      </c>
      <c r="G107" s="49">
        <f>1.15*(1-Q107)*R107*(IF(P107="baseload",VLOOKUP(O107,'2015 Avoided Costs'!$B$9:$N$38,7)*S107+VLOOKUP(O107,'2015 Avoided Costs'!$P$9:$AB$38,7)*T107/1000+VLOOKUP(O107,'2015 Avoided Costs'!$AD$9:$AP$38,7)*U107,VLOOKUP(O107,'2015 Avoided Costs'!$B$9:$N$38,9)*S107+VLOOKUP(O107,'2015 Avoided Costs'!$P$9:$AB$38,9)*T107/1000+VLOOKUP(O107,'2015 Avoided Costs'!$AD$9:$AP$38,9)*U107))</f>
        <v>498.04112489599999</v>
      </c>
      <c r="H107" s="49">
        <f t="shared" si="15"/>
        <v>1282.5</v>
      </c>
      <c r="I107" s="49">
        <f t="shared" si="16"/>
        <v>-784.45887510400007</v>
      </c>
      <c r="J107" s="49">
        <f t="shared" si="20"/>
        <v>9960.8224979200004</v>
      </c>
      <c r="K107" s="49">
        <f t="shared" si="21"/>
        <v>25650</v>
      </c>
      <c r="L107" s="49">
        <f t="shared" si="17"/>
        <v>-15689.17750208</v>
      </c>
      <c r="M107" s="48">
        <f t="shared" si="18"/>
        <v>0.38833615976296298</v>
      </c>
      <c r="N107" s="111"/>
      <c r="O107" s="82">
        <v>10</v>
      </c>
      <c r="P107" s="82" t="s">
        <v>55</v>
      </c>
      <c r="Q107" s="101">
        <v>0.05</v>
      </c>
      <c r="R107" s="101">
        <v>1</v>
      </c>
      <c r="S107" s="84">
        <v>228.256</v>
      </c>
      <c r="T107" s="85">
        <v>0</v>
      </c>
      <c r="U107" s="86">
        <v>0</v>
      </c>
      <c r="V107" s="87">
        <v>1350</v>
      </c>
    </row>
    <row r="108" spans="2:22" s="78" customFormat="1" ht="46.8" x14ac:dyDescent="0.3">
      <c r="B108" s="59" t="s">
        <v>48</v>
      </c>
      <c r="C108" s="60" t="s">
        <v>164</v>
      </c>
      <c r="D108" s="61">
        <v>15</v>
      </c>
      <c r="E108" s="80">
        <f t="shared" si="19"/>
        <v>4137.8959999999997</v>
      </c>
      <c r="F108" s="80">
        <f t="shared" si="12"/>
        <v>62068.439999999995</v>
      </c>
      <c r="G108" s="49">
        <f>1.15*(1-Q108)*R108*(IF(P108="baseload",VLOOKUP(O108,'2015 Avoided Costs'!$B$9:$N$38,7)*S108+VLOOKUP(O108,'2015 Avoided Costs'!$P$9:$AB$38,7)*T108/1000+VLOOKUP(O108,'2015 Avoided Costs'!$AD$9:$AP$38,7)*U108,VLOOKUP(O108,'2015 Avoided Costs'!$B$9:$N$38,9)*S108+VLOOKUP(O108,'2015 Avoided Costs'!$P$9:$AB$38,9)*T108/1000+VLOOKUP(O108,'2015 Avoided Costs'!$AD$9:$AP$38,9)*U108))</f>
        <v>950.38367748799976</v>
      </c>
      <c r="H108" s="49">
        <f t="shared" si="15"/>
        <v>1282.5</v>
      </c>
      <c r="I108" s="49">
        <f t="shared" si="16"/>
        <v>-332.11632251200024</v>
      </c>
      <c r="J108" s="49">
        <f t="shared" si="20"/>
        <v>14255.755162319996</v>
      </c>
      <c r="K108" s="49">
        <f t="shared" si="21"/>
        <v>19237.5</v>
      </c>
      <c r="L108" s="49">
        <f t="shared" si="17"/>
        <v>-4981.7448376800039</v>
      </c>
      <c r="M108" s="48">
        <f t="shared" si="18"/>
        <v>0.74103990447407386</v>
      </c>
      <c r="N108" s="111"/>
      <c r="O108" s="82">
        <v>10</v>
      </c>
      <c r="P108" s="82" t="s">
        <v>55</v>
      </c>
      <c r="Q108" s="101">
        <v>0.05</v>
      </c>
      <c r="R108" s="101">
        <v>1</v>
      </c>
      <c r="S108" s="84">
        <v>435.56799999999998</v>
      </c>
      <c r="T108" s="85">
        <v>0</v>
      </c>
      <c r="U108" s="86">
        <v>0</v>
      </c>
      <c r="V108" s="87">
        <v>1350</v>
      </c>
    </row>
    <row r="109" spans="2:22" s="78" customFormat="1" ht="46.8" x14ac:dyDescent="0.3">
      <c r="B109" s="59" t="s">
        <v>48</v>
      </c>
      <c r="C109" s="60" t="s">
        <v>165</v>
      </c>
      <c r="D109" s="61">
        <v>5</v>
      </c>
      <c r="E109" s="80">
        <f t="shared" si="19"/>
        <v>13406.4</v>
      </c>
      <c r="F109" s="80">
        <f t="shared" si="12"/>
        <v>67032</v>
      </c>
      <c r="G109" s="49">
        <f>1.15*(1-Q109)*R109*(IF(P109="baseload",VLOOKUP(O109,'2015 Avoided Costs'!$B$9:$N$38,7)*S109+VLOOKUP(O109,'2015 Avoided Costs'!$P$9:$AB$38,7)*T109/1000+VLOOKUP(O109,'2015 Avoided Costs'!$AD$9:$AP$38,7)*U109,VLOOKUP(O109,'2015 Avoided Costs'!$B$9:$N$38,9)*S109+VLOOKUP(O109,'2015 Avoided Costs'!$P$9:$AB$38,9)*T109/1000+VLOOKUP(O109,'2015 Avoided Costs'!$AD$9:$AP$38,9)*U109))</f>
        <v>3079.1551391999997</v>
      </c>
      <c r="H109" s="49">
        <f t="shared" si="15"/>
        <v>1282.5</v>
      </c>
      <c r="I109" s="49">
        <f t="shared" si="16"/>
        <v>1796.6551391999997</v>
      </c>
      <c r="J109" s="49">
        <f t="shared" si="20"/>
        <v>15395.775695999999</v>
      </c>
      <c r="K109" s="49">
        <f t="shared" si="21"/>
        <v>6412.5</v>
      </c>
      <c r="L109" s="49">
        <f t="shared" si="17"/>
        <v>8983.2756959999988</v>
      </c>
      <c r="M109" s="48">
        <f t="shared" si="18"/>
        <v>2.400900693333333</v>
      </c>
      <c r="N109" s="111"/>
      <c r="O109" s="82">
        <v>10</v>
      </c>
      <c r="P109" s="82" t="s">
        <v>55</v>
      </c>
      <c r="Q109" s="101">
        <v>0.05</v>
      </c>
      <c r="R109" s="101">
        <v>1</v>
      </c>
      <c r="S109" s="84">
        <v>1411.2</v>
      </c>
      <c r="T109" s="85">
        <v>0</v>
      </c>
      <c r="U109" s="86">
        <v>0</v>
      </c>
      <c r="V109" s="87">
        <v>1350</v>
      </c>
    </row>
    <row r="110" spans="2:22" s="78" customFormat="1" ht="46.8" x14ac:dyDescent="0.3">
      <c r="B110" s="59" t="s">
        <v>48</v>
      </c>
      <c r="C110" s="60" t="s">
        <v>166</v>
      </c>
      <c r="D110" s="61">
        <v>30</v>
      </c>
      <c r="E110" s="80">
        <f t="shared" si="19"/>
        <v>33970.327999999994</v>
      </c>
      <c r="F110" s="80">
        <f t="shared" ref="F110" si="22">D110*E110</f>
        <v>1019109.8399999999</v>
      </c>
      <c r="G110" s="49">
        <f>1.15*(1-Q110)*R110*(IF(P110="baseload",VLOOKUP(O110,'2015 Avoided Costs'!$B$9:$N$38,7)*S110+VLOOKUP(O110,'2015 Avoided Costs'!$P$9:$AB$38,7)*T110/1000+VLOOKUP(O110,'2015 Avoided Costs'!$AD$9:$AP$38,7)*U110,VLOOKUP(O110,'2015 Avoided Costs'!$B$9:$N$38,9)*S110+VLOOKUP(O110,'2015 Avoided Costs'!$P$9:$AB$38,9)*T110/1000+VLOOKUP(O110,'2015 Avoided Costs'!$AD$9:$AP$38,9)*U110))</f>
        <v>7802.2369943839994</v>
      </c>
      <c r="H110" s="49">
        <f t="shared" si="15"/>
        <v>1282.5</v>
      </c>
      <c r="I110" s="49">
        <f t="shared" si="16"/>
        <v>6519.7369943839994</v>
      </c>
      <c r="J110" s="49">
        <f t="shared" si="20"/>
        <v>234067.10983151998</v>
      </c>
      <c r="K110" s="49">
        <f t="shared" si="21"/>
        <v>38475</v>
      </c>
      <c r="L110" s="49">
        <f t="shared" si="17"/>
        <v>195592.10983151998</v>
      </c>
      <c r="M110" s="48">
        <f t="shared" si="18"/>
        <v>6.0836155901629621</v>
      </c>
      <c r="N110" s="111"/>
      <c r="O110" s="82">
        <v>10</v>
      </c>
      <c r="P110" s="82" t="s">
        <v>55</v>
      </c>
      <c r="Q110" s="101">
        <v>0.05</v>
      </c>
      <c r="R110" s="101">
        <v>1</v>
      </c>
      <c r="S110" s="84">
        <v>3575.8240000000001</v>
      </c>
      <c r="T110" s="85">
        <v>0</v>
      </c>
      <c r="U110" s="86">
        <v>0</v>
      </c>
      <c r="V110" s="87">
        <v>1350</v>
      </c>
    </row>
    <row r="111" spans="2:22" s="78" customFormat="1" x14ac:dyDescent="0.3">
      <c r="B111" s="59" t="s">
        <v>67</v>
      </c>
      <c r="C111" s="60" t="s">
        <v>73</v>
      </c>
      <c r="D111" s="61">
        <v>10</v>
      </c>
      <c r="E111" s="80">
        <f t="shared" si="19"/>
        <v>227794.8</v>
      </c>
      <c r="F111" s="80">
        <f>D111*E111</f>
        <v>2277948</v>
      </c>
      <c r="G111" s="49">
        <f>1.15*(1-Q111)*R111*(IF(P111="baseload",VLOOKUP(O111,'2015 Avoided Costs'!$B$9:$N$38,7)*S111+VLOOKUP(O111,'2015 Avoided Costs'!$P$9:$AB$38,7)*T111/1000+VLOOKUP(O111,'2015 Avoided Costs'!$AD$9:$AP$38,7)*U111,VLOOKUP(O111,'2015 Avoided Costs'!$B$9:$N$38,9)*S111+VLOOKUP(O111,'2015 Avoided Costs'!$P$9:$AB$38,9)*T111/1000+VLOOKUP(O111,'2015 Avoided Costs'!$AD$9:$AP$38,9)*U111))</f>
        <v>47770.646270924983</v>
      </c>
      <c r="H111" s="49">
        <f t="shared" si="15"/>
        <v>21688.5</v>
      </c>
      <c r="I111" s="49">
        <f t="shared" si="16"/>
        <v>26082.146270924983</v>
      </c>
      <c r="J111" s="49">
        <f t="shared" si="20"/>
        <v>477706.46270924981</v>
      </c>
      <c r="K111" s="49">
        <f t="shared" si="21"/>
        <v>216885</v>
      </c>
      <c r="L111" s="49">
        <f t="shared" si="17"/>
        <v>260821.46270924981</v>
      </c>
      <c r="M111" s="62">
        <f t="shared" si="18"/>
        <v>2.2025795362023644</v>
      </c>
      <c r="N111" s="81"/>
      <c r="O111" s="95">
        <v>24</v>
      </c>
      <c r="P111" s="95" t="s">
        <v>55</v>
      </c>
      <c r="Q111" s="96">
        <v>0.05</v>
      </c>
      <c r="R111" s="96">
        <v>1</v>
      </c>
      <c r="S111" s="97">
        <v>9991</v>
      </c>
      <c r="T111" s="98">
        <v>0</v>
      </c>
      <c r="U111" s="99">
        <v>-753</v>
      </c>
      <c r="V111" s="100">
        <v>22830</v>
      </c>
    </row>
    <row r="112" spans="2:22" s="78" customFormat="1" ht="17.399999999999999" x14ac:dyDescent="0.3">
      <c r="B112" s="112" t="s">
        <v>53</v>
      </c>
      <c r="C112" s="59" t="s">
        <v>167</v>
      </c>
      <c r="D112" s="61">
        <v>178</v>
      </c>
      <c r="E112" s="80">
        <f t="shared" si="19"/>
        <v>428813.85198396043</v>
      </c>
      <c r="F112" s="80">
        <f t="shared" ref="F112" si="23">D112*E112</f>
        <v>76328865.653144956</v>
      </c>
      <c r="G112" s="49">
        <f>1.15*(1-Q112)*R112*(IF(P112="baseload",VLOOKUP(O112,'2015 Avoided Costs'!$B$9:$N$38,7)*S112+VLOOKUP(O112,'2015 Avoided Costs'!$P$9:$AB$38,7)*T112/1000+VLOOKUP(O112,'2015 Avoided Costs'!$AD$9:$AP$38,7)*U112,VLOOKUP(O112,'2015 Avoided Costs'!$B$9:$N$38,9)*S112+VLOOKUP(O112,'2015 Avoided Costs'!$P$9:$AB$38,9)*T112/1000+VLOOKUP(O112,'2015 Avoided Costs'!$AD$9:$AP$38,9)*U112))</f>
        <v>143094.71178202247</v>
      </c>
      <c r="H112" s="49">
        <f t="shared" ref="H112" si="24">(((1-Q112)*V112))</f>
        <v>130399.0939805825</v>
      </c>
      <c r="I112" s="49">
        <f t="shared" ref="I112" si="25">G112-H112</f>
        <v>12695.617801439963</v>
      </c>
      <c r="J112" s="49">
        <f t="shared" si="20"/>
        <v>25470858.6972</v>
      </c>
      <c r="K112" s="49">
        <f t="shared" si="21"/>
        <v>23211038.728543684</v>
      </c>
      <c r="L112" s="49">
        <f t="shared" ref="L112" si="26">J112-K112</f>
        <v>2259819.9686563164</v>
      </c>
      <c r="M112" s="62">
        <f>(J112)/K112</f>
        <v>1.0973597086750499</v>
      </c>
      <c r="N112" s="81"/>
      <c r="O112" s="66">
        <v>16.979619580000001</v>
      </c>
      <c r="P112" s="103" t="s">
        <v>55</v>
      </c>
      <c r="Q112" s="47">
        <v>0.54</v>
      </c>
      <c r="R112" s="47">
        <v>1</v>
      </c>
      <c r="S112" s="113">
        <v>54901.349329999997</v>
      </c>
      <c r="T112" s="61">
        <v>473751</v>
      </c>
      <c r="U112" s="109">
        <v>54949.146654612909</v>
      </c>
      <c r="V112" s="107">
        <v>283476.2912621359</v>
      </c>
    </row>
    <row r="113" spans="1:29" s="78" customFormat="1" ht="17.399999999999999" x14ac:dyDescent="0.3">
      <c r="B113" s="112" t="s">
        <v>53</v>
      </c>
      <c r="C113" s="59" t="s">
        <v>168</v>
      </c>
      <c r="D113" s="61">
        <v>318</v>
      </c>
      <c r="E113" s="80">
        <f t="shared" si="19"/>
        <v>2103036.2054967973</v>
      </c>
      <c r="F113" s="80">
        <f t="shared" ref="F113" si="27">D113*E113</f>
        <v>668765513.34798157</v>
      </c>
      <c r="G113" s="49">
        <f>1.15*(1-Q113)*R113*(IF(P113="baseload",VLOOKUP(O113,'2015 Avoided Costs'!$B$9:$N$38,11)*S113+VLOOKUP(O113,'2015 Avoided Costs'!$P$9:$AB$38,11)*T113/1000+VLOOKUP(O113,'2015 Avoided Costs'!$AD$9:$AP$38,11)*U113,VLOOKUP(O113,'2015 Avoided Costs'!$B$9:$N$38,13)*S113+VLOOKUP(O113,'2015 Avoided Costs'!$P$9:$AB$38,13)*T113/1000+VLOOKUP(O113,'2015 Avoided Costs'!$AD$9:$AP$38,13)*U113))</f>
        <v>474965.45290314464</v>
      </c>
      <c r="H113" s="49">
        <f t="shared" ref="H113" si="28">(((1-Q113)*V113))</f>
        <v>205774.56</v>
      </c>
      <c r="I113" s="49">
        <f t="shared" ref="I113" si="29">G113-H113</f>
        <v>269190.89290314465</v>
      </c>
      <c r="J113" s="49">
        <f t="shared" si="20"/>
        <v>151039014.02320001</v>
      </c>
      <c r="K113" s="49">
        <f t="shared" si="21"/>
        <v>65436310.079999998</v>
      </c>
      <c r="L113" s="49">
        <f t="shared" ref="L113" si="30">J113-K113</f>
        <v>85602703.943200007</v>
      </c>
      <c r="M113" s="62">
        <f t="shared" si="18"/>
        <v>2.3081835427233797</v>
      </c>
      <c r="N113" s="81"/>
      <c r="O113" s="66">
        <v>16.337329629999999</v>
      </c>
      <c r="P113" s="103" t="s">
        <v>54</v>
      </c>
      <c r="Q113" s="47">
        <v>0.54</v>
      </c>
      <c r="R113" s="47">
        <v>1</v>
      </c>
      <c r="S113" s="113">
        <v>279838.74608499999</v>
      </c>
      <c r="T113" s="61">
        <v>648013</v>
      </c>
      <c r="U113" s="109">
        <v>14780.047064720036</v>
      </c>
      <c r="V113" s="107">
        <v>447336</v>
      </c>
    </row>
    <row r="114" spans="1:29" x14ac:dyDescent="0.3">
      <c r="B114" s="76"/>
      <c r="C114" s="65" t="s">
        <v>27</v>
      </c>
      <c r="D114" s="66"/>
      <c r="E114" s="66"/>
      <c r="F114" s="114">
        <f>SUM(F3:F113)</f>
        <v>1019690571.6321039</v>
      </c>
      <c r="G114" s="74"/>
      <c r="H114" s="74"/>
      <c r="I114" s="74"/>
      <c r="J114" s="68">
        <f>SUM(J3:J113)</f>
        <v>244463777.68461508</v>
      </c>
      <c r="K114" s="68">
        <f>SUM(K3:K113)</f>
        <v>105018481.40854368</v>
      </c>
      <c r="L114" s="68">
        <f>SUM(L3:L113)</f>
        <v>139445296.27607137</v>
      </c>
      <c r="M114" s="71"/>
      <c r="V114" s="57"/>
      <c r="W114" s="57"/>
      <c r="X114" s="115"/>
      <c r="Y114" s="115"/>
      <c r="Z114" s="57"/>
      <c r="AA114" s="57"/>
      <c r="AB114" s="57"/>
      <c r="AC114" s="116"/>
    </row>
    <row r="115" spans="1:29" ht="20.25" customHeight="1" x14ac:dyDescent="0.3">
      <c r="B115" s="57"/>
      <c r="C115" s="117"/>
      <c r="D115" s="117"/>
      <c r="E115" s="117"/>
      <c r="F115" s="117"/>
      <c r="G115" s="117"/>
      <c r="H115" s="117"/>
      <c r="I115" s="57"/>
      <c r="J115" s="73" t="s">
        <v>23</v>
      </c>
      <c r="K115" s="74">
        <f>2227725+203360</f>
        <v>2431085</v>
      </c>
      <c r="L115" s="118"/>
      <c r="M115" s="119"/>
      <c r="T115" s="57"/>
      <c r="U115" s="120"/>
      <c r="V115" s="57"/>
      <c r="X115" s="121"/>
      <c r="Y115" s="121"/>
      <c r="AC115" s="122"/>
    </row>
    <row r="116" spans="1:29" ht="31.2" x14ac:dyDescent="0.3">
      <c r="B116" s="57"/>
      <c r="C116" s="117"/>
      <c r="D116" s="117"/>
      <c r="E116" s="123"/>
      <c r="F116" s="117"/>
      <c r="G116" s="117"/>
      <c r="H116" s="124"/>
      <c r="I116" s="57"/>
      <c r="J116" s="73" t="s">
        <v>24</v>
      </c>
      <c r="K116" s="74">
        <v>3928876</v>
      </c>
      <c r="L116" s="118"/>
      <c r="M116" s="119"/>
      <c r="T116" s="57"/>
      <c r="U116" s="120"/>
      <c r="V116" s="125"/>
      <c r="X116" s="121"/>
      <c r="Y116" s="121"/>
      <c r="AC116" s="122"/>
    </row>
    <row r="117" spans="1:29" ht="23.25" customHeight="1" x14ac:dyDescent="0.3">
      <c r="B117" s="57"/>
      <c r="C117" s="117"/>
      <c r="D117" s="117"/>
      <c r="E117" s="123"/>
      <c r="F117" s="117"/>
      <c r="G117" s="117"/>
      <c r="H117" s="124"/>
      <c r="I117" s="57"/>
      <c r="J117" s="73" t="s">
        <v>22</v>
      </c>
      <c r="K117" s="74">
        <f>188959</f>
        <v>188959</v>
      </c>
      <c r="L117" s="118"/>
      <c r="M117" s="119"/>
      <c r="T117" s="57"/>
      <c r="U117" s="57"/>
      <c r="V117" s="57"/>
      <c r="X117" s="121"/>
      <c r="Y117" s="121"/>
      <c r="AC117" s="122"/>
    </row>
    <row r="118" spans="1:29" ht="27" customHeight="1" x14ac:dyDescent="0.3">
      <c r="A118" s="57"/>
      <c r="B118" s="57"/>
      <c r="C118" s="126"/>
      <c r="D118" s="126"/>
      <c r="E118" s="126"/>
      <c r="F118" s="126"/>
      <c r="G118" s="126"/>
      <c r="H118" s="126"/>
      <c r="I118" s="57"/>
      <c r="J118" s="143" t="s">
        <v>28</v>
      </c>
      <c r="K118" s="143"/>
      <c r="L118" s="68">
        <f>L114-K115-K116-K117</f>
        <v>132896376.27607137</v>
      </c>
      <c r="M118" s="119"/>
      <c r="V118" s="57"/>
      <c r="W118" s="57"/>
      <c r="X118" s="115"/>
      <c r="Y118" s="115"/>
      <c r="Z118" s="57"/>
      <c r="AA118" s="57"/>
      <c r="AB118" s="57"/>
      <c r="AC118" s="116"/>
    </row>
    <row r="119" spans="1:29" ht="33.6" customHeight="1" x14ac:dyDescent="0.3">
      <c r="A119" s="57"/>
      <c r="B119" s="57"/>
      <c r="C119" s="79"/>
      <c r="D119" s="57"/>
      <c r="E119" s="127"/>
      <c r="F119" s="57"/>
      <c r="G119" s="128"/>
      <c r="H119" s="128"/>
      <c r="I119" s="57"/>
      <c r="J119" s="144" t="s">
        <v>171</v>
      </c>
      <c r="K119" s="144"/>
      <c r="L119" s="76"/>
      <c r="M119" s="77">
        <f>(J114)/SUM(K114:K117)</f>
        <v>2.1911756892985621</v>
      </c>
      <c r="V119" s="57"/>
      <c r="W119" s="57"/>
      <c r="X119" s="57"/>
      <c r="Y119" s="57"/>
      <c r="Z119" s="57"/>
      <c r="AA119" s="57"/>
      <c r="AB119" s="57"/>
      <c r="AC119" s="57"/>
    </row>
    <row r="120" spans="1:29" x14ac:dyDescent="0.3">
      <c r="A120" s="57"/>
      <c r="B120" s="57"/>
      <c r="C120" s="57"/>
      <c r="D120" s="57"/>
      <c r="E120" s="57"/>
      <c r="F120" s="129"/>
      <c r="G120" s="129"/>
      <c r="H120" s="129"/>
      <c r="I120" s="129"/>
      <c r="J120" s="117"/>
      <c r="K120" s="125"/>
      <c r="L120" s="130"/>
      <c r="M120" s="129"/>
      <c r="V120" s="57"/>
      <c r="W120" s="57"/>
      <c r="X120" s="57"/>
      <c r="Y120" s="57"/>
      <c r="Z120" s="57"/>
      <c r="AA120" s="57"/>
      <c r="AB120" s="57"/>
      <c r="AC120" s="57"/>
    </row>
    <row r="121" spans="1:29" x14ac:dyDescent="0.3">
      <c r="A121" s="50"/>
      <c r="B121" s="51"/>
      <c r="C121" s="52"/>
      <c r="D121" s="57"/>
      <c r="E121" s="57"/>
      <c r="F121" s="129"/>
      <c r="G121" s="129"/>
      <c r="H121" s="129"/>
      <c r="I121" s="129"/>
      <c r="J121" s="117"/>
      <c r="L121" s="130"/>
      <c r="M121" s="129"/>
      <c r="V121" s="57"/>
      <c r="W121" s="57"/>
      <c r="X121" s="57"/>
      <c r="Y121" s="57"/>
      <c r="Z121" s="57"/>
      <c r="AA121" s="57"/>
      <c r="AB121" s="57"/>
      <c r="AC121" s="57"/>
    </row>
    <row r="122" spans="1:29" s="55" customFormat="1" x14ac:dyDescent="0.3">
      <c r="A122" s="50"/>
      <c r="B122" s="51"/>
      <c r="C122" s="52"/>
      <c r="D122" s="52"/>
      <c r="E122" s="52"/>
      <c r="F122" s="52"/>
      <c r="G122" s="53"/>
      <c r="H122" s="53"/>
      <c r="I122" s="53"/>
      <c r="J122" s="53"/>
      <c r="K122" s="53"/>
      <c r="L122" s="53"/>
    </row>
    <row r="123" spans="1:29" s="55" customFormat="1" x14ac:dyDescent="0.3">
      <c r="A123" s="50"/>
      <c r="B123" s="51"/>
      <c r="C123" s="52"/>
      <c r="D123" s="53"/>
      <c r="E123" s="53"/>
      <c r="F123" s="53"/>
      <c r="G123" s="53"/>
      <c r="H123" s="53"/>
      <c r="I123" s="53"/>
      <c r="J123" s="53"/>
      <c r="K123" s="53"/>
      <c r="L123" s="53"/>
    </row>
    <row r="124" spans="1:29" s="55" customFormat="1" x14ac:dyDescent="0.3">
      <c r="A124" s="50"/>
      <c r="B124" s="51"/>
      <c r="C124" s="52"/>
      <c r="D124" s="53"/>
      <c r="E124" s="53"/>
      <c r="F124" s="53"/>
      <c r="G124" s="53"/>
      <c r="H124" s="53"/>
      <c r="I124" s="53"/>
      <c r="J124" s="53"/>
      <c r="K124" s="53"/>
      <c r="L124" s="53"/>
    </row>
    <row r="125" spans="1:29" s="55" customFormat="1" x14ac:dyDescent="0.3">
      <c r="A125" s="50"/>
      <c r="B125" s="51"/>
      <c r="C125" s="52"/>
      <c r="D125" s="53"/>
      <c r="E125" s="53"/>
      <c r="F125" s="53"/>
      <c r="G125" s="53"/>
      <c r="H125" s="53"/>
      <c r="I125" s="53"/>
      <c r="J125" s="53"/>
      <c r="K125" s="53"/>
      <c r="L125" s="53"/>
    </row>
    <row r="126" spans="1:29" s="55" customFormat="1" x14ac:dyDescent="0.3">
      <c r="A126" s="50"/>
      <c r="B126" s="56"/>
      <c r="C126" s="52"/>
      <c r="D126" s="53"/>
      <c r="E126" s="53"/>
      <c r="F126" s="53"/>
      <c r="G126" s="53"/>
      <c r="H126" s="53"/>
      <c r="I126" s="53"/>
      <c r="J126" s="53"/>
      <c r="K126" s="53"/>
      <c r="L126" s="53"/>
    </row>
    <row r="127" spans="1:29" s="55" customFormat="1" x14ac:dyDescent="0.3">
      <c r="A127" s="50"/>
      <c r="B127" s="56"/>
      <c r="C127" s="52"/>
      <c r="D127" s="53"/>
      <c r="E127" s="53"/>
      <c r="F127" s="53"/>
      <c r="G127" s="53"/>
      <c r="H127" s="53"/>
      <c r="I127" s="53"/>
      <c r="J127" s="53"/>
      <c r="K127" s="53"/>
      <c r="L127" s="53"/>
    </row>
    <row r="128" spans="1:29" s="55" customFormat="1" x14ac:dyDescent="0.3">
      <c r="A128" s="50"/>
      <c r="B128" s="56"/>
      <c r="C128" s="52"/>
      <c r="D128" s="53"/>
      <c r="E128" s="53"/>
      <c r="F128" s="53"/>
      <c r="G128" s="53"/>
      <c r="H128" s="53"/>
      <c r="I128" s="53"/>
      <c r="J128" s="53"/>
      <c r="K128" s="53"/>
      <c r="L128" s="53"/>
    </row>
    <row r="129" spans="1:12" s="55" customFormat="1" x14ac:dyDescent="0.3">
      <c r="A129" s="50"/>
      <c r="B129" s="56"/>
      <c r="C129" s="52"/>
      <c r="D129" s="53"/>
      <c r="E129" s="53"/>
      <c r="F129" s="53"/>
      <c r="G129" s="53"/>
      <c r="H129" s="53"/>
      <c r="I129" s="53"/>
      <c r="J129" s="53"/>
      <c r="K129" s="53"/>
      <c r="L129" s="53"/>
    </row>
    <row r="130" spans="1:12" s="55" customFormat="1" x14ac:dyDescent="0.3">
      <c r="A130" s="50"/>
      <c r="B130" s="51"/>
      <c r="C130" s="52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s="55" customFormat="1" x14ac:dyDescent="0.3">
      <c r="A131" s="50"/>
      <c r="B131" s="51"/>
      <c r="C131" s="52"/>
      <c r="D131" s="53"/>
      <c r="E131" s="53"/>
      <c r="F131" s="53"/>
      <c r="G131" s="53"/>
      <c r="H131" s="53"/>
      <c r="I131" s="53"/>
      <c r="J131" s="53"/>
      <c r="K131" s="53"/>
      <c r="L131" s="53"/>
    </row>
    <row r="132" spans="1:12" s="55" customFormat="1" x14ac:dyDescent="0.3">
      <c r="A132" s="50"/>
      <c r="B132" s="51"/>
      <c r="C132" s="52"/>
      <c r="D132" s="53"/>
      <c r="E132" s="53"/>
      <c r="F132" s="53"/>
      <c r="G132" s="53"/>
      <c r="H132" s="53"/>
      <c r="I132" s="53"/>
      <c r="J132" s="53"/>
      <c r="K132" s="53"/>
      <c r="L132" s="53"/>
    </row>
    <row r="133" spans="1:12" s="55" customFormat="1" x14ac:dyDescent="0.3">
      <c r="A133" s="50"/>
      <c r="B133" s="51"/>
      <c r="C133" s="52"/>
      <c r="D133" s="53"/>
      <c r="E133" s="53"/>
      <c r="F133" s="53"/>
      <c r="G133" s="53"/>
      <c r="H133" s="53"/>
      <c r="I133" s="53"/>
      <c r="J133" s="53"/>
      <c r="K133" s="53"/>
      <c r="L133" s="53"/>
    </row>
    <row r="134" spans="1:12" s="55" customFormat="1" x14ac:dyDescent="0.3">
      <c r="A134" s="50"/>
      <c r="B134" s="51"/>
      <c r="C134" s="52"/>
      <c r="D134" s="53"/>
      <c r="E134" s="53"/>
      <c r="F134" s="53"/>
      <c r="G134" s="53"/>
      <c r="H134" s="53"/>
      <c r="I134" s="53"/>
      <c r="J134" s="53"/>
      <c r="K134" s="53"/>
      <c r="L134" s="53"/>
    </row>
    <row r="135" spans="1:12" s="55" customFormat="1" x14ac:dyDescent="0.3">
      <c r="A135" s="50"/>
      <c r="B135" s="51"/>
      <c r="C135" s="52"/>
      <c r="D135" s="53"/>
      <c r="E135" s="53"/>
      <c r="F135" s="53"/>
      <c r="G135" s="53"/>
      <c r="H135" s="53"/>
      <c r="I135" s="53"/>
      <c r="J135" s="53"/>
      <c r="K135" s="53"/>
      <c r="L135" s="53"/>
    </row>
    <row r="136" spans="1:12" s="55" customFormat="1" x14ac:dyDescent="0.3">
      <c r="A136" s="50"/>
      <c r="B136" s="51"/>
      <c r="C136" s="52"/>
      <c r="D136" s="53"/>
      <c r="E136" s="53"/>
      <c r="F136" s="53"/>
      <c r="G136" s="53"/>
      <c r="H136" s="53"/>
      <c r="I136" s="53"/>
      <c r="J136" s="53"/>
      <c r="K136" s="53"/>
      <c r="L136" s="53"/>
    </row>
    <row r="137" spans="1:12" s="55" customFormat="1" x14ac:dyDescent="0.3">
      <c r="A137" s="50"/>
      <c r="B137" s="51"/>
      <c r="C137" s="52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s="55" customFormat="1" x14ac:dyDescent="0.3">
      <c r="A138" s="50"/>
      <c r="B138" s="51"/>
      <c r="C138" s="52"/>
      <c r="D138" s="53"/>
      <c r="E138" s="53"/>
      <c r="F138" s="53"/>
      <c r="G138" s="53"/>
      <c r="H138" s="53"/>
      <c r="I138" s="53"/>
      <c r="J138" s="53"/>
      <c r="K138" s="53"/>
      <c r="L138" s="53"/>
    </row>
    <row r="139" spans="1:12" s="55" customFormat="1" x14ac:dyDescent="0.3">
      <c r="A139" s="50"/>
      <c r="B139" s="51"/>
      <c r="C139" s="52"/>
      <c r="D139" s="53"/>
      <c r="E139" s="53"/>
      <c r="F139" s="53"/>
      <c r="G139" s="53"/>
      <c r="H139" s="53"/>
      <c r="I139" s="53"/>
      <c r="J139" s="53"/>
      <c r="K139" s="53"/>
      <c r="L139" s="53"/>
    </row>
    <row r="140" spans="1:12" s="55" customFormat="1" x14ac:dyDescent="0.3">
      <c r="A140" s="50"/>
      <c r="B140" s="51"/>
      <c r="C140" s="52"/>
      <c r="D140" s="53"/>
      <c r="E140" s="53"/>
      <c r="F140" s="53"/>
      <c r="G140" s="53"/>
      <c r="H140" s="53"/>
      <c r="I140" s="53"/>
      <c r="J140" s="53"/>
      <c r="K140" s="53"/>
      <c r="L140" s="53"/>
    </row>
    <row r="141" spans="1:12" s="55" customFormat="1" x14ac:dyDescent="0.3">
      <c r="A141" s="50"/>
      <c r="B141" s="51"/>
      <c r="C141" s="52"/>
      <c r="D141" s="53"/>
      <c r="E141" s="53"/>
      <c r="F141" s="53"/>
      <c r="G141" s="53"/>
      <c r="H141" s="53"/>
      <c r="I141" s="53"/>
      <c r="J141" s="53"/>
      <c r="K141" s="53"/>
      <c r="L141" s="53"/>
    </row>
    <row r="142" spans="1:12" s="55" customFormat="1" x14ac:dyDescent="0.3">
      <c r="A142" s="50"/>
      <c r="B142" s="52"/>
      <c r="C142" s="52"/>
      <c r="D142" s="53"/>
      <c r="E142" s="53"/>
      <c r="F142" s="53"/>
      <c r="G142" s="53"/>
      <c r="H142" s="53"/>
      <c r="I142" s="53"/>
      <c r="J142" s="53"/>
      <c r="K142" s="53"/>
      <c r="L142" s="53"/>
    </row>
    <row r="143" spans="1:12" s="55" customFormat="1" x14ac:dyDescent="0.3">
      <c r="A143" s="50"/>
      <c r="B143" s="56"/>
      <c r="C143" s="52"/>
      <c r="D143" s="53"/>
      <c r="E143" s="53"/>
      <c r="F143" s="53"/>
      <c r="G143" s="53"/>
      <c r="H143" s="53"/>
      <c r="I143" s="53"/>
      <c r="J143" s="53"/>
      <c r="K143" s="53"/>
      <c r="L143" s="53"/>
    </row>
    <row r="144" spans="1:12" s="55" customFormat="1" x14ac:dyDescent="0.3">
      <c r="A144" s="50"/>
      <c r="B144" s="56"/>
      <c r="C144" s="52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1:12" s="55" customFormat="1" x14ac:dyDescent="0.3">
      <c r="A145" s="50"/>
      <c r="B145" s="56"/>
      <c r="C145" s="52"/>
      <c r="D145" s="53"/>
      <c r="E145" s="53"/>
      <c r="F145" s="53"/>
      <c r="G145" s="53"/>
      <c r="H145" s="53"/>
      <c r="I145" s="53"/>
      <c r="J145" s="53"/>
      <c r="K145" s="53"/>
      <c r="L145" s="53"/>
    </row>
    <row r="146" spans="1:12" s="55" customFormat="1" x14ac:dyDescent="0.3">
      <c r="A146" s="50"/>
      <c r="B146" s="56"/>
      <c r="C146" s="52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s="55" customFormat="1" x14ac:dyDescent="0.3">
      <c r="A147" s="50"/>
      <c r="B147" s="56"/>
      <c r="C147" s="52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1:12" s="55" customFormat="1" x14ac:dyDescent="0.3">
      <c r="A148" s="50"/>
      <c r="B148" s="56"/>
      <c r="C148" s="52"/>
      <c r="D148" s="53"/>
      <c r="E148" s="53"/>
      <c r="F148" s="53"/>
      <c r="G148" s="53"/>
      <c r="H148" s="53"/>
      <c r="I148" s="53"/>
      <c r="J148" s="53"/>
      <c r="K148" s="53"/>
      <c r="L148" s="53"/>
    </row>
    <row r="149" spans="1:12" s="55" customFormat="1" x14ac:dyDescent="0.3">
      <c r="A149" s="50"/>
      <c r="B149" s="56"/>
      <c r="C149" s="52"/>
      <c r="D149" s="53"/>
      <c r="E149" s="53"/>
      <c r="F149" s="53"/>
      <c r="G149" s="53"/>
      <c r="H149" s="53"/>
      <c r="I149" s="53"/>
      <c r="J149" s="53"/>
      <c r="K149" s="53"/>
      <c r="L149" s="53"/>
    </row>
    <row r="150" spans="1:12" s="55" customFormat="1" x14ac:dyDescent="0.3">
      <c r="A150" s="50"/>
      <c r="B150" s="56"/>
      <c r="C150" s="52"/>
      <c r="D150" s="53"/>
      <c r="E150" s="53"/>
      <c r="F150" s="53"/>
      <c r="G150" s="53"/>
      <c r="H150" s="53"/>
      <c r="I150" s="53"/>
      <c r="J150" s="53"/>
      <c r="K150" s="53"/>
      <c r="L150" s="53"/>
    </row>
    <row r="151" spans="1:12" s="55" customFormat="1" x14ac:dyDescent="0.3">
      <c r="A151" s="50"/>
      <c r="B151" s="56"/>
      <c r="C151" s="52"/>
      <c r="D151" s="53"/>
      <c r="E151" s="53"/>
      <c r="F151" s="53"/>
      <c r="G151" s="53"/>
      <c r="H151" s="53"/>
      <c r="I151" s="53"/>
      <c r="J151" s="53"/>
      <c r="K151" s="53"/>
      <c r="L151" s="53"/>
    </row>
    <row r="152" spans="1:12" s="55" customFormat="1" x14ac:dyDescent="0.3">
      <c r="A152" s="50"/>
      <c r="B152" s="56"/>
      <c r="C152" s="52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1:12" s="55" customFormat="1" x14ac:dyDescent="0.3">
      <c r="A153" s="50"/>
      <c r="B153" s="56"/>
      <c r="C153" s="52"/>
      <c r="D153" s="53"/>
      <c r="E153" s="53"/>
      <c r="F153" s="53"/>
      <c r="G153" s="53"/>
      <c r="H153" s="53"/>
      <c r="I153" s="53"/>
      <c r="J153" s="53"/>
      <c r="K153" s="53"/>
      <c r="L153" s="53"/>
    </row>
    <row r="154" spans="1:12" s="55" customFormat="1" x14ac:dyDescent="0.3">
      <c r="A154" s="50"/>
      <c r="B154" s="56"/>
      <c r="C154" s="52"/>
      <c r="D154" s="53"/>
      <c r="E154" s="53"/>
      <c r="F154" s="53"/>
      <c r="G154" s="53"/>
      <c r="H154" s="53"/>
      <c r="I154" s="53"/>
      <c r="J154" s="53"/>
      <c r="K154" s="53"/>
      <c r="L154" s="53"/>
    </row>
    <row r="155" spans="1:12" s="55" customFormat="1" x14ac:dyDescent="0.3">
      <c r="A155" s="50"/>
      <c r="B155" s="56"/>
      <c r="C155" s="52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1:12" s="55" customFormat="1" x14ac:dyDescent="0.3">
      <c r="A156" s="50"/>
      <c r="B156" s="56"/>
      <c r="C156" s="52"/>
      <c r="D156" s="53"/>
      <c r="E156" s="53"/>
      <c r="F156" s="53"/>
      <c r="G156" s="53"/>
      <c r="H156" s="53"/>
      <c r="I156" s="53"/>
      <c r="J156" s="53"/>
      <c r="K156" s="53"/>
      <c r="L156" s="53"/>
    </row>
    <row r="157" spans="1:12" s="55" customFormat="1" x14ac:dyDescent="0.3">
      <c r="A157" s="50"/>
      <c r="B157" s="56"/>
      <c r="C157" s="52"/>
      <c r="D157" s="53"/>
      <c r="E157" s="53"/>
      <c r="F157" s="53"/>
      <c r="G157" s="53"/>
      <c r="H157" s="53"/>
      <c r="I157" s="53"/>
      <c r="J157" s="53"/>
      <c r="K157" s="53"/>
      <c r="L157" s="53"/>
    </row>
    <row r="158" spans="1:12" s="55" customFormat="1" x14ac:dyDescent="0.3">
      <c r="A158" s="50"/>
      <c r="B158" s="56"/>
      <c r="C158" s="52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12" s="55" customFormat="1" x14ac:dyDescent="0.3">
      <c r="A159" s="50"/>
      <c r="B159" s="56"/>
      <c r="C159" s="52"/>
      <c r="D159" s="53"/>
      <c r="E159" s="53"/>
      <c r="F159" s="53"/>
      <c r="G159" s="53"/>
      <c r="H159" s="53"/>
      <c r="I159" s="53"/>
      <c r="J159" s="53"/>
      <c r="K159" s="53"/>
      <c r="L159" s="53"/>
    </row>
    <row r="160" spans="1:12" s="55" customFormat="1" x14ac:dyDescent="0.3">
      <c r="A160" s="50"/>
      <c r="B160" s="56"/>
      <c r="C160" s="52"/>
      <c r="D160" s="53"/>
      <c r="E160" s="53"/>
      <c r="F160" s="53"/>
      <c r="G160" s="53"/>
      <c r="H160" s="53"/>
      <c r="I160" s="53"/>
      <c r="J160" s="53"/>
      <c r="K160" s="53"/>
      <c r="L160" s="53"/>
    </row>
    <row r="161" spans="1:12" s="55" customFormat="1" x14ac:dyDescent="0.3">
      <c r="A161" s="50"/>
      <c r="B161" s="56"/>
      <c r="C161" s="52"/>
      <c r="D161" s="53"/>
      <c r="E161" s="53"/>
      <c r="F161" s="53"/>
      <c r="G161" s="53"/>
      <c r="H161" s="53"/>
      <c r="I161" s="53"/>
      <c r="J161" s="53"/>
      <c r="K161" s="53"/>
      <c r="L161" s="53"/>
    </row>
    <row r="162" spans="1:12" s="55" customFormat="1" x14ac:dyDescent="0.3">
      <c r="A162" s="50"/>
      <c r="B162" s="56"/>
      <c r="C162" s="52"/>
      <c r="D162" s="53"/>
      <c r="E162" s="53"/>
      <c r="F162" s="53"/>
      <c r="G162" s="53"/>
      <c r="H162" s="53"/>
      <c r="I162" s="53"/>
      <c r="J162" s="53"/>
      <c r="K162" s="53"/>
      <c r="L162" s="53"/>
    </row>
    <row r="163" spans="1:12" s="55" customFormat="1" x14ac:dyDescent="0.3">
      <c r="A163" s="50"/>
      <c r="B163" s="56"/>
      <c r="C163" s="52"/>
      <c r="D163" s="53"/>
      <c r="E163" s="53"/>
      <c r="F163" s="53"/>
      <c r="G163" s="53"/>
      <c r="H163" s="53"/>
      <c r="I163" s="53"/>
      <c r="J163" s="53"/>
      <c r="K163" s="53"/>
      <c r="L163" s="53"/>
    </row>
    <row r="164" spans="1:12" s="55" customFormat="1" x14ac:dyDescent="0.3">
      <c r="A164" s="50"/>
      <c r="B164" s="56"/>
      <c r="C164" s="52"/>
      <c r="D164" s="53"/>
      <c r="E164" s="53"/>
      <c r="F164" s="53"/>
      <c r="G164" s="53"/>
      <c r="H164" s="53"/>
      <c r="I164" s="53"/>
      <c r="J164" s="53"/>
      <c r="K164" s="53"/>
      <c r="L164" s="53"/>
    </row>
    <row r="165" spans="1:12" s="55" customFormat="1" x14ac:dyDescent="0.3">
      <c r="A165" s="50"/>
      <c r="B165" s="56"/>
      <c r="C165" s="52"/>
      <c r="D165" s="53"/>
      <c r="E165" s="53"/>
      <c r="F165" s="53"/>
      <c r="G165" s="53"/>
      <c r="H165" s="53"/>
      <c r="I165" s="53"/>
      <c r="J165" s="53"/>
      <c r="K165" s="53"/>
      <c r="L165" s="53"/>
    </row>
    <row r="166" spans="1:12" s="55" customFormat="1" x14ac:dyDescent="0.3">
      <c r="A166" s="50"/>
      <c r="B166" s="56"/>
      <c r="C166" s="52"/>
      <c r="D166" s="53"/>
      <c r="E166" s="53"/>
      <c r="F166" s="53"/>
      <c r="G166" s="53"/>
      <c r="H166" s="53"/>
      <c r="I166" s="53"/>
      <c r="J166" s="53"/>
      <c r="K166" s="53"/>
      <c r="L166" s="53"/>
    </row>
    <row r="167" spans="1:12" s="55" customFormat="1" x14ac:dyDescent="0.3">
      <c r="A167" s="50"/>
      <c r="B167" s="56"/>
      <c r="C167" s="52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2" s="55" customFormat="1" x14ac:dyDescent="0.3">
      <c r="A168" s="50"/>
      <c r="B168" s="56"/>
      <c r="C168" s="52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1:12" s="55" customFormat="1" x14ac:dyDescent="0.3">
      <c r="A169" s="50"/>
      <c r="B169" s="56"/>
      <c r="C169" s="52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 s="55" customFormat="1" x14ac:dyDescent="0.3">
      <c r="A170" s="50"/>
      <c r="B170" s="56"/>
      <c r="C170" s="52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 s="55" customFormat="1" x14ac:dyDescent="0.3">
      <c r="A171" s="50"/>
      <c r="B171" s="56"/>
      <c r="C171" s="52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 s="55" customFormat="1" x14ac:dyDescent="0.3">
      <c r="A172" s="50"/>
      <c r="B172" s="56"/>
      <c r="C172" s="52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 s="55" customFormat="1" x14ac:dyDescent="0.3">
      <c r="A173" s="50"/>
      <c r="B173" s="56"/>
      <c r="C173" s="52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 s="55" customFormat="1" x14ac:dyDescent="0.3">
      <c r="A174" s="50"/>
      <c r="B174" s="56"/>
      <c r="C174" s="52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 s="55" customFormat="1" x14ac:dyDescent="0.3">
      <c r="A175" s="50"/>
      <c r="B175" s="56"/>
      <c r="C175" s="52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 s="55" customFormat="1" x14ac:dyDescent="0.3">
      <c r="A176" s="50"/>
      <c r="B176" s="56"/>
      <c r="C176" s="52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 s="55" customFormat="1" x14ac:dyDescent="0.3">
      <c r="A177" s="50"/>
      <c r="B177" s="56"/>
      <c r="C177" s="52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 s="55" customFormat="1" x14ac:dyDescent="0.3">
      <c r="A178" s="50"/>
      <c r="B178" s="56"/>
      <c r="C178" s="52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 s="55" customFormat="1" x14ac:dyDescent="0.3">
      <c r="A179" s="50"/>
      <c r="B179" s="56"/>
      <c r="C179" s="52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 s="55" customFormat="1" x14ac:dyDescent="0.3">
      <c r="A180" s="50"/>
      <c r="B180" s="56"/>
      <c r="C180" s="52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 s="55" customFormat="1" x14ac:dyDescent="0.3">
      <c r="A181" s="50"/>
      <c r="B181" s="56"/>
      <c r="C181" s="52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 s="55" customFormat="1" x14ac:dyDescent="0.3">
      <c r="A182" s="50"/>
      <c r="B182" s="56"/>
      <c r="C182" s="52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 s="55" customFormat="1" x14ac:dyDescent="0.3">
      <c r="A183" s="50"/>
      <c r="B183" s="56"/>
      <c r="C183" s="52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 s="55" customFormat="1" x14ac:dyDescent="0.3">
      <c r="A184" s="50"/>
      <c r="B184" s="56"/>
      <c r="C184" s="52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 s="55" customFormat="1" x14ac:dyDescent="0.3">
      <c r="A185" s="50"/>
      <c r="B185" s="56"/>
      <c r="C185" s="52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 s="55" customFormat="1" x14ac:dyDescent="0.3">
      <c r="A186" s="50"/>
      <c r="B186" s="56"/>
      <c r="C186" s="52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 s="55" customFormat="1" x14ac:dyDescent="0.3">
      <c r="A187" s="50"/>
      <c r="B187" s="56"/>
      <c r="C187" s="52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 s="55" customFormat="1" x14ac:dyDescent="0.3">
      <c r="A188" s="50"/>
      <c r="B188" s="56"/>
      <c r="C188" s="52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 s="55" customFormat="1" x14ac:dyDescent="0.3">
      <c r="A189" s="50"/>
      <c r="B189" s="56"/>
      <c r="C189" s="52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 s="55" customFormat="1" x14ac:dyDescent="0.3">
      <c r="A190" s="50"/>
      <c r="B190" s="51"/>
      <c r="C190" s="52"/>
      <c r="D190" s="53"/>
      <c r="E190" s="53"/>
      <c r="F190" s="53"/>
      <c r="G190" s="53"/>
      <c r="H190" s="53"/>
      <c r="I190" s="53"/>
      <c r="J190" s="53"/>
      <c r="K190" s="53"/>
      <c r="L190" s="53"/>
    </row>
    <row r="191" spans="1:12" s="55" customFormat="1" x14ac:dyDescent="0.3">
      <c r="A191" s="50"/>
      <c r="B191" s="51"/>
      <c r="C191" s="52"/>
      <c r="D191" s="53"/>
      <c r="E191" s="53"/>
      <c r="F191" s="53"/>
      <c r="G191" s="53"/>
      <c r="H191" s="53"/>
      <c r="I191" s="53"/>
      <c r="J191" s="53"/>
      <c r="K191" s="53"/>
      <c r="L191" s="53"/>
    </row>
    <row r="192" spans="1:12" s="55" customFormat="1" x14ac:dyDescent="0.3">
      <c r="A192" s="57"/>
      <c r="B192" s="131"/>
      <c r="C192" s="131"/>
      <c r="D192" s="53"/>
      <c r="E192" s="53"/>
      <c r="F192" s="53"/>
      <c r="G192" s="53"/>
      <c r="H192" s="53"/>
      <c r="I192" s="53"/>
      <c r="J192" s="53"/>
      <c r="K192" s="53"/>
      <c r="L192" s="53"/>
    </row>
    <row r="193" spans="1:12" s="55" customFormat="1" ht="15.6" customHeight="1" x14ac:dyDescent="0.3">
      <c r="A193" s="57"/>
      <c r="B193" s="131"/>
      <c r="C193" s="131"/>
      <c r="D193" s="53"/>
      <c r="E193" s="53"/>
      <c r="F193" s="53"/>
      <c r="G193" s="53"/>
      <c r="H193" s="53"/>
      <c r="I193" s="53"/>
      <c r="J193" s="53"/>
      <c r="K193" s="53"/>
      <c r="L193" s="53"/>
    </row>
    <row r="194" spans="1:12" s="55" customFormat="1" ht="15.6" customHeight="1" x14ac:dyDescent="0.3">
      <c r="A194" s="57"/>
      <c r="B194" s="131"/>
      <c r="C194" s="117"/>
      <c r="D194" s="53"/>
      <c r="E194" s="53"/>
      <c r="F194" s="53"/>
      <c r="G194" s="53"/>
      <c r="H194" s="53"/>
      <c r="I194" s="53"/>
      <c r="J194" s="53"/>
      <c r="K194" s="53"/>
      <c r="L194" s="53"/>
    </row>
    <row r="233" spans="14:14" x14ac:dyDescent="0.3">
      <c r="N233" s="127"/>
    </row>
    <row r="234" spans="14:14" x14ac:dyDescent="0.3">
      <c r="N234" s="127"/>
    </row>
    <row r="235" spans="14:14" x14ac:dyDescent="0.3">
      <c r="N235" s="127"/>
    </row>
    <row r="236" spans="14:14" x14ac:dyDescent="0.3">
      <c r="N236" s="127"/>
    </row>
    <row r="241" ht="16.5" customHeight="1" x14ac:dyDescent="0.3"/>
    <row r="316" spans="1:1" x14ac:dyDescent="0.3">
      <c r="A316" s="57"/>
    </row>
  </sheetData>
  <mergeCells count="2">
    <mergeCell ref="J118:K118"/>
    <mergeCell ref="J119:K119"/>
  </mergeCells>
  <pageMargins left="0.70866141732283472" right="0.70866141732283472" top="0.74803149606299213" bottom="0.74803149606299213" header="0.31496062992125984" footer="0.31496062992125984"/>
  <pageSetup paperSize="5" scale="37" fitToHeight="0" orientation="landscape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80" zoomScale="70" zoomScaleNormal="70" workbookViewId="0">
      <selection activeCell="C140" sqref="C140"/>
    </sheetView>
  </sheetViews>
  <sheetFormatPr defaultRowHeight="14.4" x14ac:dyDescent="0.3"/>
  <cols>
    <col min="1" max="1" width="3.33203125" bestFit="1" customWidth="1"/>
    <col min="2" max="2" width="19.88671875" customWidth="1"/>
    <col min="3" max="3" width="71.6640625" customWidth="1"/>
    <col min="4" max="4" width="16" customWidth="1"/>
    <col min="5" max="5" width="16.88671875" customWidth="1"/>
    <col min="6" max="6" width="25.88671875" bestFit="1" customWidth="1"/>
    <col min="7" max="7" width="16.33203125" customWidth="1"/>
    <col min="8" max="8" width="16.109375" customWidth="1"/>
    <col min="9" max="9" width="15.5546875" customWidth="1"/>
    <col min="10" max="10" width="18.88671875" customWidth="1"/>
    <col min="11" max="11" width="19.33203125" customWidth="1"/>
    <col min="12" max="12" width="17" customWidth="1"/>
  </cols>
  <sheetData>
    <row r="1" spans="1:10" s="55" customFormat="1" ht="15.6" customHeight="1" x14ac:dyDescent="0.3"/>
    <row r="2" spans="1:10" s="55" customFormat="1" ht="46.8" x14ac:dyDescent="0.3">
      <c r="A2" s="53"/>
      <c r="B2" s="58"/>
      <c r="C2" s="58" t="s">
        <v>78</v>
      </c>
      <c r="D2" s="58" t="s">
        <v>64</v>
      </c>
      <c r="E2" s="58" t="s">
        <v>75</v>
      </c>
      <c r="F2" s="58" t="s">
        <v>169</v>
      </c>
      <c r="G2" s="58" t="s">
        <v>95</v>
      </c>
      <c r="H2" s="58" t="s">
        <v>170</v>
      </c>
      <c r="I2" s="58" t="s">
        <v>100</v>
      </c>
      <c r="J2" s="58" t="s">
        <v>76</v>
      </c>
    </row>
    <row r="3" spans="1:10" s="55" customFormat="1" ht="15.6" x14ac:dyDescent="0.3">
      <c r="A3" s="53"/>
      <c r="B3" s="59" t="s">
        <v>48</v>
      </c>
      <c r="C3" s="60" t="s">
        <v>29</v>
      </c>
      <c r="D3" s="61">
        <v>30</v>
      </c>
      <c r="E3" s="49">
        <f>(1-'A-3-A-48 Table 17'!Q3)*'A-3-A-48 Table 17'!R3*(IF('A-3-A-48 Table 17'!P3="baseload",VLOOKUP('A-3-A-48 Table 17'!O3,'2015 Avoided Costs'!$B$9:$N$38,7)*'A-3-A-48 Table 17'!S3,VLOOKUP('A-3-A-48 Table 17'!O3,'2015 Avoided Costs'!$B$9:$N$38,9)*'A-3-A-48 Table 17'!S3))</f>
        <v>1863.4759389999999</v>
      </c>
      <c r="F3" s="49">
        <f>E3*'A-3-A-48 Table 17'!D3</f>
        <v>55904.278169999998</v>
      </c>
      <c r="G3" s="49">
        <v>600</v>
      </c>
      <c r="H3" s="49">
        <f>'A-3-A-48 Table 17'!D3*G3</f>
        <v>18000</v>
      </c>
      <c r="I3" s="49">
        <f t="shared" ref="I3:I34" si="0">F3-H3</f>
        <v>37904.278169999998</v>
      </c>
      <c r="J3" s="62">
        <f t="shared" ref="J3:J34" si="1">F3/H3</f>
        <v>3.1057932316666665</v>
      </c>
    </row>
    <row r="4" spans="1:10" s="55" customFormat="1" ht="15.6" x14ac:dyDescent="0.3">
      <c r="A4" s="53"/>
      <c r="B4" s="59" t="s">
        <v>48</v>
      </c>
      <c r="C4" s="60" t="s">
        <v>30</v>
      </c>
      <c r="D4" s="61">
        <v>8</v>
      </c>
      <c r="E4" s="49">
        <f>(1-'A-3-A-48 Table 17'!Q4)*'A-3-A-48 Table 17'!R4*(IF('A-3-A-48 Table 17'!P4="baseload",VLOOKUP('A-3-A-48 Table 17'!O4,'2015 Avoided Costs'!$B$9:$N$38,7)*'A-3-A-48 Table 17'!S4,VLOOKUP('A-3-A-48 Table 17'!O4,'2015 Avoided Costs'!$B$9:$N$38,9)*'A-3-A-48 Table 17'!S4))</f>
        <v>4271.746192999999</v>
      </c>
      <c r="F4" s="49">
        <f>E4*'A-3-A-48 Table 17'!D4</f>
        <v>34173.969543999992</v>
      </c>
      <c r="G4" s="49">
        <v>1000</v>
      </c>
      <c r="H4" s="49">
        <f>'A-3-A-48 Table 17'!D4*G4</f>
        <v>8000</v>
      </c>
      <c r="I4" s="49">
        <f t="shared" si="0"/>
        <v>26173.969543999992</v>
      </c>
      <c r="J4" s="62">
        <f t="shared" si="1"/>
        <v>4.2717461929999994</v>
      </c>
    </row>
    <row r="5" spans="1:10" s="55" customFormat="1" ht="15.6" x14ac:dyDescent="0.3">
      <c r="A5" s="53"/>
      <c r="B5" s="59" t="s">
        <v>49</v>
      </c>
      <c r="C5" s="60" t="s">
        <v>31</v>
      </c>
      <c r="D5" s="61">
        <v>13</v>
      </c>
      <c r="E5" s="49">
        <f>(1-'A-3-A-48 Table 17'!Q5)*'A-3-A-48 Table 17'!R5*(IF('A-3-A-48 Table 17'!P5="baseload",VLOOKUP('A-3-A-48 Table 17'!O5,'2015 Avoided Costs'!$B$9:$N$38,7)*'A-3-A-48 Table 17'!S5,VLOOKUP('A-3-A-48 Table 17'!O5,'2015 Avoided Costs'!$B$9:$N$38,9)*'A-3-A-48 Table 17'!S5))</f>
        <v>57566.599284999997</v>
      </c>
      <c r="F5" s="49">
        <f>E5*'A-3-A-48 Table 17'!D5</f>
        <v>748365.79070499993</v>
      </c>
      <c r="G5" s="49">
        <v>3500</v>
      </c>
      <c r="H5" s="49">
        <f>'A-3-A-48 Table 17'!D5*G5</f>
        <v>45500</v>
      </c>
      <c r="I5" s="49">
        <f t="shared" si="0"/>
        <v>702865.79070499993</v>
      </c>
      <c r="J5" s="62">
        <f t="shared" si="1"/>
        <v>16.447599795714286</v>
      </c>
    </row>
    <row r="6" spans="1:10" s="55" customFormat="1" ht="15.6" x14ac:dyDescent="0.3">
      <c r="A6" s="53"/>
      <c r="B6" s="59" t="s">
        <v>49</v>
      </c>
      <c r="C6" s="60" t="s">
        <v>32</v>
      </c>
      <c r="D6" s="61">
        <v>1</v>
      </c>
      <c r="E6" s="49">
        <f>(1-'A-3-A-48 Table 17'!Q6)*'A-3-A-48 Table 17'!R6*(IF('A-3-A-48 Table 17'!P6="baseload",VLOOKUP('A-3-A-48 Table 17'!O6,'2015 Avoided Costs'!$B$9:$N$38,7)*'A-3-A-48 Table 17'!S6,VLOOKUP('A-3-A-48 Table 17'!O6,'2015 Avoided Costs'!$B$9:$N$38,9)*'A-3-A-48 Table 17'!S6))</f>
        <v>26421.127368999998</v>
      </c>
      <c r="F6" s="49">
        <f>E6*'A-3-A-48 Table 17'!D6</f>
        <v>26421.127368999998</v>
      </c>
      <c r="G6" s="49">
        <v>3000</v>
      </c>
      <c r="H6" s="49">
        <f>'A-3-A-48 Table 17'!D6*G6</f>
        <v>3000</v>
      </c>
      <c r="I6" s="49">
        <f t="shared" si="0"/>
        <v>23421.127368999998</v>
      </c>
      <c r="J6" s="62">
        <f t="shared" si="1"/>
        <v>8.8070424563333329</v>
      </c>
    </row>
    <row r="7" spans="1:10" s="55" customFormat="1" ht="15.6" x14ac:dyDescent="0.3">
      <c r="A7" s="53"/>
      <c r="B7" s="59" t="s">
        <v>49</v>
      </c>
      <c r="C7" s="60" t="s">
        <v>33</v>
      </c>
      <c r="D7" s="61">
        <v>3</v>
      </c>
      <c r="E7" s="49">
        <f>(1-'A-3-A-48 Table 17'!Q7)*'A-3-A-48 Table 17'!R7*(IF('A-3-A-48 Table 17'!P7="baseload",VLOOKUP('A-3-A-48 Table 17'!O7,'2015 Avoided Costs'!$B$9:$N$38,7)*'A-3-A-48 Table 17'!S7,VLOOKUP('A-3-A-48 Table 17'!O7,'2015 Avoided Costs'!$B$9:$N$38,9)*'A-3-A-48 Table 17'!S7))</f>
        <v>21135.225604999996</v>
      </c>
      <c r="F7" s="49">
        <f>E7*'A-3-A-48 Table 17'!D7</f>
        <v>63405.676814999984</v>
      </c>
      <c r="G7" s="49">
        <v>3000</v>
      </c>
      <c r="H7" s="49">
        <f>'A-3-A-48 Table 17'!D7*G7</f>
        <v>9000</v>
      </c>
      <c r="I7" s="49">
        <f t="shared" si="0"/>
        <v>54405.676814999984</v>
      </c>
      <c r="J7" s="62">
        <f t="shared" si="1"/>
        <v>7.0450752016666653</v>
      </c>
    </row>
    <row r="8" spans="1:10" s="55" customFormat="1" ht="15.6" x14ac:dyDescent="0.3">
      <c r="A8" s="53"/>
      <c r="B8" s="59" t="s">
        <v>50</v>
      </c>
      <c r="C8" s="60" t="s">
        <v>105</v>
      </c>
      <c r="D8" s="61">
        <v>135</v>
      </c>
      <c r="E8" s="49">
        <f>(1-'A-3-A-48 Table 17'!Q8)*'A-3-A-48 Table 17'!R8*(IF('A-3-A-48 Table 17'!P8="baseload",VLOOKUP('A-3-A-48 Table 17'!O8,'2015 Avoided Costs'!$B$9:$N$38,7)*'A-3-A-48 Table 17'!S8,VLOOKUP('A-3-A-48 Table 17'!O8,'2015 Avoided Costs'!$B$9:$N$38,9)*'A-3-A-48 Table 17'!S8))</f>
        <v>83278.860082937987</v>
      </c>
      <c r="F8" s="49">
        <f>E8*'A-3-A-48 Table 17'!D8</f>
        <v>11242646.111196628</v>
      </c>
      <c r="G8" s="49">
        <v>4500</v>
      </c>
      <c r="H8" s="49">
        <f>'A-3-A-48 Table 17'!D8*G8</f>
        <v>607500</v>
      </c>
      <c r="I8" s="49">
        <f t="shared" si="0"/>
        <v>10635146.111196628</v>
      </c>
      <c r="J8" s="62">
        <f t="shared" si="1"/>
        <v>18.506413351763996</v>
      </c>
    </row>
    <row r="9" spans="1:10" s="55" customFormat="1" ht="15.6" x14ac:dyDescent="0.3">
      <c r="A9" s="53"/>
      <c r="B9" s="59" t="s">
        <v>50</v>
      </c>
      <c r="C9" s="60" t="s">
        <v>106</v>
      </c>
      <c r="D9" s="61">
        <v>245</v>
      </c>
      <c r="E9" s="49">
        <f>(1-'A-3-A-48 Table 17'!Q9)*'A-3-A-48 Table 17'!R9*(IF('A-3-A-48 Table 17'!P9="baseload",VLOOKUP('A-3-A-48 Table 17'!O9,'2015 Avoided Costs'!$B$9:$N$38,7)*'A-3-A-48 Table 17'!S9,VLOOKUP('A-3-A-48 Table 17'!O9,'2015 Avoided Costs'!$B$9:$N$38,9)*'A-3-A-48 Table 17'!S9))</f>
        <v>23434.800698139996</v>
      </c>
      <c r="F9" s="49">
        <f>E9*'A-3-A-48 Table 17'!D9</f>
        <v>5741526.1710442994</v>
      </c>
      <c r="G9" s="49">
        <v>1500</v>
      </c>
      <c r="H9" s="49">
        <f>'A-3-A-48 Table 17'!D9*G9</f>
        <v>367500</v>
      </c>
      <c r="I9" s="49">
        <f t="shared" si="0"/>
        <v>5374026.1710442994</v>
      </c>
      <c r="J9" s="62">
        <f t="shared" si="1"/>
        <v>15.623200465426665</v>
      </c>
    </row>
    <row r="10" spans="1:10" s="55" customFormat="1" ht="15.6" x14ac:dyDescent="0.3">
      <c r="A10" s="53"/>
      <c r="B10" s="59" t="s">
        <v>51</v>
      </c>
      <c r="C10" s="60" t="s">
        <v>107</v>
      </c>
      <c r="D10" s="61">
        <v>32</v>
      </c>
      <c r="E10" s="49">
        <f>(1-'A-3-A-48 Table 17'!Q10)*'A-3-A-48 Table 17'!R10*(IF('A-3-A-48 Table 17'!P10="baseload",VLOOKUP('A-3-A-48 Table 17'!O10,'2015 Avoided Costs'!$B$9:$N$38,7)*'A-3-A-48 Table 17'!S10,VLOOKUP('A-3-A-48 Table 17'!O10,'2015 Avoided Costs'!$B$9:$N$38,9)*'A-3-A-48 Table 17'!S10))</f>
        <v>12052.732565060973</v>
      </c>
      <c r="F10" s="49">
        <f>E10*'A-3-A-48 Table 17'!D10</f>
        <v>385687.44208195113</v>
      </c>
      <c r="G10" s="49">
        <v>600</v>
      </c>
      <c r="H10" s="49">
        <f>'A-3-A-48 Table 17'!D10*G10</f>
        <v>19200</v>
      </c>
      <c r="I10" s="49">
        <f t="shared" si="0"/>
        <v>366487.44208195113</v>
      </c>
      <c r="J10" s="62">
        <f t="shared" si="1"/>
        <v>20.087887608434954</v>
      </c>
    </row>
    <row r="11" spans="1:10" s="55" customFormat="1" ht="31.2" x14ac:dyDescent="0.3">
      <c r="A11" s="53"/>
      <c r="B11" s="59" t="s">
        <v>52</v>
      </c>
      <c r="C11" s="60" t="s">
        <v>108</v>
      </c>
      <c r="D11" s="61">
        <v>100</v>
      </c>
      <c r="E11" s="49">
        <f>(1-'A-3-A-48 Table 17'!Q11)*'A-3-A-48 Table 17'!R11*(IF('A-3-A-48 Table 17'!P11="baseload",VLOOKUP('A-3-A-48 Table 17'!O11,'2015 Avoided Costs'!$B$9:$N$38,7)*'A-3-A-48 Table 17'!S11,VLOOKUP('A-3-A-48 Table 17'!O11,'2015 Avoided Costs'!$B$9:$N$38,9)*'A-3-A-48 Table 17'!S11))</f>
        <v>11777.377384352023</v>
      </c>
      <c r="F11" s="49">
        <f>E11*'A-3-A-48 Table 17'!D11</f>
        <v>1177737.7384352023</v>
      </c>
      <c r="G11" s="49">
        <v>600</v>
      </c>
      <c r="H11" s="49">
        <f>'A-3-A-48 Table 17'!D11*G11</f>
        <v>60000</v>
      </c>
      <c r="I11" s="49">
        <f t="shared" si="0"/>
        <v>1117737.7384352023</v>
      </c>
      <c r="J11" s="62">
        <f t="shared" si="1"/>
        <v>19.628962307253371</v>
      </c>
    </row>
    <row r="12" spans="1:10" s="55" customFormat="1" ht="31.2" x14ac:dyDescent="0.3">
      <c r="A12" s="53"/>
      <c r="B12" s="59" t="s">
        <v>50</v>
      </c>
      <c r="C12" s="60" t="s">
        <v>109</v>
      </c>
      <c r="D12" s="61">
        <v>7</v>
      </c>
      <c r="E12" s="49">
        <f>(1-'A-3-A-48 Table 17'!Q12)*'A-3-A-48 Table 17'!R12*(IF('A-3-A-48 Table 17'!P12="baseload",VLOOKUP('A-3-A-48 Table 17'!O12,'2015 Avoided Costs'!$B$9:$N$38,7)*'A-3-A-48 Table 17'!S12,VLOOKUP('A-3-A-48 Table 17'!O12,'2015 Avoided Costs'!$B$9:$N$38,9)*'A-3-A-48 Table 17'!S12))</f>
        <v>35040.692049999998</v>
      </c>
      <c r="F12" s="49">
        <f>E12*'A-3-A-48 Table 17'!D12</f>
        <v>245284.84434999997</v>
      </c>
      <c r="G12" s="49">
        <v>4500</v>
      </c>
      <c r="H12" s="49">
        <f>'A-3-A-48 Table 17'!D12*G12</f>
        <v>31500</v>
      </c>
      <c r="I12" s="49">
        <f t="shared" si="0"/>
        <v>213784.84434999997</v>
      </c>
      <c r="J12" s="62">
        <f t="shared" si="1"/>
        <v>7.7868204555555547</v>
      </c>
    </row>
    <row r="13" spans="1:10" s="55" customFormat="1" ht="31.2" x14ac:dyDescent="0.3">
      <c r="A13" s="53"/>
      <c r="B13" s="59" t="s">
        <v>50</v>
      </c>
      <c r="C13" s="60" t="s">
        <v>110</v>
      </c>
      <c r="D13" s="61">
        <v>25</v>
      </c>
      <c r="E13" s="49">
        <f>(1-'A-3-A-48 Table 17'!Q13)*'A-3-A-48 Table 17'!R13*(IF('A-3-A-48 Table 17'!P13="baseload",VLOOKUP('A-3-A-48 Table 17'!O13,'2015 Avoided Costs'!$B$9:$N$38,7)*'A-3-A-48 Table 17'!S13,VLOOKUP('A-3-A-48 Table 17'!O13,'2015 Avoided Costs'!$B$9:$N$38,9)*'A-3-A-48 Table 17'!S13))</f>
        <v>13967.510841224846</v>
      </c>
      <c r="F13" s="49">
        <f>E13*'A-3-A-48 Table 17'!D13</f>
        <v>349187.77103062114</v>
      </c>
      <c r="G13" s="49">
        <v>1500</v>
      </c>
      <c r="H13" s="49">
        <f>'A-3-A-48 Table 17'!D13*G13</f>
        <v>37500</v>
      </c>
      <c r="I13" s="49">
        <f t="shared" si="0"/>
        <v>311687.77103062114</v>
      </c>
      <c r="J13" s="62">
        <f t="shared" si="1"/>
        <v>9.3116738941498962</v>
      </c>
    </row>
    <row r="14" spans="1:10" s="55" customFormat="1" ht="15.6" x14ac:dyDescent="0.3">
      <c r="A14" s="53"/>
      <c r="B14" s="59" t="s">
        <v>51</v>
      </c>
      <c r="C14" s="60" t="s">
        <v>111</v>
      </c>
      <c r="D14" s="61">
        <v>4</v>
      </c>
      <c r="E14" s="49">
        <f>(1-'A-3-A-48 Table 17'!Q14)*'A-3-A-48 Table 17'!R14*(IF('A-3-A-48 Table 17'!P14="baseload",VLOOKUP('A-3-A-48 Table 17'!O14,'2015 Avoided Costs'!$B$9:$N$38,7)*'A-3-A-48 Table 17'!S14,VLOOKUP('A-3-A-48 Table 17'!O14,'2015 Avoided Costs'!$B$9:$N$38,9)*'A-3-A-48 Table 17'!S14))</f>
        <v>8697.0562379999992</v>
      </c>
      <c r="F14" s="49">
        <f>E14*'A-3-A-48 Table 17'!D14</f>
        <v>34788.224951999997</v>
      </c>
      <c r="G14" s="49">
        <v>600</v>
      </c>
      <c r="H14" s="49">
        <f>'A-3-A-48 Table 17'!D14*G14</f>
        <v>2400</v>
      </c>
      <c r="I14" s="49">
        <f t="shared" si="0"/>
        <v>32388.224951999997</v>
      </c>
      <c r="J14" s="62">
        <f t="shared" si="1"/>
        <v>14.495093729999999</v>
      </c>
    </row>
    <row r="15" spans="1:10" s="55" customFormat="1" ht="31.2" x14ac:dyDescent="0.3">
      <c r="A15" s="53"/>
      <c r="B15" s="59" t="s">
        <v>52</v>
      </c>
      <c r="C15" s="60" t="s">
        <v>112</v>
      </c>
      <c r="D15" s="61">
        <v>12</v>
      </c>
      <c r="E15" s="49">
        <f>(1-'A-3-A-48 Table 17'!Q15)*'A-3-A-48 Table 17'!R15*(IF('A-3-A-48 Table 17'!P15="baseload",VLOOKUP('A-3-A-48 Table 17'!O15,'2015 Avoided Costs'!$B$9:$N$38,7)*'A-3-A-48 Table 17'!S15,VLOOKUP('A-3-A-48 Table 17'!O15,'2015 Avoided Costs'!$B$9:$N$38,9)*'A-3-A-48 Table 17'!S15))</f>
        <v>11567.032561967999</v>
      </c>
      <c r="F15" s="49">
        <f>E15*'A-3-A-48 Table 17'!D15</f>
        <v>138804.39074361598</v>
      </c>
      <c r="G15" s="49">
        <v>600</v>
      </c>
      <c r="H15" s="49">
        <f>'A-3-A-48 Table 17'!D15*G15</f>
        <v>7200</v>
      </c>
      <c r="I15" s="49">
        <f t="shared" si="0"/>
        <v>131604.39074361598</v>
      </c>
      <c r="J15" s="62">
        <f t="shared" si="1"/>
        <v>19.278387603279999</v>
      </c>
    </row>
    <row r="16" spans="1:10" s="55" customFormat="1" ht="15.6" x14ac:dyDescent="0.3">
      <c r="A16" s="53"/>
      <c r="B16" s="59" t="s">
        <v>50</v>
      </c>
      <c r="C16" s="60" t="s">
        <v>34</v>
      </c>
      <c r="D16" s="61">
        <v>25</v>
      </c>
      <c r="E16" s="49">
        <f>(1-'A-3-A-48 Table 17'!Q16)*'A-3-A-48 Table 17'!R16*(IF('A-3-A-48 Table 17'!P16="baseload",VLOOKUP('A-3-A-48 Table 17'!O16,'2015 Avoided Costs'!$B$9:$N$38,7)*'A-3-A-48 Table 17'!S16,VLOOKUP('A-3-A-48 Table 17'!O16,'2015 Avoided Costs'!$B$9:$N$38,9)*'A-3-A-48 Table 17'!S16))</f>
        <v>785.30499799999984</v>
      </c>
      <c r="F16" s="49">
        <f>E16*'A-3-A-48 Table 17'!D16</f>
        <v>19632.624949999998</v>
      </c>
      <c r="G16" s="49">
        <v>500</v>
      </c>
      <c r="H16" s="49">
        <f>'A-3-A-48 Table 17'!D16*G16</f>
        <v>12500</v>
      </c>
      <c r="I16" s="49">
        <f t="shared" si="0"/>
        <v>7132.6249499999976</v>
      </c>
      <c r="J16" s="62">
        <f t="shared" si="1"/>
        <v>1.5706099959999997</v>
      </c>
    </row>
    <row r="17" spans="1:10" s="55" customFormat="1" ht="15.6" x14ac:dyDescent="0.3">
      <c r="A17" s="53"/>
      <c r="B17" s="59" t="s">
        <v>50</v>
      </c>
      <c r="C17" s="60" t="s">
        <v>35</v>
      </c>
      <c r="D17" s="61">
        <v>50</v>
      </c>
      <c r="E17" s="49">
        <f>(1-'A-3-A-48 Table 17'!Q17)*'A-3-A-48 Table 17'!R17*(IF('A-3-A-48 Table 17'!P17="baseload",VLOOKUP('A-3-A-48 Table 17'!O17,'2015 Avoided Costs'!$B$9:$N$38,7)*'A-3-A-48 Table 17'!S17,VLOOKUP('A-3-A-48 Table 17'!O17,'2015 Avoided Costs'!$B$9:$N$38,9)*'A-3-A-48 Table 17'!S17))</f>
        <v>2064.9736844999998</v>
      </c>
      <c r="F17" s="49">
        <f>E17*'A-3-A-48 Table 17'!D17</f>
        <v>103248.68422499999</v>
      </c>
      <c r="G17" s="49">
        <v>500</v>
      </c>
      <c r="H17" s="49">
        <f>'A-3-A-48 Table 17'!D17*G17</f>
        <v>25000</v>
      </c>
      <c r="I17" s="49">
        <f t="shared" si="0"/>
        <v>78248.68422499999</v>
      </c>
      <c r="J17" s="62">
        <f t="shared" si="1"/>
        <v>4.1299473689999999</v>
      </c>
    </row>
    <row r="18" spans="1:10" s="55" customFormat="1" ht="15.6" x14ac:dyDescent="0.3">
      <c r="A18" s="53"/>
      <c r="B18" s="59" t="s">
        <v>50</v>
      </c>
      <c r="C18" s="60" t="s">
        <v>36</v>
      </c>
      <c r="D18" s="61">
        <v>105</v>
      </c>
      <c r="E18" s="49">
        <f>(1-'A-3-A-48 Table 17'!Q18)*'A-3-A-48 Table 17'!R18*(IF('A-3-A-48 Table 17'!P18="baseload",VLOOKUP('A-3-A-48 Table 17'!O18,'2015 Avoided Costs'!$B$9:$N$38,7)*'A-3-A-48 Table 17'!S18,VLOOKUP('A-3-A-48 Table 17'!O18,'2015 Avoided Costs'!$B$9:$N$38,9)*'A-3-A-48 Table 17'!S18))</f>
        <v>3668.6989514999996</v>
      </c>
      <c r="F18" s="49">
        <f>E18*'A-3-A-48 Table 17'!D18</f>
        <v>385213.38990749995</v>
      </c>
      <c r="G18" s="49">
        <v>500</v>
      </c>
      <c r="H18" s="49">
        <f>'A-3-A-48 Table 17'!D18*G18</f>
        <v>52500</v>
      </c>
      <c r="I18" s="49">
        <f t="shared" si="0"/>
        <v>332713.38990749995</v>
      </c>
      <c r="J18" s="62">
        <f t="shared" si="1"/>
        <v>7.3373979029999994</v>
      </c>
    </row>
    <row r="19" spans="1:10" s="55" customFormat="1" ht="31.2" x14ac:dyDescent="0.3">
      <c r="A19" s="53"/>
      <c r="B19" s="59" t="s">
        <v>50</v>
      </c>
      <c r="C19" s="60" t="s">
        <v>113</v>
      </c>
      <c r="D19" s="61">
        <v>10</v>
      </c>
      <c r="E19" s="49">
        <f>(1-'A-3-A-48 Table 17'!Q19)*'A-3-A-48 Table 17'!R19*(IF('A-3-A-48 Table 17'!P19="baseload",VLOOKUP('A-3-A-48 Table 17'!O19,'2015 Avoided Costs'!$B$9:$N$38,7)*'A-3-A-48 Table 17'!S19,VLOOKUP('A-3-A-48 Table 17'!O19,'2015 Avoided Costs'!$B$9:$N$38,9)*'A-3-A-48 Table 17'!S19))</f>
        <v>8180.9666920799982</v>
      </c>
      <c r="F19" s="49">
        <f>E19*'A-3-A-48 Table 17'!D19</f>
        <v>81809.66692079998</v>
      </c>
      <c r="G19" s="49">
        <v>1200</v>
      </c>
      <c r="H19" s="49">
        <f>'A-3-A-48 Table 17'!D19*G19</f>
        <v>12000</v>
      </c>
      <c r="I19" s="49">
        <f t="shared" si="0"/>
        <v>69809.66692079998</v>
      </c>
      <c r="J19" s="62">
        <f t="shared" si="1"/>
        <v>6.8174722433999984</v>
      </c>
    </row>
    <row r="20" spans="1:10" s="55" customFormat="1" ht="31.2" x14ac:dyDescent="0.3">
      <c r="A20" s="53"/>
      <c r="B20" s="59" t="s">
        <v>50</v>
      </c>
      <c r="C20" s="60" t="s">
        <v>114</v>
      </c>
      <c r="D20" s="61">
        <v>3</v>
      </c>
      <c r="E20" s="49">
        <f>(1-'A-3-A-48 Table 17'!Q20)*'A-3-A-48 Table 17'!R20*(IF('A-3-A-48 Table 17'!P20="baseload",VLOOKUP('A-3-A-48 Table 17'!O20,'2015 Avoided Costs'!$B$9:$N$38,7)*'A-3-A-48 Table 17'!S20,VLOOKUP('A-3-A-48 Table 17'!O20,'2015 Avoided Costs'!$B$9:$N$38,9)*'A-3-A-48 Table 17'!S20))</f>
        <v>16467.53966676</v>
      </c>
      <c r="F20" s="49">
        <f>E20*'A-3-A-48 Table 17'!D20</f>
        <v>49402.619000279999</v>
      </c>
      <c r="G20" s="49">
        <v>2500</v>
      </c>
      <c r="H20" s="49">
        <f>'A-3-A-48 Table 17'!D20*G20</f>
        <v>7500</v>
      </c>
      <c r="I20" s="49">
        <f t="shared" si="0"/>
        <v>41902.619000279999</v>
      </c>
      <c r="J20" s="62">
        <f t="shared" si="1"/>
        <v>6.5870158667040002</v>
      </c>
    </row>
    <row r="21" spans="1:10" s="55" customFormat="1" ht="31.2" x14ac:dyDescent="0.3">
      <c r="A21" s="53"/>
      <c r="B21" s="59" t="s">
        <v>50</v>
      </c>
      <c r="C21" s="60" t="s">
        <v>115</v>
      </c>
      <c r="D21" s="61">
        <v>5</v>
      </c>
      <c r="E21" s="49">
        <f>(1-'A-3-A-48 Table 17'!Q21)*'A-3-A-48 Table 17'!R21*(IF('A-3-A-48 Table 17'!P21="baseload",VLOOKUP('A-3-A-48 Table 17'!O21,'2015 Avoided Costs'!$B$9:$N$38,7)*'A-3-A-48 Table 17'!S21,VLOOKUP('A-3-A-48 Table 17'!O21,'2015 Avoided Costs'!$B$9:$N$38,9)*'A-3-A-48 Table 17'!S21))</f>
        <v>19512.017927999997</v>
      </c>
      <c r="F21" s="49">
        <f>E21*'A-3-A-48 Table 17'!D21</f>
        <v>97560.089639999991</v>
      </c>
      <c r="G21" s="49">
        <v>2000</v>
      </c>
      <c r="H21" s="49">
        <f>'A-3-A-48 Table 17'!D21*G21</f>
        <v>10000</v>
      </c>
      <c r="I21" s="49">
        <f t="shared" si="0"/>
        <v>87560.089639999991</v>
      </c>
      <c r="J21" s="62">
        <f t="shared" si="1"/>
        <v>9.7560089639999994</v>
      </c>
    </row>
    <row r="22" spans="1:10" s="55" customFormat="1" ht="31.2" x14ac:dyDescent="0.3">
      <c r="A22" s="53"/>
      <c r="B22" s="59" t="s">
        <v>50</v>
      </c>
      <c r="C22" s="60" t="s">
        <v>116</v>
      </c>
      <c r="D22" s="61">
        <v>1</v>
      </c>
      <c r="E22" s="49">
        <f>(1-'A-3-A-48 Table 17'!Q22)*'A-3-A-48 Table 17'!R22*(IF('A-3-A-48 Table 17'!P22="baseload",VLOOKUP('A-3-A-48 Table 17'!O22,'2015 Avoided Costs'!$B$9:$N$38,7)*'A-3-A-48 Table 17'!S22,VLOOKUP('A-3-A-48 Table 17'!O22,'2015 Avoided Costs'!$B$9:$N$38,9)*'A-3-A-48 Table 17'!S22))</f>
        <v>43360.039839999998</v>
      </c>
      <c r="F22" s="49">
        <f>E22*'A-3-A-48 Table 17'!D22</f>
        <v>43360.039839999998</v>
      </c>
      <c r="G22" s="49">
        <v>3500</v>
      </c>
      <c r="H22" s="49">
        <f>'A-3-A-48 Table 17'!D22*G22</f>
        <v>3500</v>
      </c>
      <c r="I22" s="49">
        <f t="shared" si="0"/>
        <v>39860.039839999998</v>
      </c>
      <c r="J22" s="62">
        <f t="shared" si="1"/>
        <v>12.38858281142857</v>
      </c>
    </row>
    <row r="23" spans="1:10" s="55" customFormat="1" ht="31.2" x14ac:dyDescent="0.3">
      <c r="A23" s="53"/>
      <c r="B23" s="59" t="s">
        <v>50</v>
      </c>
      <c r="C23" s="60" t="s">
        <v>117</v>
      </c>
      <c r="D23" s="61">
        <v>12</v>
      </c>
      <c r="E23" s="49">
        <f>(1-'A-3-A-48 Table 17'!Q23)*'A-3-A-48 Table 17'!R23*(IF('A-3-A-48 Table 17'!P23="baseload",VLOOKUP('A-3-A-48 Table 17'!O23,'2015 Avoided Costs'!$B$9:$N$38,7)*'A-3-A-48 Table 17'!S23,VLOOKUP('A-3-A-48 Table 17'!O23,'2015 Avoided Costs'!$B$9:$N$38,9)*'A-3-A-48 Table 17'!S23))</f>
        <v>29368.604303999997</v>
      </c>
      <c r="F23" s="49">
        <f>E23*'A-3-A-48 Table 17'!D23</f>
        <v>352423.25164799998</v>
      </c>
      <c r="G23" s="49">
        <v>3000</v>
      </c>
      <c r="H23" s="49">
        <f>'A-3-A-48 Table 17'!D23*G23</f>
        <v>36000</v>
      </c>
      <c r="I23" s="49">
        <f t="shared" si="0"/>
        <v>316423.25164799998</v>
      </c>
      <c r="J23" s="62">
        <f t="shared" si="1"/>
        <v>9.7895347679999993</v>
      </c>
    </row>
    <row r="24" spans="1:10" s="55" customFormat="1" ht="31.2" x14ac:dyDescent="0.3">
      <c r="A24" s="53"/>
      <c r="B24" s="59" t="s">
        <v>50</v>
      </c>
      <c r="C24" s="60" t="s">
        <v>118</v>
      </c>
      <c r="D24" s="61">
        <v>4</v>
      </c>
      <c r="E24" s="49">
        <f>(1-'A-3-A-48 Table 17'!Q24)*'A-3-A-48 Table 17'!R24*(IF('A-3-A-48 Table 17'!P24="baseload",VLOOKUP('A-3-A-48 Table 17'!O24,'2015 Avoided Costs'!$B$9:$N$38,7)*'A-3-A-48 Table 17'!S24,VLOOKUP('A-3-A-48 Table 17'!O24,'2015 Avoided Costs'!$B$9:$N$38,9)*'A-3-A-48 Table 17'!S24))</f>
        <v>81579.456399999995</v>
      </c>
      <c r="F24" s="49">
        <f>E24*'A-3-A-48 Table 17'!D24</f>
        <v>326317.82559999998</v>
      </c>
      <c r="G24" s="49">
        <v>5000</v>
      </c>
      <c r="H24" s="49">
        <f>'A-3-A-48 Table 17'!D24*G24</f>
        <v>20000</v>
      </c>
      <c r="I24" s="49">
        <f t="shared" si="0"/>
        <v>306317.82559999998</v>
      </c>
      <c r="J24" s="62">
        <f t="shared" si="1"/>
        <v>16.315891279999999</v>
      </c>
    </row>
    <row r="25" spans="1:10" s="55" customFormat="1" ht="31.2" x14ac:dyDescent="0.3">
      <c r="A25" s="53"/>
      <c r="B25" s="59" t="s">
        <v>50</v>
      </c>
      <c r="C25" s="60" t="s">
        <v>119</v>
      </c>
      <c r="D25" s="61">
        <v>8</v>
      </c>
      <c r="E25" s="49">
        <f>(1-'A-3-A-48 Table 17'!Q25)*'A-3-A-48 Table 17'!R25*(IF('A-3-A-48 Table 17'!P25="baseload",VLOOKUP('A-3-A-48 Table 17'!O25,'2015 Avoided Costs'!$B$9:$N$38,7)*'A-3-A-48 Table 17'!S25,VLOOKUP('A-3-A-48 Table 17'!O25,'2015 Avoided Costs'!$B$9:$N$38,9)*'A-3-A-48 Table 17'!S25))</f>
        <v>3426.0857252699993</v>
      </c>
      <c r="F25" s="49">
        <f>E25*'A-3-A-48 Table 17'!D25</f>
        <v>27408.685802159995</v>
      </c>
      <c r="G25" s="49">
        <v>1200</v>
      </c>
      <c r="H25" s="49">
        <f>'A-3-A-48 Table 17'!D25*G25</f>
        <v>9600</v>
      </c>
      <c r="I25" s="49">
        <f t="shared" si="0"/>
        <v>17808.685802159995</v>
      </c>
      <c r="J25" s="62">
        <f t="shared" si="1"/>
        <v>2.8550714377249995</v>
      </c>
    </row>
    <row r="26" spans="1:10" s="55" customFormat="1" ht="31.2" x14ac:dyDescent="0.3">
      <c r="A26" s="53"/>
      <c r="B26" s="59" t="s">
        <v>50</v>
      </c>
      <c r="C26" s="60" t="s">
        <v>120</v>
      </c>
      <c r="D26" s="61">
        <v>3</v>
      </c>
      <c r="E26" s="49">
        <f>(1-'A-3-A-48 Table 17'!Q26)*'A-3-A-48 Table 17'!R26*(IF('A-3-A-48 Table 17'!P26="baseload",VLOOKUP('A-3-A-48 Table 17'!O26,'2015 Avoided Costs'!$B$9:$N$38,7)*'A-3-A-48 Table 17'!S26,VLOOKUP('A-3-A-48 Table 17'!O26,'2015 Avoided Costs'!$B$9:$N$38,9)*'A-3-A-48 Table 17'!S26))</f>
        <v>14356.112469009997</v>
      </c>
      <c r="F26" s="49">
        <f>E26*'A-3-A-48 Table 17'!D26</f>
        <v>43068.337407029991</v>
      </c>
      <c r="G26" s="49">
        <v>2500</v>
      </c>
      <c r="H26" s="49">
        <f>'A-3-A-48 Table 17'!D26*G26</f>
        <v>7500</v>
      </c>
      <c r="I26" s="49">
        <f t="shared" si="0"/>
        <v>35568.337407029991</v>
      </c>
      <c r="J26" s="62">
        <f t="shared" si="1"/>
        <v>5.7424449876039985</v>
      </c>
    </row>
    <row r="27" spans="1:10" s="55" customFormat="1" ht="31.2" x14ac:dyDescent="0.3">
      <c r="A27" s="53"/>
      <c r="B27" s="59" t="s">
        <v>50</v>
      </c>
      <c r="C27" s="60" t="s">
        <v>121</v>
      </c>
      <c r="D27" s="61">
        <v>3</v>
      </c>
      <c r="E27" s="49">
        <f>(1-'A-3-A-48 Table 17'!Q27)*'A-3-A-48 Table 17'!R27*(IF('A-3-A-48 Table 17'!P27="baseload",VLOOKUP('A-3-A-48 Table 17'!O27,'2015 Avoided Costs'!$B$9:$N$38,7)*'A-3-A-48 Table 17'!S27,VLOOKUP('A-3-A-48 Table 17'!O27,'2015 Avoided Costs'!$B$9:$N$38,9)*'A-3-A-48 Table 17'!S27))</f>
        <v>16762.901999999998</v>
      </c>
      <c r="F27" s="49">
        <f>E27*'A-3-A-48 Table 17'!D27</f>
        <v>50288.705999999991</v>
      </c>
      <c r="G27" s="49">
        <v>2000</v>
      </c>
      <c r="H27" s="49">
        <f>'A-3-A-48 Table 17'!D27*G27</f>
        <v>6000</v>
      </c>
      <c r="I27" s="49">
        <f t="shared" si="0"/>
        <v>44288.705999999991</v>
      </c>
      <c r="J27" s="62">
        <f t="shared" si="1"/>
        <v>8.3814509999999984</v>
      </c>
    </row>
    <row r="28" spans="1:10" s="55" customFormat="1" ht="31.2" x14ac:dyDescent="0.3">
      <c r="A28" s="53"/>
      <c r="B28" s="59" t="s">
        <v>50</v>
      </c>
      <c r="C28" s="60" t="s">
        <v>122</v>
      </c>
      <c r="D28" s="61">
        <v>1</v>
      </c>
      <c r="E28" s="49">
        <f>(1-'A-3-A-48 Table 17'!Q28)*'A-3-A-48 Table 17'!R28*(IF('A-3-A-48 Table 17'!P28="baseload",VLOOKUP('A-3-A-48 Table 17'!O28,'2015 Avoided Costs'!$B$9:$N$38,7)*'A-3-A-48 Table 17'!S28,VLOOKUP('A-3-A-48 Table 17'!O28,'2015 Avoided Costs'!$B$9:$N$38,9)*'A-3-A-48 Table 17'!S28))</f>
        <v>20946.642957499997</v>
      </c>
      <c r="F28" s="49">
        <f>E28*'A-3-A-48 Table 17'!D28</f>
        <v>20946.642957499997</v>
      </c>
      <c r="G28" s="49">
        <v>3500</v>
      </c>
      <c r="H28" s="49">
        <f>'A-3-A-48 Table 17'!D28*G28</f>
        <v>3500</v>
      </c>
      <c r="I28" s="49">
        <f t="shared" si="0"/>
        <v>17446.642957499997</v>
      </c>
      <c r="J28" s="62">
        <f t="shared" si="1"/>
        <v>5.9847551307142846</v>
      </c>
    </row>
    <row r="29" spans="1:10" s="55" customFormat="1" ht="31.2" x14ac:dyDescent="0.3">
      <c r="A29" s="53"/>
      <c r="B29" s="59" t="s">
        <v>50</v>
      </c>
      <c r="C29" s="60" t="s">
        <v>123</v>
      </c>
      <c r="D29" s="61">
        <v>13</v>
      </c>
      <c r="E29" s="49">
        <f>(1-'A-3-A-48 Table 17'!Q29)*'A-3-A-48 Table 17'!R29*(IF('A-3-A-48 Table 17'!P29="baseload",VLOOKUP('A-3-A-48 Table 17'!O29,'2015 Avoided Costs'!$B$9:$N$38,7)*'A-3-A-48 Table 17'!S29,VLOOKUP('A-3-A-48 Table 17'!O29,'2015 Avoided Costs'!$B$9:$N$38,9)*'A-3-A-48 Table 17'!S29))</f>
        <v>14643.065413079998</v>
      </c>
      <c r="F29" s="49">
        <f>E29*'A-3-A-48 Table 17'!D29</f>
        <v>190359.85037003996</v>
      </c>
      <c r="G29" s="49">
        <v>3000</v>
      </c>
      <c r="H29" s="49">
        <f>'A-3-A-48 Table 17'!D29*G29</f>
        <v>39000</v>
      </c>
      <c r="I29" s="49">
        <f t="shared" si="0"/>
        <v>151359.85037003996</v>
      </c>
      <c r="J29" s="62">
        <f t="shared" si="1"/>
        <v>4.8810218043599987</v>
      </c>
    </row>
    <row r="30" spans="1:10" s="55" customFormat="1" ht="31.2" x14ac:dyDescent="0.3">
      <c r="A30" s="53"/>
      <c r="B30" s="59" t="s">
        <v>50</v>
      </c>
      <c r="C30" s="60" t="s">
        <v>124</v>
      </c>
      <c r="D30" s="61">
        <v>7</v>
      </c>
      <c r="E30" s="49">
        <f>(1-'A-3-A-48 Table 17'!Q30)*'A-3-A-48 Table 17'!R30*(IF('A-3-A-48 Table 17'!P30="baseload",VLOOKUP('A-3-A-48 Table 17'!O30,'2015 Avoided Costs'!$B$9:$N$38,7)*'A-3-A-48 Table 17'!S30,VLOOKUP('A-3-A-48 Table 17'!O30,'2015 Avoided Costs'!$B$9:$N$38,9)*'A-3-A-48 Table 17'!S30))</f>
        <v>62464.356053189993</v>
      </c>
      <c r="F30" s="49">
        <f>E30*'A-3-A-48 Table 17'!D30</f>
        <v>437250.49237232993</v>
      </c>
      <c r="G30" s="49">
        <v>5000</v>
      </c>
      <c r="H30" s="49">
        <f>'A-3-A-48 Table 17'!D30*G30</f>
        <v>35000</v>
      </c>
      <c r="I30" s="49">
        <f t="shared" si="0"/>
        <v>402250.49237232993</v>
      </c>
      <c r="J30" s="62">
        <f t="shared" si="1"/>
        <v>12.492871210637999</v>
      </c>
    </row>
    <row r="31" spans="1:10" s="55" customFormat="1" ht="15.6" x14ac:dyDescent="0.3">
      <c r="A31" s="53"/>
      <c r="B31" s="59" t="s">
        <v>50</v>
      </c>
      <c r="C31" s="60" t="s">
        <v>37</v>
      </c>
      <c r="D31" s="61">
        <v>12</v>
      </c>
      <c r="E31" s="49">
        <f>(1-'A-3-A-48 Table 17'!Q31)*'A-3-A-48 Table 17'!R31*(IF('A-3-A-48 Table 17'!P31="baseload",VLOOKUP('A-3-A-48 Table 17'!O31,'2015 Avoided Costs'!$B$9:$N$38,7)*'A-3-A-48 Table 17'!S31,VLOOKUP('A-3-A-48 Table 17'!O31,'2015 Avoided Costs'!$B$9:$N$38,9)*'A-3-A-48 Table 17'!S31))</f>
        <v>13413.115416999999</v>
      </c>
      <c r="F31" s="49">
        <f>E31*'A-3-A-48 Table 17'!D31</f>
        <v>160957.38500399998</v>
      </c>
      <c r="G31" s="49">
        <v>3000</v>
      </c>
      <c r="H31" s="49">
        <f>'A-3-A-48 Table 17'!D31*G31</f>
        <v>36000</v>
      </c>
      <c r="I31" s="49">
        <f t="shared" si="0"/>
        <v>124957.38500399998</v>
      </c>
      <c r="J31" s="62">
        <f t="shared" si="1"/>
        <v>4.4710384723333325</v>
      </c>
    </row>
    <row r="32" spans="1:10" s="55" customFormat="1" ht="15.6" x14ac:dyDescent="0.3">
      <c r="A32" s="53"/>
      <c r="B32" s="59" t="s">
        <v>50</v>
      </c>
      <c r="C32" s="60" t="s">
        <v>38</v>
      </c>
      <c r="D32" s="61">
        <v>7</v>
      </c>
      <c r="E32" s="49">
        <f>(1-'A-3-A-48 Table 17'!Q32)*'A-3-A-48 Table 17'!R32*(IF('A-3-A-48 Table 17'!P32="baseload",VLOOKUP('A-3-A-48 Table 17'!O32,'2015 Avoided Costs'!$B$9:$N$38,7)*'A-3-A-48 Table 17'!S32,VLOOKUP('A-3-A-48 Table 17'!O32,'2015 Avoided Costs'!$B$9:$N$38,9)*'A-3-A-48 Table 17'!S32))</f>
        <v>52870.19290799999</v>
      </c>
      <c r="F32" s="49">
        <f>E32*'A-3-A-48 Table 17'!D32</f>
        <v>370091.35035599995</v>
      </c>
      <c r="G32" s="49">
        <v>7500</v>
      </c>
      <c r="H32" s="49">
        <f>'A-3-A-48 Table 17'!D32*G32</f>
        <v>52500</v>
      </c>
      <c r="I32" s="49">
        <f t="shared" si="0"/>
        <v>317591.35035599995</v>
      </c>
      <c r="J32" s="62">
        <f t="shared" si="1"/>
        <v>7.0493590543999991</v>
      </c>
    </row>
    <row r="33" spans="1:10" s="55" customFormat="1" ht="15.6" x14ac:dyDescent="0.3">
      <c r="A33" s="53"/>
      <c r="B33" s="59" t="s">
        <v>50</v>
      </c>
      <c r="C33" s="60" t="s">
        <v>39</v>
      </c>
      <c r="D33" s="61">
        <v>21</v>
      </c>
      <c r="E33" s="49">
        <f>(1-'A-3-A-48 Table 17'!Q33)*'A-3-A-48 Table 17'!R33*(IF('A-3-A-48 Table 17'!P33="baseload",VLOOKUP('A-3-A-48 Table 17'!O33,'2015 Avoided Costs'!$B$9:$N$38,7)*'A-3-A-48 Table 17'!S33,VLOOKUP('A-3-A-48 Table 17'!O33,'2015 Avoided Costs'!$B$9:$N$38,9)*'A-3-A-48 Table 17'!S33))</f>
        <v>32089.782061999995</v>
      </c>
      <c r="F33" s="49">
        <f>E33*'A-3-A-48 Table 17'!D33</f>
        <v>673885.42330199992</v>
      </c>
      <c r="G33" s="49">
        <v>5000</v>
      </c>
      <c r="H33" s="49">
        <f>'A-3-A-48 Table 17'!D33*G33</f>
        <v>105000</v>
      </c>
      <c r="I33" s="49">
        <f t="shared" si="0"/>
        <v>568885.42330199992</v>
      </c>
      <c r="J33" s="62">
        <f t="shared" si="1"/>
        <v>6.4179564123999997</v>
      </c>
    </row>
    <row r="34" spans="1:10" s="55" customFormat="1" ht="31.2" x14ac:dyDescent="0.3">
      <c r="A34" s="53"/>
      <c r="B34" s="59" t="s">
        <v>50</v>
      </c>
      <c r="C34" s="60" t="s">
        <v>125</v>
      </c>
      <c r="D34" s="61">
        <v>4</v>
      </c>
      <c r="E34" s="49">
        <f>(1-'A-3-A-48 Table 17'!Q34)*'A-3-A-48 Table 17'!R34*(IF('A-3-A-48 Table 17'!P34="baseload",VLOOKUP('A-3-A-48 Table 17'!O34,'2015 Avoided Costs'!$B$9:$N$38,7)*'A-3-A-48 Table 17'!S34,VLOOKUP('A-3-A-48 Table 17'!O34,'2015 Avoided Costs'!$B$9:$N$38,9)*'A-3-A-48 Table 17'!S34))</f>
        <v>178.94912000000002</v>
      </c>
      <c r="F34" s="49">
        <f>E34*'A-3-A-48 Table 17'!D34</f>
        <v>715.79648000000009</v>
      </c>
      <c r="G34" s="49">
        <v>400</v>
      </c>
      <c r="H34" s="49">
        <f>'A-3-A-48 Table 17'!D34*G34</f>
        <v>1600</v>
      </c>
      <c r="I34" s="49">
        <f t="shared" si="0"/>
        <v>-884.20351999999991</v>
      </c>
      <c r="J34" s="62">
        <f t="shared" si="1"/>
        <v>0.44737280000000007</v>
      </c>
    </row>
    <row r="35" spans="1:10" s="55" customFormat="1" ht="31.2" x14ac:dyDescent="0.3">
      <c r="A35" s="53"/>
      <c r="B35" s="59" t="s">
        <v>50</v>
      </c>
      <c r="C35" s="60" t="s">
        <v>126</v>
      </c>
      <c r="D35" s="61">
        <v>30</v>
      </c>
      <c r="E35" s="49">
        <f>(1-'A-3-A-48 Table 17'!Q35)*'A-3-A-48 Table 17'!R35*(IF('A-3-A-48 Table 17'!P35="baseload",VLOOKUP('A-3-A-48 Table 17'!O35,'2015 Avoided Costs'!$B$9:$N$38,7)*'A-3-A-48 Table 17'!S35,VLOOKUP('A-3-A-48 Table 17'!O35,'2015 Avoided Costs'!$B$9:$N$38,9)*'A-3-A-48 Table 17'!S35))</f>
        <v>1092.9317504000003</v>
      </c>
      <c r="F35" s="49">
        <f>E35*'A-3-A-48 Table 17'!D35</f>
        <v>32787.952512000011</v>
      </c>
      <c r="G35" s="49">
        <v>400</v>
      </c>
      <c r="H35" s="49">
        <f>'A-3-A-48 Table 17'!D35*G35</f>
        <v>12000</v>
      </c>
      <c r="I35" s="49">
        <f t="shared" ref="I35:I66" si="2">F35-H35</f>
        <v>20787.952512000011</v>
      </c>
      <c r="J35" s="62">
        <f t="shared" ref="J35:J66" si="3">F35/H35</f>
        <v>2.7323293760000009</v>
      </c>
    </row>
    <row r="36" spans="1:10" s="55" customFormat="1" ht="31.2" x14ac:dyDescent="0.3">
      <c r="A36" s="53"/>
      <c r="B36" s="59" t="s">
        <v>50</v>
      </c>
      <c r="C36" s="60" t="s">
        <v>127</v>
      </c>
      <c r="D36" s="61">
        <v>40</v>
      </c>
      <c r="E36" s="49">
        <f>(1-'A-3-A-48 Table 17'!Q36)*'A-3-A-48 Table 17'!R36*(IF('A-3-A-48 Table 17'!P36="baseload",VLOOKUP('A-3-A-48 Table 17'!O36,'2015 Avoided Costs'!$B$9:$N$38,7)*'A-3-A-48 Table 17'!S36,VLOOKUP('A-3-A-48 Table 17'!O36,'2015 Avoided Costs'!$B$9:$N$38,9)*'A-3-A-48 Table 17'!S36))</f>
        <v>5633.139348480001</v>
      </c>
      <c r="F36" s="49">
        <f>E36*'A-3-A-48 Table 17'!D36</f>
        <v>225325.57393920003</v>
      </c>
      <c r="G36" s="49">
        <v>400</v>
      </c>
      <c r="H36" s="49">
        <f>'A-3-A-48 Table 17'!D36*G36</f>
        <v>16000</v>
      </c>
      <c r="I36" s="49">
        <f t="shared" si="2"/>
        <v>209325.57393920003</v>
      </c>
      <c r="J36" s="62">
        <f t="shared" si="3"/>
        <v>14.082848371200001</v>
      </c>
    </row>
    <row r="37" spans="1:10" s="55" customFormat="1" ht="31.2" x14ac:dyDescent="0.3">
      <c r="A37" s="53"/>
      <c r="B37" s="59" t="s">
        <v>48</v>
      </c>
      <c r="C37" s="60" t="s">
        <v>128</v>
      </c>
      <c r="D37" s="61">
        <v>26</v>
      </c>
      <c r="E37" s="49">
        <f>(1-'A-3-A-48 Table 17'!Q37)*'A-3-A-48 Table 17'!R37*(IF('A-3-A-48 Table 17'!P37="baseload",VLOOKUP('A-3-A-48 Table 17'!O37,'2015 Avoided Costs'!$B$9:$N$38,7)*'A-3-A-48 Table 17'!S37,VLOOKUP('A-3-A-48 Table 17'!O37,'2015 Avoided Costs'!$B$9:$N$38,9)*'A-3-A-48 Table 17'!S37))</f>
        <v>433.07923904</v>
      </c>
      <c r="F37" s="49">
        <f>E37*'A-3-A-48 Table 17'!D37</f>
        <v>11260.060215040001</v>
      </c>
      <c r="G37" s="49">
        <v>500</v>
      </c>
      <c r="H37" s="49">
        <f>'A-3-A-48 Table 17'!D37*G37</f>
        <v>13000</v>
      </c>
      <c r="I37" s="49">
        <f t="shared" si="2"/>
        <v>-1739.9397849599991</v>
      </c>
      <c r="J37" s="62">
        <f t="shared" si="3"/>
        <v>0.86615847808000002</v>
      </c>
    </row>
    <row r="38" spans="1:10" s="55" customFormat="1" ht="31.2" x14ac:dyDescent="0.3">
      <c r="A38" s="53"/>
      <c r="B38" s="59" t="s">
        <v>48</v>
      </c>
      <c r="C38" s="60" t="s">
        <v>129</v>
      </c>
      <c r="D38" s="61">
        <v>20</v>
      </c>
      <c r="E38" s="49">
        <f>(1-'A-3-A-48 Table 17'!Q38)*'A-3-A-48 Table 17'!R38*(IF('A-3-A-48 Table 17'!P38="baseload",VLOOKUP('A-3-A-48 Table 17'!O38,'2015 Avoided Costs'!$B$9:$N$38,7)*'A-3-A-48 Table 17'!S38,VLOOKUP('A-3-A-48 Table 17'!O38,'2015 Avoided Costs'!$B$9:$N$38,9)*'A-3-A-48 Table 17'!S38))</f>
        <v>826.42058911999993</v>
      </c>
      <c r="F38" s="49">
        <f>E38*'A-3-A-48 Table 17'!D38</f>
        <v>16528.411782399999</v>
      </c>
      <c r="G38" s="49">
        <v>500</v>
      </c>
      <c r="H38" s="49">
        <f>'A-3-A-48 Table 17'!D38*G38</f>
        <v>10000</v>
      </c>
      <c r="I38" s="49">
        <f t="shared" si="2"/>
        <v>6528.4117823999986</v>
      </c>
      <c r="J38" s="62">
        <f t="shared" si="3"/>
        <v>1.6528411782399999</v>
      </c>
    </row>
    <row r="39" spans="1:10" s="55" customFormat="1" ht="31.2" x14ac:dyDescent="0.3">
      <c r="A39" s="53"/>
      <c r="B39" s="59" t="s">
        <v>48</v>
      </c>
      <c r="C39" s="60" t="s">
        <v>130</v>
      </c>
      <c r="D39" s="61">
        <v>7</v>
      </c>
      <c r="E39" s="49">
        <f>(1-'A-3-A-48 Table 17'!Q39)*'A-3-A-48 Table 17'!R39*(IF('A-3-A-48 Table 17'!P39="baseload",VLOOKUP('A-3-A-48 Table 17'!O39,'2015 Avoided Costs'!$B$9:$N$38,7)*'A-3-A-48 Table 17'!S39,VLOOKUP('A-3-A-48 Table 17'!O39,'2015 Avoided Costs'!$B$9:$N$38,9)*'A-3-A-48 Table 17'!S39))</f>
        <v>2677.5262079999998</v>
      </c>
      <c r="F39" s="49">
        <f>E39*'A-3-A-48 Table 17'!D39</f>
        <v>18742.683455999999</v>
      </c>
      <c r="G39" s="49">
        <v>500</v>
      </c>
      <c r="H39" s="49">
        <f>'A-3-A-48 Table 17'!D39*G39</f>
        <v>3500</v>
      </c>
      <c r="I39" s="49">
        <f t="shared" si="2"/>
        <v>15242.683455999999</v>
      </c>
      <c r="J39" s="62">
        <f t="shared" si="3"/>
        <v>5.3550524159999995</v>
      </c>
    </row>
    <row r="40" spans="1:10" s="55" customFormat="1" ht="31.2" x14ac:dyDescent="0.3">
      <c r="A40" s="53"/>
      <c r="B40" s="59" t="s">
        <v>48</v>
      </c>
      <c r="C40" s="60" t="s">
        <v>131</v>
      </c>
      <c r="D40" s="61">
        <v>53</v>
      </c>
      <c r="E40" s="49">
        <f>(1-'A-3-A-48 Table 17'!Q40)*'A-3-A-48 Table 17'!R40*(IF('A-3-A-48 Table 17'!P40="baseload",VLOOKUP('A-3-A-48 Table 17'!O40,'2015 Avoided Costs'!$B$9:$N$38,7)*'A-3-A-48 Table 17'!S40,VLOOKUP('A-3-A-48 Table 17'!O40,'2015 Avoided Costs'!$B$9:$N$38,9)*'A-3-A-48 Table 17'!S40))</f>
        <v>6784.55390816</v>
      </c>
      <c r="F40" s="49">
        <f>E40*'A-3-A-48 Table 17'!D40</f>
        <v>359581.35713248001</v>
      </c>
      <c r="G40" s="49">
        <v>500</v>
      </c>
      <c r="H40" s="49">
        <f>'A-3-A-48 Table 17'!D40*G40</f>
        <v>26500</v>
      </c>
      <c r="I40" s="49">
        <f t="shared" si="2"/>
        <v>333081.35713248001</v>
      </c>
      <c r="J40" s="62">
        <f t="shared" si="3"/>
        <v>13.569107816320001</v>
      </c>
    </row>
    <row r="41" spans="1:10" s="55" customFormat="1" ht="15.6" x14ac:dyDescent="0.3">
      <c r="A41" s="53"/>
      <c r="B41" s="59" t="s">
        <v>49</v>
      </c>
      <c r="C41" s="60" t="s">
        <v>132</v>
      </c>
      <c r="D41" s="61">
        <v>120</v>
      </c>
      <c r="E41" s="49">
        <f>(1-'A-3-A-48 Table 17'!Q41)*'A-3-A-48 Table 17'!R41*(IF('A-3-A-48 Table 17'!P41="baseload",VLOOKUP('A-3-A-48 Table 17'!O41,'2015 Avoided Costs'!$B$9:$N$38,7)*'A-3-A-48 Table 17'!S41,VLOOKUP('A-3-A-48 Table 17'!O41,'2015 Avoided Costs'!$B$9:$N$38,9)*'A-3-A-48 Table 17'!S41))</f>
        <v>32004.203035999999</v>
      </c>
      <c r="F41" s="49">
        <f>E41*'A-3-A-48 Table 17'!D41</f>
        <v>3840504.3643199997</v>
      </c>
      <c r="G41" s="49">
        <v>1800</v>
      </c>
      <c r="H41" s="49">
        <f>'A-3-A-48 Table 17'!D41*G41</f>
        <v>216000</v>
      </c>
      <c r="I41" s="49">
        <f t="shared" si="2"/>
        <v>3624504.3643199997</v>
      </c>
      <c r="J41" s="62">
        <f t="shared" si="3"/>
        <v>17.780112797777775</v>
      </c>
    </row>
    <row r="42" spans="1:10" s="55" customFormat="1" ht="31.2" x14ac:dyDescent="0.3">
      <c r="A42" s="53"/>
      <c r="B42" s="59" t="s">
        <v>50</v>
      </c>
      <c r="C42" s="60" t="s">
        <v>40</v>
      </c>
      <c r="D42" s="61">
        <v>2</v>
      </c>
      <c r="E42" s="49">
        <f>(1-'A-3-A-48 Table 17'!Q42)*'A-3-A-48 Table 17'!R42*(IF('A-3-A-48 Table 17'!P42="baseload",VLOOKUP('A-3-A-48 Table 17'!O42,'2015 Avoided Costs'!$B$9:$N$38,7)*'A-3-A-48 Table 17'!S42,VLOOKUP('A-3-A-48 Table 17'!O42,'2015 Avoided Costs'!$B$9:$N$38,9)*'A-3-A-48 Table 17'!S42))</f>
        <v>5796.5569991999992</v>
      </c>
      <c r="F42" s="49">
        <f>E42*'A-3-A-48 Table 17'!D42</f>
        <v>11593.113998399998</v>
      </c>
      <c r="G42" s="49">
        <v>450</v>
      </c>
      <c r="H42" s="49">
        <f>'A-3-A-48 Table 17'!D42*G42</f>
        <v>900</v>
      </c>
      <c r="I42" s="49">
        <f t="shared" si="2"/>
        <v>10693.113998399998</v>
      </c>
      <c r="J42" s="62">
        <f t="shared" si="3"/>
        <v>12.881237775999999</v>
      </c>
    </row>
    <row r="43" spans="1:10" s="55" customFormat="1" ht="31.2" x14ac:dyDescent="0.3">
      <c r="A43" s="53"/>
      <c r="B43" s="59" t="s">
        <v>50</v>
      </c>
      <c r="C43" s="60" t="s">
        <v>41</v>
      </c>
      <c r="D43" s="61">
        <v>15</v>
      </c>
      <c r="E43" s="49">
        <f>(1-'A-3-A-48 Table 17'!Q43)*'A-3-A-48 Table 17'!R43*(IF('A-3-A-48 Table 17'!P43="baseload",VLOOKUP('A-3-A-48 Table 17'!O43,'2015 Avoided Costs'!$B$9:$N$38,7)*'A-3-A-48 Table 17'!S43,VLOOKUP('A-3-A-48 Table 17'!O43,'2015 Avoided Costs'!$B$9:$N$38,9)*'A-3-A-48 Table 17'!S43))</f>
        <v>1528.2824479999999</v>
      </c>
      <c r="F43" s="49">
        <f>E43*'A-3-A-48 Table 17'!D43</f>
        <v>22924.236720000001</v>
      </c>
      <c r="G43" s="49">
        <v>450</v>
      </c>
      <c r="H43" s="49">
        <f>'A-3-A-48 Table 17'!D43*G43</f>
        <v>6750</v>
      </c>
      <c r="I43" s="49">
        <f t="shared" si="2"/>
        <v>16174.236720000001</v>
      </c>
      <c r="J43" s="62">
        <f t="shared" si="3"/>
        <v>3.3961832177777778</v>
      </c>
    </row>
    <row r="44" spans="1:10" s="55" customFormat="1" ht="31.2" x14ac:dyDescent="0.3">
      <c r="A44" s="53"/>
      <c r="B44" s="59" t="s">
        <v>50</v>
      </c>
      <c r="C44" s="60" t="s">
        <v>42</v>
      </c>
      <c r="D44" s="61">
        <v>35</v>
      </c>
      <c r="E44" s="49">
        <f>(1-'A-3-A-48 Table 17'!Q44)*'A-3-A-48 Table 17'!R44*(IF('A-3-A-48 Table 17'!P44="baseload",VLOOKUP('A-3-A-48 Table 17'!O44,'2015 Avoided Costs'!$B$9:$N$38,7)*'A-3-A-48 Table 17'!S44,VLOOKUP('A-3-A-48 Table 17'!O44,'2015 Avoided Costs'!$B$9:$N$38,9)*'A-3-A-48 Table 17'!S44))</f>
        <v>2108.436976</v>
      </c>
      <c r="F44" s="49">
        <f>E44*'A-3-A-48 Table 17'!D44</f>
        <v>73795.294160000005</v>
      </c>
      <c r="G44" s="49">
        <v>200</v>
      </c>
      <c r="H44" s="49">
        <f>'A-3-A-48 Table 17'!D44*G44</f>
        <v>7000</v>
      </c>
      <c r="I44" s="49">
        <f t="shared" si="2"/>
        <v>66795.294160000005</v>
      </c>
      <c r="J44" s="62">
        <f t="shared" si="3"/>
        <v>10.542184880000001</v>
      </c>
    </row>
    <row r="45" spans="1:10" s="55" customFormat="1" ht="31.2" x14ac:dyDescent="0.3">
      <c r="A45" s="53"/>
      <c r="B45" s="59" t="s">
        <v>50</v>
      </c>
      <c r="C45" s="60" t="s">
        <v>43</v>
      </c>
      <c r="D45" s="61">
        <v>140</v>
      </c>
      <c r="E45" s="49">
        <f>(1-'A-3-A-48 Table 17'!Q45)*'A-3-A-48 Table 17'!R45*(IF('A-3-A-48 Table 17'!P45="baseload",VLOOKUP('A-3-A-48 Table 17'!O45,'2015 Avoided Costs'!$B$9:$N$38,7)*'A-3-A-48 Table 17'!S45,VLOOKUP('A-3-A-48 Table 17'!O45,'2015 Avoided Costs'!$B$9:$N$38,9)*'A-3-A-48 Table 17'!S45))</f>
        <v>4848.0329599999995</v>
      </c>
      <c r="F45" s="49">
        <f>E45*'A-3-A-48 Table 17'!D45</f>
        <v>678724.61439999996</v>
      </c>
      <c r="G45" s="49">
        <v>200</v>
      </c>
      <c r="H45" s="49">
        <f>'A-3-A-48 Table 17'!D45*G45</f>
        <v>28000</v>
      </c>
      <c r="I45" s="49">
        <f t="shared" si="2"/>
        <v>650724.61439999996</v>
      </c>
      <c r="J45" s="62">
        <f t="shared" si="3"/>
        <v>24.240164799999999</v>
      </c>
    </row>
    <row r="46" spans="1:10" s="55" customFormat="1" ht="31.2" x14ac:dyDescent="0.3">
      <c r="A46" s="53"/>
      <c r="B46" s="59" t="s">
        <v>50</v>
      </c>
      <c r="C46" s="60" t="s">
        <v>44</v>
      </c>
      <c r="D46" s="61">
        <v>4</v>
      </c>
      <c r="E46" s="49">
        <f>(1-'A-3-A-48 Table 17'!Q46)*'A-3-A-48 Table 17'!R46*(IF('A-3-A-48 Table 17'!P46="baseload",VLOOKUP('A-3-A-48 Table 17'!O46,'2015 Avoided Costs'!$B$9:$N$38,7)*'A-3-A-48 Table 17'!S46,VLOOKUP('A-3-A-48 Table 17'!O46,'2015 Avoided Costs'!$B$9:$N$38,9)*'A-3-A-48 Table 17'!S46))</f>
        <v>2108.436976</v>
      </c>
      <c r="F46" s="49">
        <f>E46*'A-3-A-48 Table 17'!D46</f>
        <v>8433.7479039999998</v>
      </c>
      <c r="G46" s="49">
        <v>200</v>
      </c>
      <c r="H46" s="49">
        <f>'A-3-A-48 Table 17'!D46*G46</f>
        <v>800</v>
      </c>
      <c r="I46" s="49">
        <f t="shared" si="2"/>
        <v>7633.7479039999998</v>
      </c>
      <c r="J46" s="62">
        <f t="shared" si="3"/>
        <v>10.542184880000001</v>
      </c>
    </row>
    <row r="47" spans="1:10" s="55" customFormat="1" ht="31.2" x14ac:dyDescent="0.3">
      <c r="A47" s="53"/>
      <c r="B47" s="59" t="s">
        <v>50</v>
      </c>
      <c r="C47" s="60" t="s">
        <v>45</v>
      </c>
      <c r="D47" s="61">
        <v>4</v>
      </c>
      <c r="E47" s="49">
        <f>(1-'A-3-A-48 Table 17'!Q47)*'A-3-A-48 Table 17'!R47*(IF('A-3-A-48 Table 17'!P47="baseload",VLOOKUP('A-3-A-48 Table 17'!O47,'2015 Avoided Costs'!$B$9:$N$38,7)*'A-3-A-48 Table 17'!S47,VLOOKUP('A-3-A-48 Table 17'!O47,'2015 Avoided Costs'!$B$9:$N$38,9)*'A-3-A-48 Table 17'!S47))</f>
        <v>4848.0329599999995</v>
      </c>
      <c r="F47" s="49">
        <f>E47*'A-3-A-48 Table 17'!D47</f>
        <v>19392.131839999998</v>
      </c>
      <c r="G47" s="49">
        <v>200</v>
      </c>
      <c r="H47" s="49">
        <f>'A-3-A-48 Table 17'!D47*G47</f>
        <v>800</v>
      </c>
      <c r="I47" s="49">
        <f t="shared" si="2"/>
        <v>18592.131839999998</v>
      </c>
      <c r="J47" s="62">
        <f t="shared" si="3"/>
        <v>24.240164799999999</v>
      </c>
    </row>
    <row r="48" spans="1:10" s="55" customFormat="1" ht="15.6" x14ac:dyDescent="0.3">
      <c r="A48" s="53"/>
      <c r="B48" s="59" t="s">
        <v>50</v>
      </c>
      <c r="C48" s="60" t="s">
        <v>46</v>
      </c>
      <c r="D48" s="61">
        <v>21</v>
      </c>
      <c r="E48" s="49">
        <f>(1-'A-3-A-48 Table 17'!Q48)*'A-3-A-48 Table 17'!R48*(IF('A-3-A-48 Table 17'!P48="baseload",VLOOKUP('A-3-A-48 Table 17'!O48,'2015 Avoided Costs'!$B$9:$N$38,7)*'A-3-A-48 Table 17'!S48,VLOOKUP('A-3-A-48 Table 17'!O48,'2015 Avoided Costs'!$B$9:$N$38,9)*'A-3-A-48 Table 17'!S48))</f>
        <v>165.17724000000001</v>
      </c>
      <c r="F48" s="49">
        <f>E48*'A-3-A-48 Table 17'!D48</f>
        <v>3468.7220400000001</v>
      </c>
      <c r="G48" s="49">
        <v>200</v>
      </c>
      <c r="H48" s="49">
        <f>'A-3-A-48 Table 17'!D48*G48</f>
        <v>4200</v>
      </c>
      <c r="I48" s="49">
        <f t="shared" si="2"/>
        <v>-731.27795999999989</v>
      </c>
      <c r="J48" s="62">
        <f t="shared" si="3"/>
        <v>0.82588620000000001</v>
      </c>
    </row>
    <row r="49" spans="1:10" s="55" customFormat="1" ht="15.6" x14ac:dyDescent="0.3">
      <c r="A49" s="53"/>
      <c r="B49" s="59" t="s">
        <v>50</v>
      </c>
      <c r="C49" s="60" t="s">
        <v>47</v>
      </c>
      <c r="D49" s="61">
        <v>4</v>
      </c>
      <c r="E49" s="49">
        <f>(1-'A-3-A-48 Table 17'!Q49)*'A-3-A-48 Table 17'!R49*(IF('A-3-A-48 Table 17'!P49="baseload",VLOOKUP('A-3-A-48 Table 17'!O49,'2015 Avoided Costs'!$B$9:$N$38,7)*'A-3-A-48 Table 17'!S49,VLOOKUP('A-3-A-48 Table 17'!O49,'2015 Avoided Costs'!$B$9:$N$38,9)*'A-3-A-48 Table 17'!S49))</f>
        <v>387.35226000000006</v>
      </c>
      <c r="F49" s="49">
        <f>E49*'A-3-A-48 Table 17'!D49</f>
        <v>1549.4090400000002</v>
      </c>
      <c r="G49" s="49">
        <v>200</v>
      </c>
      <c r="H49" s="49">
        <f>'A-3-A-48 Table 17'!D49*G49</f>
        <v>800</v>
      </c>
      <c r="I49" s="49">
        <f t="shared" si="2"/>
        <v>749.40904000000023</v>
      </c>
      <c r="J49" s="62">
        <f t="shared" si="3"/>
        <v>1.9367613000000004</v>
      </c>
    </row>
    <row r="50" spans="1:10" s="55" customFormat="1" ht="15.6" x14ac:dyDescent="0.3">
      <c r="A50" s="53"/>
      <c r="B50" s="59" t="s">
        <v>50</v>
      </c>
      <c r="C50" s="60" t="s">
        <v>79</v>
      </c>
      <c r="D50" s="61">
        <v>15</v>
      </c>
      <c r="E50" s="49">
        <f>(1-'A-3-A-48 Table 17'!Q50)*'A-3-A-48 Table 17'!R50*(IF('A-3-A-48 Table 17'!P50="baseload",VLOOKUP('A-3-A-48 Table 17'!O50,'2015 Avoided Costs'!$B$9:$N$38,7)*'A-3-A-48 Table 17'!S50,VLOOKUP('A-3-A-48 Table 17'!O50,'2015 Avoided Costs'!$B$9:$N$38,9)*'A-3-A-48 Table 17'!S50))</f>
        <v>1577.36832</v>
      </c>
      <c r="F50" s="49">
        <f>E50*'A-3-A-48 Table 17'!D50</f>
        <v>23660.524799999999</v>
      </c>
      <c r="G50" s="49">
        <v>250</v>
      </c>
      <c r="H50" s="49">
        <f>'A-3-A-48 Table 17'!D50*G50</f>
        <v>3750</v>
      </c>
      <c r="I50" s="49">
        <f t="shared" si="2"/>
        <v>19910.524799999999</v>
      </c>
      <c r="J50" s="62">
        <f t="shared" si="3"/>
        <v>6.3094732799999997</v>
      </c>
    </row>
    <row r="51" spans="1:10" s="55" customFormat="1" ht="15.6" x14ac:dyDescent="0.3">
      <c r="A51" s="53"/>
      <c r="B51" s="59" t="s">
        <v>50</v>
      </c>
      <c r="C51" s="60" t="s">
        <v>80</v>
      </c>
      <c r="D51" s="61">
        <v>5</v>
      </c>
      <c r="E51" s="49">
        <f>(1-'A-3-A-48 Table 17'!Q51)*'A-3-A-48 Table 17'!R51*(IF('A-3-A-48 Table 17'!P51="baseload",VLOOKUP('A-3-A-48 Table 17'!O51,'2015 Avoided Costs'!$B$9:$N$38,7)*'A-3-A-48 Table 17'!S51,VLOOKUP('A-3-A-48 Table 17'!O51,'2015 Avoided Costs'!$B$9:$N$38,9)*'A-3-A-48 Table 17'!S51))</f>
        <v>16379.93808</v>
      </c>
      <c r="F51" s="49">
        <f>E51*'A-3-A-48 Table 17'!D51</f>
        <v>81899.690399999992</v>
      </c>
      <c r="G51" s="49">
        <v>250</v>
      </c>
      <c r="H51" s="49">
        <f>'A-3-A-48 Table 17'!D51*G51</f>
        <v>1250</v>
      </c>
      <c r="I51" s="49">
        <f t="shared" si="2"/>
        <v>80649.690399999992</v>
      </c>
      <c r="J51" s="62">
        <f t="shared" si="3"/>
        <v>65.519752319999995</v>
      </c>
    </row>
    <row r="52" spans="1:10" s="55" customFormat="1" ht="15.6" x14ac:dyDescent="0.3">
      <c r="A52" s="53"/>
      <c r="B52" s="59" t="s">
        <v>50</v>
      </c>
      <c r="C52" s="60" t="s">
        <v>81</v>
      </c>
      <c r="D52" s="61">
        <v>100</v>
      </c>
      <c r="E52" s="49">
        <f>(1-'A-3-A-48 Table 17'!Q52)*'A-3-A-48 Table 17'!R52*(IF('A-3-A-48 Table 17'!P52="baseload",VLOOKUP('A-3-A-48 Table 17'!O52,'2015 Avoided Costs'!$B$9:$N$38,7)*'A-3-A-48 Table 17'!S52,VLOOKUP('A-3-A-48 Table 17'!O52,'2015 Avoided Costs'!$B$9:$N$38,9)*'A-3-A-48 Table 17'!S52))</f>
        <v>2594.5497599999999</v>
      </c>
      <c r="F52" s="49">
        <f>E52*'A-3-A-48 Table 17'!D52</f>
        <v>259454.976</v>
      </c>
      <c r="G52" s="49">
        <v>250</v>
      </c>
      <c r="H52" s="49">
        <f>'A-3-A-48 Table 17'!D52*G52</f>
        <v>25000</v>
      </c>
      <c r="I52" s="49">
        <f t="shared" si="2"/>
        <v>234454.976</v>
      </c>
      <c r="J52" s="62">
        <f t="shared" si="3"/>
        <v>10.37819904</v>
      </c>
    </row>
    <row r="53" spans="1:10" s="55" customFormat="1" ht="31.2" x14ac:dyDescent="0.3">
      <c r="A53" s="53"/>
      <c r="B53" s="59" t="s">
        <v>51</v>
      </c>
      <c r="C53" s="60" t="s">
        <v>133</v>
      </c>
      <c r="D53" s="61">
        <v>155</v>
      </c>
      <c r="E53" s="49">
        <f>(1-'A-3-A-48 Table 17'!Q53)*'A-3-A-48 Table 17'!R53*(IF('A-3-A-48 Table 17'!P53="baseload",VLOOKUP('A-3-A-48 Table 17'!O53,'2015 Avoided Costs'!$B$9:$N$38,7)*'A-3-A-48 Table 17'!S53,VLOOKUP('A-3-A-48 Table 17'!O53,'2015 Avoided Costs'!$B$9:$N$38,9)*'A-3-A-48 Table 17'!S53))</f>
        <v>2546.4432680049995</v>
      </c>
      <c r="F53" s="49">
        <f>E53*'A-3-A-48 Table 17'!D53</f>
        <v>394698.7065407749</v>
      </c>
      <c r="G53" s="49">
        <v>1000</v>
      </c>
      <c r="H53" s="49">
        <f>'A-3-A-48 Table 17'!D53*G53</f>
        <v>155000</v>
      </c>
      <c r="I53" s="49">
        <f t="shared" si="2"/>
        <v>239698.7065407749</v>
      </c>
      <c r="J53" s="62">
        <f t="shared" si="3"/>
        <v>2.5464432680049995</v>
      </c>
    </row>
    <row r="54" spans="1:10" s="55" customFormat="1" ht="31.2" x14ac:dyDescent="0.3">
      <c r="A54" s="53"/>
      <c r="B54" s="59" t="s">
        <v>48</v>
      </c>
      <c r="C54" s="60" t="s">
        <v>134</v>
      </c>
      <c r="D54" s="61">
        <v>12</v>
      </c>
      <c r="E54" s="49">
        <f>(1-'A-3-A-48 Table 17'!Q54)*'A-3-A-48 Table 17'!R54*(IF('A-3-A-48 Table 17'!P54="baseload",VLOOKUP('A-3-A-48 Table 17'!O54,'2015 Avoided Costs'!$B$9:$N$38,7)*'A-3-A-48 Table 17'!S54,VLOOKUP('A-3-A-48 Table 17'!O54,'2015 Avoided Costs'!$B$9:$N$38,9)*'A-3-A-48 Table 17'!S54))</f>
        <v>18666.622820159999</v>
      </c>
      <c r="F54" s="49">
        <f>E54*'A-3-A-48 Table 17'!D54</f>
        <v>223999.47384191997</v>
      </c>
      <c r="G54" s="49">
        <v>1000</v>
      </c>
      <c r="H54" s="49">
        <f>'A-3-A-48 Table 17'!D54*G54</f>
        <v>12000</v>
      </c>
      <c r="I54" s="49">
        <f t="shared" si="2"/>
        <v>211999.47384191997</v>
      </c>
      <c r="J54" s="62">
        <f t="shared" si="3"/>
        <v>18.666622820159997</v>
      </c>
    </row>
    <row r="55" spans="1:10" s="55" customFormat="1" ht="31.2" x14ac:dyDescent="0.3">
      <c r="A55" s="53"/>
      <c r="B55" s="59" t="s">
        <v>51</v>
      </c>
      <c r="C55" s="60" t="s">
        <v>135</v>
      </c>
      <c r="D55" s="61">
        <v>33</v>
      </c>
      <c r="E55" s="49">
        <f>(1-'A-3-A-48 Table 17'!Q55)*'A-3-A-48 Table 17'!R55*(IF('A-3-A-48 Table 17'!P55="baseload",VLOOKUP('A-3-A-48 Table 17'!O55,'2015 Avoided Costs'!$B$9:$N$38,7)*'A-3-A-48 Table 17'!S55,VLOOKUP('A-3-A-48 Table 17'!O55,'2015 Avoided Costs'!$B$9:$N$38,9)*'A-3-A-48 Table 17'!S55))</f>
        <v>52963.006432174989</v>
      </c>
      <c r="F55" s="49">
        <f>E55*'A-3-A-48 Table 17'!D55</f>
        <v>1747779.2122617746</v>
      </c>
      <c r="G55" s="49">
        <v>2500</v>
      </c>
      <c r="H55" s="49">
        <f>'A-3-A-48 Table 17'!D55*G55</f>
        <v>82500</v>
      </c>
      <c r="I55" s="49">
        <f t="shared" si="2"/>
        <v>1665279.2122617746</v>
      </c>
      <c r="J55" s="62">
        <f t="shared" si="3"/>
        <v>21.185202572869994</v>
      </c>
    </row>
    <row r="56" spans="1:10" s="55" customFormat="1" ht="31.2" x14ac:dyDescent="0.3">
      <c r="A56" s="53"/>
      <c r="B56" s="59" t="s">
        <v>48</v>
      </c>
      <c r="C56" s="60" t="s">
        <v>136</v>
      </c>
      <c r="D56" s="61">
        <v>12</v>
      </c>
      <c r="E56" s="49">
        <f>(1-'A-3-A-48 Table 17'!Q56)*'A-3-A-48 Table 17'!R56*(IF('A-3-A-48 Table 17'!P56="baseload",VLOOKUP('A-3-A-48 Table 17'!O56,'2015 Avoided Costs'!$B$9:$N$38,7)*'A-3-A-48 Table 17'!S56,VLOOKUP('A-3-A-48 Table 17'!O56,'2015 Avoided Costs'!$B$9:$N$38,9)*'A-3-A-48 Table 17'!S56))</f>
        <v>75289.77748782</v>
      </c>
      <c r="F56" s="49">
        <f>E56*'A-3-A-48 Table 17'!D56</f>
        <v>903477.32985383994</v>
      </c>
      <c r="G56" s="49">
        <v>2500</v>
      </c>
      <c r="H56" s="49">
        <f>'A-3-A-48 Table 17'!D56*G56</f>
        <v>30000</v>
      </c>
      <c r="I56" s="49">
        <f t="shared" si="2"/>
        <v>873477.32985383994</v>
      </c>
      <c r="J56" s="62">
        <f t="shared" si="3"/>
        <v>30.115910995127997</v>
      </c>
    </row>
    <row r="57" spans="1:10" s="55" customFormat="1" ht="31.2" x14ac:dyDescent="0.3">
      <c r="A57" s="53"/>
      <c r="B57" s="59" t="s">
        <v>51</v>
      </c>
      <c r="C57" s="60" t="s">
        <v>137</v>
      </c>
      <c r="D57" s="61">
        <v>40</v>
      </c>
      <c r="E57" s="49">
        <f>(1-'A-3-A-48 Table 17'!Q57)*'A-3-A-48 Table 17'!R57*(IF('A-3-A-48 Table 17'!P57="baseload",VLOOKUP('A-3-A-48 Table 17'!O57,'2015 Avoided Costs'!$B$9:$N$38,7)*'A-3-A-48 Table 17'!S57,VLOOKUP('A-3-A-48 Table 17'!O57,'2015 Avoided Costs'!$B$9:$N$38,9)*'A-3-A-48 Table 17'!S57))</f>
        <v>6077.3538866249992</v>
      </c>
      <c r="F57" s="49">
        <f>E57*'A-3-A-48 Table 17'!D57</f>
        <v>243094.15546499996</v>
      </c>
      <c r="G57" s="49">
        <v>1000</v>
      </c>
      <c r="H57" s="49">
        <f>'A-3-A-48 Table 17'!D57*G57</f>
        <v>40000</v>
      </c>
      <c r="I57" s="49">
        <f t="shared" si="2"/>
        <v>203094.15546499996</v>
      </c>
      <c r="J57" s="62">
        <f t="shared" si="3"/>
        <v>6.0773538866249988</v>
      </c>
    </row>
    <row r="58" spans="1:10" s="55" customFormat="1" ht="31.2" x14ac:dyDescent="0.3">
      <c r="A58" s="53"/>
      <c r="B58" s="59" t="s">
        <v>48</v>
      </c>
      <c r="C58" s="60" t="s">
        <v>138</v>
      </c>
      <c r="D58" s="61">
        <v>20</v>
      </c>
      <c r="E58" s="49">
        <f>(1-'A-3-A-48 Table 17'!Q58)*'A-3-A-48 Table 17'!R58*(IF('A-3-A-48 Table 17'!P58="baseload",VLOOKUP('A-3-A-48 Table 17'!O58,'2015 Avoided Costs'!$B$9:$N$38,7)*'A-3-A-48 Table 17'!S58,VLOOKUP('A-3-A-48 Table 17'!O58,'2015 Avoided Costs'!$B$9:$N$38,9)*'A-3-A-48 Table 17'!S58))</f>
        <v>6303.8918389999999</v>
      </c>
      <c r="F58" s="49">
        <f>E58*'A-3-A-48 Table 17'!D58</f>
        <v>126077.83678</v>
      </c>
      <c r="G58" s="49">
        <v>1000</v>
      </c>
      <c r="H58" s="49">
        <f>'A-3-A-48 Table 17'!D58*G58</f>
        <v>20000</v>
      </c>
      <c r="I58" s="49">
        <f t="shared" si="2"/>
        <v>106077.83678</v>
      </c>
      <c r="J58" s="62">
        <f t="shared" si="3"/>
        <v>6.3038918390000003</v>
      </c>
    </row>
    <row r="59" spans="1:10" s="55" customFormat="1" ht="31.2" x14ac:dyDescent="0.3">
      <c r="A59" s="53"/>
      <c r="B59" s="59" t="s">
        <v>51</v>
      </c>
      <c r="C59" s="60" t="s">
        <v>139</v>
      </c>
      <c r="D59" s="61">
        <v>16</v>
      </c>
      <c r="E59" s="49">
        <f>(1-'A-3-A-48 Table 17'!Q59)*'A-3-A-48 Table 17'!R59*(IF('A-3-A-48 Table 17'!P59="baseload",VLOOKUP('A-3-A-48 Table 17'!O59,'2015 Avoided Costs'!$B$9:$N$38,7)*'A-3-A-48 Table 17'!S59,VLOOKUP('A-3-A-48 Table 17'!O59,'2015 Avoided Costs'!$B$9:$N$38,9)*'A-3-A-48 Table 17'!S59))</f>
        <v>34821.142131089997</v>
      </c>
      <c r="F59" s="49">
        <f>E59*'A-3-A-48 Table 17'!D59</f>
        <v>557138.27409743995</v>
      </c>
      <c r="G59" s="49">
        <v>2500</v>
      </c>
      <c r="H59" s="49">
        <f>'A-3-A-48 Table 17'!D59*G59</f>
        <v>40000</v>
      </c>
      <c r="I59" s="49">
        <f t="shared" si="2"/>
        <v>517138.27409743995</v>
      </c>
      <c r="J59" s="62">
        <f t="shared" si="3"/>
        <v>13.928456852435998</v>
      </c>
    </row>
    <row r="60" spans="1:10" s="55" customFormat="1" ht="31.2" x14ac:dyDescent="0.3">
      <c r="A60" s="53"/>
      <c r="B60" s="59" t="s">
        <v>48</v>
      </c>
      <c r="C60" s="60" t="s">
        <v>140</v>
      </c>
      <c r="D60" s="61">
        <v>11</v>
      </c>
      <c r="E60" s="49">
        <f>(1-'A-3-A-48 Table 17'!Q60)*'A-3-A-48 Table 17'!R60*(IF('A-3-A-48 Table 17'!P60="baseload",VLOOKUP('A-3-A-48 Table 17'!O60,'2015 Avoided Costs'!$B$9:$N$38,7)*'A-3-A-48 Table 17'!S60,VLOOKUP('A-3-A-48 Table 17'!O60,'2015 Avoided Costs'!$B$9:$N$38,9)*'A-3-A-48 Table 17'!S60))</f>
        <v>68872.238021299985</v>
      </c>
      <c r="F60" s="49">
        <f>E60*'A-3-A-48 Table 17'!D60</f>
        <v>757594.61823429982</v>
      </c>
      <c r="G60" s="49">
        <v>2500</v>
      </c>
      <c r="H60" s="49">
        <f>'A-3-A-48 Table 17'!D60*G60</f>
        <v>27500</v>
      </c>
      <c r="I60" s="49">
        <f t="shared" si="2"/>
        <v>730094.61823429982</v>
      </c>
      <c r="J60" s="62">
        <f t="shared" si="3"/>
        <v>27.548895208519994</v>
      </c>
    </row>
    <row r="61" spans="1:10" s="55" customFormat="1" ht="15.6" x14ac:dyDescent="0.3">
      <c r="A61" s="53"/>
      <c r="B61" s="59" t="s">
        <v>51</v>
      </c>
      <c r="C61" s="60" t="s">
        <v>141</v>
      </c>
      <c r="D61" s="61">
        <v>70</v>
      </c>
      <c r="E61" s="49">
        <f>(1-'A-3-A-48 Table 17'!Q61)*'A-3-A-48 Table 17'!R61*(IF('A-3-A-48 Table 17'!P61="baseload",VLOOKUP('A-3-A-48 Table 17'!O61,'2015 Avoided Costs'!$B$9:$N$38,7)*'A-3-A-48 Table 17'!S61,VLOOKUP('A-3-A-48 Table 17'!O61,'2015 Avoided Costs'!$B$9:$N$38,9)*'A-3-A-48 Table 17'!S61))</f>
        <v>4368.3306827999995</v>
      </c>
      <c r="F61" s="49">
        <f>E61*'A-3-A-48 Table 17'!D61</f>
        <v>305783.14779599995</v>
      </c>
      <c r="G61" s="49">
        <v>1000</v>
      </c>
      <c r="H61" s="49">
        <f>'A-3-A-48 Table 17'!D61*G61</f>
        <v>70000</v>
      </c>
      <c r="I61" s="49">
        <f t="shared" si="2"/>
        <v>235783.14779599995</v>
      </c>
      <c r="J61" s="62">
        <f t="shared" si="3"/>
        <v>4.368330682799999</v>
      </c>
    </row>
    <row r="62" spans="1:10" s="55" customFormat="1" ht="15.6" x14ac:dyDescent="0.3">
      <c r="A62" s="53"/>
      <c r="B62" s="59" t="s">
        <v>48</v>
      </c>
      <c r="C62" s="60" t="s">
        <v>142</v>
      </c>
      <c r="D62" s="61">
        <v>195</v>
      </c>
      <c r="E62" s="49">
        <f>(1-'A-3-A-48 Table 17'!Q62)*'A-3-A-48 Table 17'!R62*(IF('A-3-A-48 Table 17'!P62="baseload",VLOOKUP('A-3-A-48 Table 17'!O62,'2015 Avoided Costs'!$B$9:$N$38,7)*'A-3-A-48 Table 17'!S62,VLOOKUP('A-3-A-48 Table 17'!O62,'2015 Avoided Costs'!$B$9:$N$38,9)*'A-3-A-48 Table 17'!S62))</f>
        <v>3700.3636183849994</v>
      </c>
      <c r="F62" s="49">
        <f>E62*'A-3-A-48 Table 17'!D62</f>
        <v>721570.90558507491</v>
      </c>
      <c r="G62" s="49">
        <v>1000</v>
      </c>
      <c r="H62" s="49">
        <f>'A-3-A-48 Table 17'!D62*G62</f>
        <v>195000</v>
      </c>
      <c r="I62" s="49">
        <f t="shared" si="2"/>
        <v>526570.90558507491</v>
      </c>
      <c r="J62" s="62">
        <f t="shared" si="3"/>
        <v>3.7003636183849995</v>
      </c>
    </row>
    <row r="63" spans="1:10" s="55" customFormat="1" ht="15.6" x14ac:dyDescent="0.3">
      <c r="A63" s="53"/>
      <c r="B63" s="59" t="s">
        <v>51</v>
      </c>
      <c r="C63" s="60" t="s">
        <v>143</v>
      </c>
      <c r="D63" s="61">
        <v>41</v>
      </c>
      <c r="E63" s="49">
        <f>(1-'A-3-A-48 Table 17'!Q63)*'A-3-A-48 Table 17'!R63*(IF('A-3-A-48 Table 17'!P63="baseload",VLOOKUP('A-3-A-48 Table 17'!O63,'2015 Avoided Costs'!$B$9:$N$38,7)*'A-3-A-48 Table 17'!S63,VLOOKUP('A-3-A-48 Table 17'!O63,'2015 Avoided Costs'!$B$9:$N$38,9)*'A-3-A-48 Table 17'!S63))</f>
        <v>21788.119949749998</v>
      </c>
      <c r="F63" s="49">
        <f>E63*'A-3-A-48 Table 17'!D63</f>
        <v>893312.9179397499</v>
      </c>
      <c r="G63" s="49">
        <v>2500</v>
      </c>
      <c r="H63" s="49">
        <f>'A-3-A-48 Table 17'!D63*G63</f>
        <v>102500</v>
      </c>
      <c r="I63" s="49">
        <f t="shared" si="2"/>
        <v>790812.9179397499</v>
      </c>
      <c r="J63" s="62">
        <f t="shared" si="3"/>
        <v>8.7152479798999991</v>
      </c>
    </row>
    <row r="64" spans="1:10" s="55" customFormat="1" ht="15.6" x14ac:dyDescent="0.3">
      <c r="A64" s="53"/>
      <c r="B64" s="59" t="s">
        <v>48</v>
      </c>
      <c r="C64" s="60" t="s">
        <v>144</v>
      </c>
      <c r="D64" s="61">
        <v>45</v>
      </c>
      <c r="E64" s="49">
        <f>(1-'A-3-A-48 Table 17'!Q64)*'A-3-A-48 Table 17'!R64*(IF('A-3-A-48 Table 17'!P64="baseload",VLOOKUP('A-3-A-48 Table 17'!O64,'2015 Avoided Costs'!$B$9:$N$38,7)*'A-3-A-48 Table 17'!S64,VLOOKUP('A-3-A-48 Table 17'!O64,'2015 Avoided Costs'!$B$9:$N$38,9)*'A-3-A-48 Table 17'!S64))</f>
        <v>25840.211485199994</v>
      </c>
      <c r="F64" s="49">
        <f>E64*'A-3-A-48 Table 17'!D64</f>
        <v>1162809.5168339997</v>
      </c>
      <c r="G64" s="49">
        <v>2500</v>
      </c>
      <c r="H64" s="49">
        <f>'A-3-A-48 Table 17'!D64*G64</f>
        <v>112500</v>
      </c>
      <c r="I64" s="49">
        <f t="shared" si="2"/>
        <v>1050309.5168339997</v>
      </c>
      <c r="J64" s="62">
        <f t="shared" si="3"/>
        <v>10.336084594079997</v>
      </c>
    </row>
    <row r="65" spans="1:10" s="55" customFormat="1" ht="15.6" x14ac:dyDescent="0.3">
      <c r="A65" s="53"/>
      <c r="B65" s="59" t="s">
        <v>51</v>
      </c>
      <c r="C65" s="60" t="s">
        <v>145</v>
      </c>
      <c r="D65" s="61">
        <v>2</v>
      </c>
      <c r="E65" s="49">
        <f>(1-'A-3-A-48 Table 17'!Q65)*'A-3-A-48 Table 17'!R65*(IF('A-3-A-48 Table 17'!P65="baseload",VLOOKUP('A-3-A-48 Table 17'!O65,'2015 Avoided Costs'!$B$9:$N$38,7)*'A-3-A-48 Table 17'!S65,VLOOKUP('A-3-A-48 Table 17'!O65,'2015 Avoided Costs'!$B$9:$N$38,9)*'A-3-A-48 Table 17'!S65))</f>
        <v>3287.7903492699998</v>
      </c>
      <c r="F65" s="49">
        <f>E65*'A-3-A-48 Table 17'!D65</f>
        <v>6575.5806985399995</v>
      </c>
      <c r="G65" s="49">
        <v>500</v>
      </c>
      <c r="H65" s="49">
        <f>'A-3-A-48 Table 17'!D65*G65</f>
        <v>1000</v>
      </c>
      <c r="I65" s="49">
        <f t="shared" si="2"/>
        <v>5575.5806985399995</v>
      </c>
      <c r="J65" s="62">
        <f t="shared" si="3"/>
        <v>6.5755806985399996</v>
      </c>
    </row>
    <row r="66" spans="1:10" s="55" customFormat="1" ht="15.6" x14ac:dyDescent="0.3">
      <c r="A66" s="53"/>
      <c r="B66" s="59" t="s">
        <v>48</v>
      </c>
      <c r="C66" s="60" t="s">
        <v>145</v>
      </c>
      <c r="D66" s="61">
        <v>6</v>
      </c>
      <c r="E66" s="49">
        <f>(1-'A-3-A-48 Table 17'!Q66)*'A-3-A-48 Table 17'!R66*(IF('A-3-A-48 Table 17'!P66="baseload",VLOOKUP('A-3-A-48 Table 17'!O66,'2015 Avoided Costs'!$B$9:$N$38,7)*'A-3-A-48 Table 17'!S66,VLOOKUP('A-3-A-48 Table 17'!O66,'2015 Avoided Costs'!$B$9:$N$38,9)*'A-3-A-48 Table 17'!S66))</f>
        <v>6597.6208174799995</v>
      </c>
      <c r="F66" s="49">
        <f>E66*'A-3-A-48 Table 17'!D66</f>
        <v>39585.72490488</v>
      </c>
      <c r="G66" s="49">
        <v>500</v>
      </c>
      <c r="H66" s="49">
        <f>'A-3-A-48 Table 17'!D66*G66</f>
        <v>3000</v>
      </c>
      <c r="I66" s="49">
        <f t="shared" si="2"/>
        <v>36585.72490488</v>
      </c>
      <c r="J66" s="62">
        <f t="shared" si="3"/>
        <v>13.19524163496</v>
      </c>
    </row>
    <row r="67" spans="1:10" s="55" customFormat="1" ht="15.6" x14ac:dyDescent="0.3">
      <c r="A67" s="53"/>
      <c r="B67" s="59" t="s">
        <v>51</v>
      </c>
      <c r="C67" s="60" t="s">
        <v>146</v>
      </c>
      <c r="D67" s="61">
        <v>1</v>
      </c>
      <c r="E67" s="49">
        <f>(1-'A-3-A-48 Table 17'!Q67)*'A-3-A-48 Table 17'!R67*(IF('A-3-A-48 Table 17'!P67="baseload",VLOOKUP('A-3-A-48 Table 17'!O67,'2015 Avoided Costs'!$B$9:$N$38,7)*'A-3-A-48 Table 17'!S67,VLOOKUP('A-3-A-48 Table 17'!O67,'2015 Avoided Costs'!$B$9:$N$38,9)*'A-3-A-48 Table 17'!S67))</f>
        <v>19888.334815999999</v>
      </c>
      <c r="F67" s="49">
        <f>E67*'A-3-A-48 Table 17'!D67</f>
        <v>19888.334815999999</v>
      </c>
      <c r="G67" s="49">
        <v>750</v>
      </c>
      <c r="H67" s="49">
        <f>'A-3-A-48 Table 17'!D67*G67</f>
        <v>750</v>
      </c>
      <c r="I67" s="49">
        <f t="shared" ref="I67:I98" si="4">F67-H67</f>
        <v>19138.334815999999</v>
      </c>
      <c r="J67" s="62">
        <f t="shared" ref="J67:J98" si="5">F67/H67</f>
        <v>26.517779754666666</v>
      </c>
    </row>
    <row r="68" spans="1:10" s="55" customFormat="1" ht="15.6" x14ac:dyDescent="0.3">
      <c r="A68" s="53"/>
      <c r="B68" s="59" t="s">
        <v>48</v>
      </c>
      <c r="C68" s="60" t="s">
        <v>146</v>
      </c>
      <c r="D68" s="61">
        <v>1</v>
      </c>
      <c r="E68" s="49">
        <f>(1-'A-3-A-48 Table 17'!Q68)*'A-3-A-48 Table 17'!R68*(IF('A-3-A-48 Table 17'!P68="baseload",VLOOKUP('A-3-A-48 Table 17'!O68,'2015 Avoided Costs'!$B$9:$N$38,7)*'A-3-A-48 Table 17'!S68,VLOOKUP('A-3-A-48 Table 17'!O68,'2015 Avoided Costs'!$B$9:$N$38,9)*'A-3-A-48 Table 17'!S68))</f>
        <v>27262.895939999999</v>
      </c>
      <c r="F68" s="49">
        <f>E68*'A-3-A-48 Table 17'!D68</f>
        <v>27262.895939999999</v>
      </c>
      <c r="G68" s="49">
        <v>750</v>
      </c>
      <c r="H68" s="49">
        <f>'A-3-A-48 Table 17'!D68*G68</f>
        <v>750</v>
      </c>
      <c r="I68" s="49">
        <f t="shared" si="4"/>
        <v>26512.895939999999</v>
      </c>
      <c r="J68" s="62">
        <f t="shared" si="5"/>
        <v>36.350527919999998</v>
      </c>
    </row>
    <row r="69" spans="1:10" s="55" customFormat="1" ht="15.6" x14ac:dyDescent="0.3">
      <c r="A69" s="53"/>
      <c r="B69" s="59" t="s">
        <v>51</v>
      </c>
      <c r="C69" s="60" t="s">
        <v>147</v>
      </c>
      <c r="D69" s="61">
        <v>25</v>
      </c>
      <c r="E69" s="49">
        <f>(1-'A-3-A-48 Table 17'!Q69)*'A-3-A-48 Table 17'!R69*(IF('A-3-A-48 Table 17'!P69="baseload",VLOOKUP('A-3-A-48 Table 17'!O69,'2015 Avoided Costs'!$B$9:$N$38,7)*'A-3-A-48 Table 17'!S69,VLOOKUP('A-3-A-48 Table 17'!O69,'2015 Avoided Costs'!$B$9:$N$38,9)*'A-3-A-48 Table 17'!S69))</f>
        <v>1829.8521497199999</v>
      </c>
      <c r="F69" s="49">
        <f>E69*'A-3-A-48 Table 17'!D69</f>
        <v>45746.303742999997</v>
      </c>
      <c r="G69" s="49">
        <v>500</v>
      </c>
      <c r="H69" s="49">
        <f>'A-3-A-48 Table 17'!D69*G69</f>
        <v>12500</v>
      </c>
      <c r="I69" s="49">
        <f t="shared" si="4"/>
        <v>33246.303742999997</v>
      </c>
      <c r="J69" s="62">
        <f t="shared" si="5"/>
        <v>3.6597042994399995</v>
      </c>
    </row>
    <row r="70" spans="1:10" s="55" customFormat="1" ht="15.6" x14ac:dyDescent="0.3">
      <c r="A70" s="53"/>
      <c r="B70" s="59" t="s">
        <v>48</v>
      </c>
      <c r="C70" s="60" t="s">
        <v>147</v>
      </c>
      <c r="D70" s="61">
        <v>33</v>
      </c>
      <c r="E70" s="49">
        <f>(1-'A-3-A-48 Table 17'!Q70)*'A-3-A-48 Table 17'!R70*(IF('A-3-A-48 Table 17'!P70="baseload",VLOOKUP('A-3-A-48 Table 17'!O70,'2015 Avoided Costs'!$B$9:$N$38,7)*'A-3-A-48 Table 17'!S70,VLOOKUP('A-3-A-48 Table 17'!O70,'2015 Avoided Costs'!$B$9:$N$38,9)*'A-3-A-48 Table 17'!S70))</f>
        <v>4212.7441559699992</v>
      </c>
      <c r="F70" s="49">
        <f>E70*'A-3-A-48 Table 17'!D70</f>
        <v>139020.55714700997</v>
      </c>
      <c r="G70" s="49">
        <v>500</v>
      </c>
      <c r="H70" s="49">
        <f>'A-3-A-48 Table 17'!D70*G70</f>
        <v>16500</v>
      </c>
      <c r="I70" s="49">
        <f t="shared" si="4"/>
        <v>122520.55714700997</v>
      </c>
      <c r="J70" s="62">
        <f t="shared" si="5"/>
        <v>8.4254883119399988</v>
      </c>
    </row>
    <row r="71" spans="1:10" s="55" customFormat="1" ht="15.6" x14ac:dyDescent="0.3">
      <c r="A71" s="53"/>
      <c r="B71" s="59" t="s">
        <v>51</v>
      </c>
      <c r="C71" s="60" t="s">
        <v>148</v>
      </c>
      <c r="D71" s="61">
        <v>17</v>
      </c>
      <c r="E71" s="49">
        <f>(1-'A-3-A-48 Table 17'!Q71)*'A-3-A-48 Table 17'!R71*(IF('A-3-A-48 Table 17'!P71="baseload",VLOOKUP('A-3-A-48 Table 17'!O71,'2015 Avoided Costs'!$B$9:$N$38,7)*'A-3-A-48 Table 17'!S71,VLOOKUP('A-3-A-48 Table 17'!O71,'2015 Avoided Costs'!$B$9:$N$38,9)*'A-3-A-48 Table 17'!S71))</f>
        <v>23736.476909600002</v>
      </c>
      <c r="F71" s="49">
        <f>E71*'A-3-A-48 Table 17'!D71</f>
        <v>403520.10746320005</v>
      </c>
      <c r="G71" s="49">
        <v>750</v>
      </c>
      <c r="H71" s="49">
        <f>'A-3-A-48 Table 17'!D71*G71</f>
        <v>12750</v>
      </c>
      <c r="I71" s="49">
        <f t="shared" si="4"/>
        <v>390770.10746320005</v>
      </c>
      <c r="J71" s="62">
        <f t="shared" si="5"/>
        <v>31.648635879466671</v>
      </c>
    </row>
    <row r="72" spans="1:10" s="55" customFormat="1" ht="15.6" x14ac:dyDescent="0.3">
      <c r="A72" s="53"/>
      <c r="B72" s="59" t="s">
        <v>48</v>
      </c>
      <c r="C72" s="60" t="s">
        <v>148</v>
      </c>
      <c r="D72" s="61">
        <v>21</v>
      </c>
      <c r="E72" s="49">
        <f>(1-'A-3-A-48 Table 17'!Q72)*'A-3-A-48 Table 17'!R72*(IF('A-3-A-48 Table 17'!P72="baseload",VLOOKUP('A-3-A-48 Table 17'!O72,'2015 Avoided Costs'!$B$9:$N$38,7)*'A-3-A-48 Table 17'!S72,VLOOKUP('A-3-A-48 Table 17'!O72,'2015 Avoided Costs'!$B$9:$N$38,9)*'A-3-A-48 Table 17'!S72))</f>
        <v>42336.770461859989</v>
      </c>
      <c r="F72" s="49">
        <f>E72*'A-3-A-48 Table 17'!D72</f>
        <v>889072.17969905981</v>
      </c>
      <c r="G72" s="49">
        <v>750</v>
      </c>
      <c r="H72" s="49">
        <f>'A-3-A-48 Table 17'!D72*G72</f>
        <v>15750</v>
      </c>
      <c r="I72" s="49">
        <f t="shared" si="4"/>
        <v>873322.17969905981</v>
      </c>
      <c r="J72" s="62">
        <f t="shared" si="5"/>
        <v>56.449027282479989</v>
      </c>
    </row>
    <row r="73" spans="1:10" s="55" customFormat="1" ht="15.6" x14ac:dyDescent="0.3">
      <c r="A73" s="53"/>
      <c r="B73" s="59" t="s">
        <v>51</v>
      </c>
      <c r="C73" s="60" t="s">
        <v>149</v>
      </c>
      <c r="D73" s="61">
        <v>17</v>
      </c>
      <c r="E73" s="49">
        <f>(1-'A-3-A-48 Table 17'!Q73)*'A-3-A-48 Table 17'!R73*(IF('A-3-A-48 Table 17'!P73="baseload",VLOOKUP('A-3-A-48 Table 17'!O73,'2015 Avoided Costs'!$B$9:$N$38,7)*'A-3-A-48 Table 17'!S73,VLOOKUP('A-3-A-48 Table 17'!O73,'2015 Avoided Costs'!$B$9:$N$38,9)*'A-3-A-48 Table 17'!S73))</f>
        <v>41912.785424999995</v>
      </c>
      <c r="F73" s="49">
        <f>E73*'A-3-A-48 Table 17'!D73</f>
        <v>712517.35222499992</v>
      </c>
      <c r="G73" s="49">
        <v>750</v>
      </c>
      <c r="H73" s="49">
        <f>'A-3-A-48 Table 17'!D73*G73</f>
        <v>12750</v>
      </c>
      <c r="I73" s="49">
        <f t="shared" si="4"/>
        <v>699767.35222499992</v>
      </c>
      <c r="J73" s="62">
        <f t="shared" si="5"/>
        <v>55.883713899999996</v>
      </c>
    </row>
    <row r="74" spans="1:10" s="55" customFormat="1" ht="15.6" x14ac:dyDescent="0.3">
      <c r="A74" s="53"/>
      <c r="B74" s="59" t="s">
        <v>48</v>
      </c>
      <c r="C74" s="60" t="s">
        <v>149</v>
      </c>
      <c r="D74" s="61">
        <v>5</v>
      </c>
      <c r="E74" s="49">
        <f>(1-'A-3-A-48 Table 17'!Q74)*'A-3-A-48 Table 17'!R74*(IF('A-3-A-48 Table 17'!P74="baseload",VLOOKUP('A-3-A-48 Table 17'!O74,'2015 Avoided Costs'!$B$9:$N$38,7)*'A-3-A-48 Table 17'!S74,VLOOKUP('A-3-A-48 Table 17'!O74,'2015 Avoided Costs'!$B$9:$N$38,9)*'A-3-A-48 Table 17'!S74))</f>
        <v>24547.051899999999</v>
      </c>
      <c r="F74" s="49">
        <f>E74*'A-3-A-48 Table 17'!D74</f>
        <v>122735.25949999999</v>
      </c>
      <c r="G74" s="49">
        <v>750</v>
      </c>
      <c r="H74" s="49">
        <f>'A-3-A-48 Table 17'!D74*G74</f>
        <v>3750</v>
      </c>
      <c r="I74" s="49">
        <f t="shared" si="4"/>
        <v>118985.25949999999</v>
      </c>
      <c r="J74" s="62">
        <f t="shared" si="5"/>
        <v>32.729402533333328</v>
      </c>
    </row>
    <row r="75" spans="1:10" s="55" customFormat="1" ht="15.6" x14ac:dyDescent="0.3">
      <c r="A75" s="53"/>
      <c r="B75" s="59" t="s">
        <v>51</v>
      </c>
      <c r="C75" s="60" t="s">
        <v>150</v>
      </c>
      <c r="D75" s="61">
        <v>1</v>
      </c>
      <c r="E75" s="49">
        <f>(1-'A-3-A-48 Table 17'!Q75)*'A-3-A-48 Table 17'!R75*(IF('A-3-A-48 Table 17'!P75="baseload",VLOOKUP('A-3-A-48 Table 17'!O75,'2015 Avoided Costs'!$B$9:$N$38,7)*'A-3-A-48 Table 17'!S75,VLOOKUP('A-3-A-48 Table 17'!O75,'2015 Avoided Costs'!$B$9:$N$38,9)*'A-3-A-48 Table 17'!S75))</f>
        <v>4638.3482537</v>
      </c>
      <c r="F75" s="49">
        <f>E75*'A-3-A-48 Table 17'!D75</f>
        <v>4638.3482537</v>
      </c>
      <c r="G75" s="49">
        <v>500</v>
      </c>
      <c r="H75" s="49">
        <f>'A-3-A-48 Table 17'!D75*G75</f>
        <v>500</v>
      </c>
      <c r="I75" s="49">
        <f t="shared" si="4"/>
        <v>4138.3482537</v>
      </c>
      <c r="J75" s="62">
        <f t="shared" si="5"/>
        <v>9.2766965074000005</v>
      </c>
    </row>
    <row r="76" spans="1:10" s="55" customFormat="1" ht="15.6" x14ac:dyDescent="0.3">
      <c r="A76" s="53"/>
      <c r="B76" s="59" t="s">
        <v>48</v>
      </c>
      <c r="C76" s="60" t="s">
        <v>150</v>
      </c>
      <c r="D76" s="61">
        <v>1</v>
      </c>
      <c r="E76" s="49">
        <f>(1-'A-3-A-48 Table 17'!Q76)*'A-3-A-48 Table 17'!R76*(IF('A-3-A-48 Table 17'!P76="baseload",VLOOKUP('A-3-A-48 Table 17'!O76,'2015 Avoided Costs'!$B$9:$N$38,7)*'A-3-A-48 Table 17'!S76,VLOOKUP('A-3-A-48 Table 17'!O76,'2015 Avoided Costs'!$B$9:$N$38,9)*'A-3-A-48 Table 17'!S76))</f>
        <v>5044.41916545</v>
      </c>
      <c r="F76" s="49">
        <f>E76*'A-3-A-48 Table 17'!D76</f>
        <v>5044.41916545</v>
      </c>
      <c r="G76" s="49">
        <v>500</v>
      </c>
      <c r="H76" s="49">
        <f>'A-3-A-48 Table 17'!D76*G76</f>
        <v>500</v>
      </c>
      <c r="I76" s="49">
        <f t="shared" si="4"/>
        <v>4544.41916545</v>
      </c>
      <c r="J76" s="62">
        <f t="shared" si="5"/>
        <v>10.0888383309</v>
      </c>
    </row>
    <row r="77" spans="1:10" s="55" customFormat="1" ht="15.6" x14ac:dyDescent="0.3">
      <c r="A77" s="53"/>
      <c r="B77" s="59" t="s">
        <v>50</v>
      </c>
      <c r="C77" s="60" t="s">
        <v>151</v>
      </c>
      <c r="D77" s="61">
        <v>400</v>
      </c>
      <c r="E77" s="49">
        <f>(1-'A-3-A-48 Table 17'!Q77)*'A-3-A-48 Table 17'!R77*(IF('A-3-A-48 Table 17'!P77="baseload",VLOOKUP('A-3-A-48 Table 17'!O77,'2015 Avoided Costs'!$B$9:$N$38,7)*'A-3-A-48 Table 17'!S77,VLOOKUP('A-3-A-48 Table 17'!O77,'2015 Avoided Costs'!$B$9:$N$38,9)*'A-3-A-48 Table 17'!S77))</f>
        <v>2033.9900970767997</v>
      </c>
      <c r="F77" s="49">
        <f>E77*'A-3-A-48 Table 17'!D77</f>
        <v>813596.03883071989</v>
      </c>
      <c r="G77" s="49">
        <v>300</v>
      </c>
      <c r="H77" s="49">
        <f>'A-3-A-48 Table 17'!D77*G77</f>
        <v>120000</v>
      </c>
      <c r="I77" s="49">
        <f t="shared" si="4"/>
        <v>693596.03883071989</v>
      </c>
      <c r="J77" s="62">
        <f t="shared" si="5"/>
        <v>6.7799669902559989</v>
      </c>
    </row>
    <row r="78" spans="1:10" s="55" customFormat="1" ht="15.6" x14ac:dyDescent="0.3">
      <c r="A78" s="53"/>
      <c r="B78" s="59" t="s">
        <v>50</v>
      </c>
      <c r="C78" s="60" t="s">
        <v>152</v>
      </c>
      <c r="D78" s="61">
        <v>800</v>
      </c>
      <c r="E78" s="49">
        <f>(1-'A-3-A-48 Table 17'!Q78)*'A-3-A-48 Table 17'!R78*(IF('A-3-A-48 Table 17'!P78="baseload",VLOOKUP('A-3-A-48 Table 17'!O78,'2015 Avoided Costs'!$B$9:$N$38,7)*'A-3-A-48 Table 17'!S78,VLOOKUP('A-3-A-48 Table 17'!O78,'2015 Avoided Costs'!$B$9:$N$38,9)*'A-3-A-48 Table 17'!S78))</f>
        <v>5069.1654929807992</v>
      </c>
      <c r="F78" s="49">
        <f>E78*'A-3-A-48 Table 17'!D78</f>
        <v>4055332.3943846393</v>
      </c>
      <c r="G78" s="49">
        <v>300</v>
      </c>
      <c r="H78" s="49">
        <f>'A-3-A-48 Table 17'!D78*G78</f>
        <v>240000</v>
      </c>
      <c r="I78" s="49">
        <f t="shared" si="4"/>
        <v>3815332.3943846393</v>
      </c>
      <c r="J78" s="62">
        <f t="shared" si="5"/>
        <v>16.897218309935997</v>
      </c>
    </row>
    <row r="79" spans="1:10" s="55" customFormat="1" ht="15.6" x14ac:dyDescent="0.3">
      <c r="A79" s="53"/>
      <c r="B79" s="59" t="s">
        <v>50</v>
      </c>
      <c r="C79" s="60" t="s">
        <v>153</v>
      </c>
      <c r="D79" s="61">
        <v>200</v>
      </c>
      <c r="E79" s="49">
        <f>(1-'A-3-A-48 Table 17'!Q79)*'A-3-A-48 Table 17'!R79*(IF('A-3-A-48 Table 17'!P79="baseload",VLOOKUP('A-3-A-48 Table 17'!O79,'2015 Avoided Costs'!$B$9:$N$38,7)*'A-3-A-48 Table 17'!S79,VLOOKUP('A-3-A-48 Table 17'!O79,'2015 Avoided Costs'!$B$9:$N$38,9)*'A-3-A-48 Table 17'!S79))</f>
        <v>4115.011985726399</v>
      </c>
      <c r="F79" s="49">
        <f>E79*'A-3-A-48 Table 17'!D79</f>
        <v>823002.3971452798</v>
      </c>
      <c r="G79" s="49">
        <v>400</v>
      </c>
      <c r="H79" s="49">
        <f>'A-3-A-48 Table 17'!D79*G79</f>
        <v>80000</v>
      </c>
      <c r="I79" s="49">
        <f t="shared" si="4"/>
        <v>743002.3971452798</v>
      </c>
      <c r="J79" s="62">
        <f t="shared" si="5"/>
        <v>10.287529964315997</v>
      </c>
    </row>
    <row r="80" spans="1:10" s="55" customFormat="1" ht="15.6" x14ac:dyDescent="0.3">
      <c r="A80" s="53"/>
      <c r="B80" s="59" t="s">
        <v>50</v>
      </c>
      <c r="C80" s="60" t="s">
        <v>154</v>
      </c>
      <c r="D80" s="61">
        <v>400</v>
      </c>
      <c r="E80" s="49">
        <f>(1-'A-3-A-48 Table 17'!Q80)*'A-3-A-48 Table 17'!R80*(IF('A-3-A-48 Table 17'!P80="baseload",VLOOKUP('A-3-A-48 Table 17'!O80,'2015 Avoided Costs'!$B$9:$N$38,7)*'A-3-A-48 Table 17'!S80,VLOOKUP('A-3-A-48 Table 17'!O80,'2015 Avoided Costs'!$B$9:$N$38,9)*'A-3-A-48 Table 17'!S80))</f>
        <v>8298.2378827457978</v>
      </c>
      <c r="F80" s="49">
        <f>E80*'A-3-A-48 Table 17'!D80</f>
        <v>3319295.1530983192</v>
      </c>
      <c r="G80" s="49">
        <v>400</v>
      </c>
      <c r="H80" s="49">
        <f>'A-3-A-48 Table 17'!D80*G80</f>
        <v>160000</v>
      </c>
      <c r="I80" s="49">
        <f t="shared" si="4"/>
        <v>3159295.1530983192</v>
      </c>
      <c r="J80" s="62">
        <f t="shared" si="5"/>
        <v>20.745594706864495</v>
      </c>
    </row>
    <row r="81" spans="1:10" s="55" customFormat="1" ht="15.6" x14ac:dyDescent="0.3">
      <c r="A81" s="53"/>
      <c r="B81" s="59" t="s">
        <v>49</v>
      </c>
      <c r="C81" s="60" t="s">
        <v>155</v>
      </c>
      <c r="D81" s="61">
        <v>40</v>
      </c>
      <c r="E81" s="49">
        <f>(1-'A-3-A-48 Table 17'!Q81)*'A-3-A-48 Table 17'!R81*(IF('A-3-A-48 Table 17'!P81="baseload",VLOOKUP('A-3-A-48 Table 17'!O81,'2015 Avoided Costs'!$B$9:$N$38,7)*'A-3-A-48 Table 17'!S81,VLOOKUP('A-3-A-48 Table 17'!O81,'2015 Avoided Costs'!$B$9:$N$38,9)*'A-3-A-48 Table 17'!S81))</f>
        <v>10771.044051024001</v>
      </c>
      <c r="F81" s="49">
        <f>E81*'A-3-A-48 Table 17'!D81</f>
        <v>376986.54178584</v>
      </c>
      <c r="G81" s="49">
        <v>4000</v>
      </c>
      <c r="H81" s="49">
        <f>'A-3-A-48 Table 17'!D81*G81</f>
        <v>140000</v>
      </c>
      <c r="I81" s="49">
        <f t="shared" si="4"/>
        <v>236986.54178584</v>
      </c>
      <c r="J81" s="62">
        <f t="shared" si="5"/>
        <v>2.6927610127560002</v>
      </c>
    </row>
    <row r="82" spans="1:10" s="55" customFormat="1" ht="15.6" x14ac:dyDescent="0.3">
      <c r="A82" s="53"/>
      <c r="B82" s="59" t="s">
        <v>49</v>
      </c>
      <c r="C82" s="60" t="s">
        <v>156</v>
      </c>
      <c r="D82" s="61">
        <v>35</v>
      </c>
      <c r="E82" s="49">
        <f>(1-'A-3-A-48 Table 17'!Q82)*'A-3-A-48 Table 17'!R82*(IF('A-3-A-48 Table 17'!P82="baseload",VLOOKUP('A-3-A-48 Table 17'!O82,'2015 Avoided Costs'!$B$9:$N$38,7)*'A-3-A-48 Table 17'!S82,VLOOKUP('A-3-A-48 Table 17'!O82,'2015 Avoided Costs'!$B$9:$N$38,9)*'A-3-A-48 Table 17'!S82))</f>
        <v>24254.055546400359</v>
      </c>
      <c r="F82" s="49">
        <f>E82*'A-3-A-48 Table 17'!D82</f>
        <v>970162.22185601434</v>
      </c>
      <c r="G82" s="49">
        <v>4500</v>
      </c>
      <c r="H82" s="49">
        <f>'A-3-A-48 Table 17'!D82*G82</f>
        <v>180000</v>
      </c>
      <c r="I82" s="49">
        <f t="shared" si="4"/>
        <v>790162.22185601434</v>
      </c>
      <c r="J82" s="62">
        <f t="shared" si="5"/>
        <v>5.3897901214223021</v>
      </c>
    </row>
    <row r="83" spans="1:10" s="55" customFormat="1" ht="15.6" x14ac:dyDescent="0.3">
      <c r="A83" s="53"/>
      <c r="B83" s="59" t="s">
        <v>49</v>
      </c>
      <c r="C83" s="60" t="s">
        <v>157</v>
      </c>
      <c r="D83" s="61">
        <v>8</v>
      </c>
      <c r="E83" s="49">
        <f>(1-'A-3-A-48 Table 17'!Q83)*'A-3-A-48 Table 17'!R83*(IF('A-3-A-48 Table 17'!P83="baseload",VLOOKUP('A-3-A-48 Table 17'!O83,'2015 Avoided Costs'!$B$9:$N$38,7)*'A-3-A-48 Table 17'!S83,VLOOKUP('A-3-A-48 Table 17'!O83,'2015 Avoided Costs'!$B$9:$N$38,9)*'A-3-A-48 Table 17'!S83))</f>
        <v>31705.089343740001</v>
      </c>
      <c r="F83" s="49">
        <f>E83*'A-3-A-48 Table 17'!D83</f>
        <v>253640.71474992001</v>
      </c>
      <c r="G83" s="49">
        <v>4500</v>
      </c>
      <c r="H83" s="49">
        <f>'A-3-A-48 Table 17'!D83*G83</f>
        <v>36000</v>
      </c>
      <c r="I83" s="49">
        <f t="shared" si="4"/>
        <v>217640.71474992001</v>
      </c>
      <c r="J83" s="62">
        <f t="shared" si="5"/>
        <v>7.0455754097200005</v>
      </c>
    </row>
    <row r="84" spans="1:10" s="55" customFormat="1" ht="15.6" x14ac:dyDescent="0.3">
      <c r="A84" s="53"/>
      <c r="B84" s="59" t="s">
        <v>49</v>
      </c>
      <c r="C84" s="60" t="s">
        <v>158</v>
      </c>
      <c r="D84" s="61">
        <v>8</v>
      </c>
      <c r="E84" s="49">
        <f>(1-'A-3-A-48 Table 17'!Q84)*'A-3-A-48 Table 17'!R84*(IF('A-3-A-48 Table 17'!P84="baseload",VLOOKUP('A-3-A-48 Table 17'!O84,'2015 Avoided Costs'!$B$9:$N$38,7)*'A-3-A-48 Table 17'!S84,VLOOKUP('A-3-A-48 Table 17'!O84,'2015 Avoided Costs'!$B$9:$N$38,9)*'A-3-A-48 Table 17'!S84))</f>
        <v>44713.634418374124</v>
      </c>
      <c r="F84" s="49">
        <f>E84*'A-3-A-48 Table 17'!D84</f>
        <v>357709.07534699299</v>
      </c>
      <c r="G84" s="49">
        <v>8000</v>
      </c>
      <c r="H84" s="49">
        <f>'A-3-A-48 Table 17'!D84*G84</f>
        <v>64000</v>
      </c>
      <c r="I84" s="49">
        <f t="shared" si="4"/>
        <v>293709.07534699299</v>
      </c>
      <c r="J84" s="62">
        <f t="shared" si="5"/>
        <v>5.5892043022967659</v>
      </c>
    </row>
    <row r="85" spans="1:10" s="55" customFormat="1" ht="15.6" x14ac:dyDescent="0.3">
      <c r="A85" s="53"/>
      <c r="B85" s="59" t="s">
        <v>50</v>
      </c>
      <c r="C85" s="60" t="s">
        <v>82</v>
      </c>
      <c r="D85" s="61">
        <v>8</v>
      </c>
      <c r="E85" s="49">
        <f>(1-'A-3-A-48 Table 17'!Q85)*'A-3-A-48 Table 17'!R85*(IF('A-3-A-48 Table 17'!P85="baseload",VLOOKUP('A-3-A-48 Table 17'!O85,'2015 Avoided Costs'!$B$9:$N$38,7)*'A-3-A-48 Table 17'!S85,VLOOKUP('A-3-A-48 Table 17'!O85,'2015 Avoided Costs'!$B$9:$N$38,9)*'A-3-A-48 Table 17'!S85))</f>
        <v>4627.0699199999999</v>
      </c>
      <c r="F85" s="49">
        <f>E85*'A-3-A-48 Table 17'!D85</f>
        <v>37016.559359999999</v>
      </c>
      <c r="G85" s="49">
        <v>250</v>
      </c>
      <c r="H85" s="49">
        <f>'A-3-A-48 Table 17'!D85*G85</f>
        <v>2000</v>
      </c>
      <c r="I85" s="49">
        <f t="shared" si="4"/>
        <v>35016.559359999999</v>
      </c>
      <c r="J85" s="62">
        <f t="shared" si="5"/>
        <v>18.508279680000001</v>
      </c>
    </row>
    <row r="86" spans="1:10" s="55" customFormat="1" ht="15.6" x14ac:dyDescent="0.3">
      <c r="A86" s="53"/>
      <c r="B86" s="59" t="s">
        <v>50</v>
      </c>
      <c r="C86" s="60" t="s">
        <v>83</v>
      </c>
      <c r="D86" s="61">
        <v>8</v>
      </c>
      <c r="E86" s="49">
        <f>(1-'A-3-A-48 Table 17'!Q86)*'A-3-A-48 Table 17'!R86*(IF('A-3-A-48 Table 17'!P86="baseload",VLOOKUP('A-3-A-48 Table 17'!O86,'2015 Avoided Costs'!$B$9:$N$38,7)*'A-3-A-48 Table 17'!S86,VLOOKUP('A-3-A-48 Table 17'!O86,'2015 Avoided Costs'!$B$9:$N$38,9)*'A-3-A-48 Table 17'!S86))</f>
        <v>6167.5838400000002</v>
      </c>
      <c r="F86" s="49">
        <f>E86*'A-3-A-48 Table 17'!D86</f>
        <v>49340.670720000002</v>
      </c>
      <c r="G86" s="49">
        <v>250</v>
      </c>
      <c r="H86" s="49">
        <f>'A-3-A-48 Table 17'!D86*G86</f>
        <v>2000</v>
      </c>
      <c r="I86" s="49">
        <f t="shared" si="4"/>
        <v>47340.670720000002</v>
      </c>
      <c r="J86" s="62">
        <f t="shared" si="5"/>
        <v>24.670335359999999</v>
      </c>
    </row>
    <row r="87" spans="1:10" s="55" customFormat="1" ht="15.6" x14ac:dyDescent="0.3">
      <c r="A87" s="53"/>
      <c r="B87" s="59" t="s">
        <v>50</v>
      </c>
      <c r="C87" s="60" t="s">
        <v>84</v>
      </c>
      <c r="D87" s="61">
        <v>7</v>
      </c>
      <c r="E87" s="49">
        <f>(1-'A-3-A-48 Table 17'!Q87)*'A-3-A-48 Table 17'!R87*(IF('A-3-A-48 Table 17'!P87="baseload",VLOOKUP('A-3-A-48 Table 17'!O87,'2015 Avoided Costs'!$B$9:$N$38,7)*'A-3-A-48 Table 17'!S87,VLOOKUP('A-3-A-48 Table 17'!O87,'2015 Avoided Costs'!$B$9:$N$38,9)*'A-3-A-48 Table 17'!S87))</f>
        <v>7709.9404799999993</v>
      </c>
      <c r="F87" s="49">
        <f>E87*'A-3-A-48 Table 17'!D87</f>
        <v>53969.583359999997</v>
      </c>
      <c r="G87" s="49">
        <v>250</v>
      </c>
      <c r="H87" s="49">
        <f>'A-3-A-48 Table 17'!D87*G87</f>
        <v>1750</v>
      </c>
      <c r="I87" s="49">
        <f t="shared" si="4"/>
        <v>52219.583359999997</v>
      </c>
      <c r="J87" s="62">
        <f t="shared" si="5"/>
        <v>30.839761919999997</v>
      </c>
    </row>
    <row r="88" spans="1:10" s="55" customFormat="1" ht="15.6" x14ac:dyDescent="0.3">
      <c r="A88" s="53"/>
      <c r="B88" s="59" t="s">
        <v>50</v>
      </c>
      <c r="C88" s="60" t="s">
        <v>85</v>
      </c>
      <c r="D88" s="61">
        <v>7</v>
      </c>
      <c r="E88" s="49">
        <f>(1-'A-3-A-48 Table 17'!Q88)*'A-3-A-48 Table 17'!R88*(IF('A-3-A-48 Table 17'!P88="baseload",VLOOKUP('A-3-A-48 Table 17'!O88,'2015 Avoided Costs'!$B$9:$N$38,7)*'A-3-A-48 Table 17'!S88,VLOOKUP('A-3-A-48 Table 17'!O88,'2015 Avoided Costs'!$B$9:$N$38,9)*'A-3-A-48 Table 17'!S88))</f>
        <v>9252.2971200000011</v>
      </c>
      <c r="F88" s="49">
        <f>E88*'A-3-A-48 Table 17'!D88</f>
        <v>64766.079840000006</v>
      </c>
      <c r="G88" s="49">
        <v>250</v>
      </c>
      <c r="H88" s="49">
        <f>'A-3-A-48 Table 17'!D88*G88</f>
        <v>1750</v>
      </c>
      <c r="I88" s="49">
        <f t="shared" si="4"/>
        <v>63016.079840000006</v>
      </c>
      <c r="J88" s="62">
        <f t="shared" si="5"/>
        <v>37.009188480000006</v>
      </c>
    </row>
    <row r="89" spans="1:10" s="55" customFormat="1" ht="15.6" x14ac:dyDescent="0.3">
      <c r="A89" s="53"/>
      <c r="B89" s="59" t="s">
        <v>67</v>
      </c>
      <c r="C89" s="60" t="s">
        <v>86</v>
      </c>
      <c r="D89" s="61">
        <v>60</v>
      </c>
      <c r="E89" s="49">
        <f>(1-'A-3-A-48 Table 17'!Q89)*'A-3-A-48 Table 17'!R89*(IF('A-3-A-48 Table 17'!P89="baseload",VLOOKUP('A-3-A-48 Table 17'!O89,'2015 Avoided Costs'!$B$9:$N$38,7)*'A-3-A-48 Table 17'!S89,VLOOKUP('A-3-A-48 Table 17'!O89,'2015 Avoided Costs'!$B$9:$N$38,9)*'A-3-A-48 Table 17'!S89))</f>
        <v>3300.8808899999999</v>
      </c>
      <c r="F89" s="49">
        <f>E89*'A-3-A-48 Table 17'!D89</f>
        <v>198052.85339999999</v>
      </c>
      <c r="G89" s="49">
        <v>500</v>
      </c>
      <c r="H89" s="49">
        <f>'A-3-A-48 Table 17'!D89*G89</f>
        <v>30000</v>
      </c>
      <c r="I89" s="49">
        <f t="shared" si="4"/>
        <v>168052.85339999999</v>
      </c>
      <c r="J89" s="62">
        <f t="shared" si="5"/>
        <v>6.6017617799999995</v>
      </c>
    </row>
    <row r="90" spans="1:10" s="55" customFormat="1" ht="15.6" x14ac:dyDescent="0.3">
      <c r="A90" s="53"/>
      <c r="B90" s="59" t="s">
        <v>52</v>
      </c>
      <c r="C90" s="60" t="s">
        <v>66</v>
      </c>
      <c r="D90" s="61">
        <v>60</v>
      </c>
      <c r="E90" s="49">
        <f>(1-'A-3-A-48 Table 17'!Q90)*'A-3-A-48 Table 17'!R90*(IF('A-3-A-48 Table 17'!P90="baseload",VLOOKUP('A-3-A-48 Table 17'!O90,'2015 Avoided Costs'!$B$9:$N$38,7)*'A-3-A-48 Table 17'!S90,VLOOKUP('A-3-A-48 Table 17'!O90,'2015 Avoided Costs'!$B$9:$N$38,9)*'A-3-A-48 Table 17'!S90))</f>
        <v>368.27577600000001</v>
      </c>
      <c r="F90" s="49">
        <f>E90*'A-3-A-48 Table 17'!D90</f>
        <v>22096.546559999999</v>
      </c>
      <c r="G90" s="49">
        <v>400</v>
      </c>
      <c r="H90" s="49">
        <f>'A-3-A-48 Table 17'!D90*G90</f>
        <v>24000</v>
      </c>
      <c r="I90" s="49">
        <f t="shared" si="4"/>
        <v>-1903.4534400000011</v>
      </c>
      <c r="J90" s="62">
        <f t="shared" si="5"/>
        <v>0.92068943999999997</v>
      </c>
    </row>
    <row r="91" spans="1:10" s="55" customFormat="1" ht="31.2" x14ac:dyDescent="0.3">
      <c r="A91" s="53"/>
      <c r="B91" s="59" t="s">
        <v>67</v>
      </c>
      <c r="C91" s="60" t="s">
        <v>87</v>
      </c>
      <c r="D91" s="61">
        <v>15</v>
      </c>
      <c r="E91" s="49">
        <f>(1-'A-3-A-48 Table 17'!Q91)*'A-3-A-48 Table 17'!R91*(IF('A-3-A-48 Table 17'!P91="baseload",VLOOKUP('A-3-A-48 Table 17'!O91,'2015 Avoided Costs'!$B$9:$N$38,7)*'A-3-A-48 Table 17'!S91,VLOOKUP('A-3-A-48 Table 17'!O91,'2015 Avoided Costs'!$B$9:$N$38,9)*'A-3-A-48 Table 17'!S91))</f>
        <v>989.19468415460005</v>
      </c>
      <c r="F91" s="49">
        <f>E91*'A-3-A-48 Table 17'!D91</f>
        <v>14837.920262319001</v>
      </c>
      <c r="G91" s="49">
        <v>750</v>
      </c>
      <c r="H91" s="49">
        <f>'A-3-A-48 Table 17'!D91*G91</f>
        <v>11250</v>
      </c>
      <c r="I91" s="49">
        <f t="shared" si="4"/>
        <v>3587.9202623190013</v>
      </c>
      <c r="J91" s="62">
        <f t="shared" si="5"/>
        <v>1.3189262455394668</v>
      </c>
    </row>
    <row r="92" spans="1:10" s="55" customFormat="1" ht="31.2" x14ac:dyDescent="0.3">
      <c r="A92" s="53"/>
      <c r="B92" s="59" t="s">
        <v>67</v>
      </c>
      <c r="C92" s="60" t="s">
        <v>88</v>
      </c>
      <c r="D92" s="61">
        <v>15</v>
      </c>
      <c r="E92" s="49">
        <f>(1-'A-3-A-48 Table 17'!Q92)*'A-3-A-48 Table 17'!R92*(IF('A-3-A-48 Table 17'!P92="baseload",VLOOKUP('A-3-A-48 Table 17'!O92,'2015 Avoided Costs'!$B$9:$N$38,7)*'A-3-A-48 Table 17'!S92,VLOOKUP('A-3-A-48 Table 17'!O92,'2015 Avoided Costs'!$B$9:$N$38,9)*'A-3-A-48 Table 17'!S92))</f>
        <v>1494.7851136618401</v>
      </c>
      <c r="F92" s="49">
        <f>E92*'A-3-A-48 Table 17'!D92</f>
        <v>22421.776704927601</v>
      </c>
      <c r="G92" s="49">
        <v>750</v>
      </c>
      <c r="H92" s="49">
        <f>'A-3-A-48 Table 17'!D92*G92</f>
        <v>11250</v>
      </c>
      <c r="I92" s="49">
        <f t="shared" si="4"/>
        <v>11171.776704927601</v>
      </c>
      <c r="J92" s="62">
        <f t="shared" si="5"/>
        <v>1.9930468182157868</v>
      </c>
    </row>
    <row r="93" spans="1:10" s="55" customFormat="1" ht="46.8" x14ac:dyDescent="0.3">
      <c r="A93" s="53"/>
      <c r="B93" s="59" t="s">
        <v>67</v>
      </c>
      <c r="C93" s="60" t="s">
        <v>89</v>
      </c>
      <c r="D93" s="61">
        <v>20</v>
      </c>
      <c r="E93" s="49">
        <f>(1-'A-3-A-48 Table 17'!Q93)*'A-3-A-48 Table 17'!R93*(IF('A-3-A-48 Table 17'!P93="baseload",VLOOKUP('A-3-A-48 Table 17'!O93,'2015 Avoided Costs'!$B$9:$N$38,7)*'A-3-A-48 Table 17'!S93,VLOOKUP('A-3-A-48 Table 17'!O93,'2015 Avoided Costs'!$B$9:$N$38,9)*'A-3-A-48 Table 17'!S93))</f>
        <v>1263.9703950473597</v>
      </c>
      <c r="F93" s="49">
        <f>E93*'A-3-A-48 Table 17'!D93</f>
        <v>25279.407900947193</v>
      </c>
      <c r="G93" s="49">
        <v>750</v>
      </c>
      <c r="H93" s="49">
        <f>'A-3-A-48 Table 17'!D93*G93</f>
        <v>15000</v>
      </c>
      <c r="I93" s="49">
        <f t="shared" si="4"/>
        <v>10279.407900947193</v>
      </c>
      <c r="J93" s="62">
        <f t="shared" si="5"/>
        <v>1.6852938600631462</v>
      </c>
    </row>
    <row r="94" spans="1:10" s="55" customFormat="1" ht="46.8" x14ac:dyDescent="0.3">
      <c r="A94" s="53"/>
      <c r="B94" s="59" t="s">
        <v>67</v>
      </c>
      <c r="C94" s="60" t="s">
        <v>90</v>
      </c>
      <c r="D94" s="61">
        <v>20</v>
      </c>
      <c r="E94" s="49">
        <f>(1-'A-3-A-48 Table 17'!Q94)*'A-3-A-48 Table 17'!R94*(IF('A-3-A-48 Table 17'!P94="baseload",VLOOKUP('A-3-A-48 Table 17'!O94,'2015 Avoided Costs'!$B$9:$N$38,7)*'A-3-A-48 Table 17'!S94,VLOOKUP('A-3-A-48 Table 17'!O94,'2015 Avoided Costs'!$B$9:$N$38,9)*'A-3-A-48 Table 17'!S94))</f>
        <v>1952.74573092368</v>
      </c>
      <c r="F94" s="49">
        <f>E94*'A-3-A-48 Table 17'!D94</f>
        <v>39054.914618473602</v>
      </c>
      <c r="G94" s="49">
        <v>750</v>
      </c>
      <c r="H94" s="49">
        <f>'A-3-A-48 Table 17'!D94*G94</f>
        <v>15000</v>
      </c>
      <c r="I94" s="49">
        <f t="shared" si="4"/>
        <v>24054.914618473602</v>
      </c>
      <c r="J94" s="62">
        <f t="shared" si="5"/>
        <v>2.6036609745649066</v>
      </c>
    </row>
    <row r="95" spans="1:10" s="55" customFormat="1" ht="46.8" x14ac:dyDescent="0.3">
      <c r="A95" s="53"/>
      <c r="B95" s="59" t="s">
        <v>67</v>
      </c>
      <c r="C95" s="60" t="s">
        <v>91</v>
      </c>
      <c r="D95" s="61">
        <v>25</v>
      </c>
      <c r="E95" s="49">
        <f>(1-'A-3-A-48 Table 17'!Q95)*'A-3-A-48 Table 17'!R95*(IF('A-3-A-48 Table 17'!P95="baseload",VLOOKUP('A-3-A-48 Table 17'!O95,'2015 Avoided Costs'!$B$9:$N$38,7)*'A-3-A-48 Table 17'!S95,VLOOKUP('A-3-A-48 Table 17'!O95,'2015 Avoided Costs'!$B$9:$N$38,9)*'A-3-A-48 Table 17'!S95))</f>
        <v>1538.7501359999999</v>
      </c>
      <c r="F95" s="49">
        <f>E95*'A-3-A-48 Table 17'!D95</f>
        <v>38468.753399999994</v>
      </c>
      <c r="G95" s="49">
        <v>750</v>
      </c>
      <c r="H95" s="49">
        <f>'A-3-A-48 Table 17'!D95*G95</f>
        <v>18750</v>
      </c>
      <c r="I95" s="49">
        <f t="shared" si="4"/>
        <v>19718.753399999994</v>
      </c>
      <c r="J95" s="62">
        <f t="shared" si="5"/>
        <v>2.0516668479999995</v>
      </c>
    </row>
    <row r="96" spans="1:10" s="55" customFormat="1" ht="46.8" x14ac:dyDescent="0.3">
      <c r="A96" s="53"/>
      <c r="B96" s="59" t="s">
        <v>67</v>
      </c>
      <c r="C96" s="60" t="s">
        <v>92</v>
      </c>
      <c r="D96" s="61">
        <v>25</v>
      </c>
      <c r="E96" s="49">
        <f>(1-'A-3-A-48 Table 17'!Q96)*'A-3-A-48 Table 17'!R96*(IF('A-3-A-48 Table 17'!P96="baseload",VLOOKUP('A-3-A-48 Table 17'!O96,'2015 Avoided Costs'!$B$9:$N$38,7)*'A-3-A-48 Table 17'!S96,VLOOKUP('A-3-A-48 Table 17'!O96,'2015 Avoided Costs'!$B$9:$N$38,9)*'A-3-A-48 Table 17'!S96))</f>
        <v>2135.9317363999999</v>
      </c>
      <c r="F96" s="49">
        <f>E96*'A-3-A-48 Table 17'!D96</f>
        <v>53398.293409999998</v>
      </c>
      <c r="G96" s="49">
        <v>750</v>
      </c>
      <c r="H96" s="49">
        <f>'A-3-A-48 Table 17'!D96*G96</f>
        <v>18750</v>
      </c>
      <c r="I96" s="49">
        <f t="shared" si="4"/>
        <v>34648.293409999998</v>
      </c>
      <c r="J96" s="62">
        <f t="shared" si="5"/>
        <v>2.8479089818666665</v>
      </c>
    </row>
    <row r="97" spans="1:10" s="55" customFormat="1" ht="15.6" x14ac:dyDescent="0.3">
      <c r="A97" s="53"/>
      <c r="B97" s="59" t="s">
        <v>67</v>
      </c>
      <c r="C97" s="60" t="s">
        <v>94</v>
      </c>
      <c r="D97" s="61">
        <v>600</v>
      </c>
      <c r="E97" s="49">
        <f>(1-'A-3-A-48 Table 17'!Q97)*'A-3-A-48 Table 17'!R97*(IF('A-3-A-48 Table 17'!P97="baseload",VLOOKUP('A-3-A-48 Table 17'!O97,'2015 Avoided Costs'!$B$9:$N$38,7)*'A-3-A-48 Table 17'!S97,VLOOKUP('A-3-A-48 Table 17'!O97,'2015 Avoided Costs'!$B$9:$N$38,9)*'A-3-A-48 Table 17'!S97))</f>
        <v>223.66141199999998</v>
      </c>
      <c r="F97" s="49">
        <f>E97*'A-3-A-48 Table 17'!D97</f>
        <v>134196.84719999999</v>
      </c>
      <c r="G97" s="49">
        <v>200</v>
      </c>
      <c r="H97" s="49">
        <f>'A-3-A-48 Table 17'!D97*G97</f>
        <v>120000</v>
      </c>
      <c r="I97" s="49">
        <f t="shared" si="4"/>
        <v>14196.847199999989</v>
      </c>
      <c r="J97" s="62">
        <f t="shared" si="5"/>
        <v>1.11830706</v>
      </c>
    </row>
    <row r="98" spans="1:10" s="55" customFormat="1" ht="31.2" x14ac:dyDescent="0.3">
      <c r="A98" s="53"/>
      <c r="B98" s="59" t="s">
        <v>67</v>
      </c>
      <c r="C98" s="60" t="s">
        <v>93</v>
      </c>
      <c r="D98" s="61">
        <v>15</v>
      </c>
      <c r="E98" s="49">
        <f>(1-'A-3-A-48 Table 17'!Q98)*'A-3-A-48 Table 17'!R98*(IF('A-3-A-48 Table 17'!P98="baseload",VLOOKUP('A-3-A-48 Table 17'!O98,'2015 Avoided Costs'!$B$9:$N$38,7)*'A-3-A-48 Table 17'!S98,VLOOKUP('A-3-A-48 Table 17'!O98,'2015 Avoided Costs'!$B$9:$N$38,9)*'A-3-A-48 Table 17'!S98))</f>
        <v>83.942060800000007</v>
      </c>
      <c r="F98" s="49">
        <f>E98*'A-3-A-48 Table 17'!D98</f>
        <v>1259.1309120000001</v>
      </c>
      <c r="G98" s="49">
        <v>50</v>
      </c>
      <c r="H98" s="49">
        <f>'A-3-A-48 Table 17'!D98*G98</f>
        <v>750</v>
      </c>
      <c r="I98" s="49">
        <f t="shared" si="4"/>
        <v>509.13091200000008</v>
      </c>
      <c r="J98" s="62">
        <f t="shared" si="5"/>
        <v>1.6788412160000001</v>
      </c>
    </row>
    <row r="99" spans="1:10" s="55" customFormat="1" ht="15.6" x14ac:dyDescent="0.3">
      <c r="A99" s="53"/>
      <c r="B99" s="59" t="s">
        <v>65</v>
      </c>
      <c r="C99" s="60" t="s">
        <v>68</v>
      </c>
      <c r="D99" s="61">
        <v>10</v>
      </c>
      <c r="E99" s="49">
        <f>(1-'A-3-A-48 Table 17'!Q99)*'A-3-A-48 Table 17'!R99*(IF('A-3-A-48 Table 17'!P99="baseload",VLOOKUP('A-3-A-48 Table 17'!O99,'2015 Avoided Costs'!$B$9:$N$38,7)*'A-3-A-48 Table 17'!S99,VLOOKUP('A-3-A-48 Table 17'!O99,'2015 Avoided Costs'!$B$9:$N$38,9)*'A-3-A-48 Table 17'!S99))</f>
        <v>9374.8735079999988</v>
      </c>
      <c r="F99" s="49">
        <f>E99*'A-3-A-48 Table 17'!D99</f>
        <v>93748.735079999984</v>
      </c>
      <c r="G99" s="49">
        <v>3000</v>
      </c>
      <c r="H99" s="49">
        <f>'A-3-A-48 Table 17'!D99*G99</f>
        <v>30000</v>
      </c>
      <c r="I99" s="49">
        <f t="shared" ref="I99:I113" si="6">F99-H99</f>
        <v>63748.735079999984</v>
      </c>
      <c r="J99" s="62">
        <f t="shared" ref="J99:J113" si="7">F99/H99</f>
        <v>3.1249578359999997</v>
      </c>
    </row>
    <row r="100" spans="1:10" s="55" customFormat="1" ht="15.6" x14ac:dyDescent="0.3">
      <c r="A100" s="53"/>
      <c r="B100" s="59" t="s">
        <v>65</v>
      </c>
      <c r="C100" s="60" t="s">
        <v>69</v>
      </c>
      <c r="D100" s="61">
        <v>10</v>
      </c>
      <c r="E100" s="49">
        <f>(1-'A-3-A-48 Table 17'!Q100)*'A-3-A-48 Table 17'!R100*(IF('A-3-A-48 Table 17'!P100="baseload",VLOOKUP('A-3-A-48 Table 17'!O100,'2015 Avoided Costs'!$B$9:$N$38,7)*'A-3-A-48 Table 17'!S100,VLOOKUP('A-3-A-48 Table 17'!O100,'2015 Avoided Costs'!$B$9:$N$38,9)*'A-3-A-48 Table 17'!S100))</f>
        <v>6299.3221199999998</v>
      </c>
      <c r="F100" s="49">
        <f>E100*'A-3-A-48 Table 17'!D100</f>
        <v>62993.2212</v>
      </c>
      <c r="G100" s="49">
        <v>3000</v>
      </c>
      <c r="H100" s="49">
        <f>'A-3-A-48 Table 17'!D100*G100</f>
        <v>30000</v>
      </c>
      <c r="I100" s="49">
        <f t="shared" si="6"/>
        <v>32993.2212</v>
      </c>
      <c r="J100" s="62">
        <f t="shared" si="7"/>
        <v>2.0997740399999998</v>
      </c>
    </row>
    <row r="101" spans="1:10" s="55" customFormat="1" ht="15.6" x14ac:dyDescent="0.3">
      <c r="A101" s="53"/>
      <c r="B101" s="59" t="s">
        <v>72</v>
      </c>
      <c r="C101" s="60" t="s">
        <v>70</v>
      </c>
      <c r="D101" s="61">
        <v>8</v>
      </c>
      <c r="E101" s="49">
        <f>(1-'A-3-A-48 Table 17'!Q101)*'A-3-A-48 Table 17'!R101*(IF('A-3-A-48 Table 17'!P101="baseload",VLOOKUP('A-3-A-48 Table 17'!O101,'2015 Avoided Costs'!$B$9:$N$38,7)*'A-3-A-48 Table 17'!S101,VLOOKUP('A-3-A-48 Table 17'!O101,'2015 Avoided Costs'!$B$9:$N$38,9)*'A-3-A-48 Table 17'!S101))</f>
        <v>22611.390281999997</v>
      </c>
      <c r="F101" s="49">
        <f>E101*'A-3-A-48 Table 17'!D101</f>
        <v>180891.12225599997</v>
      </c>
      <c r="G101" s="49">
        <v>6000</v>
      </c>
      <c r="H101" s="49">
        <f>'A-3-A-48 Table 17'!D101*G101</f>
        <v>48000</v>
      </c>
      <c r="I101" s="49">
        <f t="shared" si="6"/>
        <v>132891.12225599997</v>
      </c>
      <c r="J101" s="62">
        <f t="shared" si="7"/>
        <v>3.7685650469999996</v>
      </c>
    </row>
    <row r="102" spans="1:10" s="55" customFormat="1" ht="15.6" x14ac:dyDescent="0.3">
      <c r="A102" s="53"/>
      <c r="B102" s="59" t="s">
        <v>65</v>
      </c>
      <c r="C102" s="60" t="s">
        <v>71</v>
      </c>
      <c r="D102" s="61">
        <v>2</v>
      </c>
      <c r="E102" s="49">
        <f>(1-'A-3-A-48 Table 17'!Q102)*'A-3-A-48 Table 17'!R102*(IF('A-3-A-48 Table 17'!P102="baseload",VLOOKUP('A-3-A-48 Table 17'!O102,'2015 Avoided Costs'!$B$9:$N$38,7)*'A-3-A-48 Table 17'!S102,VLOOKUP('A-3-A-48 Table 17'!O102,'2015 Avoided Costs'!$B$9:$N$38,9)*'A-3-A-48 Table 17'!S102))</f>
        <v>16515.869759999998</v>
      </c>
      <c r="F102" s="49">
        <f>E102*'A-3-A-48 Table 17'!D102</f>
        <v>33031.739519999996</v>
      </c>
      <c r="G102" s="49">
        <v>6000</v>
      </c>
      <c r="H102" s="49">
        <f>'A-3-A-48 Table 17'!D102*G102</f>
        <v>12000</v>
      </c>
      <c r="I102" s="49">
        <f t="shared" si="6"/>
        <v>21031.739519999996</v>
      </c>
      <c r="J102" s="62">
        <f t="shared" si="7"/>
        <v>2.7526449599999996</v>
      </c>
    </row>
    <row r="103" spans="1:10" s="55" customFormat="1" ht="46.8" x14ac:dyDescent="0.3">
      <c r="A103" s="53"/>
      <c r="B103" s="59" t="s">
        <v>65</v>
      </c>
      <c r="C103" s="60" t="s">
        <v>159</v>
      </c>
      <c r="D103" s="61">
        <v>5</v>
      </c>
      <c r="E103" s="49">
        <f>(1-'A-3-A-48 Table 17'!Q103)*'A-3-A-48 Table 17'!R103*(IF('A-3-A-48 Table 17'!P103="baseload",VLOOKUP('A-3-A-48 Table 17'!O103,'2015 Avoided Costs'!$B$9:$N$38,7)*'A-3-A-48 Table 17'!S103,VLOOKUP('A-3-A-48 Table 17'!O103,'2015 Avoided Costs'!$B$9:$N$38,9)*'A-3-A-48 Table 17'!S103))</f>
        <v>178.94912000000002</v>
      </c>
      <c r="F103" s="49">
        <f>E103*'A-3-A-48 Table 17'!D103</f>
        <v>894.74560000000008</v>
      </c>
      <c r="G103" s="49">
        <v>400</v>
      </c>
      <c r="H103" s="49">
        <f>'A-3-A-48 Table 17'!D103*G103</f>
        <v>2000</v>
      </c>
      <c r="I103" s="49">
        <f t="shared" si="6"/>
        <v>-1105.2543999999998</v>
      </c>
      <c r="J103" s="62">
        <f t="shared" si="7"/>
        <v>0.44737280000000001</v>
      </c>
    </row>
    <row r="104" spans="1:10" s="55" customFormat="1" ht="46.8" x14ac:dyDescent="0.3">
      <c r="A104" s="53"/>
      <c r="B104" s="59" t="s">
        <v>65</v>
      </c>
      <c r="C104" s="60" t="s">
        <v>160</v>
      </c>
      <c r="D104" s="61">
        <v>5</v>
      </c>
      <c r="E104" s="49">
        <f>(1-'A-3-A-48 Table 17'!Q104)*'A-3-A-48 Table 17'!R104*(IF('A-3-A-48 Table 17'!P104="baseload",VLOOKUP('A-3-A-48 Table 17'!O104,'2015 Avoided Costs'!$B$9:$N$38,7)*'A-3-A-48 Table 17'!S104,VLOOKUP('A-3-A-48 Table 17'!O104,'2015 Avoided Costs'!$B$9:$N$38,9)*'A-3-A-48 Table 17'!S104))</f>
        <v>447.37280000000004</v>
      </c>
      <c r="F104" s="49">
        <f>E104*'A-3-A-48 Table 17'!D104</f>
        <v>2236.864</v>
      </c>
      <c r="G104" s="49">
        <v>400</v>
      </c>
      <c r="H104" s="49">
        <f>'A-3-A-48 Table 17'!D104*G104</f>
        <v>2000</v>
      </c>
      <c r="I104" s="49">
        <f t="shared" si="6"/>
        <v>236.86400000000003</v>
      </c>
      <c r="J104" s="62">
        <f t="shared" si="7"/>
        <v>1.1184320000000001</v>
      </c>
    </row>
    <row r="105" spans="1:10" s="55" customFormat="1" ht="46.8" x14ac:dyDescent="0.3">
      <c r="A105" s="53"/>
      <c r="B105" s="59" t="s">
        <v>65</v>
      </c>
      <c r="C105" s="60" t="s">
        <v>161</v>
      </c>
      <c r="D105" s="61">
        <v>20</v>
      </c>
      <c r="E105" s="49">
        <f>(1-'A-3-A-48 Table 17'!Q105)*'A-3-A-48 Table 17'!R105*(IF('A-3-A-48 Table 17'!P105="baseload",VLOOKUP('A-3-A-48 Table 17'!O105,'2015 Avoided Costs'!$B$9:$N$38,7)*'A-3-A-48 Table 17'!S105,VLOOKUP('A-3-A-48 Table 17'!O105,'2015 Avoided Costs'!$B$9:$N$38,9)*'A-3-A-48 Table 17'!S105))</f>
        <v>1092.9317504000003</v>
      </c>
      <c r="F105" s="49">
        <f>E105*'A-3-A-48 Table 17'!D105</f>
        <v>21858.635008000005</v>
      </c>
      <c r="G105" s="49">
        <v>400</v>
      </c>
      <c r="H105" s="49">
        <f>'A-3-A-48 Table 17'!D105*G105</f>
        <v>8000</v>
      </c>
      <c r="I105" s="49">
        <f t="shared" si="6"/>
        <v>13858.635008000005</v>
      </c>
      <c r="J105" s="62">
        <f t="shared" si="7"/>
        <v>2.7323293760000005</v>
      </c>
    </row>
    <row r="106" spans="1:10" s="55" customFormat="1" ht="46.8" x14ac:dyDescent="0.3">
      <c r="A106" s="53"/>
      <c r="B106" s="59" t="s">
        <v>65</v>
      </c>
      <c r="C106" s="60" t="s">
        <v>162</v>
      </c>
      <c r="D106" s="61">
        <v>20</v>
      </c>
      <c r="E106" s="49">
        <f>(1-'A-3-A-48 Table 17'!Q106)*'A-3-A-48 Table 17'!R106*(IF('A-3-A-48 Table 17'!P106="baseload",VLOOKUP('A-3-A-48 Table 17'!O106,'2015 Avoided Costs'!$B$9:$N$38,7)*'A-3-A-48 Table 17'!S106,VLOOKUP('A-3-A-48 Table 17'!O106,'2015 Avoided Costs'!$B$9:$N$38,9)*'A-3-A-48 Table 17'!S106))</f>
        <v>5633.139348480001</v>
      </c>
      <c r="F106" s="49">
        <f>E106*'A-3-A-48 Table 17'!D106</f>
        <v>112662.78696960001</v>
      </c>
      <c r="G106" s="49">
        <v>400</v>
      </c>
      <c r="H106" s="49">
        <f>'A-3-A-48 Table 17'!D106*G106</f>
        <v>8000</v>
      </c>
      <c r="I106" s="49">
        <f t="shared" si="6"/>
        <v>104662.78696960001</v>
      </c>
      <c r="J106" s="62">
        <f t="shared" si="7"/>
        <v>14.082848371200001</v>
      </c>
    </row>
    <row r="107" spans="1:10" s="55" customFormat="1" ht="46.8" x14ac:dyDescent="0.3">
      <c r="A107" s="53"/>
      <c r="B107" s="59" t="s">
        <v>48</v>
      </c>
      <c r="C107" s="60" t="s">
        <v>163</v>
      </c>
      <c r="D107" s="61">
        <v>20</v>
      </c>
      <c r="E107" s="49">
        <f>(1-'A-3-A-48 Table 17'!Q107)*'A-3-A-48 Table 17'!R107*(IF('A-3-A-48 Table 17'!P107="baseload",VLOOKUP('A-3-A-48 Table 17'!O107,'2015 Avoided Costs'!$B$9:$N$38,7)*'A-3-A-48 Table 17'!S107,VLOOKUP('A-3-A-48 Table 17'!O107,'2015 Avoided Costs'!$B$9:$N$38,9)*'A-3-A-48 Table 17'!S107))</f>
        <v>433.07923904</v>
      </c>
      <c r="F107" s="49">
        <f>E107*'A-3-A-48 Table 17'!D107</f>
        <v>8661.5847807999999</v>
      </c>
      <c r="G107" s="49">
        <v>500</v>
      </c>
      <c r="H107" s="49">
        <f>'A-3-A-48 Table 17'!D107*G107</f>
        <v>10000</v>
      </c>
      <c r="I107" s="49">
        <f t="shared" si="6"/>
        <v>-1338.4152192000001</v>
      </c>
      <c r="J107" s="62">
        <f t="shared" si="7"/>
        <v>0.86615847808000002</v>
      </c>
    </row>
    <row r="108" spans="1:10" s="55" customFormat="1" ht="46.8" x14ac:dyDescent="0.3">
      <c r="A108" s="53"/>
      <c r="B108" s="59" t="s">
        <v>48</v>
      </c>
      <c r="C108" s="60" t="s">
        <v>164</v>
      </c>
      <c r="D108" s="61">
        <v>15</v>
      </c>
      <c r="E108" s="49">
        <f>(1-'A-3-A-48 Table 17'!Q108)*'A-3-A-48 Table 17'!R108*(IF('A-3-A-48 Table 17'!P108="baseload",VLOOKUP('A-3-A-48 Table 17'!O108,'2015 Avoided Costs'!$B$9:$N$38,7)*'A-3-A-48 Table 17'!S108,VLOOKUP('A-3-A-48 Table 17'!O108,'2015 Avoided Costs'!$B$9:$N$38,9)*'A-3-A-48 Table 17'!S108))</f>
        <v>826.42058911999993</v>
      </c>
      <c r="F108" s="49">
        <f>E108*'A-3-A-48 Table 17'!D108</f>
        <v>12396.308836799999</v>
      </c>
      <c r="G108" s="49">
        <v>500</v>
      </c>
      <c r="H108" s="49">
        <f>'A-3-A-48 Table 17'!D108*G108</f>
        <v>7500</v>
      </c>
      <c r="I108" s="49">
        <f t="shared" si="6"/>
        <v>4896.308836799999</v>
      </c>
      <c r="J108" s="62">
        <f t="shared" si="7"/>
        <v>1.6528411782399999</v>
      </c>
    </row>
    <row r="109" spans="1:10" s="55" customFormat="1" ht="46.8" x14ac:dyDescent="0.3">
      <c r="A109" s="53"/>
      <c r="B109" s="59" t="s">
        <v>48</v>
      </c>
      <c r="C109" s="60" t="s">
        <v>165</v>
      </c>
      <c r="D109" s="61">
        <v>5</v>
      </c>
      <c r="E109" s="49">
        <f>(1-'A-3-A-48 Table 17'!Q109)*'A-3-A-48 Table 17'!R109*(IF('A-3-A-48 Table 17'!P109="baseload",VLOOKUP('A-3-A-48 Table 17'!O109,'2015 Avoided Costs'!$B$9:$N$38,7)*'A-3-A-48 Table 17'!S109,VLOOKUP('A-3-A-48 Table 17'!O109,'2015 Avoided Costs'!$B$9:$N$38,9)*'A-3-A-48 Table 17'!S109))</f>
        <v>2677.5262079999998</v>
      </c>
      <c r="F109" s="49">
        <f>E109*'A-3-A-48 Table 17'!D109</f>
        <v>13387.631039999998</v>
      </c>
      <c r="G109" s="49">
        <v>500</v>
      </c>
      <c r="H109" s="49">
        <f>'A-3-A-48 Table 17'!D109*G109</f>
        <v>2500</v>
      </c>
      <c r="I109" s="49">
        <f t="shared" si="6"/>
        <v>10887.631039999998</v>
      </c>
      <c r="J109" s="62">
        <f t="shared" si="7"/>
        <v>5.3550524159999995</v>
      </c>
    </row>
    <row r="110" spans="1:10" s="55" customFormat="1" ht="46.8" x14ac:dyDescent="0.3">
      <c r="A110" s="53"/>
      <c r="B110" s="59" t="s">
        <v>48</v>
      </c>
      <c r="C110" s="60" t="s">
        <v>166</v>
      </c>
      <c r="D110" s="61">
        <v>30</v>
      </c>
      <c r="E110" s="49">
        <f>(1-'A-3-A-48 Table 17'!Q110)*'A-3-A-48 Table 17'!R110*(IF('A-3-A-48 Table 17'!P110="baseload",VLOOKUP('A-3-A-48 Table 17'!O110,'2015 Avoided Costs'!$B$9:$N$38,7)*'A-3-A-48 Table 17'!S110,VLOOKUP('A-3-A-48 Table 17'!O110,'2015 Avoided Costs'!$B$9:$N$38,9)*'A-3-A-48 Table 17'!S110))</f>
        <v>6784.55390816</v>
      </c>
      <c r="F110" s="49">
        <f>E110*'A-3-A-48 Table 17'!D110</f>
        <v>203536.6172448</v>
      </c>
      <c r="G110" s="49">
        <v>500</v>
      </c>
      <c r="H110" s="49">
        <f>'A-3-A-48 Table 17'!D110*G110</f>
        <v>15000</v>
      </c>
      <c r="I110" s="49">
        <f t="shared" si="6"/>
        <v>188536.6172448</v>
      </c>
      <c r="J110" s="62">
        <f t="shared" si="7"/>
        <v>13.569107816320001</v>
      </c>
    </row>
    <row r="111" spans="1:10" s="55" customFormat="1" ht="15.6" x14ac:dyDescent="0.3">
      <c r="A111" s="53"/>
      <c r="B111" s="59" t="s">
        <v>67</v>
      </c>
      <c r="C111" s="60" t="s">
        <v>73</v>
      </c>
      <c r="D111" s="61">
        <v>10</v>
      </c>
      <c r="E111" s="49">
        <f>(1-'A-3-A-48 Table 17'!Q111)*'A-3-A-48 Table 17'!R111*(IF('A-3-A-48 Table 17'!P111="baseload",VLOOKUP('A-3-A-48 Table 17'!O111,'2015 Avoided Costs'!$B$9:$N$38,7)*'A-3-A-48 Table 17'!S111,VLOOKUP('A-3-A-48 Table 17'!O111,'2015 Avoided Costs'!$B$9:$N$38,9)*'A-3-A-48 Table 17'!S111))</f>
        <v>43052.078225999998</v>
      </c>
      <c r="F111" s="49">
        <f>E111*'A-3-A-48 Table 17'!D111</f>
        <v>430520.78226000001</v>
      </c>
      <c r="G111" s="49">
        <v>2500</v>
      </c>
      <c r="H111" s="49">
        <f>'A-3-A-48 Table 17'!D111*G111</f>
        <v>25000</v>
      </c>
      <c r="I111" s="49">
        <f t="shared" si="6"/>
        <v>405520.78226000001</v>
      </c>
      <c r="J111" s="62">
        <f t="shared" si="7"/>
        <v>17.2208312904</v>
      </c>
    </row>
    <row r="112" spans="1:10" s="55" customFormat="1" ht="17.399999999999999" x14ac:dyDescent="0.3">
      <c r="A112" s="53"/>
      <c r="B112" s="63" t="s">
        <v>53</v>
      </c>
      <c r="C112" s="59" t="s">
        <v>167</v>
      </c>
      <c r="D112" s="61">
        <f>'A-3-A-48 Table 17'!D112</f>
        <v>178</v>
      </c>
      <c r="E112" s="49">
        <f>(1-'A-3-A-48 Table 17'!Q112)*'A-3-A-48 Table 17'!R112*(IF('A-3-A-48 Table 17'!P112="baseload",VLOOKUP('A-3-A-48 Table 17'!O112,'2015 Avoided Costs'!$B$9:$N$38,7)*'A-3-A-48 Table 17'!S112,VLOOKUP('A-3-A-48 Table 17'!O112,'2015 Avoided Costs'!$B$9:$N$38,9)*'A-3-A-48 Table 17'!S112))</f>
        <v>78974.229457741603</v>
      </c>
      <c r="F112" s="49">
        <f>E112*'A-3-A-48 Table 17'!D112</f>
        <v>14057412.843478005</v>
      </c>
      <c r="G112" s="49">
        <v>7710.4550561797751</v>
      </c>
      <c r="H112" s="49">
        <f>'A-3-A-48 Table 17'!D112*G112</f>
        <v>1372461</v>
      </c>
      <c r="I112" s="49">
        <f t="shared" si="6"/>
        <v>12684951.843478005</v>
      </c>
      <c r="J112" s="62">
        <f t="shared" si="7"/>
        <v>10.242486193398578</v>
      </c>
    </row>
    <row r="113" spans="1:12" s="55" customFormat="1" ht="17.399999999999999" x14ac:dyDescent="0.3">
      <c r="A113" s="53"/>
      <c r="B113" s="63" t="s">
        <v>53</v>
      </c>
      <c r="C113" s="59" t="s">
        <v>168</v>
      </c>
      <c r="D113" s="61">
        <f>'A-3-A-48 Table 17'!D113</f>
        <v>318</v>
      </c>
      <c r="E113" s="49">
        <f>(1-'A-3-A-48 Table 17'!Q113)*'A-3-A-48 Table 17'!R113*(IF('A-3-A-48 Table 17'!P113="baseload",VLOOKUP('A-3-A-48 Table 17'!O113,'2015 Avoided Costs'!$B$9:$N$38,11)*'A-3-A-48 Table 17'!S113,VLOOKUP('A-3-A-48 Table 17'!O113,'2015 Avoided Costs'!$B$9:$N$38,13)*'A-3-A-48 Table 17'!S113))</f>
        <v>393393.83924584155</v>
      </c>
      <c r="F113" s="49">
        <f>E113*'A-3-A-48 Table 17'!D113</f>
        <v>125099240.88017762</v>
      </c>
      <c r="G113" s="49">
        <v>17740.937106918223</v>
      </c>
      <c r="H113" s="49">
        <f>'A-3-A-48 Table 17'!D113*G113</f>
        <v>5641617.9999999953</v>
      </c>
      <c r="I113" s="49">
        <f t="shared" si="6"/>
        <v>119457622.88017762</v>
      </c>
      <c r="J113" s="62">
        <f t="shared" si="7"/>
        <v>22.174355101706233</v>
      </c>
    </row>
    <row r="114" spans="1:12" s="55" customFormat="1" ht="15.6" x14ac:dyDescent="0.3">
      <c r="A114" s="53"/>
      <c r="B114" s="63" t="s">
        <v>53</v>
      </c>
      <c r="C114" s="59" t="s">
        <v>96</v>
      </c>
      <c r="D114" s="61">
        <v>120</v>
      </c>
      <c r="E114" s="49"/>
      <c r="F114" s="49"/>
      <c r="G114" s="49"/>
      <c r="H114" s="49">
        <v>590024</v>
      </c>
      <c r="I114" s="49"/>
      <c r="J114" s="62"/>
    </row>
    <row r="115" spans="1:12" s="55" customFormat="1" ht="15.6" x14ac:dyDescent="0.3">
      <c r="A115" s="53"/>
      <c r="B115" s="64"/>
      <c r="C115" s="65" t="s">
        <v>27</v>
      </c>
      <c r="D115" s="66"/>
      <c r="E115" s="67"/>
      <c r="F115" s="68">
        <f>SUM(F3:F113)</f>
        <v>191877802.79396319</v>
      </c>
      <c r="G115" s="69"/>
      <c r="H115" s="70">
        <f>SUM(H3:H114)</f>
        <v>12131102.999999996</v>
      </c>
      <c r="I115" s="68">
        <f>SUM(I3:I113)</f>
        <v>180336723.79396319</v>
      </c>
      <c r="J115" s="71"/>
    </row>
    <row r="116" spans="1:12" s="55" customFormat="1" ht="31.2" x14ac:dyDescent="0.3">
      <c r="A116" s="53"/>
      <c r="B116" s="57"/>
      <c r="C116" s="57"/>
      <c r="D116" s="57"/>
      <c r="E116" s="57"/>
      <c r="F116" s="72"/>
      <c r="G116" s="73" t="s">
        <v>23</v>
      </c>
      <c r="H116" s="74">
        <f>'A-3-A-48 Table 17'!K115</f>
        <v>2431085</v>
      </c>
      <c r="I116" s="75"/>
      <c r="J116" s="76"/>
    </row>
    <row r="117" spans="1:12" s="55" customFormat="1" ht="31.2" x14ac:dyDescent="0.3">
      <c r="A117" s="53"/>
      <c r="B117" s="57"/>
      <c r="C117" s="57"/>
      <c r="D117" s="57"/>
      <c r="E117" s="57"/>
      <c r="F117" s="72"/>
      <c r="G117" s="73" t="s">
        <v>24</v>
      </c>
      <c r="H117" s="74">
        <f>'A-3-A-48 Table 17'!K116</f>
        <v>3928876</v>
      </c>
      <c r="I117" s="76"/>
      <c r="J117" s="76"/>
    </row>
    <row r="118" spans="1:12" s="55" customFormat="1" ht="15.6" x14ac:dyDescent="0.3">
      <c r="A118" s="53"/>
      <c r="B118" s="57"/>
      <c r="C118" s="57"/>
      <c r="D118" s="57"/>
      <c r="E118" s="57"/>
      <c r="F118" s="57"/>
      <c r="G118" s="73" t="s">
        <v>22</v>
      </c>
      <c r="H118" s="74">
        <f>'A-3-A-48 Table 17'!K117</f>
        <v>188959</v>
      </c>
      <c r="I118" s="76"/>
      <c r="J118" s="76"/>
    </row>
    <row r="119" spans="1:12" s="55" customFormat="1" ht="15.6" x14ac:dyDescent="0.3">
      <c r="A119" s="53"/>
      <c r="B119" s="57"/>
      <c r="C119" s="57"/>
      <c r="D119" s="57"/>
      <c r="E119" s="57"/>
      <c r="F119" s="57"/>
      <c r="G119" s="147" t="s">
        <v>77</v>
      </c>
      <c r="H119" s="148"/>
      <c r="I119" s="68">
        <f>F115-H115-H116-H117-H118</f>
        <v>173197779.79396319</v>
      </c>
      <c r="J119" s="76"/>
    </row>
    <row r="120" spans="1:12" s="55" customFormat="1" ht="25.8" customHeight="1" x14ac:dyDescent="0.3">
      <c r="A120" s="53"/>
      <c r="B120" s="57"/>
      <c r="C120" s="57"/>
      <c r="D120" s="57"/>
      <c r="E120" s="57"/>
      <c r="F120" s="57"/>
      <c r="G120" s="149" t="s">
        <v>74</v>
      </c>
      <c r="H120" s="150"/>
      <c r="I120" s="151"/>
      <c r="J120" s="77">
        <f>F115/(H115+H116+H117+H118)</f>
        <v>10.271818337373741</v>
      </c>
    </row>
    <row r="121" spans="1:12" s="55" customFormat="1" ht="15.6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</row>
    <row r="122" spans="1:12" s="55" customFormat="1" ht="15.6" x14ac:dyDescent="0.3">
      <c r="A122" s="50"/>
      <c r="B122" s="51"/>
      <c r="C122" s="52"/>
      <c r="D122" s="52"/>
      <c r="E122" s="52"/>
      <c r="F122" s="52"/>
      <c r="G122" s="53"/>
      <c r="H122" s="53"/>
      <c r="I122" s="53"/>
      <c r="J122" s="53"/>
      <c r="K122" s="54"/>
      <c r="L122" s="53"/>
    </row>
    <row r="123" spans="1:12" s="55" customFormat="1" ht="15.6" x14ac:dyDescent="0.3">
      <c r="A123" s="50"/>
      <c r="B123" s="51"/>
      <c r="C123" s="52"/>
      <c r="D123" s="53"/>
      <c r="E123" s="53"/>
      <c r="F123" s="53"/>
      <c r="G123" s="53"/>
      <c r="H123" s="53"/>
      <c r="I123" s="53"/>
      <c r="J123" s="53"/>
      <c r="K123" s="53"/>
      <c r="L123" s="53"/>
    </row>
    <row r="124" spans="1:12" s="55" customFormat="1" ht="15.6" x14ac:dyDescent="0.3">
      <c r="A124" s="50"/>
      <c r="B124" s="51"/>
      <c r="C124" s="52"/>
      <c r="D124" s="53"/>
      <c r="E124" s="53"/>
      <c r="F124" s="53"/>
      <c r="G124" s="53"/>
      <c r="H124" s="53"/>
      <c r="I124" s="53"/>
      <c r="J124" s="53"/>
      <c r="K124" s="53"/>
      <c r="L124" s="53"/>
    </row>
    <row r="125" spans="1:12" s="55" customFormat="1" ht="15.6" x14ac:dyDescent="0.3">
      <c r="A125" s="50"/>
      <c r="B125" s="51"/>
      <c r="C125" s="52"/>
      <c r="D125" s="53"/>
      <c r="E125" s="53"/>
      <c r="F125" s="53"/>
      <c r="G125" s="53"/>
      <c r="H125" s="53"/>
      <c r="I125" s="53"/>
      <c r="J125" s="53"/>
      <c r="K125" s="53"/>
      <c r="L125" s="53"/>
    </row>
    <row r="126" spans="1:12" s="55" customFormat="1" ht="15.6" x14ac:dyDescent="0.3">
      <c r="A126" s="50"/>
      <c r="B126" s="56"/>
      <c r="C126" s="52"/>
      <c r="D126" s="53"/>
      <c r="E126" s="53"/>
      <c r="F126" s="53"/>
      <c r="G126" s="53"/>
      <c r="H126" s="53"/>
      <c r="I126" s="53"/>
      <c r="J126" s="53"/>
      <c r="K126" s="53"/>
      <c r="L126" s="53"/>
    </row>
    <row r="127" spans="1:12" s="55" customFormat="1" ht="15.6" x14ac:dyDescent="0.3">
      <c r="A127" s="50"/>
      <c r="B127" s="56"/>
      <c r="C127" s="52"/>
      <c r="D127" s="53"/>
      <c r="E127" s="53"/>
      <c r="F127" s="53"/>
      <c r="G127" s="53"/>
      <c r="H127" s="53"/>
      <c r="I127" s="53"/>
      <c r="J127" s="53"/>
      <c r="K127" s="53"/>
      <c r="L127" s="53"/>
    </row>
    <row r="128" spans="1:12" s="55" customFormat="1" ht="15.6" x14ac:dyDescent="0.3">
      <c r="A128" s="50"/>
      <c r="B128" s="56"/>
      <c r="C128" s="52"/>
      <c r="D128" s="53"/>
      <c r="E128" s="53"/>
      <c r="F128" s="53"/>
      <c r="G128" s="53"/>
      <c r="H128" s="53"/>
      <c r="I128" s="53"/>
      <c r="J128" s="53"/>
      <c r="K128" s="53"/>
      <c r="L128" s="53"/>
    </row>
    <row r="129" spans="1:12" s="55" customFormat="1" ht="15.6" x14ac:dyDescent="0.3">
      <c r="A129" s="50"/>
      <c r="B129" s="56"/>
      <c r="C129" s="52"/>
      <c r="D129" s="53"/>
      <c r="E129" s="53"/>
      <c r="F129" s="53"/>
      <c r="G129" s="53"/>
      <c r="H129" s="53"/>
      <c r="I129" s="53"/>
      <c r="J129" s="53"/>
      <c r="K129" s="53"/>
      <c r="L129" s="53"/>
    </row>
    <row r="130" spans="1:12" s="55" customFormat="1" ht="15.6" x14ac:dyDescent="0.3">
      <c r="A130" s="50"/>
      <c r="B130" s="51"/>
      <c r="C130" s="52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s="55" customFormat="1" ht="15.6" x14ac:dyDescent="0.3">
      <c r="A131" s="50"/>
      <c r="B131" s="51"/>
      <c r="C131" s="52"/>
      <c r="D131" s="53"/>
      <c r="E131" s="53"/>
      <c r="F131" s="53"/>
      <c r="G131" s="53"/>
      <c r="H131" s="53"/>
      <c r="I131" s="53"/>
      <c r="J131" s="53"/>
      <c r="K131" s="53"/>
      <c r="L131" s="53"/>
    </row>
    <row r="132" spans="1:12" s="55" customFormat="1" ht="15.6" x14ac:dyDescent="0.3">
      <c r="A132" s="50"/>
      <c r="B132" s="51"/>
      <c r="C132" s="52"/>
      <c r="D132" s="53"/>
      <c r="E132" s="53"/>
      <c r="F132" s="53"/>
      <c r="G132" s="53"/>
      <c r="H132" s="53"/>
      <c r="I132" s="53"/>
      <c r="J132" s="53"/>
      <c r="K132" s="53"/>
      <c r="L132" s="53"/>
    </row>
    <row r="133" spans="1:12" s="55" customFormat="1" ht="15.6" x14ac:dyDescent="0.3">
      <c r="A133" s="50"/>
      <c r="B133" s="51"/>
      <c r="C133" s="52"/>
      <c r="D133" s="53"/>
      <c r="E133" s="53"/>
      <c r="F133" s="53"/>
      <c r="G133" s="53"/>
      <c r="H133" s="53"/>
      <c r="I133" s="53"/>
      <c r="J133" s="53"/>
      <c r="K133" s="53"/>
      <c r="L133" s="53"/>
    </row>
    <row r="134" spans="1:12" s="55" customFormat="1" ht="15.6" x14ac:dyDescent="0.3">
      <c r="A134" s="50"/>
      <c r="B134" s="51"/>
      <c r="C134" s="52"/>
      <c r="D134" s="53"/>
      <c r="E134" s="53"/>
      <c r="F134" s="53"/>
      <c r="G134" s="53"/>
      <c r="H134" s="53"/>
      <c r="I134" s="53"/>
      <c r="J134" s="53"/>
      <c r="K134" s="53"/>
      <c r="L134" s="53"/>
    </row>
    <row r="135" spans="1:12" s="55" customFormat="1" ht="15.6" x14ac:dyDescent="0.3">
      <c r="A135" s="50"/>
      <c r="B135" s="51"/>
      <c r="C135" s="52"/>
      <c r="D135" s="53"/>
      <c r="E135" s="53"/>
      <c r="F135" s="53"/>
      <c r="G135" s="53"/>
      <c r="H135" s="53"/>
      <c r="I135" s="53"/>
      <c r="J135" s="53"/>
      <c r="K135" s="53"/>
      <c r="L135" s="53"/>
    </row>
    <row r="136" spans="1:12" s="55" customFormat="1" ht="15.6" x14ac:dyDescent="0.3">
      <c r="A136" s="50"/>
      <c r="B136" s="51"/>
      <c r="C136" s="52"/>
      <c r="D136" s="53"/>
      <c r="E136" s="53"/>
      <c r="F136" s="53"/>
      <c r="G136" s="53"/>
      <c r="H136" s="53"/>
      <c r="I136" s="53"/>
      <c r="J136" s="53"/>
      <c r="K136" s="53"/>
      <c r="L136" s="53"/>
    </row>
    <row r="137" spans="1:12" s="55" customFormat="1" ht="15.6" x14ac:dyDescent="0.3">
      <c r="A137" s="50"/>
      <c r="B137" s="51"/>
      <c r="C137" s="52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s="55" customFormat="1" ht="15.6" x14ac:dyDescent="0.3">
      <c r="A138" s="50"/>
      <c r="B138" s="51"/>
      <c r="C138" s="52"/>
      <c r="D138" s="53"/>
      <c r="E138" s="53"/>
      <c r="F138" s="53"/>
      <c r="G138" s="53"/>
      <c r="H138" s="53"/>
      <c r="I138" s="53"/>
      <c r="J138" s="53"/>
      <c r="K138" s="53"/>
      <c r="L138" s="53"/>
    </row>
    <row r="139" spans="1:12" s="55" customFormat="1" ht="15.6" x14ac:dyDescent="0.3">
      <c r="A139" s="50"/>
      <c r="B139" s="51"/>
      <c r="C139" s="52"/>
      <c r="D139" s="53"/>
      <c r="E139" s="53"/>
      <c r="F139" s="53"/>
      <c r="G139" s="53"/>
      <c r="H139" s="53"/>
      <c r="I139" s="53"/>
      <c r="J139" s="53"/>
      <c r="K139" s="53"/>
      <c r="L139" s="53"/>
    </row>
    <row r="140" spans="1:12" s="55" customFormat="1" ht="15.6" x14ac:dyDescent="0.3">
      <c r="A140" s="50"/>
      <c r="B140" s="51"/>
      <c r="C140" s="52"/>
      <c r="D140" s="53"/>
      <c r="E140" s="53"/>
      <c r="F140" s="53"/>
      <c r="G140" s="53"/>
      <c r="H140" s="53"/>
      <c r="I140" s="53"/>
      <c r="J140" s="53"/>
      <c r="K140" s="53"/>
      <c r="L140" s="53"/>
    </row>
    <row r="141" spans="1:12" s="55" customFormat="1" ht="15.6" x14ac:dyDescent="0.3">
      <c r="A141" s="50"/>
      <c r="B141" s="51"/>
      <c r="C141" s="52"/>
      <c r="D141" s="53"/>
      <c r="E141" s="53"/>
      <c r="F141" s="53"/>
      <c r="G141" s="53"/>
      <c r="H141" s="53"/>
      <c r="I141" s="53"/>
      <c r="J141" s="53"/>
      <c r="K141" s="53"/>
      <c r="L141" s="53"/>
    </row>
    <row r="142" spans="1:12" s="55" customFormat="1" ht="15.6" x14ac:dyDescent="0.3">
      <c r="A142" s="50"/>
      <c r="B142" s="52"/>
      <c r="C142" s="52"/>
      <c r="D142" s="53"/>
      <c r="E142" s="53"/>
      <c r="F142" s="53"/>
      <c r="G142" s="53"/>
      <c r="H142" s="53"/>
      <c r="I142" s="53"/>
      <c r="J142" s="53"/>
      <c r="K142" s="53"/>
      <c r="L142" s="53"/>
    </row>
    <row r="143" spans="1:12" s="55" customFormat="1" ht="15.6" x14ac:dyDescent="0.3">
      <c r="A143" s="50"/>
      <c r="B143" s="56"/>
      <c r="C143" s="52"/>
      <c r="D143" s="53"/>
      <c r="E143" s="53"/>
      <c r="F143" s="53"/>
      <c r="G143" s="53"/>
      <c r="H143" s="53"/>
      <c r="I143" s="53"/>
      <c r="J143" s="53"/>
      <c r="K143" s="53"/>
      <c r="L143" s="53"/>
    </row>
    <row r="144" spans="1:12" s="55" customFormat="1" ht="15.6" x14ac:dyDescent="0.3">
      <c r="A144" s="50"/>
      <c r="B144" s="56"/>
      <c r="C144" s="52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1:12" s="55" customFormat="1" ht="15.6" x14ac:dyDescent="0.3">
      <c r="A145" s="50"/>
      <c r="B145" s="56"/>
      <c r="C145" s="52"/>
      <c r="D145" s="53"/>
      <c r="E145" s="53"/>
      <c r="F145" s="53"/>
      <c r="G145" s="53"/>
      <c r="H145" s="53"/>
      <c r="I145" s="53"/>
      <c r="J145" s="53"/>
      <c r="K145" s="53"/>
      <c r="L145" s="53"/>
    </row>
    <row r="146" spans="1:12" s="55" customFormat="1" ht="15.6" x14ac:dyDescent="0.3">
      <c r="A146" s="50"/>
      <c r="B146" s="56"/>
      <c r="C146" s="52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s="55" customFormat="1" ht="15.6" x14ac:dyDescent="0.3">
      <c r="A147" s="50"/>
      <c r="B147" s="56"/>
      <c r="C147" s="52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1:12" s="55" customFormat="1" ht="15.6" x14ac:dyDescent="0.3">
      <c r="A148" s="50"/>
      <c r="B148" s="56"/>
      <c r="C148" s="52"/>
      <c r="D148" s="53"/>
      <c r="E148" s="53"/>
      <c r="F148" s="53"/>
      <c r="G148" s="53"/>
      <c r="H148" s="53"/>
      <c r="I148" s="53"/>
      <c r="J148" s="53"/>
      <c r="K148" s="53"/>
      <c r="L148" s="53"/>
    </row>
    <row r="149" spans="1:12" s="55" customFormat="1" ht="15.6" x14ac:dyDescent="0.3">
      <c r="A149" s="50"/>
      <c r="B149" s="56"/>
      <c r="C149" s="52"/>
      <c r="D149" s="53"/>
      <c r="E149" s="53"/>
      <c r="F149" s="53"/>
      <c r="G149" s="53"/>
      <c r="H149" s="53"/>
      <c r="I149" s="53"/>
      <c r="J149" s="53"/>
      <c r="K149" s="53"/>
      <c r="L149" s="53"/>
    </row>
    <row r="150" spans="1:12" s="55" customFormat="1" ht="15.6" x14ac:dyDescent="0.3">
      <c r="A150" s="50"/>
      <c r="B150" s="56"/>
      <c r="C150" s="52"/>
      <c r="D150" s="53"/>
      <c r="E150" s="53"/>
      <c r="F150" s="53"/>
      <c r="G150" s="53"/>
      <c r="H150" s="53"/>
      <c r="I150" s="53"/>
      <c r="J150" s="53"/>
      <c r="K150" s="53"/>
      <c r="L150" s="53"/>
    </row>
    <row r="151" spans="1:12" s="55" customFormat="1" ht="15.6" x14ac:dyDescent="0.3">
      <c r="A151" s="50"/>
      <c r="B151" s="56"/>
      <c r="C151" s="52"/>
      <c r="D151" s="53"/>
      <c r="E151" s="53"/>
      <c r="F151" s="53"/>
      <c r="G151" s="53"/>
      <c r="H151" s="53"/>
      <c r="I151" s="53"/>
      <c r="J151" s="53"/>
      <c r="K151" s="53"/>
      <c r="L151" s="53"/>
    </row>
    <row r="152" spans="1:12" s="55" customFormat="1" ht="15.6" x14ac:dyDescent="0.3">
      <c r="A152" s="50"/>
      <c r="B152" s="56"/>
      <c r="C152" s="52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1:12" s="55" customFormat="1" ht="15.6" x14ac:dyDescent="0.3">
      <c r="A153" s="50"/>
      <c r="B153" s="56"/>
      <c r="C153" s="52"/>
      <c r="D153" s="53"/>
      <c r="E153" s="53"/>
      <c r="F153" s="53"/>
      <c r="G153" s="53"/>
      <c r="H153" s="53"/>
      <c r="I153" s="53"/>
      <c r="J153" s="53"/>
      <c r="K153" s="53"/>
      <c r="L153" s="53"/>
    </row>
    <row r="154" spans="1:12" s="55" customFormat="1" ht="15.6" x14ac:dyDescent="0.3">
      <c r="A154" s="50"/>
      <c r="B154" s="56"/>
      <c r="C154" s="52"/>
      <c r="D154" s="53"/>
      <c r="E154" s="53"/>
      <c r="F154" s="53"/>
      <c r="G154" s="53"/>
      <c r="H154" s="53"/>
      <c r="I154" s="53"/>
      <c r="J154" s="53"/>
      <c r="K154" s="53"/>
      <c r="L154" s="53"/>
    </row>
    <row r="155" spans="1:12" s="55" customFormat="1" ht="15.6" x14ac:dyDescent="0.3">
      <c r="A155" s="50"/>
      <c r="B155" s="56"/>
      <c r="C155" s="52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1:12" s="55" customFormat="1" ht="15.6" x14ac:dyDescent="0.3">
      <c r="A156" s="50"/>
      <c r="B156" s="56"/>
      <c r="C156" s="52"/>
      <c r="D156" s="53"/>
      <c r="E156" s="53"/>
      <c r="F156" s="53"/>
      <c r="G156" s="53"/>
      <c r="H156" s="53"/>
      <c r="I156" s="53"/>
      <c r="J156" s="53"/>
      <c r="K156" s="53"/>
      <c r="L156" s="53"/>
    </row>
    <row r="157" spans="1:12" s="55" customFormat="1" ht="15.6" x14ac:dyDescent="0.3">
      <c r="A157" s="50"/>
      <c r="B157" s="56"/>
      <c r="C157" s="52"/>
      <c r="D157" s="53"/>
      <c r="E157" s="53"/>
      <c r="F157" s="53"/>
      <c r="G157" s="53"/>
      <c r="H157" s="53"/>
      <c r="I157" s="53"/>
      <c r="J157" s="53"/>
      <c r="K157" s="53"/>
      <c r="L157" s="53"/>
    </row>
    <row r="158" spans="1:12" s="55" customFormat="1" ht="15.6" x14ac:dyDescent="0.3">
      <c r="A158" s="50"/>
      <c r="B158" s="56"/>
      <c r="C158" s="52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12" s="55" customFormat="1" ht="15.6" x14ac:dyDescent="0.3">
      <c r="A159" s="50"/>
      <c r="B159" s="56"/>
      <c r="C159" s="52"/>
      <c r="D159" s="53"/>
      <c r="E159" s="53"/>
      <c r="F159" s="53"/>
      <c r="G159" s="53"/>
      <c r="H159" s="53"/>
      <c r="I159" s="53"/>
      <c r="J159" s="53"/>
      <c r="K159" s="53"/>
      <c r="L159" s="53"/>
    </row>
    <row r="160" spans="1:12" s="55" customFormat="1" ht="15.6" x14ac:dyDescent="0.3">
      <c r="A160" s="50"/>
      <c r="B160" s="56"/>
      <c r="C160" s="52"/>
      <c r="D160" s="53"/>
      <c r="E160" s="53"/>
      <c r="F160" s="53"/>
      <c r="G160" s="53"/>
      <c r="H160" s="53"/>
      <c r="I160" s="53"/>
      <c r="J160" s="53"/>
      <c r="K160" s="53"/>
      <c r="L160" s="53"/>
    </row>
    <row r="161" spans="1:12" s="55" customFormat="1" ht="15.6" x14ac:dyDescent="0.3">
      <c r="A161" s="50"/>
      <c r="B161" s="56"/>
      <c r="C161" s="52"/>
      <c r="D161" s="53"/>
      <c r="E161" s="53"/>
      <c r="F161" s="53"/>
      <c r="G161" s="53"/>
      <c r="H161" s="53"/>
      <c r="I161" s="53"/>
      <c r="J161" s="53"/>
      <c r="K161" s="53"/>
      <c r="L161" s="53"/>
    </row>
    <row r="162" spans="1:12" s="55" customFormat="1" ht="15.6" x14ac:dyDescent="0.3">
      <c r="A162" s="50"/>
      <c r="B162" s="56"/>
      <c r="C162" s="52"/>
      <c r="D162" s="53"/>
      <c r="E162" s="53"/>
      <c r="F162" s="53"/>
      <c r="G162" s="53"/>
      <c r="H162" s="53"/>
      <c r="I162" s="53"/>
      <c r="J162" s="53"/>
      <c r="K162" s="53"/>
      <c r="L162" s="53"/>
    </row>
    <row r="163" spans="1:12" s="55" customFormat="1" ht="15.6" x14ac:dyDescent="0.3">
      <c r="A163" s="50"/>
      <c r="B163" s="56"/>
      <c r="C163" s="52"/>
      <c r="D163" s="53"/>
      <c r="E163" s="53"/>
      <c r="F163" s="53"/>
      <c r="G163" s="53"/>
      <c r="H163" s="53"/>
      <c r="I163" s="53"/>
      <c r="J163" s="53"/>
      <c r="K163" s="53"/>
      <c r="L163" s="53"/>
    </row>
    <row r="164" spans="1:12" s="55" customFormat="1" ht="15.6" x14ac:dyDescent="0.3">
      <c r="A164" s="50"/>
      <c r="B164" s="56"/>
      <c r="C164" s="52"/>
      <c r="D164" s="53"/>
      <c r="E164" s="53"/>
      <c r="F164" s="53"/>
      <c r="G164" s="53"/>
      <c r="H164" s="53"/>
      <c r="I164" s="53"/>
      <c r="J164" s="53"/>
      <c r="K164" s="53"/>
      <c r="L164" s="53"/>
    </row>
    <row r="165" spans="1:12" s="55" customFormat="1" ht="15.6" x14ac:dyDescent="0.3">
      <c r="A165" s="50"/>
      <c r="B165" s="56"/>
      <c r="C165" s="52"/>
      <c r="D165" s="53"/>
      <c r="E165" s="53"/>
      <c r="F165" s="53"/>
      <c r="G165" s="53"/>
      <c r="H165" s="53"/>
      <c r="I165" s="53"/>
      <c r="J165" s="53"/>
      <c r="K165" s="53"/>
      <c r="L165" s="53"/>
    </row>
    <row r="166" spans="1:12" s="55" customFormat="1" ht="15.6" x14ac:dyDescent="0.3">
      <c r="A166" s="50"/>
      <c r="B166" s="56"/>
      <c r="C166" s="52"/>
      <c r="D166" s="53"/>
      <c r="E166" s="53"/>
      <c r="F166" s="53"/>
      <c r="G166" s="53"/>
      <c r="H166" s="53"/>
      <c r="I166" s="53"/>
      <c r="J166" s="53"/>
      <c r="K166" s="53"/>
      <c r="L166" s="53"/>
    </row>
    <row r="167" spans="1:12" s="55" customFormat="1" ht="15.6" x14ac:dyDescent="0.3">
      <c r="A167" s="50"/>
      <c r="B167" s="56"/>
      <c r="C167" s="52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2" s="55" customFormat="1" ht="15.6" x14ac:dyDescent="0.3">
      <c r="A168" s="50"/>
      <c r="B168" s="56"/>
      <c r="C168" s="52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1:12" s="55" customFormat="1" ht="15.6" x14ac:dyDescent="0.3">
      <c r="A169" s="50"/>
      <c r="B169" s="56"/>
      <c r="C169" s="52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 s="55" customFormat="1" ht="15.6" x14ac:dyDescent="0.3">
      <c r="A170" s="50"/>
      <c r="B170" s="56"/>
      <c r="C170" s="52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 s="55" customFormat="1" ht="15.6" x14ac:dyDescent="0.3">
      <c r="A171" s="50"/>
      <c r="B171" s="56"/>
      <c r="C171" s="52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 s="55" customFormat="1" ht="15.6" x14ac:dyDescent="0.3">
      <c r="A172" s="50"/>
      <c r="B172" s="56"/>
      <c r="C172" s="52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 s="55" customFormat="1" ht="15.6" x14ac:dyDescent="0.3">
      <c r="A173" s="50"/>
      <c r="B173" s="56"/>
      <c r="C173" s="52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 s="55" customFormat="1" ht="15.6" x14ac:dyDescent="0.3">
      <c r="A174" s="50"/>
      <c r="B174" s="56"/>
      <c r="C174" s="52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 s="55" customFormat="1" ht="15.6" x14ac:dyDescent="0.3">
      <c r="A175" s="50"/>
      <c r="B175" s="56"/>
      <c r="C175" s="52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 s="55" customFormat="1" ht="15.6" x14ac:dyDescent="0.3">
      <c r="A176" s="50"/>
      <c r="B176" s="56"/>
      <c r="C176" s="52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 s="55" customFormat="1" ht="15.6" x14ac:dyDescent="0.3">
      <c r="A177" s="50"/>
      <c r="B177" s="56"/>
      <c r="C177" s="52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 s="55" customFormat="1" ht="15.6" x14ac:dyDescent="0.3">
      <c r="A178" s="50"/>
      <c r="B178" s="56"/>
      <c r="C178" s="52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 s="55" customFormat="1" ht="15.6" x14ac:dyDescent="0.3">
      <c r="A179" s="50"/>
      <c r="B179" s="56"/>
      <c r="C179" s="52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 s="55" customFormat="1" ht="15.6" x14ac:dyDescent="0.3">
      <c r="A180" s="50"/>
      <c r="B180" s="56"/>
      <c r="C180" s="52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 s="55" customFormat="1" ht="15.6" x14ac:dyDescent="0.3">
      <c r="A181" s="50"/>
      <c r="B181" s="56"/>
      <c r="C181" s="52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 s="55" customFormat="1" ht="15.6" x14ac:dyDescent="0.3">
      <c r="A182" s="50"/>
      <c r="B182" s="56"/>
      <c r="C182" s="52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 s="55" customFormat="1" ht="15.6" x14ac:dyDescent="0.3">
      <c r="A183" s="50"/>
      <c r="B183" s="56"/>
      <c r="C183" s="52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 s="55" customFormat="1" ht="15.6" x14ac:dyDescent="0.3">
      <c r="A184" s="50"/>
      <c r="B184" s="56"/>
      <c r="C184" s="52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 s="55" customFormat="1" ht="15.6" x14ac:dyDescent="0.3">
      <c r="A185" s="50"/>
      <c r="B185" s="56"/>
      <c r="C185" s="52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 s="55" customFormat="1" ht="15.6" x14ac:dyDescent="0.3">
      <c r="A186" s="50"/>
      <c r="B186" s="56"/>
      <c r="C186" s="52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 s="55" customFormat="1" ht="15.6" x14ac:dyDescent="0.3">
      <c r="A187" s="50"/>
      <c r="B187" s="56"/>
      <c r="C187" s="52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 s="55" customFormat="1" ht="15.6" x14ac:dyDescent="0.3">
      <c r="A188" s="50"/>
      <c r="B188" s="56"/>
      <c r="C188" s="52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 s="55" customFormat="1" ht="15.6" x14ac:dyDescent="0.3">
      <c r="A189" s="50"/>
      <c r="B189" s="56"/>
      <c r="C189" s="52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 s="55" customFormat="1" ht="15.6" x14ac:dyDescent="0.3">
      <c r="A190" s="50"/>
      <c r="B190" s="51"/>
      <c r="C190" s="52"/>
      <c r="D190" s="53"/>
      <c r="E190" s="53"/>
      <c r="F190" s="53"/>
      <c r="G190" s="53"/>
      <c r="H190" s="53"/>
      <c r="I190" s="53"/>
      <c r="J190" s="53"/>
      <c r="K190" s="53"/>
      <c r="L190" s="53"/>
    </row>
    <row r="191" spans="1:12" s="55" customFormat="1" ht="15.6" x14ac:dyDescent="0.3">
      <c r="A191" s="50"/>
      <c r="B191" s="51"/>
      <c r="C191" s="52"/>
      <c r="D191" s="53"/>
      <c r="E191" s="53"/>
      <c r="F191" s="53"/>
      <c r="G191" s="53"/>
      <c r="H191" s="53"/>
      <c r="I191" s="53"/>
      <c r="J191" s="53"/>
      <c r="K191" s="53"/>
      <c r="L191" s="53"/>
    </row>
    <row r="192" spans="1:12" s="55" customFormat="1" ht="15.6" x14ac:dyDescent="0.3">
      <c r="A192" s="57"/>
      <c r="B192" s="146"/>
      <c r="C192" s="146"/>
      <c r="D192" s="53"/>
      <c r="E192" s="53"/>
      <c r="F192" s="53"/>
      <c r="G192" s="53"/>
      <c r="H192" s="53"/>
      <c r="I192" s="53"/>
      <c r="J192" s="53"/>
      <c r="K192" s="53"/>
      <c r="L192" s="53"/>
    </row>
    <row r="193" spans="1:12" s="55" customFormat="1" ht="15.6" x14ac:dyDescent="0.3">
      <c r="A193" s="57"/>
      <c r="B193" s="145"/>
      <c r="C193" s="145"/>
      <c r="D193" s="53"/>
      <c r="E193" s="53"/>
      <c r="F193" s="53"/>
      <c r="G193" s="53"/>
      <c r="H193" s="53"/>
      <c r="I193" s="53"/>
      <c r="J193" s="53"/>
      <c r="K193" s="53"/>
      <c r="L193" s="53"/>
    </row>
    <row r="194" spans="1:12" s="55" customFormat="1" ht="15.6" x14ac:dyDescent="0.3">
      <c r="A194" s="57"/>
      <c r="B194" s="145"/>
      <c r="C194" s="145"/>
      <c r="D194" s="53"/>
      <c r="E194" s="53"/>
      <c r="F194" s="53"/>
      <c r="G194" s="53"/>
      <c r="H194" s="53"/>
      <c r="I194" s="53"/>
      <c r="J194" s="53"/>
      <c r="K194" s="53"/>
      <c r="L194" s="53"/>
    </row>
    <row r="195" spans="1:12" s="55" customFormat="1" x14ac:dyDescent="0.3"/>
    <row r="196" spans="1:12" s="55" customFormat="1" x14ac:dyDescent="0.3"/>
  </sheetData>
  <mergeCells count="5">
    <mergeCell ref="B193:C193"/>
    <mergeCell ref="B194:C194"/>
    <mergeCell ref="B192:C192"/>
    <mergeCell ref="G119:H119"/>
    <mergeCell ref="G120:I1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showGridLines="0" zoomScale="70" zoomScaleNormal="70" workbookViewId="0">
      <selection activeCell="AM21" sqref="AM21"/>
    </sheetView>
  </sheetViews>
  <sheetFormatPr defaultColWidth="4.88671875" defaultRowHeight="15.6" x14ac:dyDescent="0.3"/>
  <cols>
    <col min="1" max="1" width="23.44140625" style="24" bestFit="1" customWidth="1"/>
    <col min="2" max="2" width="3.88671875" style="24" bestFit="1" customWidth="1"/>
    <col min="3" max="14" width="9.5546875" style="24" bestFit="1" customWidth="1"/>
    <col min="15" max="15" width="4.88671875" style="24"/>
    <col min="16" max="16" width="3.88671875" style="24" bestFit="1" customWidth="1"/>
    <col min="17" max="17" width="9.5546875" style="24" bestFit="1" customWidth="1"/>
    <col min="18" max="18" width="10.88671875" style="24" bestFit="1" customWidth="1"/>
    <col min="19" max="19" width="9.5546875" style="24" bestFit="1" customWidth="1"/>
    <col min="20" max="20" width="10.88671875" style="24" bestFit="1" customWidth="1"/>
    <col min="21" max="21" width="9.5546875" style="24" bestFit="1" customWidth="1"/>
    <col min="22" max="22" width="10.88671875" style="24" bestFit="1" customWidth="1"/>
    <col min="23" max="23" width="9.5546875" style="24" bestFit="1" customWidth="1"/>
    <col min="24" max="24" width="10.88671875" style="24" bestFit="1" customWidth="1"/>
    <col min="25" max="25" width="9.5546875" style="24" bestFit="1" customWidth="1"/>
    <col min="26" max="26" width="10.88671875" style="24" bestFit="1" customWidth="1"/>
    <col min="27" max="27" width="9.5546875" style="24" bestFit="1" customWidth="1"/>
    <col min="28" max="28" width="10.88671875" style="24" bestFit="1" customWidth="1"/>
    <col min="29" max="29" width="4.88671875" style="24"/>
    <col min="30" max="30" width="3.88671875" style="24" bestFit="1" customWidth="1"/>
    <col min="31" max="42" width="9.5546875" style="24" bestFit="1" customWidth="1"/>
    <col min="43" max="16384" width="4.88671875" style="24"/>
  </cols>
  <sheetData>
    <row r="1" spans="1:42" ht="16.2" thickBot="1" x14ac:dyDescent="0.35">
      <c r="A1" s="25" t="s">
        <v>56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42" ht="16.2" thickBot="1" x14ac:dyDescent="0.35">
      <c r="A2" s="27"/>
      <c r="B2" s="27"/>
      <c r="C2" s="167" t="s">
        <v>8</v>
      </c>
      <c r="D2" s="168"/>
      <c r="E2" s="28">
        <v>1.6799999999999999E-2</v>
      </c>
      <c r="F2" s="27"/>
      <c r="G2" s="27"/>
      <c r="H2" s="27"/>
      <c r="I2" s="27"/>
      <c r="J2" s="27"/>
      <c r="K2" s="27"/>
      <c r="L2" s="27"/>
      <c r="M2" s="27"/>
      <c r="N2" s="27"/>
    </row>
    <row r="3" spans="1:42" ht="16.2" thickBot="1" x14ac:dyDescent="0.35">
      <c r="A3" s="27"/>
      <c r="B3" s="27"/>
      <c r="C3" s="167" t="s">
        <v>9</v>
      </c>
      <c r="D3" s="168"/>
      <c r="E3" s="28">
        <v>0.04</v>
      </c>
      <c r="F3" s="27"/>
      <c r="G3" s="27"/>
      <c r="H3" s="27"/>
      <c r="I3" s="27"/>
      <c r="J3" s="27"/>
      <c r="K3" s="27"/>
      <c r="L3" s="27"/>
      <c r="M3" s="27"/>
      <c r="N3" s="27"/>
    </row>
    <row r="4" spans="1:42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42" x14ac:dyDescent="0.3">
      <c r="A5" s="27"/>
      <c r="B5" s="169" t="s">
        <v>10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29"/>
      <c r="P5" s="159" t="s">
        <v>57</v>
      </c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1"/>
      <c r="AC5" s="29"/>
      <c r="AD5" s="159" t="s">
        <v>58</v>
      </c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1"/>
    </row>
    <row r="6" spans="1:42" x14ac:dyDescent="0.3">
      <c r="A6" s="27"/>
      <c r="B6" s="162"/>
      <c r="C6" s="152" t="s">
        <v>59</v>
      </c>
      <c r="D6" s="153"/>
      <c r="E6" s="153"/>
      <c r="F6" s="154"/>
      <c r="G6" s="152" t="s">
        <v>60</v>
      </c>
      <c r="H6" s="153"/>
      <c r="I6" s="153"/>
      <c r="J6" s="154"/>
      <c r="K6" s="152" t="s">
        <v>13</v>
      </c>
      <c r="L6" s="153"/>
      <c r="M6" s="153"/>
      <c r="N6" s="166"/>
      <c r="O6" s="29"/>
      <c r="P6" s="157"/>
      <c r="Q6" s="152" t="s">
        <v>59</v>
      </c>
      <c r="R6" s="153"/>
      <c r="S6" s="153"/>
      <c r="T6" s="154"/>
      <c r="U6" s="152" t="s">
        <v>60</v>
      </c>
      <c r="V6" s="153"/>
      <c r="W6" s="153"/>
      <c r="X6" s="154"/>
      <c r="Y6" s="152" t="s">
        <v>13</v>
      </c>
      <c r="Z6" s="153"/>
      <c r="AA6" s="153"/>
      <c r="AB6" s="154"/>
      <c r="AC6" s="29"/>
      <c r="AD6" s="157"/>
      <c r="AE6" s="152" t="s">
        <v>59</v>
      </c>
      <c r="AF6" s="153"/>
      <c r="AG6" s="153"/>
      <c r="AH6" s="154"/>
      <c r="AI6" s="152" t="s">
        <v>60</v>
      </c>
      <c r="AJ6" s="153"/>
      <c r="AK6" s="153"/>
      <c r="AL6" s="154"/>
      <c r="AM6" s="152" t="s">
        <v>13</v>
      </c>
      <c r="AN6" s="153"/>
      <c r="AO6" s="153"/>
      <c r="AP6" s="154"/>
    </row>
    <row r="7" spans="1:42" x14ac:dyDescent="0.3">
      <c r="A7" s="27"/>
      <c r="B7" s="163"/>
      <c r="C7" s="155" t="s">
        <v>15</v>
      </c>
      <c r="D7" s="156"/>
      <c r="E7" s="155" t="s">
        <v>61</v>
      </c>
      <c r="F7" s="156"/>
      <c r="G7" s="155" t="s">
        <v>15</v>
      </c>
      <c r="H7" s="156"/>
      <c r="I7" s="155" t="s">
        <v>61</v>
      </c>
      <c r="J7" s="156"/>
      <c r="K7" s="155" t="s">
        <v>15</v>
      </c>
      <c r="L7" s="156"/>
      <c r="M7" s="155" t="s">
        <v>61</v>
      </c>
      <c r="N7" s="164"/>
      <c r="O7" s="29"/>
      <c r="P7" s="158"/>
      <c r="Q7" s="155" t="s">
        <v>15</v>
      </c>
      <c r="R7" s="156"/>
      <c r="S7" s="155" t="s">
        <v>61</v>
      </c>
      <c r="T7" s="156"/>
      <c r="U7" s="155" t="s">
        <v>15</v>
      </c>
      <c r="V7" s="156"/>
      <c r="W7" s="155" t="s">
        <v>61</v>
      </c>
      <c r="X7" s="156"/>
      <c r="Y7" s="155" t="s">
        <v>15</v>
      </c>
      <c r="Z7" s="156"/>
      <c r="AA7" s="155" t="s">
        <v>61</v>
      </c>
      <c r="AB7" s="165"/>
      <c r="AC7" s="29"/>
      <c r="AD7" s="158"/>
      <c r="AE7" s="155" t="s">
        <v>62</v>
      </c>
      <c r="AF7" s="156"/>
      <c r="AG7" s="155" t="s">
        <v>63</v>
      </c>
      <c r="AH7" s="156"/>
      <c r="AI7" s="155" t="s">
        <v>62</v>
      </c>
      <c r="AJ7" s="156"/>
      <c r="AK7" s="155" t="s">
        <v>63</v>
      </c>
      <c r="AL7" s="156"/>
      <c r="AM7" s="155" t="s">
        <v>62</v>
      </c>
      <c r="AN7" s="156"/>
      <c r="AO7" s="155" t="s">
        <v>63</v>
      </c>
      <c r="AP7" s="156"/>
    </row>
    <row r="8" spans="1:42" x14ac:dyDescent="0.3">
      <c r="A8" s="27"/>
      <c r="B8" s="30"/>
      <c r="C8" s="31" t="s">
        <v>19</v>
      </c>
      <c r="D8" s="32" t="s">
        <v>20</v>
      </c>
      <c r="E8" s="31" t="s">
        <v>19</v>
      </c>
      <c r="F8" s="32" t="s">
        <v>20</v>
      </c>
      <c r="G8" s="31" t="s">
        <v>19</v>
      </c>
      <c r="H8" s="32" t="s">
        <v>20</v>
      </c>
      <c r="I8" s="31" t="s">
        <v>19</v>
      </c>
      <c r="J8" s="32" t="s">
        <v>20</v>
      </c>
      <c r="K8" s="31" t="s">
        <v>19</v>
      </c>
      <c r="L8" s="32" t="s">
        <v>20</v>
      </c>
      <c r="M8" s="31" t="s">
        <v>19</v>
      </c>
      <c r="N8" s="33" t="s">
        <v>20</v>
      </c>
      <c r="O8" s="29"/>
      <c r="P8" s="31"/>
      <c r="Q8" s="31" t="s">
        <v>19</v>
      </c>
      <c r="R8" s="32" t="s">
        <v>20</v>
      </c>
      <c r="S8" s="31" t="s">
        <v>19</v>
      </c>
      <c r="T8" s="32" t="s">
        <v>20</v>
      </c>
      <c r="U8" s="31" t="s">
        <v>19</v>
      </c>
      <c r="V8" s="32" t="s">
        <v>20</v>
      </c>
      <c r="W8" s="31" t="s">
        <v>19</v>
      </c>
      <c r="X8" s="32" t="s">
        <v>20</v>
      </c>
      <c r="Y8" s="31" t="s">
        <v>19</v>
      </c>
      <c r="Z8" s="32" t="s">
        <v>20</v>
      </c>
      <c r="AA8" s="31" t="s">
        <v>19</v>
      </c>
      <c r="AB8" s="34" t="s">
        <v>20</v>
      </c>
      <c r="AC8" s="29"/>
      <c r="AD8" s="35"/>
      <c r="AE8" s="35" t="s">
        <v>19</v>
      </c>
      <c r="AF8" s="36" t="s">
        <v>20</v>
      </c>
      <c r="AG8" s="35" t="s">
        <v>19</v>
      </c>
      <c r="AH8" s="36" t="s">
        <v>20</v>
      </c>
      <c r="AI8" s="35" t="s">
        <v>19</v>
      </c>
      <c r="AJ8" s="36" t="s">
        <v>20</v>
      </c>
      <c r="AK8" s="35" t="s">
        <v>19</v>
      </c>
      <c r="AL8" s="36" t="s">
        <v>20</v>
      </c>
      <c r="AM8" s="35" t="s">
        <v>19</v>
      </c>
      <c r="AN8" s="36" t="s">
        <v>20</v>
      </c>
      <c r="AO8" s="35" t="s">
        <v>19</v>
      </c>
      <c r="AP8" s="37" t="s">
        <v>20</v>
      </c>
    </row>
    <row r="9" spans="1:42" x14ac:dyDescent="0.3">
      <c r="A9" s="27"/>
      <c r="B9" s="38">
        <v>1</v>
      </c>
      <c r="C9" s="39">
        <v>0.21378</v>
      </c>
      <c r="D9" s="40">
        <v>0.21378</v>
      </c>
      <c r="E9" s="41">
        <v>0.22070999999999999</v>
      </c>
      <c r="F9" s="40">
        <v>0.22070999999999999</v>
      </c>
      <c r="G9" s="41">
        <v>0.21378</v>
      </c>
      <c r="H9" s="40">
        <v>0.21378</v>
      </c>
      <c r="I9" s="41">
        <v>0.22070999999999999</v>
      </c>
      <c r="J9" s="40">
        <v>0.22070999999999999</v>
      </c>
      <c r="K9" s="41">
        <v>0.20537</v>
      </c>
      <c r="L9" s="40">
        <v>0.20537</v>
      </c>
      <c r="M9" s="41">
        <v>0.20537</v>
      </c>
      <c r="N9" s="40">
        <v>0.20537</v>
      </c>
      <c r="O9" s="29"/>
      <c r="P9" s="42">
        <v>1</v>
      </c>
      <c r="Q9" s="39">
        <v>2.2729400000000002</v>
      </c>
      <c r="R9" s="40">
        <v>2.2729400000000002</v>
      </c>
      <c r="S9" s="41">
        <v>2.2729400000000002</v>
      </c>
      <c r="T9" s="40">
        <v>2.2729400000000002</v>
      </c>
      <c r="U9" s="41">
        <v>2.2729400000000002</v>
      </c>
      <c r="V9" s="40">
        <v>2.2729400000000002</v>
      </c>
      <c r="W9" s="41">
        <v>2.2729400000000002</v>
      </c>
      <c r="X9" s="40">
        <v>2.2729400000000002</v>
      </c>
      <c r="Y9" s="41">
        <v>2.2729400000000002</v>
      </c>
      <c r="Z9" s="40">
        <v>2.2729400000000002</v>
      </c>
      <c r="AA9" s="41">
        <v>2.2729400000000002</v>
      </c>
      <c r="AB9" s="40">
        <v>2.2729400000000002</v>
      </c>
      <c r="AC9" s="29"/>
      <c r="AD9" s="38">
        <v>1</v>
      </c>
      <c r="AE9" s="39">
        <v>0.1128</v>
      </c>
      <c r="AF9" s="40">
        <v>0.1128</v>
      </c>
      <c r="AG9" s="41">
        <v>0.1128</v>
      </c>
      <c r="AH9" s="40">
        <v>0.1128</v>
      </c>
      <c r="AI9" s="41">
        <v>0.1128</v>
      </c>
      <c r="AJ9" s="40">
        <v>0.1128</v>
      </c>
      <c r="AK9" s="41">
        <v>0.1128</v>
      </c>
      <c r="AL9" s="40">
        <v>0.1128</v>
      </c>
      <c r="AM9" s="41">
        <v>0.1128</v>
      </c>
      <c r="AN9" s="40">
        <v>0.1128</v>
      </c>
      <c r="AO9" s="41">
        <v>0.1128</v>
      </c>
      <c r="AP9" s="40">
        <v>0.1128</v>
      </c>
    </row>
    <row r="10" spans="1:42" x14ac:dyDescent="0.3">
      <c r="A10" s="27"/>
      <c r="B10" s="38">
        <v>2</v>
      </c>
      <c r="C10" s="41">
        <v>0.19683999999999999</v>
      </c>
      <c r="D10" s="40">
        <v>0.40304000000000001</v>
      </c>
      <c r="E10" s="41">
        <v>0.20449000000000001</v>
      </c>
      <c r="F10" s="40">
        <v>0.41733999999999999</v>
      </c>
      <c r="G10" s="41">
        <v>0.19683999999999999</v>
      </c>
      <c r="H10" s="40">
        <v>0.40304000000000001</v>
      </c>
      <c r="I10" s="41">
        <v>0.20449000000000001</v>
      </c>
      <c r="J10" s="40">
        <v>0.41733999999999999</v>
      </c>
      <c r="K10" s="41">
        <v>0.20114000000000001</v>
      </c>
      <c r="L10" s="40">
        <v>0.39878000000000002</v>
      </c>
      <c r="M10" s="41">
        <v>0.20114000000000001</v>
      </c>
      <c r="N10" s="40">
        <v>0.39878000000000002</v>
      </c>
      <c r="O10" s="29"/>
      <c r="P10" s="42">
        <v>2</v>
      </c>
      <c r="Q10" s="41">
        <v>2.3111299999999999</v>
      </c>
      <c r="R10" s="40">
        <v>4.4951800000000004</v>
      </c>
      <c r="S10" s="41">
        <v>2.3111299999999999</v>
      </c>
      <c r="T10" s="40">
        <v>4.4951800000000004</v>
      </c>
      <c r="U10" s="41">
        <v>2.3111299999999999</v>
      </c>
      <c r="V10" s="40">
        <v>4.4951800000000004</v>
      </c>
      <c r="W10" s="41">
        <v>2.3111299999999999</v>
      </c>
      <c r="X10" s="40">
        <v>4.4951800000000004</v>
      </c>
      <c r="Y10" s="41">
        <v>2.3111299999999999</v>
      </c>
      <c r="Z10" s="40">
        <v>4.4951800000000004</v>
      </c>
      <c r="AA10" s="41">
        <v>2.3111299999999999</v>
      </c>
      <c r="AB10" s="40">
        <v>4.4951800000000004</v>
      </c>
      <c r="AC10" s="29"/>
      <c r="AD10" s="38">
        <v>2</v>
      </c>
      <c r="AE10" s="41">
        <v>0.1147</v>
      </c>
      <c r="AF10" s="40">
        <v>0.22309000000000001</v>
      </c>
      <c r="AG10" s="41">
        <v>0.1147</v>
      </c>
      <c r="AH10" s="40">
        <v>0.22309000000000001</v>
      </c>
      <c r="AI10" s="41">
        <v>0.1147</v>
      </c>
      <c r="AJ10" s="40">
        <v>0.22309000000000001</v>
      </c>
      <c r="AK10" s="41">
        <v>0.1147</v>
      </c>
      <c r="AL10" s="40">
        <v>0.22309000000000001</v>
      </c>
      <c r="AM10" s="41">
        <v>0.1147</v>
      </c>
      <c r="AN10" s="40">
        <v>0.22309000000000001</v>
      </c>
      <c r="AO10" s="41">
        <v>0.1147</v>
      </c>
      <c r="AP10" s="40">
        <v>0.22309000000000001</v>
      </c>
    </row>
    <row r="11" spans="1:42" x14ac:dyDescent="0.3">
      <c r="A11" s="27"/>
      <c r="B11" s="38">
        <v>3</v>
      </c>
      <c r="C11" s="41">
        <v>0.19620000000000001</v>
      </c>
      <c r="D11" s="40">
        <v>0.58443999999999996</v>
      </c>
      <c r="E11" s="41">
        <v>0.20266000000000001</v>
      </c>
      <c r="F11" s="40">
        <v>0.60470999999999997</v>
      </c>
      <c r="G11" s="41">
        <v>0.19620000000000001</v>
      </c>
      <c r="H11" s="40">
        <v>0.58443999999999996</v>
      </c>
      <c r="I11" s="41">
        <v>0.20266000000000001</v>
      </c>
      <c r="J11" s="40">
        <v>0.60470999999999997</v>
      </c>
      <c r="K11" s="41">
        <v>0.19797999999999999</v>
      </c>
      <c r="L11" s="40">
        <v>0.58182</v>
      </c>
      <c r="M11" s="41">
        <v>0.19797999999999999</v>
      </c>
      <c r="N11" s="40">
        <v>0.58182</v>
      </c>
      <c r="O11" s="29"/>
      <c r="P11" s="42">
        <v>3</v>
      </c>
      <c r="Q11" s="41">
        <v>2.3499599999999998</v>
      </c>
      <c r="R11" s="40">
        <v>6.6678499999999996</v>
      </c>
      <c r="S11" s="41">
        <v>2.3499599999999998</v>
      </c>
      <c r="T11" s="40">
        <v>6.6678499999999996</v>
      </c>
      <c r="U11" s="41">
        <v>2.3499599999999998</v>
      </c>
      <c r="V11" s="40">
        <v>6.6678499999999996</v>
      </c>
      <c r="W11" s="41">
        <v>2.3499599999999998</v>
      </c>
      <c r="X11" s="40">
        <v>6.6678499999999996</v>
      </c>
      <c r="Y11" s="41">
        <v>2.3499599999999998</v>
      </c>
      <c r="Z11" s="40">
        <v>6.6678499999999996</v>
      </c>
      <c r="AA11" s="41">
        <v>2.3499599999999998</v>
      </c>
      <c r="AB11" s="40">
        <v>6.6678499999999996</v>
      </c>
      <c r="AC11" s="29"/>
      <c r="AD11" s="38">
        <v>3</v>
      </c>
      <c r="AE11" s="41">
        <v>0.11663</v>
      </c>
      <c r="AF11" s="40">
        <v>0.33091999999999999</v>
      </c>
      <c r="AG11" s="41">
        <v>0.11663</v>
      </c>
      <c r="AH11" s="40">
        <v>0.33091999999999999</v>
      </c>
      <c r="AI11" s="41">
        <v>0.11663</v>
      </c>
      <c r="AJ11" s="40">
        <v>0.33091999999999999</v>
      </c>
      <c r="AK11" s="41">
        <v>0.11663</v>
      </c>
      <c r="AL11" s="40">
        <v>0.33091999999999999</v>
      </c>
      <c r="AM11" s="41">
        <v>0.11663</v>
      </c>
      <c r="AN11" s="40">
        <v>0.33091999999999999</v>
      </c>
      <c r="AO11" s="41">
        <v>0.11663</v>
      </c>
      <c r="AP11" s="40">
        <v>0.33091999999999999</v>
      </c>
    </row>
    <row r="12" spans="1:42" x14ac:dyDescent="0.3">
      <c r="A12" s="27"/>
      <c r="B12" s="38">
        <v>4</v>
      </c>
      <c r="C12" s="41">
        <v>0.20730000000000001</v>
      </c>
      <c r="D12" s="40">
        <v>0.76873000000000002</v>
      </c>
      <c r="E12" s="41">
        <v>0.21387</v>
      </c>
      <c r="F12" s="40">
        <v>0.79483999999999999</v>
      </c>
      <c r="G12" s="41">
        <v>0.20730000000000001</v>
      </c>
      <c r="H12" s="40">
        <v>0.76873000000000002</v>
      </c>
      <c r="I12" s="41">
        <v>0.21387</v>
      </c>
      <c r="J12" s="40">
        <v>0.79483999999999999</v>
      </c>
      <c r="K12" s="41">
        <v>0.20910999999999999</v>
      </c>
      <c r="L12" s="40">
        <v>0.76771999999999996</v>
      </c>
      <c r="M12" s="41">
        <v>0.20910999999999999</v>
      </c>
      <c r="N12" s="40">
        <v>0.76771999999999996</v>
      </c>
      <c r="O12" s="29"/>
      <c r="P12" s="42">
        <v>4</v>
      </c>
      <c r="Q12" s="41">
        <v>2.38944</v>
      </c>
      <c r="R12" s="40">
        <v>8.7920499999999997</v>
      </c>
      <c r="S12" s="41">
        <v>2.38944</v>
      </c>
      <c r="T12" s="40">
        <v>8.7920499999999997</v>
      </c>
      <c r="U12" s="41">
        <v>2.38944</v>
      </c>
      <c r="V12" s="40">
        <v>8.7920499999999997</v>
      </c>
      <c r="W12" s="41">
        <v>2.38944</v>
      </c>
      <c r="X12" s="40">
        <v>8.7920499999999997</v>
      </c>
      <c r="Y12" s="41">
        <v>2.38944</v>
      </c>
      <c r="Z12" s="40">
        <v>8.7920499999999997</v>
      </c>
      <c r="AA12" s="41">
        <v>2.38944</v>
      </c>
      <c r="AB12" s="40">
        <v>8.7920499999999997</v>
      </c>
      <c r="AC12" s="29"/>
      <c r="AD12" s="38">
        <v>4</v>
      </c>
      <c r="AE12" s="41">
        <v>0.11859</v>
      </c>
      <c r="AF12" s="40">
        <v>0.43634000000000001</v>
      </c>
      <c r="AG12" s="41">
        <v>0.11859</v>
      </c>
      <c r="AH12" s="40">
        <v>0.43634000000000001</v>
      </c>
      <c r="AI12" s="41">
        <v>0.11859</v>
      </c>
      <c r="AJ12" s="40">
        <v>0.43634000000000001</v>
      </c>
      <c r="AK12" s="41">
        <v>0.11859</v>
      </c>
      <c r="AL12" s="40">
        <v>0.43634000000000001</v>
      </c>
      <c r="AM12" s="41">
        <v>0.11859</v>
      </c>
      <c r="AN12" s="40">
        <v>0.43634000000000001</v>
      </c>
      <c r="AO12" s="41">
        <v>0.11859</v>
      </c>
      <c r="AP12" s="40">
        <v>0.43634000000000001</v>
      </c>
    </row>
    <row r="13" spans="1:42" x14ac:dyDescent="0.3">
      <c r="A13" s="27"/>
      <c r="B13" s="38">
        <v>5</v>
      </c>
      <c r="C13" s="41">
        <v>0.23174</v>
      </c>
      <c r="D13" s="40">
        <v>0.96682000000000001</v>
      </c>
      <c r="E13" s="41">
        <v>0.23841000000000001</v>
      </c>
      <c r="F13" s="40">
        <v>0.99863999999999997</v>
      </c>
      <c r="G13" s="41">
        <v>0.23174</v>
      </c>
      <c r="H13" s="40">
        <v>0.96682000000000001</v>
      </c>
      <c r="I13" s="41">
        <v>0.23841000000000001</v>
      </c>
      <c r="J13" s="40">
        <v>0.99863999999999997</v>
      </c>
      <c r="K13" s="41">
        <v>0.23358000000000001</v>
      </c>
      <c r="L13" s="40">
        <v>0.96738999999999997</v>
      </c>
      <c r="M13" s="41">
        <v>0.23358000000000001</v>
      </c>
      <c r="N13" s="40">
        <v>0.96738999999999997</v>
      </c>
      <c r="O13" s="29"/>
      <c r="P13" s="42">
        <v>5</v>
      </c>
      <c r="Q13" s="41">
        <v>2.4295800000000001</v>
      </c>
      <c r="R13" s="40">
        <v>10.86886</v>
      </c>
      <c r="S13" s="41">
        <v>2.4295800000000001</v>
      </c>
      <c r="T13" s="40">
        <v>10.86886</v>
      </c>
      <c r="U13" s="41">
        <v>2.4295800000000001</v>
      </c>
      <c r="V13" s="40">
        <v>10.86886</v>
      </c>
      <c r="W13" s="41">
        <v>2.4295800000000001</v>
      </c>
      <c r="X13" s="40">
        <v>10.86886</v>
      </c>
      <c r="Y13" s="41">
        <v>2.4295800000000001</v>
      </c>
      <c r="Z13" s="40">
        <v>10.86886</v>
      </c>
      <c r="AA13" s="41">
        <v>2.4295800000000001</v>
      </c>
      <c r="AB13" s="40">
        <v>10.86886</v>
      </c>
      <c r="AC13" s="29"/>
      <c r="AD13" s="38">
        <v>5</v>
      </c>
      <c r="AE13" s="41">
        <v>0.12058000000000001</v>
      </c>
      <c r="AF13" s="40">
        <v>0.53940999999999995</v>
      </c>
      <c r="AG13" s="41">
        <v>0.12058000000000001</v>
      </c>
      <c r="AH13" s="40">
        <v>0.53940999999999995</v>
      </c>
      <c r="AI13" s="41">
        <v>0.12058000000000001</v>
      </c>
      <c r="AJ13" s="40">
        <v>0.53940999999999995</v>
      </c>
      <c r="AK13" s="41">
        <v>0.12058000000000001</v>
      </c>
      <c r="AL13" s="40">
        <v>0.53940999999999995</v>
      </c>
      <c r="AM13" s="41">
        <v>0.12058000000000001</v>
      </c>
      <c r="AN13" s="40">
        <v>0.53940999999999995</v>
      </c>
      <c r="AO13" s="41">
        <v>0.12058000000000001</v>
      </c>
      <c r="AP13" s="40">
        <v>0.53940999999999995</v>
      </c>
    </row>
    <row r="14" spans="1:42" x14ac:dyDescent="0.3">
      <c r="A14" s="27"/>
      <c r="B14" s="38">
        <v>6</v>
      </c>
      <c r="C14" s="41">
        <v>0.25035000000000002</v>
      </c>
      <c r="D14" s="40">
        <v>1.17259</v>
      </c>
      <c r="E14" s="41">
        <v>0.25713999999999998</v>
      </c>
      <c r="F14" s="40">
        <v>1.2099899999999999</v>
      </c>
      <c r="G14" s="41">
        <v>0.25035000000000002</v>
      </c>
      <c r="H14" s="40">
        <v>1.17259</v>
      </c>
      <c r="I14" s="41">
        <v>0.25713999999999998</v>
      </c>
      <c r="J14" s="40">
        <v>1.2099899999999999</v>
      </c>
      <c r="K14" s="41">
        <v>0.25222</v>
      </c>
      <c r="L14" s="40">
        <v>1.1747000000000001</v>
      </c>
      <c r="M14" s="41">
        <v>0.25222</v>
      </c>
      <c r="N14" s="40">
        <v>1.1747000000000001</v>
      </c>
      <c r="O14" s="29"/>
      <c r="P14" s="42">
        <v>6</v>
      </c>
      <c r="Q14" s="41">
        <v>2.4703900000000001</v>
      </c>
      <c r="R14" s="40">
        <v>12.89935</v>
      </c>
      <c r="S14" s="41">
        <v>2.4703900000000001</v>
      </c>
      <c r="T14" s="40">
        <v>12.89935</v>
      </c>
      <c r="U14" s="41">
        <v>2.4703900000000001</v>
      </c>
      <c r="V14" s="40">
        <v>12.89935</v>
      </c>
      <c r="W14" s="41">
        <v>2.4703900000000001</v>
      </c>
      <c r="X14" s="40">
        <v>12.89935</v>
      </c>
      <c r="Y14" s="41">
        <v>2.4703900000000001</v>
      </c>
      <c r="Z14" s="40">
        <v>12.89935</v>
      </c>
      <c r="AA14" s="41">
        <v>2.4703900000000001</v>
      </c>
      <c r="AB14" s="40">
        <v>12.89935</v>
      </c>
      <c r="AC14" s="29"/>
      <c r="AD14" s="38">
        <v>6</v>
      </c>
      <c r="AE14" s="41">
        <v>0.1226</v>
      </c>
      <c r="AF14" s="40">
        <v>0.64017999999999997</v>
      </c>
      <c r="AG14" s="41">
        <v>0.1226</v>
      </c>
      <c r="AH14" s="40">
        <v>0.64017999999999997</v>
      </c>
      <c r="AI14" s="41">
        <v>0.1226</v>
      </c>
      <c r="AJ14" s="40">
        <v>0.64017999999999997</v>
      </c>
      <c r="AK14" s="41">
        <v>0.1226</v>
      </c>
      <c r="AL14" s="40">
        <v>0.64017999999999997</v>
      </c>
      <c r="AM14" s="41">
        <v>0.1226</v>
      </c>
      <c r="AN14" s="40">
        <v>0.64017999999999997</v>
      </c>
      <c r="AO14" s="41">
        <v>0.1226</v>
      </c>
      <c r="AP14" s="40">
        <v>0.64017999999999997</v>
      </c>
    </row>
    <row r="15" spans="1:42" x14ac:dyDescent="0.3">
      <c r="A15" s="27"/>
      <c r="B15" s="38">
        <v>7</v>
      </c>
      <c r="C15" s="41">
        <v>0.24862999999999999</v>
      </c>
      <c r="D15" s="40">
        <v>1.3690800000000001</v>
      </c>
      <c r="E15" s="41">
        <v>0.25552999999999998</v>
      </c>
      <c r="F15" s="40">
        <v>1.41194</v>
      </c>
      <c r="G15" s="41">
        <v>0.24862999999999999</v>
      </c>
      <c r="H15" s="40">
        <v>1.3690800000000001</v>
      </c>
      <c r="I15" s="41">
        <v>0.25552999999999998</v>
      </c>
      <c r="J15" s="40">
        <v>1.41194</v>
      </c>
      <c r="K15" s="41">
        <v>0.25052999999999997</v>
      </c>
      <c r="L15" s="40">
        <v>1.3727</v>
      </c>
      <c r="M15" s="41">
        <v>0.25052999999999997</v>
      </c>
      <c r="N15" s="40">
        <v>1.3727</v>
      </c>
      <c r="O15" s="29"/>
      <c r="P15" s="42">
        <v>7</v>
      </c>
      <c r="Q15" s="41">
        <v>2.5118999999999998</v>
      </c>
      <c r="R15" s="40">
        <v>14.884539999999999</v>
      </c>
      <c r="S15" s="41">
        <v>2.5118999999999998</v>
      </c>
      <c r="T15" s="40">
        <v>14.884539999999999</v>
      </c>
      <c r="U15" s="41">
        <v>2.5118999999999998</v>
      </c>
      <c r="V15" s="40">
        <v>14.884539999999999</v>
      </c>
      <c r="W15" s="41">
        <v>2.5118999999999998</v>
      </c>
      <c r="X15" s="40">
        <v>14.884539999999999</v>
      </c>
      <c r="Y15" s="41">
        <v>2.5118999999999998</v>
      </c>
      <c r="Z15" s="40">
        <v>14.884539999999999</v>
      </c>
      <c r="AA15" s="41">
        <v>2.5118999999999998</v>
      </c>
      <c r="AB15" s="40">
        <v>14.884539999999999</v>
      </c>
      <c r="AC15" s="29"/>
      <c r="AD15" s="38">
        <v>7</v>
      </c>
      <c r="AE15" s="41">
        <v>0.12466000000000001</v>
      </c>
      <c r="AF15" s="40">
        <v>0.73870000000000002</v>
      </c>
      <c r="AG15" s="41">
        <v>0.12466000000000001</v>
      </c>
      <c r="AH15" s="40">
        <v>0.73870000000000002</v>
      </c>
      <c r="AI15" s="41">
        <v>0.12466000000000001</v>
      </c>
      <c r="AJ15" s="40">
        <v>0.73870000000000002</v>
      </c>
      <c r="AK15" s="41">
        <v>0.12466000000000001</v>
      </c>
      <c r="AL15" s="40">
        <v>0.73870000000000002</v>
      </c>
      <c r="AM15" s="41">
        <v>0.12466000000000001</v>
      </c>
      <c r="AN15" s="40">
        <v>0.73870000000000002</v>
      </c>
      <c r="AO15" s="41">
        <v>0.12466000000000001</v>
      </c>
      <c r="AP15" s="40">
        <v>0.73870000000000002</v>
      </c>
    </row>
    <row r="16" spans="1:42" x14ac:dyDescent="0.3">
      <c r="A16" s="27"/>
      <c r="B16" s="38">
        <v>8</v>
      </c>
      <c r="C16" s="41">
        <v>0.25157000000000002</v>
      </c>
      <c r="D16" s="40">
        <v>1.5602499999999999</v>
      </c>
      <c r="E16" s="41">
        <v>0.25858999999999999</v>
      </c>
      <c r="F16" s="40">
        <v>1.6084400000000001</v>
      </c>
      <c r="G16" s="41">
        <v>0.25157000000000002</v>
      </c>
      <c r="H16" s="40">
        <v>1.5602499999999999</v>
      </c>
      <c r="I16" s="41">
        <v>0.25858999999999999</v>
      </c>
      <c r="J16" s="40">
        <v>1.6084400000000001</v>
      </c>
      <c r="K16" s="41">
        <v>0.2535</v>
      </c>
      <c r="L16" s="40">
        <v>1.56534</v>
      </c>
      <c r="M16" s="41">
        <v>0.2535</v>
      </c>
      <c r="N16" s="40">
        <v>1.56534</v>
      </c>
      <c r="O16" s="29"/>
      <c r="P16" s="42">
        <v>8</v>
      </c>
      <c r="Q16" s="41">
        <v>2.5541</v>
      </c>
      <c r="R16" s="40">
        <v>16.82544</v>
      </c>
      <c r="S16" s="41">
        <v>2.5541</v>
      </c>
      <c r="T16" s="40">
        <v>16.82544</v>
      </c>
      <c r="U16" s="41">
        <v>2.5541</v>
      </c>
      <c r="V16" s="40">
        <v>16.82544</v>
      </c>
      <c r="W16" s="41">
        <v>2.5541</v>
      </c>
      <c r="X16" s="40">
        <v>16.82544</v>
      </c>
      <c r="Y16" s="41">
        <v>2.5541</v>
      </c>
      <c r="Z16" s="40">
        <v>16.82544</v>
      </c>
      <c r="AA16" s="41">
        <v>2.5541</v>
      </c>
      <c r="AB16" s="40">
        <v>16.82544</v>
      </c>
      <c r="AC16" s="29"/>
      <c r="AD16" s="38">
        <v>8</v>
      </c>
      <c r="AE16" s="41">
        <v>0.12676000000000001</v>
      </c>
      <c r="AF16" s="40">
        <v>0.83503000000000005</v>
      </c>
      <c r="AG16" s="41">
        <v>0.12676000000000001</v>
      </c>
      <c r="AH16" s="40">
        <v>0.83503000000000005</v>
      </c>
      <c r="AI16" s="41">
        <v>0.12676000000000001</v>
      </c>
      <c r="AJ16" s="40">
        <v>0.83503000000000005</v>
      </c>
      <c r="AK16" s="41">
        <v>0.12676000000000001</v>
      </c>
      <c r="AL16" s="40">
        <v>0.83503000000000005</v>
      </c>
      <c r="AM16" s="41">
        <v>0.12676000000000001</v>
      </c>
      <c r="AN16" s="40">
        <v>0.83503000000000005</v>
      </c>
      <c r="AO16" s="41">
        <v>0.12676000000000001</v>
      </c>
      <c r="AP16" s="40">
        <v>0.83503000000000005</v>
      </c>
    </row>
    <row r="17" spans="2:42" x14ac:dyDescent="0.3">
      <c r="B17" s="38">
        <v>9</v>
      </c>
      <c r="C17" s="41">
        <v>0.26924999999999999</v>
      </c>
      <c r="D17" s="40">
        <v>1.7569900000000001</v>
      </c>
      <c r="E17" s="41">
        <v>0.27639000000000002</v>
      </c>
      <c r="F17" s="40">
        <v>1.8104</v>
      </c>
      <c r="G17" s="41">
        <v>0.26924999999999999</v>
      </c>
      <c r="H17" s="40">
        <v>1.7569900000000001</v>
      </c>
      <c r="I17" s="41">
        <v>0.27639000000000002</v>
      </c>
      <c r="J17" s="40">
        <v>1.8104</v>
      </c>
      <c r="K17" s="41">
        <v>0.27122000000000002</v>
      </c>
      <c r="L17" s="40">
        <v>1.7635099999999999</v>
      </c>
      <c r="M17" s="41">
        <v>0.27122000000000002</v>
      </c>
      <c r="N17" s="40">
        <v>1.7635099999999999</v>
      </c>
      <c r="O17" s="29"/>
      <c r="P17" s="42">
        <v>9</v>
      </c>
      <c r="Q17" s="41">
        <v>2.59701</v>
      </c>
      <c r="R17" s="40">
        <v>18.723050000000001</v>
      </c>
      <c r="S17" s="41">
        <v>2.59701</v>
      </c>
      <c r="T17" s="40">
        <v>18.723050000000001</v>
      </c>
      <c r="U17" s="41">
        <v>2.59701</v>
      </c>
      <c r="V17" s="40">
        <v>18.723050000000001</v>
      </c>
      <c r="W17" s="41">
        <v>2.59701</v>
      </c>
      <c r="X17" s="40">
        <v>18.723050000000001</v>
      </c>
      <c r="Y17" s="41">
        <v>2.59701</v>
      </c>
      <c r="Z17" s="40">
        <v>18.723050000000001</v>
      </c>
      <c r="AA17" s="41">
        <v>2.59701</v>
      </c>
      <c r="AB17" s="40">
        <v>18.723050000000001</v>
      </c>
      <c r="AC17" s="29"/>
      <c r="AD17" s="38">
        <v>9</v>
      </c>
      <c r="AE17" s="41">
        <v>0.12889</v>
      </c>
      <c r="AF17" s="40">
        <v>0.92920999999999998</v>
      </c>
      <c r="AG17" s="41">
        <v>0.12889</v>
      </c>
      <c r="AH17" s="40">
        <v>0.92920999999999998</v>
      </c>
      <c r="AI17" s="41">
        <v>0.12889</v>
      </c>
      <c r="AJ17" s="40">
        <v>0.92920999999999998</v>
      </c>
      <c r="AK17" s="41">
        <v>0.12889</v>
      </c>
      <c r="AL17" s="40">
        <v>0.92920999999999998</v>
      </c>
      <c r="AM17" s="41">
        <v>0.12889</v>
      </c>
      <c r="AN17" s="40">
        <v>0.92920999999999998</v>
      </c>
      <c r="AO17" s="41">
        <v>0.12889</v>
      </c>
      <c r="AP17" s="40">
        <v>0.92920999999999998</v>
      </c>
    </row>
    <row r="18" spans="2:42" x14ac:dyDescent="0.3">
      <c r="B18" s="38">
        <v>10</v>
      </c>
      <c r="C18" s="41">
        <v>0.25862000000000002</v>
      </c>
      <c r="D18" s="40">
        <v>1.9387000000000001</v>
      </c>
      <c r="E18" s="41">
        <v>0.26588000000000001</v>
      </c>
      <c r="F18" s="40">
        <v>1.9972000000000001</v>
      </c>
      <c r="G18" s="41">
        <v>0.25862000000000002</v>
      </c>
      <c r="H18" s="40">
        <v>1.9387000000000001</v>
      </c>
      <c r="I18" s="41">
        <v>0.26588000000000001</v>
      </c>
      <c r="J18" s="40">
        <v>1.9972000000000001</v>
      </c>
      <c r="K18" s="41">
        <v>0.26062999999999997</v>
      </c>
      <c r="L18" s="40">
        <v>1.9466300000000001</v>
      </c>
      <c r="M18" s="41">
        <v>0.26062999999999997</v>
      </c>
      <c r="N18" s="40">
        <v>1.9466300000000001</v>
      </c>
      <c r="O18" s="29"/>
      <c r="P18" s="42">
        <v>10</v>
      </c>
      <c r="Q18" s="41">
        <v>2.6406399999999999</v>
      </c>
      <c r="R18" s="40">
        <v>20.578320000000001</v>
      </c>
      <c r="S18" s="41">
        <v>2.6406399999999999</v>
      </c>
      <c r="T18" s="40">
        <v>20.578320000000001</v>
      </c>
      <c r="U18" s="41">
        <v>2.6406399999999999</v>
      </c>
      <c r="V18" s="40">
        <v>20.578320000000001</v>
      </c>
      <c r="W18" s="41">
        <v>2.6406399999999999</v>
      </c>
      <c r="X18" s="40">
        <v>20.578320000000001</v>
      </c>
      <c r="Y18" s="41">
        <v>2.6406399999999999</v>
      </c>
      <c r="Z18" s="40">
        <v>20.578320000000001</v>
      </c>
      <c r="AA18" s="41">
        <v>2.6406399999999999</v>
      </c>
      <c r="AB18" s="40">
        <v>20.578320000000001</v>
      </c>
      <c r="AC18" s="29"/>
      <c r="AD18" s="38">
        <v>10</v>
      </c>
      <c r="AE18" s="41">
        <v>0.13105</v>
      </c>
      <c r="AF18" s="40">
        <v>1.02128</v>
      </c>
      <c r="AG18" s="41">
        <v>0.13105</v>
      </c>
      <c r="AH18" s="40">
        <v>1.02128</v>
      </c>
      <c r="AI18" s="41">
        <v>0.13105</v>
      </c>
      <c r="AJ18" s="40">
        <v>1.02128</v>
      </c>
      <c r="AK18" s="41">
        <v>0.13105</v>
      </c>
      <c r="AL18" s="40">
        <v>1.02128</v>
      </c>
      <c r="AM18" s="41">
        <v>0.13105</v>
      </c>
      <c r="AN18" s="40">
        <v>1.02128</v>
      </c>
      <c r="AO18" s="41">
        <v>0.13105</v>
      </c>
      <c r="AP18" s="40">
        <v>1.02128</v>
      </c>
    </row>
    <row r="19" spans="2:42" x14ac:dyDescent="0.3">
      <c r="B19" s="38">
        <v>11</v>
      </c>
      <c r="C19" s="41">
        <v>0.27434999999999998</v>
      </c>
      <c r="D19" s="40">
        <v>2.1240399999999999</v>
      </c>
      <c r="E19" s="41">
        <v>0.28172999999999998</v>
      </c>
      <c r="F19" s="40">
        <v>2.1875300000000002</v>
      </c>
      <c r="G19" s="41">
        <v>0.27434999999999998</v>
      </c>
      <c r="H19" s="40">
        <v>2.1240399999999999</v>
      </c>
      <c r="I19" s="41">
        <v>0.28172999999999998</v>
      </c>
      <c r="J19" s="40">
        <v>2.1875300000000002</v>
      </c>
      <c r="K19" s="41">
        <v>0.27639000000000002</v>
      </c>
      <c r="L19" s="40">
        <v>2.13334</v>
      </c>
      <c r="M19" s="41">
        <v>0.27639000000000002</v>
      </c>
      <c r="N19" s="40">
        <v>2.13334</v>
      </c>
      <c r="O19" s="29"/>
      <c r="P19" s="42">
        <v>11</v>
      </c>
      <c r="Q19" s="41">
        <v>2.6850000000000001</v>
      </c>
      <c r="R19" s="40">
        <v>22.392209999999999</v>
      </c>
      <c r="S19" s="41">
        <v>2.6850000000000001</v>
      </c>
      <c r="T19" s="40">
        <v>22.392209999999999</v>
      </c>
      <c r="U19" s="41">
        <v>2.6850000000000001</v>
      </c>
      <c r="V19" s="40">
        <v>22.392209999999999</v>
      </c>
      <c r="W19" s="41">
        <v>2.6850000000000001</v>
      </c>
      <c r="X19" s="40">
        <v>22.392209999999999</v>
      </c>
      <c r="Y19" s="41">
        <v>2.6850000000000001</v>
      </c>
      <c r="Z19" s="40">
        <v>22.392209999999999</v>
      </c>
      <c r="AA19" s="41">
        <v>2.6850000000000001</v>
      </c>
      <c r="AB19" s="40">
        <v>22.392209999999999</v>
      </c>
      <c r="AC19" s="29"/>
      <c r="AD19" s="38">
        <v>11</v>
      </c>
      <c r="AE19" s="41">
        <v>0.13325000000000001</v>
      </c>
      <c r="AF19" s="40">
        <v>1.1113</v>
      </c>
      <c r="AG19" s="41">
        <v>0.13325000000000001</v>
      </c>
      <c r="AH19" s="40">
        <v>1.1113</v>
      </c>
      <c r="AI19" s="41">
        <v>0.13325000000000001</v>
      </c>
      <c r="AJ19" s="40">
        <v>1.1113</v>
      </c>
      <c r="AK19" s="41">
        <v>0.13325000000000001</v>
      </c>
      <c r="AL19" s="40">
        <v>1.1113</v>
      </c>
      <c r="AM19" s="41">
        <v>0.13325000000000001</v>
      </c>
      <c r="AN19" s="40">
        <v>1.1113</v>
      </c>
      <c r="AO19" s="41">
        <v>0.13325000000000001</v>
      </c>
      <c r="AP19" s="40">
        <v>1.1113</v>
      </c>
    </row>
    <row r="20" spans="2:42" x14ac:dyDescent="0.3">
      <c r="B20" s="38">
        <v>12</v>
      </c>
      <c r="C20" s="41">
        <v>0.27611999999999998</v>
      </c>
      <c r="D20" s="40">
        <v>2.3033999999999999</v>
      </c>
      <c r="E20" s="41">
        <v>0.28362999999999999</v>
      </c>
      <c r="F20" s="40">
        <v>2.3717700000000002</v>
      </c>
      <c r="G20" s="41">
        <v>0.27611999999999998</v>
      </c>
      <c r="H20" s="40">
        <v>2.3033999999999999</v>
      </c>
      <c r="I20" s="41">
        <v>0.28362999999999999</v>
      </c>
      <c r="J20" s="40">
        <v>2.3717700000000002</v>
      </c>
      <c r="K20" s="41">
        <v>0.27818999999999999</v>
      </c>
      <c r="L20" s="40">
        <v>2.3140499999999999</v>
      </c>
      <c r="M20" s="41">
        <v>0.27818999999999999</v>
      </c>
      <c r="N20" s="40">
        <v>2.3140499999999999</v>
      </c>
      <c r="O20" s="29"/>
      <c r="P20" s="42">
        <v>12</v>
      </c>
      <c r="Q20" s="41">
        <v>2.7301099999999998</v>
      </c>
      <c r="R20" s="40">
        <v>24.16564</v>
      </c>
      <c r="S20" s="41">
        <v>2.7301099999999998</v>
      </c>
      <c r="T20" s="40">
        <v>24.16564</v>
      </c>
      <c r="U20" s="41">
        <v>2.7301099999999998</v>
      </c>
      <c r="V20" s="40">
        <v>24.16564</v>
      </c>
      <c r="W20" s="41">
        <v>2.7301099999999998</v>
      </c>
      <c r="X20" s="40">
        <v>24.16564</v>
      </c>
      <c r="Y20" s="41">
        <v>2.7301099999999998</v>
      </c>
      <c r="Z20" s="40">
        <v>24.16564</v>
      </c>
      <c r="AA20" s="41">
        <v>2.7301099999999998</v>
      </c>
      <c r="AB20" s="40">
        <v>24.16564</v>
      </c>
      <c r="AC20" s="29"/>
      <c r="AD20" s="38">
        <v>12</v>
      </c>
      <c r="AE20" s="41">
        <v>0.13549</v>
      </c>
      <c r="AF20" s="40">
        <v>1.1993100000000001</v>
      </c>
      <c r="AG20" s="41">
        <v>0.13549</v>
      </c>
      <c r="AH20" s="40">
        <v>1.1993100000000001</v>
      </c>
      <c r="AI20" s="41">
        <v>0.13549</v>
      </c>
      <c r="AJ20" s="40">
        <v>1.1993100000000001</v>
      </c>
      <c r="AK20" s="41">
        <v>0.13549</v>
      </c>
      <c r="AL20" s="40">
        <v>1.1993100000000001</v>
      </c>
      <c r="AM20" s="41">
        <v>0.13549</v>
      </c>
      <c r="AN20" s="40">
        <v>1.1993100000000001</v>
      </c>
      <c r="AO20" s="41">
        <v>0.13549</v>
      </c>
      <c r="AP20" s="40">
        <v>1.1993100000000001</v>
      </c>
    </row>
    <row r="21" spans="2:42" x14ac:dyDescent="0.3">
      <c r="B21" s="38">
        <v>13</v>
      </c>
      <c r="C21" s="41">
        <v>0.29854999999999998</v>
      </c>
      <c r="D21" s="40">
        <v>2.4898699999999998</v>
      </c>
      <c r="E21" s="41">
        <v>0.30618000000000001</v>
      </c>
      <c r="F21" s="40">
        <v>2.5630000000000002</v>
      </c>
      <c r="G21" s="41">
        <v>0.29854999999999998</v>
      </c>
      <c r="H21" s="40">
        <v>2.4898699999999998</v>
      </c>
      <c r="I21" s="41">
        <v>0.30618000000000001</v>
      </c>
      <c r="J21" s="40">
        <v>2.5630000000000002</v>
      </c>
      <c r="K21" s="41">
        <v>0.30064999999999997</v>
      </c>
      <c r="L21" s="40">
        <v>2.5018400000000001</v>
      </c>
      <c r="M21" s="41">
        <v>0.30064999999999997</v>
      </c>
      <c r="N21" s="40">
        <v>2.5018400000000001</v>
      </c>
      <c r="O21" s="29"/>
      <c r="P21" s="42">
        <v>13</v>
      </c>
      <c r="Q21" s="41">
        <v>2.77597</v>
      </c>
      <c r="R21" s="40">
        <v>25.8995</v>
      </c>
      <c r="S21" s="41">
        <v>2.77597</v>
      </c>
      <c r="T21" s="40">
        <v>25.8995</v>
      </c>
      <c r="U21" s="41">
        <v>2.77597</v>
      </c>
      <c r="V21" s="40">
        <v>25.8995</v>
      </c>
      <c r="W21" s="41">
        <v>2.77597</v>
      </c>
      <c r="X21" s="40">
        <v>25.8995</v>
      </c>
      <c r="Y21" s="41">
        <v>2.77597</v>
      </c>
      <c r="Z21" s="40">
        <v>25.8995</v>
      </c>
      <c r="AA21" s="41">
        <v>2.77597</v>
      </c>
      <c r="AB21" s="40">
        <v>25.8995</v>
      </c>
      <c r="AC21" s="29"/>
      <c r="AD21" s="38">
        <v>13</v>
      </c>
      <c r="AE21" s="41">
        <v>0.13777</v>
      </c>
      <c r="AF21" s="40">
        <v>1.2853600000000001</v>
      </c>
      <c r="AG21" s="41">
        <v>0.13777</v>
      </c>
      <c r="AH21" s="40">
        <v>1.2853600000000001</v>
      </c>
      <c r="AI21" s="41">
        <v>0.13777</v>
      </c>
      <c r="AJ21" s="40">
        <v>1.2853600000000001</v>
      </c>
      <c r="AK21" s="41">
        <v>0.13777</v>
      </c>
      <c r="AL21" s="40">
        <v>1.2853600000000001</v>
      </c>
      <c r="AM21" s="41">
        <v>0.13777</v>
      </c>
      <c r="AN21" s="40">
        <v>1.2853600000000001</v>
      </c>
      <c r="AO21" s="41">
        <v>0.13777</v>
      </c>
      <c r="AP21" s="40">
        <v>1.2853600000000001</v>
      </c>
    </row>
    <row r="22" spans="2:42" x14ac:dyDescent="0.3">
      <c r="B22" s="38">
        <v>14</v>
      </c>
      <c r="C22" s="41">
        <v>0.30165999999999998</v>
      </c>
      <c r="D22" s="40">
        <v>2.6710400000000001</v>
      </c>
      <c r="E22" s="41">
        <v>0.30941000000000002</v>
      </c>
      <c r="F22" s="40">
        <v>2.7488299999999999</v>
      </c>
      <c r="G22" s="41">
        <v>0.30165999999999998</v>
      </c>
      <c r="H22" s="40">
        <v>2.6710400000000001</v>
      </c>
      <c r="I22" s="41">
        <v>0.30941000000000002</v>
      </c>
      <c r="J22" s="40">
        <v>2.7488299999999999</v>
      </c>
      <c r="K22" s="41">
        <v>0.30380000000000001</v>
      </c>
      <c r="L22" s="40">
        <v>2.6842899999999998</v>
      </c>
      <c r="M22" s="41">
        <v>0.30380000000000001</v>
      </c>
      <c r="N22" s="40">
        <v>2.6842899999999998</v>
      </c>
      <c r="O22" s="29"/>
      <c r="P22" s="42">
        <v>14</v>
      </c>
      <c r="Q22" s="41">
        <v>2.8226100000000001</v>
      </c>
      <c r="R22" s="40">
        <v>27.59469</v>
      </c>
      <c r="S22" s="41">
        <v>2.8226100000000001</v>
      </c>
      <c r="T22" s="40">
        <v>27.59469</v>
      </c>
      <c r="U22" s="41">
        <v>2.8226100000000001</v>
      </c>
      <c r="V22" s="40">
        <v>27.59469</v>
      </c>
      <c r="W22" s="41">
        <v>2.8226100000000001</v>
      </c>
      <c r="X22" s="40">
        <v>27.59469</v>
      </c>
      <c r="Y22" s="41">
        <v>2.8226100000000001</v>
      </c>
      <c r="Z22" s="40">
        <v>27.59469</v>
      </c>
      <c r="AA22" s="41">
        <v>2.8226100000000001</v>
      </c>
      <c r="AB22" s="40">
        <v>27.59469</v>
      </c>
      <c r="AC22" s="29"/>
      <c r="AD22" s="38">
        <v>14</v>
      </c>
      <c r="AE22" s="41">
        <v>0.14008000000000001</v>
      </c>
      <c r="AF22" s="40">
        <v>1.3694999999999999</v>
      </c>
      <c r="AG22" s="41">
        <v>0.14008000000000001</v>
      </c>
      <c r="AH22" s="40">
        <v>1.3694999999999999</v>
      </c>
      <c r="AI22" s="41">
        <v>0.14008000000000001</v>
      </c>
      <c r="AJ22" s="40">
        <v>1.3694999999999999</v>
      </c>
      <c r="AK22" s="41">
        <v>0.14008000000000001</v>
      </c>
      <c r="AL22" s="40">
        <v>1.3694999999999999</v>
      </c>
      <c r="AM22" s="41">
        <v>0.14008000000000001</v>
      </c>
      <c r="AN22" s="40">
        <v>1.3694999999999999</v>
      </c>
      <c r="AO22" s="41">
        <v>0.14008000000000001</v>
      </c>
      <c r="AP22" s="40">
        <v>1.3694999999999999</v>
      </c>
    </row>
    <row r="23" spans="2:42" x14ac:dyDescent="0.3">
      <c r="B23" s="38">
        <v>15</v>
      </c>
      <c r="C23" s="41">
        <v>0.32464999999999999</v>
      </c>
      <c r="D23" s="40">
        <v>2.8585099999999999</v>
      </c>
      <c r="E23" s="41">
        <v>0.33252999999999999</v>
      </c>
      <c r="F23" s="40">
        <v>2.9408599999999998</v>
      </c>
      <c r="G23" s="41">
        <v>0.32464999999999999</v>
      </c>
      <c r="H23" s="40">
        <v>2.8585099999999999</v>
      </c>
      <c r="I23" s="41">
        <v>0.33252999999999999</v>
      </c>
      <c r="J23" s="40">
        <v>2.9408599999999998</v>
      </c>
      <c r="K23" s="41">
        <v>0.32682</v>
      </c>
      <c r="L23" s="40">
        <v>2.8730199999999999</v>
      </c>
      <c r="M23" s="41">
        <v>0.32682</v>
      </c>
      <c r="N23" s="40">
        <v>2.8730199999999999</v>
      </c>
      <c r="O23" s="29"/>
      <c r="P23" s="42">
        <v>15</v>
      </c>
      <c r="Q23" s="41">
        <v>2.8700299999999999</v>
      </c>
      <c r="R23" s="40">
        <v>29.25206</v>
      </c>
      <c r="S23" s="41">
        <v>2.8700299999999999</v>
      </c>
      <c r="T23" s="40">
        <v>29.25206</v>
      </c>
      <c r="U23" s="41">
        <v>2.8700299999999999</v>
      </c>
      <c r="V23" s="40">
        <v>29.25206</v>
      </c>
      <c r="W23" s="41">
        <v>2.8700299999999999</v>
      </c>
      <c r="X23" s="40">
        <v>29.25206</v>
      </c>
      <c r="Y23" s="41">
        <v>2.8700299999999999</v>
      </c>
      <c r="Z23" s="40">
        <v>29.25206</v>
      </c>
      <c r="AA23" s="41">
        <v>2.8700299999999999</v>
      </c>
      <c r="AB23" s="40">
        <v>29.25206</v>
      </c>
      <c r="AC23" s="29"/>
      <c r="AD23" s="38">
        <v>15</v>
      </c>
      <c r="AE23" s="41">
        <v>0.14244000000000001</v>
      </c>
      <c r="AF23" s="40">
        <v>1.4517500000000001</v>
      </c>
      <c r="AG23" s="41">
        <v>0.14244000000000001</v>
      </c>
      <c r="AH23" s="40">
        <v>1.4517500000000001</v>
      </c>
      <c r="AI23" s="41">
        <v>0.14244000000000001</v>
      </c>
      <c r="AJ23" s="40">
        <v>1.4517500000000001</v>
      </c>
      <c r="AK23" s="41">
        <v>0.14244000000000001</v>
      </c>
      <c r="AL23" s="40">
        <v>1.4517500000000001</v>
      </c>
      <c r="AM23" s="41">
        <v>0.14244000000000001</v>
      </c>
      <c r="AN23" s="40">
        <v>1.4517500000000001</v>
      </c>
      <c r="AO23" s="41">
        <v>0.14244000000000001</v>
      </c>
      <c r="AP23" s="40">
        <v>1.4517500000000001</v>
      </c>
    </row>
    <row r="24" spans="2:42" x14ac:dyDescent="0.3">
      <c r="B24" s="38">
        <v>16</v>
      </c>
      <c r="C24" s="41">
        <v>0.32743</v>
      </c>
      <c r="D24" s="40">
        <v>3.0403199999999999</v>
      </c>
      <c r="E24" s="41">
        <v>0.33545000000000003</v>
      </c>
      <c r="F24" s="40">
        <v>3.1271200000000001</v>
      </c>
      <c r="G24" s="41">
        <v>0.32743</v>
      </c>
      <c r="H24" s="40">
        <v>3.0403199999999999</v>
      </c>
      <c r="I24" s="41">
        <v>0.33545000000000003</v>
      </c>
      <c r="J24" s="40">
        <v>3.1271200000000001</v>
      </c>
      <c r="K24" s="41">
        <v>0.32963999999999999</v>
      </c>
      <c r="L24" s="40">
        <v>3.05606</v>
      </c>
      <c r="M24" s="41">
        <v>0.32963999999999999</v>
      </c>
      <c r="N24" s="40">
        <v>3.05606</v>
      </c>
      <c r="O24" s="29"/>
      <c r="P24" s="42">
        <v>16</v>
      </c>
      <c r="Q24" s="41">
        <v>2.91825</v>
      </c>
      <c r="R24" s="40">
        <v>30.87246</v>
      </c>
      <c r="S24" s="41">
        <v>2.91825</v>
      </c>
      <c r="T24" s="40">
        <v>30.87246</v>
      </c>
      <c r="U24" s="41">
        <v>2.91825</v>
      </c>
      <c r="V24" s="40">
        <v>30.87246</v>
      </c>
      <c r="W24" s="41">
        <v>2.91825</v>
      </c>
      <c r="X24" s="40">
        <v>30.87246</v>
      </c>
      <c r="Y24" s="41">
        <v>2.91825</v>
      </c>
      <c r="Z24" s="40">
        <v>30.87246</v>
      </c>
      <c r="AA24" s="41">
        <v>2.91825</v>
      </c>
      <c r="AB24" s="40">
        <v>30.87246</v>
      </c>
      <c r="AC24" s="29"/>
      <c r="AD24" s="38">
        <v>16</v>
      </c>
      <c r="AE24" s="41">
        <v>0.14482999999999999</v>
      </c>
      <c r="AF24" s="40">
        <v>1.53217</v>
      </c>
      <c r="AG24" s="41">
        <v>0.14482999999999999</v>
      </c>
      <c r="AH24" s="40">
        <v>1.53217</v>
      </c>
      <c r="AI24" s="41">
        <v>0.14482999999999999</v>
      </c>
      <c r="AJ24" s="40">
        <v>1.53217</v>
      </c>
      <c r="AK24" s="41">
        <v>0.14482999999999999</v>
      </c>
      <c r="AL24" s="40">
        <v>1.53217</v>
      </c>
      <c r="AM24" s="41">
        <v>0.14482999999999999</v>
      </c>
      <c r="AN24" s="40">
        <v>1.53217</v>
      </c>
      <c r="AO24" s="41">
        <v>0.14482999999999999</v>
      </c>
      <c r="AP24" s="40">
        <v>1.53217</v>
      </c>
    </row>
    <row r="25" spans="2:42" x14ac:dyDescent="0.3">
      <c r="B25" s="38">
        <v>17</v>
      </c>
      <c r="C25" s="41">
        <v>0.33256999999999998</v>
      </c>
      <c r="D25" s="40">
        <v>3.2178800000000001</v>
      </c>
      <c r="E25" s="41">
        <v>0.34072000000000002</v>
      </c>
      <c r="F25" s="40">
        <v>3.30904</v>
      </c>
      <c r="G25" s="41">
        <v>0.33256999999999998</v>
      </c>
      <c r="H25" s="40">
        <v>3.2178800000000001</v>
      </c>
      <c r="I25" s="41">
        <v>0.34072000000000002</v>
      </c>
      <c r="J25" s="40">
        <v>3.30904</v>
      </c>
      <c r="K25" s="41">
        <v>0.33482000000000001</v>
      </c>
      <c r="L25" s="40">
        <v>3.23482</v>
      </c>
      <c r="M25" s="41">
        <v>0.33482000000000001</v>
      </c>
      <c r="N25" s="40">
        <v>3.23482</v>
      </c>
      <c r="O25" s="29"/>
      <c r="P25" s="42">
        <v>17</v>
      </c>
      <c r="Q25" s="41">
        <v>2.9672700000000001</v>
      </c>
      <c r="R25" s="40">
        <v>32.456710000000001</v>
      </c>
      <c r="S25" s="41">
        <v>2.9672700000000001</v>
      </c>
      <c r="T25" s="40">
        <v>32.456710000000001</v>
      </c>
      <c r="U25" s="41">
        <v>2.9672700000000001</v>
      </c>
      <c r="V25" s="40">
        <v>32.456710000000001</v>
      </c>
      <c r="W25" s="41">
        <v>2.9672700000000001</v>
      </c>
      <c r="X25" s="40">
        <v>32.456710000000001</v>
      </c>
      <c r="Y25" s="41">
        <v>2.9672700000000001</v>
      </c>
      <c r="Z25" s="40">
        <v>32.456710000000001</v>
      </c>
      <c r="AA25" s="41">
        <v>2.9672700000000001</v>
      </c>
      <c r="AB25" s="40">
        <v>32.456710000000001</v>
      </c>
      <c r="AC25" s="29"/>
      <c r="AD25" s="38">
        <v>17</v>
      </c>
      <c r="AE25" s="41">
        <v>0.14726</v>
      </c>
      <c r="AF25" s="40">
        <v>1.6107899999999999</v>
      </c>
      <c r="AG25" s="41">
        <v>0.14726</v>
      </c>
      <c r="AH25" s="40">
        <v>1.6107899999999999</v>
      </c>
      <c r="AI25" s="41">
        <v>0.14726</v>
      </c>
      <c r="AJ25" s="40">
        <v>1.6107899999999999</v>
      </c>
      <c r="AK25" s="41">
        <v>0.14726</v>
      </c>
      <c r="AL25" s="40">
        <v>1.6107899999999999</v>
      </c>
      <c r="AM25" s="41">
        <v>0.14726</v>
      </c>
      <c r="AN25" s="40">
        <v>1.6107899999999999</v>
      </c>
      <c r="AO25" s="41">
        <v>0.14726</v>
      </c>
      <c r="AP25" s="40">
        <v>1.6107899999999999</v>
      </c>
    </row>
    <row r="26" spans="2:42" x14ac:dyDescent="0.3">
      <c r="B26" s="38">
        <v>18</v>
      </c>
      <c r="C26" s="41">
        <v>0.33925</v>
      </c>
      <c r="D26" s="40">
        <v>3.3920499999999998</v>
      </c>
      <c r="E26" s="41">
        <v>0.34755000000000003</v>
      </c>
      <c r="F26" s="40">
        <v>3.48746</v>
      </c>
      <c r="G26" s="41">
        <v>0.33925</v>
      </c>
      <c r="H26" s="40">
        <v>3.3920499999999998</v>
      </c>
      <c r="I26" s="41">
        <v>0.34755000000000003</v>
      </c>
      <c r="J26" s="40">
        <v>3.48746</v>
      </c>
      <c r="K26" s="41">
        <v>0.34154000000000001</v>
      </c>
      <c r="L26" s="40">
        <v>3.4101599999999999</v>
      </c>
      <c r="M26" s="41">
        <v>0.34154000000000001</v>
      </c>
      <c r="N26" s="40">
        <v>3.4101599999999999</v>
      </c>
      <c r="O26" s="29"/>
      <c r="P26" s="42">
        <v>18</v>
      </c>
      <c r="Q26" s="41">
        <v>3.0171199999999998</v>
      </c>
      <c r="R26" s="40">
        <v>34.00562</v>
      </c>
      <c r="S26" s="41">
        <v>3.0171199999999998</v>
      </c>
      <c r="T26" s="40">
        <v>34.00562</v>
      </c>
      <c r="U26" s="41">
        <v>3.0171199999999998</v>
      </c>
      <c r="V26" s="40">
        <v>34.00562</v>
      </c>
      <c r="W26" s="41">
        <v>3.0171199999999998</v>
      </c>
      <c r="X26" s="40">
        <v>34.00562</v>
      </c>
      <c r="Y26" s="41">
        <v>3.0171199999999998</v>
      </c>
      <c r="Z26" s="40">
        <v>34.00562</v>
      </c>
      <c r="AA26" s="41">
        <v>3.0171199999999998</v>
      </c>
      <c r="AB26" s="40">
        <v>34.00562</v>
      </c>
      <c r="AC26" s="29"/>
      <c r="AD26" s="38">
        <v>18</v>
      </c>
      <c r="AE26" s="41">
        <v>0.14974000000000001</v>
      </c>
      <c r="AF26" s="40">
        <v>1.6876599999999999</v>
      </c>
      <c r="AG26" s="41">
        <v>0.14974000000000001</v>
      </c>
      <c r="AH26" s="40">
        <v>1.6876599999999999</v>
      </c>
      <c r="AI26" s="41">
        <v>0.14974000000000001</v>
      </c>
      <c r="AJ26" s="40">
        <v>1.6876599999999999</v>
      </c>
      <c r="AK26" s="41">
        <v>0.14974000000000001</v>
      </c>
      <c r="AL26" s="40">
        <v>1.6876599999999999</v>
      </c>
      <c r="AM26" s="41">
        <v>0.14974000000000001</v>
      </c>
      <c r="AN26" s="40">
        <v>1.6876599999999999</v>
      </c>
      <c r="AO26" s="41">
        <v>0.14974000000000001</v>
      </c>
      <c r="AP26" s="40">
        <v>1.6876599999999999</v>
      </c>
    </row>
    <row r="27" spans="2:42" x14ac:dyDescent="0.3">
      <c r="B27" s="38">
        <v>19</v>
      </c>
      <c r="C27" s="41">
        <v>0.35306999999999999</v>
      </c>
      <c r="D27" s="40">
        <v>3.5663299999999998</v>
      </c>
      <c r="E27" s="41">
        <v>0.36149999999999999</v>
      </c>
      <c r="F27" s="40">
        <v>3.6659099999999998</v>
      </c>
      <c r="G27" s="41">
        <v>0.35306999999999999</v>
      </c>
      <c r="H27" s="40">
        <v>3.5663299999999998</v>
      </c>
      <c r="I27" s="41">
        <v>0.36149999999999999</v>
      </c>
      <c r="J27" s="40">
        <v>3.6659099999999998</v>
      </c>
      <c r="K27" s="41">
        <v>0.35539999999999999</v>
      </c>
      <c r="L27" s="40">
        <v>3.5855899999999998</v>
      </c>
      <c r="M27" s="41">
        <v>0.35539999999999999</v>
      </c>
      <c r="N27" s="40">
        <v>3.5855899999999998</v>
      </c>
      <c r="O27" s="29"/>
      <c r="P27" s="42">
        <v>19</v>
      </c>
      <c r="Q27" s="41">
        <v>3.0678100000000001</v>
      </c>
      <c r="R27" s="40">
        <v>35.519970000000001</v>
      </c>
      <c r="S27" s="41">
        <v>3.0678100000000001</v>
      </c>
      <c r="T27" s="40">
        <v>35.519970000000001</v>
      </c>
      <c r="U27" s="41">
        <v>3.0678100000000001</v>
      </c>
      <c r="V27" s="40">
        <v>35.519970000000001</v>
      </c>
      <c r="W27" s="41">
        <v>3.0678100000000001</v>
      </c>
      <c r="X27" s="40">
        <v>35.519970000000001</v>
      </c>
      <c r="Y27" s="41">
        <v>3.0678100000000001</v>
      </c>
      <c r="Z27" s="40">
        <v>35.519970000000001</v>
      </c>
      <c r="AA27" s="41">
        <v>3.0678100000000001</v>
      </c>
      <c r="AB27" s="40">
        <v>35.519970000000001</v>
      </c>
      <c r="AC27" s="29"/>
      <c r="AD27" s="38">
        <v>19</v>
      </c>
      <c r="AE27" s="41">
        <v>0.15225</v>
      </c>
      <c r="AF27" s="40">
        <v>1.7628200000000001</v>
      </c>
      <c r="AG27" s="41">
        <v>0.15225</v>
      </c>
      <c r="AH27" s="40">
        <v>1.7628200000000001</v>
      </c>
      <c r="AI27" s="41">
        <v>0.15225</v>
      </c>
      <c r="AJ27" s="40">
        <v>1.7628200000000001</v>
      </c>
      <c r="AK27" s="41">
        <v>0.15225</v>
      </c>
      <c r="AL27" s="40">
        <v>1.7628200000000001</v>
      </c>
      <c r="AM27" s="41">
        <v>0.15225</v>
      </c>
      <c r="AN27" s="40">
        <v>1.7628200000000001</v>
      </c>
      <c r="AO27" s="41">
        <v>0.15225</v>
      </c>
      <c r="AP27" s="40">
        <v>1.7628200000000001</v>
      </c>
    </row>
    <row r="28" spans="2:42" x14ac:dyDescent="0.3">
      <c r="B28" s="38">
        <v>20</v>
      </c>
      <c r="C28" s="41">
        <v>0.36264000000000002</v>
      </c>
      <c r="D28" s="40">
        <v>3.7384599999999999</v>
      </c>
      <c r="E28" s="41">
        <v>0.37121999999999999</v>
      </c>
      <c r="F28" s="40">
        <v>3.8420999999999998</v>
      </c>
      <c r="G28" s="41">
        <v>0.36264000000000002</v>
      </c>
      <c r="H28" s="40">
        <v>3.7384599999999999</v>
      </c>
      <c r="I28" s="41">
        <v>0.37121999999999999</v>
      </c>
      <c r="J28" s="40">
        <v>3.8420999999999998</v>
      </c>
      <c r="K28" s="41">
        <v>0.36501</v>
      </c>
      <c r="L28" s="40">
        <v>3.7588400000000002</v>
      </c>
      <c r="M28" s="41">
        <v>0.36501</v>
      </c>
      <c r="N28" s="40">
        <v>3.7588400000000002</v>
      </c>
      <c r="O28" s="29"/>
      <c r="P28" s="42">
        <v>20</v>
      </c>
      <c r="Q28" s="41">
        <v>3.1193499999999998</v>
      </c>
      <c r="R28" s="40">
        <v>37.000549999999997</v>
      </c>
      <c r="S28" s="41">
        <v>3.1193499999999998</v>
      </c>
      <c r="T28" s="40">
        <v>37.000549999999997</v>
      </c>
      <c r="U28" s="41">
        <v>3.1193499999999998</v>
      </c>
      <c r="V28" s="40">
        <v>37.000549999999997</v>
      </c>
      <c r="W28" s="41">
        <v>3.1193499999999998</v>
      </c>
      <c r="X28" s="40">
        <v>37.000549999999997</v>
      </c>
      <c r="Y28" s="41">
        <v>3.1193499999999998</v>
      </c>
      <c r="Z28" s="40">
        <v>37.000549999999997</v>
      </c>
      <c r="AA28" s="41">
        <v>3.1193499999999998</v>
      </c>
      <c r="AB28" s="40">
        <v>37.000549999999997</v>
      </c>
      <c r="AC28" s="29"/>
      <c r="AD28" s="38">
        <v>20</v>
      </c>
      <c r="AE28" s="41">
        <v>0.15481</v>
      </c>
      <c r="AF28" s="40">
        <v>1.8363</v>
      </c>
      <c r="AG28" s="41">
        <v>0.15481</v>
      </c>
      <c r="AH28" s="40">
        <v>1.8363</v>
      </c>
      <c r="AI28" s="41">
        <v>0.15481</v>
      </c>
      <c r="AJ28" s="40">
        <v>1.8363</v>
      </c>
      <c r="AK28" s="41">
        <v>0.15481</v>
      </c>
      <c r="AL28" s="40">
        <v>1.8363</v>
      </c>
      <c r="AM28" s="41">
        <v>0.15481</v>
      </c>
      <c r="AN28" s="40">
        <v>1.8363</v>
      </c>
      <c r="AO28" s="41">
        <v>0.15481</v>
      </c>
      <c r="AP28" s="40">
        <v>1.8363</v>
      </c>
    </row>
    <row r="29" spans="2:42" x14ac:dyDescent="0.3">
      <c r="B29" s="38">
        <v>21</v>
      </c>
      <c r="C29" s="41">
        <v>0.37758000000000003</v>
      </c>
      <c r="D29" s="40">
        <v>3.9107799999999999</v>
      </c>
      <c r="E29" s="41">
        <v>0.38629999999999998</v>
      </c>
      <c r="F29" s="40">
        <v>4.0183999999999997</v>
      </c>
      <c r="G29" s="41">
        <v>0.37758000000000003</v>
      </c>
      <c r="H29" s="40">
        <v>3.9107799999999999</v>
      </c>
      <c r="I29" s="41">
        <v>0.38629999999999998</v>
      </c>
      <c r="J29" s="40">
        <v>4.0183999999999997</v>
      </c>
      <c r="K29" s="41">
        <v>0.37997999999999998</v>
      </c>
      <c r="L29" s="40">
        <v>3.9322599999999999</v>
      </c>
      <c r="M29" s="41">
        <v>0.37997999999999998</v>
      </c>
      <c r="N29" s="40">
        <v>3.9322599999999999</v>
      </c>
      <c r="O29" s="29"/>
      <c r="P29" s="42">
        <v>21</v>
      </c>
      <c r="Q29" s="41">
        <v>3.1717499999999998</v>
      </c>
      <c r="R29" s="40">
        <v>38.448099999999997</v>
      </c>
      <c r="S29" s="41">
        <v>3.1717499999999998</v>
      </c>
      <c r="T29" s="40">
        <v>38.448099999999997</v>
      </c>
      <c r="U29" s="41">
        <v>3.1717499999999998</v>
      </c>
      <c r="V29" s="40">
        <v>38.448099999999997</v>
      </c>
      <c r="W29" s="41">
        <v>3.1717499999999998</v>
      </c>
      <c r="X29" s="40">
        <v>38.448099999999997</v>
      </c>
      <c r="Y29" s="41">
        <v>3.1717499999999998</v>
      </c>
      <c r="Z29" s="40">
        <v>38.448099999999997</v>
      </c>
      <c r="AA29" s="41">
        <v>3.1717499999999998</v>
      </c>
      <c r="AB29" s="40">
        <v>38.448099999999997</v>
      </c>
      <c r="AC29" s="29"/>
      <c r="AD29" s="38">
        <v>21</v>
      </c>
      <c r="AE29" s="41">
        <v>0.15740999999999999</v>
      </c>
      <c r="AF29" s="40">
        <v>1.9081399999999999</v>
      </c>
      <c r="AG29" s="41">
        <v>0.15740999999999999</v>
      </c>
      <c r="AH29" s="40">
        <v>1.9081399999999999</v>
      </c>
      <c r="AI29" s="41">
        <v>0.15740999999999999</v>
      </c>
      <c r="AJ29" s="40">
        <v>1.9081399999999999</v>
      </c>
      <c r="AK29" s="41">
        <v>0.15740999999999999</v>
      </c>
      <c r="AL29" s="40">
        <v>1.9081399999999999</v>
      </c>
      <c r="AM29" s="41">
        <v>0.15740999999999999</v>
      </c>
      <c r="AN29" s="40">
        <v>1.9081399999999999</v>
      </c>
      <c r="AO29" s="41">
        <v>0.15740999999999999</v>
      </c>
      <c r="AP29" s="40">
        <v>1.9081399999999999</v>
      </c>
    </row>
    <row r="30" spans="2:42" x14ac:dyDescent="0.3">
      <c r="B30" s="38">
        <v>22</v>
      </c>
      <c r="C30" s="41">
        <v>0.38851000000000002</v>
      </c>
      <c r="D30" s="40">
        <v>4.08127</v>
      </c>
      <c r="E30" s="41">
        <v>0.39738000000000001</v>
      </c>
      <c r="F30" s="40">
        <v>4.19278</v>
      </c>
      <c r="G30" s="41">
        <v>0.38851000000000002</v>
      </c>
      <c r="H30" s="40">
        <v>4.08127</v>
      </c>
      <c r="I30" s="41">
        <v>0.39738000000000001</v>
      </c>
      <c r="J30" s="40">
        <v>4.19278</v>
      </c>
      <c r="K30" s="41">
        <v>0.39095999999999997</v>
      </c>
      <c r="L30" s="40">
        <v>4.1038300000000003</v>
      </c>
      <c r="M30" s="41">
        <v>0.39095999999999997</v>
      </c>
      <c r="N30" s="40">
        <v>4.1038300000000003</v>
      </c>
      <c r="O30" s="29"/>
      <c r="P30" s="42">
        <v>22</v>
      </c>
      <c r="Q30" s="41">
        <v>3.2250399999999999</v>
      </c>
      <c r="R30" s="40">
        <v>39.863349999999997</v>
      </c>
      <c r="S30" s="41">
        <v>3.2250399999999999</v>
      </c>
      <c r="T30" s="40">
        <v>39.863349999999997</v>
      </c>
      <c r="U30" s="41">
        <v>3.2250399999999999</v>
      </c>
      <c r="V30" s="40">
        <v>39.863349999999997</v>
      </c>
      <c r="W30" s="41">
        <v>3.2250399999999999</v>
      </c>
      <c r="X30" s="40">
        <v>39.863349999999997</v>
      </c>
      <c r="Y30" s="41">
        <v>3.2250399999999999</v>
      </c>
      <c r="Z30" s="40">
        <v>39.863349999999997</v>
      </c>
      <c r="AA30" s="41">
        <v>3.2250399999999999</v>
      </c>
      <c r="AB30" s="40">
        <v>39.863349999999997</v>
      </c>
      <c r="AC30" s="29"/>
      <c r="AD30" s="38">
        <v>22</v>
      </c>
      <c r="AE30" s="41">
        <v>0.16006000000000001</v>
      </c>
      <c r="AF30" s="40">
        <v>1.97838</v>
      </c>
      <c r="AG30" s="41">
        <v>0.16006000000000001</v>
      </c>
      <c r="AH30" s="40">
        <v>1.97838</v>
      </c>
      <c r="AI30" s="41">
        <v>0.16006000000000001</v>
      </c>
      <c r="AJ30" s="40">
        <v>1.97838</v>
      </c>
      <c r="AK30" s="41">
        <v>0.16006000000000001</v>
      </c>
      <c r="AL30" s="40">
        <v>1.97838</v>
      </c>
      <c r="AM30" s="41">
        <v>0.16006000000000001</v>
      </c>
      <c r="AN30" s="40">
        <v>1.97838</v>
      </c>
      <c r="AO30" s="41">
        <v>0.16006000000000001</v>
      </c>
      <c r="AP30" s="40">
        <v>1.97838</v>
      </c>
    </row>
    <row r="31" spans="2:42" x14ac:dyDescent="0.3">
      <c r="B31" s="38">
        <v>23</v>
      </c>
      <c r="C31" s="41">
        <v>0.39977000000000001</v>
      </c>
      <c r="D31" s="40">
        <v>4.2499599999999997</v>
      </c>
      <c r="E31" s="41">
        <v>0.40877999999999998</v>
      </c>
      <c r="F31" s="40">
        <v>4.3652699999999998</v>
      </c>
      <c r="G31" s="41">
        <v>0.39977000000000001</v>
      </c>
      <c r="H31" s="40">
        <v>4.2499599999999997</v>
      </c>
      <c r="I31" s="41">
        <v>0.40877999999999998</v>
      </c>
      <c r="J31" s="40">
        <v>4.3652699999999998</v>
      </c>
      <c r="K31" s="41">
        <v>0.40225</v>
      </c>
      <c r="L31" s="40">
        <v>4.2735599999999998</v>
      </c>
      <c r="M31" s="41">
        <v>0.40225</v>
      </c>
      <c r="N31" s="40">
        <v>4.2735599999999998</v>
      </c>
      <c r="O31" s="29"/>
      <c r="P31" s="42">
        <v>23</v>
      </c>
      <c r="Q31" s="41">
        <v>3.27922</v>
      </c>
      <c r="R31" s="40">
        <v>41.247039999999998</v>
      </c>
      <c r="S31" s="41">
        <v>3.27922</v>
      </c>
      <c r="T31" s="40">
        <v>41.247039999999998</v>
      </c>
      <c r="U31" s="41">
        <v>3.27922</v>
      </c>
      <c r="V31" s="40">
        <v>41.247039999999998</v>
      </c>
      <c r="W31" s="41">
        <v>3.27922</v>
      </c>
      <c r="X31" s="40">
        <v>41.247039999999998</v>
      </c>
      <c r="Y31" s="41">
        <v>3.27922</v>
      </c>
      <c r="Z31" s="40">
        <v>41.247039999999998</v>
      </c>
      <c r="AA31" s="41">
        <v>3.27922</v>
      </c>
      <c r="AB31" s="40">
        <v>41.247039999999998</v>
      </c>
      <c r="AC31" s="29"/>
      <c r="AD31" s="38">
        <v>23</v>
      </c>
      <c r="AE31" s="41">
        <v>0.16274</v>
      </c>
      <c r="AF31" s="40">
        <v>2.04705</v>
      </c>
      <c r="AG31" s="41">
        <v>0.16274</v>
      </c>
      <c r="AH31" s="40">
        <v>2.04705</v>
      </c>
      <c r="AI31" s="41">
        <v>0.16274</v>
      </c>
      <c r="AJ31" s="40">
        <v>2.04705</v>
      </c>
      <c r="AK31" s="41">
        <v>0.16274</v>
      </c>
      <c r="AL31" s="40">
        <v>2.04705</v>
      </c>
      <c r="AM31" s="41">
        <v>0.16274</v>
      </c>
      <c r="AN31" s="40">
        <v>2.04705</v>
      </c>
      <c r="AO31" s="41">
        <v>0.16274</v>
      </c>
      <c r="AP31" s="40">
        <v>2.04705</v>
      </c>
    </row>
    <row r="32" spans="2:42" x14ac:dyDescent="0.3">
      <c r="B32" s="38">
        <v>24</v>
      </c>
      <c r="C32" s="41">
        <v>0.41134999999999999</v>
      </c>
      <c r="D32" s="40">
        <v>4.4168500000000002</v>
      </c>
      <c r="E32" s="41">
        <v>0.42052</v>
      </c>
      <c r="F32" s="40">
        <v>4.5358799999999997</v>
      </c>
      <c r="G32" s="41">
        <v>0.41134999999999999</v>
      </c>
      <c r="H32" s="40">
        <v>4.4168500000000002</v>
      </c>
      <c r="I32" s="41">
        <v>0.42052</v>
      </c>
      <c r="J32" s="40">
        <v>4.5358799999999997</v>
      </c>
      <c r="K32" s="41">
        <v>0.41388000000000003</v>
      </c>
      <c r="L32" s="40">
        <v>4.4414800000000003</v>
      </c>
      <c r="M32" s="41">
        <v>0.41388000000000003</v>
      </c>
      <c r="N32" s="40">
        <v>4.4414800000000003</v>
      </c>
      <c r="O32" s="29"/>
      <c r="P32" s="42">
        <v>24</v>
      </c>
      <c r="Q32" s="41">
        <v>3.3343099999999999</v>
      </c>
      <c r="R32" s="40">
        <v>42.599850000000004</v>
      </c>
      <c r="S32" s="41">
        <v>3.3343099999999999</v>
      </c>
      <c r="T32" s="40">
        <v>42.599850000000004</v>
      </c>
      <c r="U32" s="41">
        <v>3.3343099999999999</v>
      </c>
      <c r="V32" s="40">
        <v>42.599850000000004</v>
      </c>
      <c r="W32" s="41">
        <v>3.3343099999999999</v>
      </c>
      <c r="X32" s="40">
        <v>42.599850000000004</v>
      </c>
      <c r="Y32" s="41">
        <v>3.3343099999999999</v>
      </c>
      <c r="Z32" s="40">
        <v>42.599850000000004</v>
      </c>
      <c r="AA32" s="41">
        <v>3.3343099999999999</v>
      </c>
      <c r="AB32" s="40">
        <v>42.599850000000004</v>
      </c>
      <c r="AC32" s="29"/>
      <c r="AD32" s="38">
        <v>24</v>
      </c>
      <c r="AE32" s="41">
        <v>0.16547999999999999</v>
      </c>
      <c r="AF32" s="40">
        <v>2.1141899999999998</v>
      </c>
      <c r="AG32" s="41">
        <v>0.16547999999999999</v>
      </c>
      <c r="AH32" s="40">
        <v>2.1141899999999998</v>
      </c>
      <c r="AI32" s="41">
        <v>0.16547999999999999</v>
      </c>
      <c r="AJ32" s="40">
        <v>2.1141899999999998</v>
      </c>
      <c r="AK32" s="41">
        <v>0.16547999999999999</v>
      </c>
      <c r="AL32" s="40">
        <v>2.1141899999999998</v>
      </c>
      <c r="AM32" s="41">
        <v>0.16547999999999999</v>
      </c>
      <c r="AN32" s="40">
        <v>2.1141899999999998</v>
      </c>
      <c r="AO32" s="41">
        <v>0.16547999999999999</v>
      </c>
      <c r="AP32" s="40">
        <v>2.1141899999999998</v>
      </c>
    </row>
    <row r="33" spans="2:42" x14ac:dyDescent="0.3">
      <c r="B33" s="38">
        <v>25</v>
      </c>
      <c r="C33" s="41">
        <v>0.42327999999999999</v>
      </c>
      <c r="D33" s="40">
        <v>4.5819799999999997</v>
      </c>
      <c r="E33" s="41">
        <v>0.43259999999999998</v>
      </c>
      <c r="F33" s="40">
        <v>4.70465</v>
      </c>
      <c r="G33" s="41">
        <v>0.42327999999999999</v>
      </c>
      <c r="H33" s="40">
        <v>4.5819799999999997</v>
      </c>
      <c r="I33" s="41">
        <v>0.43259999999999998</v>
      </c>
      <c r="J33" s="40">
        <v>4.70465</v>
      </c>
      <c r="K33" s="41">
        <v>0.42585000000000001</v>
      </c>
      <c r="L33" s="40">
        <v>4.6076199999999998</v>
      </c>
      <c r="M33" s="41">
        <v>0.42585000000000001</v>
      </c>
      <c r="N33" s="40">
        <v>4.6076199999999998</v>
      </c>
      <c r="O33" s="29"/>
      <c r="P33" s="42">
        <v>25</v>
      </c>
      <c r="Q33" s="41">
        <v>3.3903300000000001</v>
      </c>
      <c r="R33" s="40">
        <v>43.922490000000003</v>
      </c>
      <c r="S33" s="41">
        <v>3.3903300000000001</v>
      </c>
      <c r="T33" s="40">
        <v>43.922490000000003</v>
      </c>
      <c r="U33" s="41">
        <v>3.3903300000000001</v>
      </c>
      <c r="V33" s="40">
        <v>43.922490000000003</v>
      </c>
      <c r="W33" s="41">
        <v>3.3903300000000001</v>
      </c>
      <c r="X33" s="40">
        <v>43.922490000000003</v>
      </c>
      <c r="Y33" s="41">
        <v>3.3903300000000001</v>
      </c>
      <c r="Z33" s="40">
        <v>43.922490000000003</v>
      </c>
      <c r="AA33" s="41">
        <v>3.3903300000000001</v>
      </c>
      <c r="AB33" s="40">
        <v>43.922490000000003</v>
      </c>
      <c r="AC33" s="29"/>
      <c r="AD33" s="38">
        <v>25</v>
      </c>
      <c r="AE33" s="41">
        <v>0.16825999999999999</v>
      </c>
      <c r="AF33" s="40">
        <v>2.1798299999999999</v>
      </c>
      <c r="AG33" s="41">
        <v>0.16825999999999999</v>
      </c>
      <c r="AH33" s="40">
        <v>2.1798299999999999</v>
      </c>
      <c r="AI33" s="41">
        <v>0.16825999999999999</v>
      </c>
      <c r="AJ33" s="40">
        <v>2.1798299999999999</v>
      </c>
      <c r="AK33" s="41">
        <v>0.16825999999999999</v>
      </c>
      <c r="AL33" s="40">
        <v>2.1798299999999999</v>
      </c>
      <c r="AM33" s="41">
        <v>0.16825999999999999</v>
      </c>
      <c r="AN33" s="40">
        <v>2.1798299999999999</v>
      </c>
      <c r="AO33" s="41">
        <v>0.16825999999999999</v>
      </c>
      <c r="AP33" s="40">
        <v>2.1798299999999999</v>
      </c>
    </row>
    <row r="34" spans="2:42" x14ac:dyDescent="0.3">
      <c r="B34" s="38">
        <v>26</v>
      </c>
      <c r="C34" s="41">
        <v>0.43556</v>
      </c>
      <c r="D34" s="40">
        <v>4.7453700000000003</v>
      </c>
      <c r="E34" s="41">
        <v>0.44502999999999998</v>
      </c>
      <c r="F34" s="40">
        <v>4.8715900000000003</v>
      </c>
      <c r="G34" s="41">
        <v>0.43556</v>
      </c>
      <c r="H34" s="40">
        <v>4.7453700000000003</v>
      </c>
      <c r="I34" s="41">
        <v>0.44502999999999998</v>
      </c>
      <c r="J34" s="40">
        <v>4.8715900000000003</v>
      </c>
      <c r="K34" s="41">
        <v>0.43817</v>
      </c>
      <c r="L34" s="40">
        <v>4.7719800000000001</v>
      </c>
      <c r="M34" s="41">
        <v>0.43817</v>
      </c>
      <c r="N34" s="40">
        <v>4.7719800000000001</v>
      </c>
      <c r="O34" s="29"/>
      <c r="P34" s="42">
        <v>26</v>
      </c>
      <c r="Q34" s="41">
        <v>3.4472800000000001</v>
      </c>
      <c r="R34" s="40">
        <v>45.215629999999997</v>
      </c>
      <c r="S34" s="41">
        <v>3.4472800000000001</v>
      </c>
      <c r="T34" s="40">
        <v>45.215629999999997</v>
      </c>
      <c r="U34" s="41">
        <v>3.4472800000000001</v>
      </c>
      <c r="V34" s="40">
        <v>45.215629999999997</v>
      </c>
      <c r="W34" s="41">
        <v>3.4472800000000001</v>
      </c>
      <c r="X34" s="40">
        <v>45.215629999999997</v>
      </c>
      <c r="Y34" s="41">
        <v>3.4472800000000001</v>
      </c>
      <c r="Z34" s="40">
        <v>45.215629999999997</v>
      </c>
      <c r="AA34" s="41">
        <v>3.4472800000000001</v>
      </c>
      <c r="AB34" s="40">
        <v>45.215629999999997</v>
      </c>
      <c r="AC34" s="29"/>
      <c r="AD34" s="38">
        <v>26</v>
      </c>
      <c r="AE34" s="41">
        <v>0.17108999999999999</v>
      </c>
      <c r="AF34" s="40">
        <v>2.2440000000000002</v>
      </c>
      <c r="AG34" s="41">
        <v>0.17108999999999999</v>
      </c>
      <c r="AH34" s="40">
        <v>2.2440000000000002</v>
      </c>
      <c r="AI34" s="41">
        <v>0.17108999999999999</v>
      </c>
      <c r="AJ34" s="40">
        <v>2.2440000000000002</v>
      </c>
      <c r="AK34" s="41">
        <v>0.17108999999999999</v>
      </c>
      <c r="AL34" s="40">
        <v>2.2440000000000002</v>
      </c>
      <c r="AM34" s="41">
        <v>0.17108999999999999</v>
      </c>
      <c r="AN34" s="40">
        <v>2.2440000000000002</v>
      </c>
      <c r="AO34" s="41">
        <v>0.17108999999999999</v>
      </c>
      <c r="AP34" s="40">
        <v>2.2440000000000002</v>
      </c>
    </row>
    <row r="35" spans="2:42" x14ac:dyDescent="0.3">
      <c r="B35" s="38">
        <v>27</v>
      </c>
      <c r="C35" s="41">
        <v>0.44819999999999999</v>
      </c>
      <c r="D35" s="40">
        <v>4.9070299999999998</v>
      </c>
      <c r="E35" s="41">
        <v>0.45783000000000001</v>
      </c>
      <c r="F35" s="40">
        <v>5.0367300000000004</v>
      </c>
      <c r="G35" s="41">
        <v>0.44819999999999999</v>
      </c>
      <c r="H35" s="40">
        <v>4.9070299999999998</v>
      </c>
      <c r="I35" s="41">
        <v>0.45783000000000001</v>
      </c>
      <c r="J35" s="40">
        <v>5.0367300000000004</v>
      </c>
      <c r="K35" s="41">
        <v>0.45085999999999998</v>
      </c>
      <c r="L35" s="40">
        <v>4.9345999999999997</v>
      </c>
      <c r="M35" s="41">
        <v>0.45085999999999998</v>
      </c>
      <c r="N35" s="40">
        <v>4.9345999999999997</v>
      </c>
      <c r="O35" s="29"/>
      <c r="P35" s="42">
        <v>27</v>
      </c>
      <c r="Q35" s="41">
        <v>3.5051999999999999</v>
      </c>
      <c r="R35" s="40">
        <v>46.47992</v>
      </c>
      <c r="S35" s="41">
        <v>3.5051999999999999</v>
      </c>
      <c r="T35" s="40">
        <v>46.47992</v>
      </c>
      <c r="U35" s="41">
        <v>3.5051999999999999</v>
      </c>
      <c r="V35" s="40">
        <v>46.47992</v>
      </c>
      <c r="W35" s="41">
        <v>3.5051999999999999</v>
      </c>
      <c r="X35" s="40">
        <v>46.47992</v>
      </c>
      <c r="Y35" s="41">
        <v>3.5051999999999999</v>
      </c>
      <c r="Z35" s="40">
        <v>46.47992</v>
      </c>
      <c r="AA35" s="41">
        <v>3.5051999999999999</v>
      </c>
      <c r="AB35" s="40">
        <v>46.47992</v>
      </c>
      <c r="AC35" s="29"/>
      <c r="AD35" s="38">
        <v>27</v>
      </c>
      <c r="AE35" s="41">
        <v>0.17396</v>
      </c>
      <c r="AF35" s="40">
        <v>2.3067500000000001</v>
      </c>
      <c r="AG35" s="41">
        <v>0.17396</v>
      </c>
      <c r="AH35" s="40">
        <v>2.3067500000000001</v>
      </c>
      <c r="AI35" s="41">
        <v>0.17396</v>
      </c>
      <c r="AJ35" s="40">
        <v>2.3067500000000001</v>
      </c>
      <c r="AK35" s="41">
        <v>0.17396</v>
      </c>
      <c r="AL35" s="40">
        <v>2.3067500000000001</v>
      </c>
      <c r="AM35" s="41">
        <v>0.17396</v>
      </c>
      <c r="AN35" s="40">
        <v>2.3067500000000001</v>
      </c>
      <c r="AO35" s="41">
        <v>0.17396</v>
      </c>
      <c r="AP35" s="40">
        <v>2.3067500000000001</v>
      </c>
    </row>
    <row r="36" spans="2:42" x14ac:dyDescent="0.3">
      <c r="B36" s="38">
        <v>28</v>
      </c>
      <c r="C36" s="41">
        <v>0.46121000000000001</v>
      </c>
      <c r="D36" s="40">
        <v>5.0669899999999997</v>
      </c>
      <c r="E36" s="41">
        <v>0.47100999999999998</v>
      </c>
      <c r="F36" s="40">
        <v>5.2000799999999998</v>
      </c>
      <c r="G36" s="41">
        <v>0.46121000000000001</v>
      </c>
      <c r="H36" s="40">
        <v>5.0669899999999997</v>
      </c>
      <c r="I36" s="41">
        <v>0.47100999999999998</v>
      </c>
      <c r="J36" s="40">
        <v>5.2000799999999998</v>
      </c>
      <c r="K36" s="41">
        <v>0.46392</v>
      </c>
      <c r="L36" s="40">
        <v>5.0955000000000004</v>
      </c>
      <c r="M36" s="41">
        <v>0.46392</v>
      </c>
      <c r="N36" s="40">
        <v>5.0955000000000004</v>
      </c>
      <c r="O36" s="29"/>
      <c r="P36" s="42">
        <v>28</v>
      </c>
      <c r="Q36" s="41">
        <v>3.5640900000000002</v>
      </c>
      <c r="R36" s="40">
        <v>47.716000000000001</v>
      </c>
      <c r="S36" s="41">
        <v>3.5640900000000002</v>
      </c>
      <c r="T36" s="40">
        <v>47.716000000000001</v>
      </c>
      <c r="U36" s="41">
        <v>3.5640900000000002</v>
      </c>
      <c r="V36" s="40">
        <v>47.716000000000001</v>
      </c>
      <c r="W36" s="41">
        <v>3.5640900000000002</v>
      </c>
      <c r="X36" s="40">
        <v>47.716000000000001</v>
      </c>
      <c r="Y36" s="41">
        <v>3.5640900000000002</v>
      </c>
      <c r="Z36" s="40">
        <v>47.716000000000001</v>
      </c>
      <c r="AA36" s="41">
        <v>3.5640900000000002</v>
      </c>
      <c r="AB36" s="40">
        <v>47.716000000000001</v>
      </c>
      <c r="AC36" s="29"/>
      <c r="AD36" s="38">
        <v>28</v>
      </c>
      <c r="AE36" s="41">
        <v>0.17688000000000001</v>
      </c>
      <c r="AF36" s="40">
        <v>2.36809</v>
      </c>
      <c r="AG36" s="41">
        <v>0.17688000000000001</v>
      </c>
      <c r="AH36" s="40">
        <v>2.36809</v>
      </c>
      <c r="AI36" s="41">
        <v>0.17688000000000001</v>
      </c>
      <c r="AJ36" s="40">
        <v>2.36809</v>
      </c>
      <c r="AK36" s="41">
        <v>0.17688000000000001</v>
      </c>
      <c r="AL36" s="40">
        <v>2.36809</v>
      </c>
      <c r="AM36" s="41">
        <v>0.17688000000000001</v>
      </c>
      <c r="AN36" s="40">
        <v>2.36809</v>
      </c>
      <c r="AO36" s="41">
        <v>0.17688000000000001</v>
      </c>
      <c r="AP36" s="40">
        <v>2.36809</v>
      </c>
    </row>
    <row r="37" spans="2:42" x14ac:dyDescent="0.3">
      <c r="B37" s="38">
        <v>29</v>
      </c>
      <c r="C37" s="41">
        <v>0.47460999999999998</v>
      </c>
      <c r="D37" s="40">
        <v>5.2252599999999996</v>
      </c>
      <c r="E37" s="41">
        <v>0.48457</v>
      </c>
      <c r="F37" s="40">
        <v>5.3616700000000002</v>
      </c>
      <c r="G37" s="41">
        <v>0.47460999999999998</v>
      </c>
      <c r="H37" s="40">
        <v>5.2252599999999996</v>
      </c>
      <c r="I37" s="41">
        <v>0.48457</v>
      </c>
      <c r="J37" s="40">
        <v>5.3616700000000002</v>
      </c>
      <c r="K37" s="41">
        <v>0.47736000000000001</v>
      </c>
      <c r="L37" s="40">
        <v>5.2546799999999996</v>
      </c>
      <c r="M37" s="41">
        <v>0.47736000000000001</v>
      </c>
      <c r="N37" s="40">
        <v>5.2546799999999996</v>
      </c>
      <c r="O37" s="29"/>
      <c r="P37" s="42">
        <v>29</v>
      </c>
      <c r="Q37" s="41">
        <v>3.6239599999999998</v>
      </c>
      <c r="R37" s="40">
        <v>48.924509999999998</v>
      </c>
      <c r="S37" s="41">
        <v>3.6239599999999998</v>
      </c>
      <c r="T37" s="40">
        <v>48.924509999999998</v>
      </c>
      <c r="U37" s="41">
        <v>3.6239599999999998</v>
      </c>
      <c r="V37" s="40">
        <v>48.924509999999998</v>
      </c>
      <c r="W37" s="41">
        <v>3.6239599999999998</v>
      </c>
      <c r="X37" s="40">
        <v>48.924509999999998</v>
      </c>
      <c r="Y37" s="41">
        <v>3.6239599999999998</v>
      </c>
      <c r="Z37" s="40">
        <v>48.924509999999998</v>
      </c>
      <c r="AA37" s="41">
        <v>3.6239599999999998</v>
      </c>
      <c r="AB37" s="40">
        <v>48.924509999999998</v>
      </c>
      <c r="AC37" s="29"/>
      <c r="AD37" s="38">
        <v>29</v>
      </c>
      <c r="AE37" s="41">
        <v>0.17985000000000001</v>
      </c>
      <c r="AF37" s="40">
        <v>2.42807</v>
      </c>
      <c r="AG37" s="41">
        <v>0.17985000000000001</v>
      </c>
      <c r="AH37" s="40">
        <v>2.42807</v>
      </c>
      <c r="AI37" s="41">
        <v>0.17985000000000001</v>
      </c>
      <c r="AJ37" s="40">
        <v>2.42807</v>
      </c>
      <c r="AK37" s="41">
        <v>0.17985000000000001</v>
      </c>
      <c r="AL37" s="40">
        <v>2.42807</v>
      </c>
      <c r="AM37" s="41">
        <v>0.17985000000000001</v>
      </c>
      <c r="AN37" s="40">
        <v>2.42807</v>
      </c>
      <c r="AO37" s="41">
        <v>0.17985000000000001</v>
      </c>
      <c r="AP37" s="40">
        <v>2.42807</v>
      </c>
    </row>
    <row r="38" spans="2:42" x14ac:dyDescent="0.3">
      <c r="B38" s="43">
        <v>30</v>
      </c>
      <c r="C38" s="44">
        <v>0.4884</v>
      </c>
      <c r="D38" s="45">
        <v>5.3818700000000002</v>
      </c>
      <c r="E38" s="44">
        <v>0.49852999999999997</v>
      </c>
      <c r="F38" s="45">
        <v>5.5215300000000003</v>
      </c>
      <c r="G38" s="44">
        <v>0.4884</v>
      </c>
      <c r="H38" s="45">
        <v>5.3818700000000002</v>
      </c>
      <c r="I38" s="44">
        <v>0.49852999999999997</v>
      </c>
      <c r="J38" s="45">
        <v>5.5215300000000003</v>
      </c>
      <c r="K38" s="44">
        <v>0.49120000000000003</v>
      </c>
      <c r="L38" s="45">
        <v>5.4121899999999998</v>
      </c>
      <c r="M38" s="44">
        <v>0.49120000000000003</v>
      </c>
      <c r="N38" s="45">
        <v>5.4121899999999998</v>
      </c>
      <c r="O38" s="29"/>
      <c r="P38" s="46">
        <v>30</v>
      </c>
      <c r="Q38" s="44">
        <v>3.68485</v>
      </c>
      <c r="R38" s="45">
        <v>50.106059999999999</v>
      </c>
      <c r="S38" s="44">
        <v>3.68485</v>
      </c>
      <c r="T38" s="45">
        <v>50.106059999999999</v>
      </c>
      <c r="U38" s="44">
        <v>3.68485</v>
      </c>
      <c r="V38" s="45">
        <v>50.106059999999999</v>
      </c>
      <c r="W38" s="44">
        <v>3.68485</v>
      </c>
      <c r="X38" s="45">
        <v>50.106059999999999</v>
      </c>
      <c r="Y38" s="44">
        <v>3.68485</v>
      </c>
      <c r="Z38" s="45">
        <v>50.106059999999999</v>
      </c>
      <c r="AA38" s="44">
        <v>3.68485</v>
      </c>
      <c r="AB38" s="45">
        <v>50.106059999999999</v>
      </c>
      <c r="AC38" s="29"/>
      <c r="AD38" s="43">
        <v>30</v>
      </c>
      <c r="AE38" s="44">
        <v>0.18287</v>
      </c>
      <c r="AF38" s="45">
        <v>2.48671</v>
      </c>
      <c r="AG38" s="44">
        <v>0.18287</v>
      </c>
      <c r="AH38" s="45">
        <v>2.48671</v>
      </c>
      <c r="AI38" s="44">
        <v>0.18287</v>
      </c>
      <c r="AJ38" s="45">
        <v>2.48671</v>
      </c>
      <c r="AK38" s="44">
        <v>0.18287</v>
      </c>
      <c r="AL38" s="45">
        <v>2.48671</v>
      </c>
      <c r="AM38" s="44">
        <v>0.18287</v>
      </c>
      <c r="AN38" s="45">
        <v>2.48671</v>
      </c>
      <c r="AO38" s="44">
        <v>0.18287</v>
      </c>
      <c r="AP38" s="45">
        <v>2.48671</v>
      </c>
    </row>
  </sheetData>
  <mergeCells count="35">
    <mergeCell ref="C2:D2"/>
    <mergeCell ref="C3:D3"/>
    <mergeCell ref="U7:V7"/>
    <mergeCell ref="Y7:Z7"/>
    <mergeCell ref="B5:N5"/>
    <mergeCell ref="P5:AB5"/>
    <mergeCell ref="C7:D7"/>
    <mergeCell ref="E7:F7"/>
    <mergeCell ref="G7:H7"/>
    <mergeCell ref="AD5:AP5"/>
    <mergeCell ref="B6:B7"/>
    <mergeCell ref="C6:F6"/>
    <mergeCell ref="G6:J6"/>
    <mergeCell ref="P6:P7"/>
    <mergeCell ref="Q6:T6"/>
    <mergeCell ref="U6:X6"/>
    <mergeCell ref="Y6:AB6"/>
    <mergeCell ref="I7:J7"/>
    <mergeCell ref="K7:L7"/>
    <mergeCell ref="M7:N7"/>
    <mergeCell ref="Q7:R7"/>
    <mergeCell ref="S7:T7"/>
    <mergeCell ref="AA7:AB7"/>
    <mergeCell ref="W7:X7"/>
    <mergeCell ref="K6:N6"/>
    <mergeCell ref="AM6:AP6"/>
    <mergeCell ref="AE7:AF7"/>
    <mergeCell ref="AG7:AH7"/>
    <mergeCell ref="AD6:AD7"/>
    <mergeCell ref="AE6:AH6"/>
    <mergeCell ref="AI6:AL6"/>
    <mergeCell ref="AI7:AJ7"/>
    <mergeCell ref="AK7:AL7"/>
    <mergeCell ref="AM7:AN7"/>
    <mergeCell ref="AO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2010 Avoided Costs</vt:lpstr>
      <vt:lpstr>A-3-A-48 Table 17</vt:lpstr>
      <vt:lpstr>A-3-A-50 Table 18</vt:lpstr>
      <vt:lpstr>2015 Avoided Costs</vt:lpstr>
      <vt:lpstr>gas2010ac</vt:lpstr>
      <vt:lpstr>gas2011ac</vt:lpstr>
      <vt:lpstr>'A-3-A-48 Table 17'!Print_Area</vt:lpstr>
      <vt:lpstr>we2010ac</vt:lpstr>
      <vt:lpstr>we2011ac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Ginis, Haris</cp:lastModifiedBy>
  <cp:lastPrinted>2015-06-16T23:28:18Z</cp:lastPrinted>
  <dcterms:created xsi:type="dcterms:W3CDTF">2010-03-15T14:47:54Z</dcterms:created>
  <dcterms:modified xsi:type="dcterms:W3CDTF">2015-06-22T22:00:43Z</dcterms:modified>
</cp:coreProperties>
</file>