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50" yWindow="1290" windowWidth="17640" windowHeight="9360"/>
  </bookViews>
  <sheets>
    <sheet name="Step 1" sheetId="5" r:id="rId1"/>
    <sheet name="Step 2" sheetId="3" r:id="rId2"/>
    <sheet name="Step 3" sheetId="2" r:id="rId3"/>
    <sheet name="Step 4" sheetId="8" r:id="rId4"/>
    <sheet name="Step 5" sheetId="9" r:id="rId5"/>
    <sheet name="Step 6" sheetId="14" r:id="rId6"/>
    <sheet name="Final Avoided costs" sheetId="13" r:id="rId7"/>
  </sheets>
  <definedNames>
    <definedName name="FromNode" localSheetId="5">'Step 6'!#REF!</definedName>
    <definedName name="ToNode" localSheetId="5">'Step 6'!$B$15</definedName>
  </definedNames>
  <calcPr calcId="125725" iterateDelta="1.0000000474974513E-3"/>
</workbook>
</file>

<file path=xl/calcChain.xml><?xml version="1.0" encoding="utf-8"?>
<calcChain xmlns="http://schemas.openxmlformats.org/spreadsheetml/2006/main">
  <c r="H35" i="9"/>
  <c r="H34"/>
  <c r="G15"/>
  <c r="H15" s="1"/>
  <c r="G34"/>
  <c r="G28"/>
  <c r="H28" s="1"/>
  <c r="G24"/>
  <c r="G23"/>
  <c r="G22"/>
  <c r="G21"/>
  <c r="H21" s="1"/>
  <c r="G20"/>
  <c r="H19" s="1"/>
  <c r="G19"/>
  <c r="G14"/>
  <c r="H14" s="1"/>
  <c r="E35"/>
  <c r="J35" s="1"/>
  <c r="K35" s="1"/>
  <c r="E34"/>
  <c r="J34" s="1"/>
  <c r="K34" s="1"/>
  <c r="E30"/>
  <c r="G30" s="1"/>
  <c r="H30" s="1"/>
  <c r="E12"/>
  <c r="J12" s="1"/>
  <c r="K12" s="1"/>
  <c r="D35"/>
  <c r="D34"/>
  <c r="D33"/>
  <c r="E33" s="1"/>
  <c r="D32"/>
  <c r="E32" s="1"/>
  <c r="D31"/>
  <c r="D30"/>
  <c r="D29"/>
  <c r="E29" s="1"/>
  <c r="D28"/>
  <c r="E28" s="1"/>
  <c r="D26"/>
  <c r="E26" s="1"/>
  <c r="D24"/>
  <c r="D23"/>
  <c r="D22"/>
  <c r="E21" s="1"/>
  <c r="D21"/>
  <c r="D20"/>
  <c r="D19"/>
  <c r="E19" s="1"/>
  <c r="J19" s="1"/>
  <c r="K19" s="1"/>
  <c r="D18"/>
  <c r="E18" s="1"/>
  <c r="D17"/>
  <c r="D15"/>
  <c r="E15" s="1"/>
  <c r="J15" s="1"/>
  <c r="K15" s="1"/>
  <c r="D14"/>
  <c r="E14" s="1"/>
  <c r="J14" s="1"/>
  <c r="K14" s="1"/>
  <c r="D13"/>
  <c r="D12"/>
  <c r="F4" i="14"/>
  <c r="C37"/>
  <c r="J29" i="9" l="1"/>
  <c r="K29" s="1"/>
  <c r="G29"/>
  <c r="H29" s="1"/>
  <c r="J33"/>
  <c r="K33" s="1"/>
  <c r="G33"/>
  <c r="H33" s="1"/>
  <c r="G26"/>
  <c r="H26" s="1"/>
  <c r="J26" s="1"/>
  <c r="K26" s="1"/>
  <c r="J18"/>
  <c r="K18" s="1"/>
  <c r="G18"/>
  <c r="H18" s="1"/>
  <c r="G32"/>
  <c r="H32" s="1"/>
  <c r="J32" s="1"/>
  <c r="K32" s="1"/>
  <c r="K25"/>
  <c r="K27"/>
  <c r="J21"/>
  <c r="K21" s="1"/>
  <c r="J28"/>
  <c r="K28" s="1"/>
  <c r="J30"/>
  <c r="K30" s="1"/>
  <c r="K16"/>
  <c r="O10" i="3"/>
  <c r="K36" i="9" l="1"/>
  <c r="C12" i="14"/>
  <c r="C15" s="1"/>
  <c r="C11"/>
  <c r="C10"/>
  <c r="C8"/>
  <c r="E4" i="13" s="1"/>
  <c r="C7" i="14"/>
  <c r="F38" l="1"/>
  <c r="Q38" s="1"/>
  <c r="E3" i="13"/>
  <c r="O10" s="1"/>
  <c r="W39" i="14"/>
  <c r="W40"/>
  <c r="W38"/>
  <c r="P39"/>
  <c r="P40"/>
  <c r="P38"/>
  <c r="I39"/>
  <c r="I40"/>
  <c r="I38"/>
  <c r="V38" a="1"/>
  <c r="V40" s="1"/>
  <c r="O38" a="1"/>
  <c r="O40" s="1"/>
  <c r="H38" a="1"/>
  <c r="H40" s="1"/>
  <c r="B15"/>
  <c r="B10" i="13"/>
  <c r="B38" i="14" s="1"/>
  <c r="D3" i="8"/>
  <c r="E3" s="1"/>
  <c r="F3" s="1"/>
  <c r="C42" i="2"/>
  <c r="C43"/>
  <c r="C44"/>
  <c r="C26"/>
  <c r="C27"/>
  <c r="C28"/>
  <c r="C10"/>
  <c r="C11"/>
  <c r="C12"/>
  <c r="B6" i="3"/>
  <c r="B7"/>
  <c r="B8"/>
  <c r="B9"/>
  <c r="B10"/>
  <c r="B11"/>
  <c r="B12"/>
  <c r="B13"/>
  <c r="B14"/>
  <c r="B15"/>
  <c r="B16"/>
  <c r="B5"/>
  <c r="B4" i="2"/>
  <c r="B20" s="1"/>
  <c r="B36" s="1"/>
  <c r="H41" i="14" l="1"/>
  <c r="R40"/>
  <c r="B11" i="13"/>
  <c r="Y40" i="14"/>
  <c r="Z40" s="1"/>
  <c r="AA40" s="1"/>
  <c r="K40"/>
  <c r="L40" s="1"/>
  <c r="M40" s="1"/>
  <c r="O41"/>
  <c r="V41"/>
  <c r="V38"/>
  <c r="V39"/>
  <c r="O38"/>
  <c r="O39"/>
  <c r="H38"/>
  <c r="K38" s="1"/>
  <c r="H39"/>
  <c r="W5" i="3"/>
  <c r="W6"/>
  <c r="W7"/>
  <c r="W8"/>
  <c r="W9"/>
  <c r="W10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V5"/>
  <c r="V6"/>
  <c r="V7"/>
  <c r="V8"/>
  <c r="V9"/>
  <c r="V10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U5"/>
  <c r="U6"/>
  <c r="U7"/>
  <c r="U8"/>
  <c r="U9"/>
  <c r="U1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T5"/>
  <c r="T6"/>
  <c r="T7"/>
  <c r="T8"/>
  <c r="T9"/>
  <c r="T10"/>
  <c r="T1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S5"/>
  <c r="S6"/>
  <c r="S7"/>
  <c r="S8"/>
  <c r="S9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S37"/>
  <c r="S38"/>
  <c r="S39"/>
  <c r="S40"/>
  <c r="R5"/>
  <c r="R6"/>
  <c r="R7"/>
  <c r="R8"/>
  <c r="R9"/>
  <c r="R10"/>
  <c r="R11"/>
  <c r="R12"/>
  <c r="R13"/>
  <c r="R14"/>
  <c r="R15"/>
  <c r="R16"/>
  <c r="R17"/>
  <c r="R18"/>
  <c r="R19"/>
  <c r="R20"/>
  <c r="R21"/>
  <c r="R22"/>
  <c r="R23"/>
  <c r="R24"/>
  <c r="R25"/>
  <c r="R26"/>
  <c r="R27"/>
  <c r="R28"/>
  <c r="R29"/>
  <c r="R30"/>
  <c r="R31"/>
  <c r="R32"/>
  <c r="R33"/>
  <c r="R34"/>
  <c r="R35"/>
  <c r="R36"/>
  <c r="R37"/>
  <c r="R38"/>
  <c r="R39"/>
  <c r="R40"/>
  <c r="Q5"/>
  <c r="Q6"/>
  <c r="Q7"/>
  <c r="Q8"/>
  <c r="Q9"/>
  <c r="Q10"/>
  <c r="X10" s="1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P5"/>
  <c r="Y5" s="1"/>
  <c r="P6"/>
  <c r="Y6" s="1"/>
  <c r="P7"/>
  <c r="Y7" s="1"/>
  <c r="P8"/>
  <c r="Y8" s="1"/>
  <c r="P9"/>
  <c r="Y9" s="1"/>
  <c r="P10"/>
  <c r="Y10" s="1"/>
  <c r="P11"/>
  <c r="Y11" s="1"/>
  <c r="P12"/>
  <c r="Y12" s="1"/>
  <c r="P13"/>
  <c r="Y13" s="1"/>
  <c r="P14"/>
  <c r="Y14" s="1"/>
  <c r="P15"/>
  <c r="Y15" s="1"/>
  <c r="P16"/>
  <c r="Y16" s="1"/>
  <c r="P17"/>
  <c r="Y17" s="1"/>
  <c r="P18"/>
  <c r="Y18" s="1"/>
  <c r="P19"/>
  <c r="Y19" s="1"/>
  <c r="P20"/>
  <c r="Y20" s="1"/>
  <c r="P21"/>
  <c r="Y21" s="1"/>
  <c r="P22"/>
  <c r="Y22" s="1"/>
  <c r="P23"/>
  <c r="Y23" s="1"/>
  <c r="P24"/>
  <c r="Y24" s="1"/>
  <c r="P25"/>
  <c r="Y25" s="1"/>
  <c r="P26"/>
  <c r="Y26" s="1"/>
  <c r="P27"/>
  <c r="Y27" s="1"/>
  <c r="P28"/>
  <c r="Y28" s="1"/>
  <c r="P29"/>
  <c r="Y29" s="1"/>
  <c r="P30"/>
  <c r="Y30" s="1"/>
  <c r="P31"/>
  <c r="Y31" s="1"/>
  <c r="P32"/>
  <c r="Y32" s="1"/>
  <c r="P33"/>
  <c r="Y33" s="1"/>
  <c r="P34"/>
  <c r="Y34" s="1"/>
  <c r="P35"/>
  <c r="Y35" s="1"/>
  <c r="P36"/>
  <c r="Y36" s="1"/>
  <c r="P37"/>
  <c r="Y37" s="1"/>
  <c r="P38"/>
  <c r="Y38" s="1"/>
  <c r="P39"/>
  <c r="Y39" s="1"/>
  <c r="P40"/>
  <c r="Y40" s="1"/>
  <c r="O5"/>
  <c r="X5" s="1"/>
  <c r="O6"/>
  <c r="X6" s="1"/>
  <c r="O7"/>
  <c r="X7" s="1"/>
  <c r="O8"/>
  <c r="X8" s="1"/>
  <c r="O9"/>
  <c r="X9" s="1"/>
  <c r="O11"/>
  <c r="X11" s="1"/>
  <c r="O12"/>
  <c r="X12" s="1"/>
  <c r="O13"/>
  <c r="X13" s="1"/>
  <c r="O14"/>
  <c r="O15"/>
  <c r="X15" s="1"/>
  <c r="O16"/>
  <c r="X16" s="1"/>
  <c r="O17"/>
  <c r="X17" s="1"/>
  <c r="O18"/>
  <c r="O19"/>
  <c r="X19" s="1"/>
  <c r="O20"/>
  <c r="X20" s="1"/>
  <c r="O21"/>
  <c r="X21" s="1"/>
  <c r="O22"/>
  <c r="O23"/>
  <c r="X23" s="1"/>
  <c r="O24"/>
  <c r="X24" s="1"/>
  <c r="O25"/>
  <c r="X25" s="1"/>
  <c r="O26"/>
  <c r="O27"/>
  <c r="X27" s="1"/>
  <c r="O28"/>
  <c r="X28" s="1"/>
  <c r="O29"/>
  <c r="X29" s="1"/>
  <c r="O30"/>
  <c r="O31"/>
  <c r="X31" s="1"/>
  <c r="O32"/>
  <c r="X32" s="1"/>
  <c r="O33"/>
  <c r="X33" s="1"/>
  <c r="O34"/>
  <c r="O35"/>
  <c r="X35" s="1"/>
  <c r="O36"/>
  <c r="X36" s="1"/>
  <c r="O37"/>
  <c r="X37" s="1"/>
  <c r="O38"/>
  <c r="O39"/>
  <c r="X39" s="1"/>
  <c r="O40"/>
  <c r="X40" s="1"/>
  <c r="L38" i="14" l="1"/>
  <c r="X38" i="3"/>
  <c r="X34"/>
  <c r="X30"/>
  <c r="X26"/>
  <c r="X22"/>
  <c r="X18"/>
  <c r="X14"/>
  <c r="H42" i="14"/>
  <c r="B12" i="13"/>
  <c r="D37" i="14" s="1"/>
  <c r="B39"/>
  <c r="R39"/>
  <c r="K39"/>
  <c r="L39" s="1"/>
  <c r="Y39"/>
  <c r="Z39" s="1"/>
  <c r="AA39" s="1"/>
  <c r="Y38"/>
  <c r="R38"/>
  <c r="S38" s="1"/>
  <c r="T38" s="1"/>
  <c r="O42"/>
  <c r="V42"/>
  <c r="C41" i="5"/>
  <c r="K5" i="2" s="1"/>
  <c r="C40" i="5"/>
  <c r="Q5" i="2" s="1"/>
  <c r="P10" i="13"/>
  <c r="O11"/>
  <c r="O12" s="1"/>
  <c r="O13" s="1"/>
  <c r="O14" s="1"/>
  <c r="O15" s="1"/>
  <c r="O16" s="1"/>
  <c r="O17" s="1"/>
  <c r="O18" s="1"/>
  <c r="O19" s="1"/>
  <c r="O20" s="1"/>
  <c r="O21" s="1"/>
  <c r="O22" s="1"/>
  <c r="O23" s="1"/>
  <c r="O24" s="1"/>
  <c r="O25" s="1"/>
  <c r="O26" s="1"/>
  <c r="O27" s="1"/>
  <c r="O28" s="1"/>
  <c r="O29" s="1"/>
  <c r="O30" s="1"/>
  <c r="O31" s="1"/>
  <c r="O32" s="1"/>
  <c r="O33" s="1"/>
  <c r="O34" s="1"/>
  <c r="O35" s="1"/>
  <c r="O36" s="1"/>
  <c r="O37" s="1"/>
  <c r="O38" s="1"/>
  <c r="O39" s="1"/>
  <c r="K10"/>
  <c r="M39" i="14" l="1"/>
  <c r="M38"/>
  <c r="C10" i="13" s="1"/>
  <c r="Z38" i="14"/>
  <c r="AA38" s="1"/>
  <c r="G10" i="13" s="1"/>
  <c r="F39" i="14"/>
  <c r="Q39" s="1"/>
  <c r="S39" s="1"/>
  <c r="T39" s="1"/>
  <c r="E10" i="13"/>
  <c r="B18" i="14"/>
  <c r="B40"/>
  <c r="F40" s="1"/>
  <c r="C18"/>
  <c r="B13" i="13"/>
  <c r="H43" i="14"/>
  <c r="V43"/>
  <c r="O43"/>
  <c r="L10" i="13"/>
  <c r="Q21" i="2"/>
  <c r="Q37"/>
  <c r="K21"/>
  <c r="K37"/>
  <c r="B18" i="3"/>
  <c r="B30" s="1"/>
  <c r="B17"/>
  <c r="B29" s="1"/>
  <c r="P12" i="13"/>
  <c r="P39"/>
  <c r="P38"/>
  <c r="P37"/>
  <c r="P36"/>
  <c r="P35"/>
  <c r="P34"/>
  <c r="P33"/>
  <c r="P32"/>
  <c r="P31"/>
  <c r="P30"/>
  <c r="P29"/>
  <c r="P28"/>
  <c r="P27"/>
  <c r="P26"/>
  <c r="P25"/>
  <c r="P24"/>
  <c r="P23"/>
  <c r="P22"/>
  <c r="P21"/>
  <c r="P20"/>
  <c r="P19"/>
  <c r="P18"/>
  <c r="P17"/>
  <c r="P16"/>
  <c r="P15"/>
  <c r="P14"/>
  <c r="P13"/>
  <c r="K11"/>
  <c r="P11"/>
  <c r="C11" l="1"/>
  <c r="E11"/>
  <c r="C40" i="14"/>
  <c r="D40" s="1"/>
  <c r="G11" i="13"/>
  <c r="Q40" i="14"/>
  <c r="B14" i="13"/>
  <c r="B41" i="14"/>
  <c r="H44"/>
  <c r="O44"/>
  <c r="V44"/>
  <c r="B19" i="3"/>
  <c r="B31" s="1"/>
  <c r="F10" i="13"/>
  <c r="L11"/>
  <c r="K12"/>
  <c r="K13" s="1"/>
  <c r="K14" s="1"/>
  <c r="K15" s="1"/>
  <c r="K16" s="1"/>
  <c r="K17" s="1"/>
  <c r="K18" s="1"/>
  <c r="K19" s="1"/>
  <c r="K20" s="1"/>
  <c r="K21" s="1"/>
  <c r="K22" s="1"/>
  <c r="K23" s="1"/>
  <c r="K24" s="1"/>
  <c r="K25" s="1"/>
  <c r="K26" s="1"/>
  <c r="K27" s="1"/>
  <c r="K28" s="1"/>
  <c r="K29" s="1"/>
  <c r="K30" s="1"/>
  <c r="K31" s="1"/>
  <c r="K32" s="1"/>
  <c r="K33" s="1"/>
  <c r="K34" s="1"/>
  <c r="K35" s="1"/>
  <c r="K36" s="1"/>
  <c r="K37" s="1"/>
  <c r="K38" s="1"/>
  <c r="K39" s="1"/>
  <c r="D10"/>
  <c r="H10"/>
  <c r="S40" i="14" l="1"/>
  <c r="T40" s="1"/>
  <c r="E12" i="13" s="1"/>
  <c r="C12"/>
  <c r="C41" i="14"/>
  <c r="F41"/>
  <c r="Q41" s="1"/>
  <c r="G12" i="13"/>
  <c r="F11"/>
  <c r="B15"/>
  <c r="B42" i="14"/>
  <c r="L31" i="13"/>
  <c r="H45" i="14"/>
  <c r="V45"/>
  <c r="O45"/>
  <c r="L17" i="13"/>
  <c r="L15"/>
  <c r="L34"/>
  <c r="L32"/>
  <c r="L37"/>
  <c r="L18"/>
  <c r="L28"/>
  <c r="L21"/>
  <c r="L14"/>
  <c r="L27"/>
  <c r="L16"/>
  <c r="L33"/>
  <c r="L30"/>
  <c r="B20" i="3"/>
  <c r="B32" s="1"/>
  <c r="L35" i="13"/>
  <c r="L19"/>
  <c r="L36"/>
  <c r="L20"/>
  <c r="L25"/>
  <c r="L38"/>
  <c r="L22"/>
  <c r="L39"/>
  <c r="L23"/>
  <c r="L12"/>
  <c r="L24"/>
  <c r="L29"/>
  <c r="L13"/>
  <c r="L26"/>
  <c r="D11"/>
  <c r="H11"/>
  <c r="D41" i="14" l="1"/>
  <c r="E41" s="1"/>
  <c r="P41" s="1"/>
  <c r="D12" i="13"/>
  <c r="C42" i="14"/>
  <c r="D42" s="1"/>
  <c r="E42" s="1"/>
  <c r="F42"/>
  <c r="Q42" s="1"/>
  <c r="H12" i="13"/>
  <c r="F12"/>
  <c r="B16"/>
  <c r="B43" i="14"/>
  <c r="H46"/>
  <c r="O46"/>
  <c r="V46"/>
  <c r="B21" i="3"/>
  <c r="B33" s="1"/>
  <c r="R41" i="14" l="1"/>
  <c r="S41" s="1"/>
  <c r="T41" s="1"/>
  <c r="E13" i="13" s="1"/>
  <c r="I41" i="14"/>
  <c r="W41"/>
  <c r="K41"/>
  <c r="Y41"/>
  <c r="R42"/>
  <c r="I42"/>
  <c r="W42"/>
  <c r="P42"/>
  <c r="C43"/>
  <c r="D43" s="1"/>
  <c r="F43"/>
  <c r="Q43" s="1"/>
  <c r="Y42"/>
  <c r="K42"/>
  <c r="B17" i="13"/>
  <c r="B44" i="14"/>
  <c r="H47"/>
  <c r="V47"/>
  <c r="O47"/>
  <c r="B22" i="3"/>
  <c r="B34" s="1"/>
  <c r="L41" i="14" l="1"/>
  <c r="M41" s="1"/>
  <c r="C13" i="13" s="1"/>
  <c r="D13" s="1"/>
  <c r="Z41" i="14"/>
  <c r="AA41" s="1"/>
  <c r="G13" i="13" s="1"/>
  <c r="H13" s="1"/>
  <c r="S42" i="14"/>
  <c r="T42" s="1"/>
  <c r="E14" i="13" s="1"/>
  <c r="E43" i="14"/>
  <c r="K43" s="1"/>
  <c r="L42"/>
  <c r="M42" s="1"/>
  <c r="C14" i="13" s="1"/>
  <c r="Z42" i="14"/>
  <c r="AA42" s="1"/>
  <c r="G14" i="13" s="1"/>
  <c r="C44" i="14"/>
  <c r="D44" s="1"/>
  <c r="E44" s="1"/>
  <c r="Y44" s="1"/>
  <c r="F44"/>
  <c r="Q44" s="1"/>
  <c r="F13" i="13"/>
  <c r="B18"/>
  <c r="B45" i="14"/>
  <c r="V48"/>
  <c r="H48"/>
  <c r="O48"/>
  <c r="B23" i="3"/>
  <c r="B35" s="1"/>
  <c r="R43" i="14" l="1"/>
  <c r="W43"/>
  <c r="Y43"/>
  <c r="P43"/>
  <c r="I43"/>
  <c r="F14" i="13"/>
  <c r="D14"/>
  <c r="P44" i="14"/>
  <c r="R44"/>
  <c r="K44"/>
  <c r="W44"/>
  <c r="H14" i="13"/>
  <c r="C45" i="14"/>
  <c r="D45" s="1"/>
  <c r="E45" s="1"/>
  <c r="I45" s="1"/>
  <c r="F45"/>
  <c r="Q45" s="1"/>
  <c r="I44"/>
  <c r="B19" i="13"/>
  <c r="B46" i="14"/>
  <c r="V49"/>
  <c r="O49"/>
  <c r="H49"/>
  <c r="B24" i="3"/>
  <c r="B36" s="1"/>
  <c r="S43" i="14" l="1"/>
  <c r="T43" s="1"/>
  <c r="E15" i="13" s="1"/>
  <c r="F15" s="1"/>
  <c r="Z43" i="14"/>
  <c r="AA43" s="1"/>
  <c r="G15" i="13" s="1"/>
  <c r="H15" s="1"/>
  <c r="S44" i="14"/>
  <c r="T44" s="1"/>
  <c r="E16" i="13" s="1"/>
  <c r="L43" i="14"/>
  <c r="M43" s="1"/>
  <c r="C15" i="13" s="1"/>
  <c r="L44" i="14"/>
  <c r="M44" s="1"/>
  <c r="C16" i="13" s="1"/>
  <c r="Z44" i="14"/>
  <c r="AA44" s="1"/>
  <c r="G16" i="13" s="1"/>
  <c r="K45" i="14"/>
  <c r="Y45"/>
  <c r="C46"/>
  <c r="D46" s="1"/>
  <c r="E46" s="1"/>
  <c r="F46"/>
  <c r="Q46" s="1"/>
  <c r="W45"/>
  <c r="R45"/>
  <c r="P45"/>
  <c r="B20" i="13"/>
  <c r="B47" i="14"/>
  <c r="V50"/>
  <c r="H50"/>
  <c r="O50"/>
  <c r="B25" i="3"/>
  <c r="B37" s="1"/>
  <c r="Z45" i="14" l="1"/>
  <c r="AA45" s="1"/>
  <c r="G17" i="13" s="1"/>
  <c r="L45" i="14"/>
  <c r="M45" s="1"/>
  <c r="C17" i="13" s="1"/>
  <c r="S45" i="14"/>
  <c r="T45" s="1"/>
  <c r="E17" i="13" s="1"/>
  <c r="W46" i="14"/>
  <c r="P46"/>
  <c r="H16" i="13"/>
  <c r="D15"/>
  <c r="D16"/>
  <c r="F16"/>
  <c r="I46" i="14"/>
  <c r="Y46"/>
  <c r="C47"/>
  <c r="D47" s="1"/>
  <c r="E47" s="1"/>
  <c r="I47" s="1"/>
  <c r="F47"/>
  <c r="Q47" s="1"/>
  <c r="K46"/>
  <c r="B21" i="13"/>
  <c r="B48" i="14"/>
  <c r="V51"/>
  <c r="O51"/>
  <c r="H51"/>
  <c r="B26" i="3"/>
  <c r="B38" s="1"/>
  <c r="R46" i="14" l="1"/>
  <c r="S46" s="1"/>
  <c r="T46" s="1"/>
  <c r="E18" i="13" s="1"/>
  <c r="L46" i="14"/>
  <c r="M46" s="1"/>
  <c r="C18" i="13" s="1"/>
  <c r="Z46" i="14"/>
  <c r="AA46" s="1"/>
  <c r="G18" i="13" s="1"/>
  <c r="D17"/>
  <c r="Y47" i="14"/>
  <c r="F17" i="13"/>
  <c r="K47" i="14"/>
  <c r="L47" s="1"/>
  <c r="P47"/>
  <c r="R47"/>
  <c r="W47"/>
  <c r="H17" i="13"/>
  <c r="C48" i="14"/>
  <c r="D48" s="1"/>
  <c r="E48" s="1"/>
  <c r="P48" s="1"/>
  <c r="F48"/>
  <c r="Q48" s="1"/>
  <c r="B22" i="13"/>
  <c r="B49" i="14"/>
  <c r="V52"/>
  <c r="H52"/>
  <c r="O52"/>
  <c r="B28" i="3"/>
  <c r="B40" s="1"/>
  <c r="B27"/>
  <c r="B39" s="1"/>
  <c r="H20" i="2"/>
  <c r="N4"/>
  <c r="H4"/>
  <c r="S47" i="14" l="1"/>
  <c r="T47" s="1"/>
  <c r="E19" i="13" s="1"/>
  <c r="M47" i="14"/>
  <c r="C19" i="13" s="1"/>
  <c r="Z47" i="14"/>
  <c r="AA47" s="1"/>
  <c r="G19" i="13" s="1"/>
  <c r="H18"/>
  <c r="D18"/>
  <c r="C49" i="14"/>
  <c r="D49" s="1"/>
  <c r="E49" s="1"/>
  <c r="P49" s="1"/>
  <c r="F49"/>
  <c r="Q49" s="1"/>
  <c r="R48"/>
  <c r="S48" s="1"/>
  <c r="Y48"/>
  <c r="W48"/>
  <c r="I48"/>
  <c r="F18" i="13"/>
  <c r="K48" i="14"/>
  <c r="B23" i="13"/>
  <c r="B50" i="14"/>
  <c r="O53"/>
  <c r="V53"/>
  <c r="H53"/>
  <c r="P10" i="2"/>
  <c r="P11"/>
  <c r="P12"/>
  <c r="P26"/>
  <c r="P27"/>
  <c r="P28"/>
  <c r="P43"/>
  <c r="P44"/>
  <c r="J10"/>
  <c r="J11"/>
  <c r="J12"/>
  <c r="J26"/>
  <c r="J43"/>
  <c r="P42"/>
  <c r="J42"/>
  <c r="J37" s="1"/>
  <c r="I37" s="1"/>
  <c r="J44"/>
  <c r="J27"/>
  <c r="J28"/>
  <c r="N36"/>
  <c r="H36"/>
  <c r="N20"/>
  <c r="T48" i="14" l="1"/>
  <c r="E20" i="13" s="1"/>
  <c r="L48" i="14"/>
  <c r="M48" s="1"/>
  <c r="C20" i="13" s="1"/>
  <c r="Z48" i="14"/>
  <c r="AA48" s="1"/>
  <c r="G20" i="13" s="1"/>
  <c r="J5" i="2"/>
  <c r="I5" s="1"/>
  <c r="L5" s="1"/>
  <c r="H19" i="13"/>
  <c r="D19"/>
  <c r="F19"/>
  <c r="I49" i="14"/>
  <c r="Y49"/>
  <c r="C50"/>
  <c r="D50" s="1"/>
  <c r="E50" s="1"/>
  <c r="W50" s="1"/>
  <c r="F50"/>
  <c r="Q50" s="1"/>
  <c r="K49"/>
  <c r="W49"/>
  <c r="R49"/>
  <c r="S49" s="1"/>
  <c r="B24" i="13"/>
  <c r="B51" i="14"/>
  <c r="O54"/>
  <c r="H54"/>
  <c r="V54"/>
  <c r="D28" i="2"/>
  <c r="D44"/>
  <c r="D27"/>
  <c r="P21"/>
  <c r="P29" s="1"/>
  <c r="D12"/>
  <c r="D26"/>
  <c r="J21"/>
  <c r="I21" s="1"/>
  <c r="D10"/>
  <c r="P5"/>
  <c r="O5" s="1"/>
  <c r="R5" s="1"/>
  <c r="D11"/>
  <c r="P37"/>
  <c r="P41" s="1"/>
  <c r="O41" s="1"/>
  <c r="D43"/>
  <c r="D42"/>
  <c r="L49" i="14" l="1"/>
  <c r="M49" s="1"/>
  <c r="C21" i="13" s="1"/>
  <c r="D21" s="1"/>
  <c r="T49" i="14"/>
  <c r="E21" i="13" s="1"/>
  <c r="Z49" i="14"/>
  <c r="AA49" s="1"/>
  <c r="G21" i="13" s="1"/>
  <c r="F20"/>
  <c r="H20"/>
  <c r="D20"/>
  <c r="K50" i="14"/>
  <c r="P50"/>
  <c r="I50"/>
  <c r="C51"/>
  <c r="D51" s="1"/>
  <c r="E51" s="1"/>
  <c r="Y51" s="1"/>
  <c r="F51"/>
  <c r="Q51" s="1"/>
  <c r="R50"/>
  <c r="Y50"/>
  <c r="B25" i="13"/>
  <c r="B52" i="14"/>
  <c r="O55"/>
  <c r="V55"/>
  <c r="H55"/>
  <c r="P9" i="2"/>
  <c r="O9" s="1"/>
  <c r="J23"/>
  <c r="D21"/>
  <c r="D37"/>
  <c r="D5"/>
  <c r="P46"/>
  <c r="O46" s="1"/>
  <c r="J48"/>
  <c r="P40"/>
  <c r="O40" s="1"/>
  <c r="P45"/>
  <c r="O45" s="1"/>
  <c r="P38"/>
  <c r="O38" s="1"/>
  <c r="P39"/>
  <c r="O39" s="1"/>
  <c r="O37"/>
  <c r="P15"/>
  <c r="O15" s="1"/>
  <c r="J24"/>
  <c r="J31"/>
  <c r="J6"/>
  <c r="J13"/>
  <c r="J32"/>
  <c r="P47"/>
  <c r="O47" s="1"/>
  <c r="J25"/>
  <c r="J46"/>
  <c r="J39"/>
  <c r="P48"/>
  <c r="O48" s="1"/>
  <c r="J9"/>
  <c r="P32"/>
  <c r="J30"/>
  <c r="P24"/>
  <c r="O24" s="1"/>
  <c r="J16"/>
  <c r="J14"/>
  <c r="O21"/>
  <c r="C21" s="1"/>
  <c r="P30"/>
  <c r="P25"/>
  <c r="O25" s="1"/>
  <c r="P7"/>
  <c r="O7" s="1"/>
  <c r="P22"/>
  <c r="O22" s="1"/>
  <c r="P31"/>
  <c r="P23"/>
  <c r="J29"/>
  <c r="D29" s="1"/>
  <c r="J22"/>
  <c r="J8"/>
  <c r="J7"/>
  <c r="J15"/>
  <c r="P16"/>
  <c r="O16" s="1"/>
  <c r="P14"/>
  <c r="P13"/>
  <c r="O13" s="1"/>
  <c r="P8"/>
  <c r="O8" s="1"/>
  <c r="P6"/>
  <c r="J38"/>
  <c r="J47"/>
  <c r="J45"/>
  <c r="J41"/>
  <c r="D41" s="1"/>
  <c r="J40"/>
  <c r="O29"/>
  <c r="Z50" i="14" l="1"/>
  <c r="AA50" s="1"/>
  <c r="G22" i="13" s="1"/>
  <c r="L50" i="14"/>
  <c r="M50" s="1"/>
  <c r="C22" i="13" s="1"/>
  <c r="S50" i="14"/>
  <c r="T50" s="1"/>
  <c r="E22" i="13" s="1"/>
  <c r="F21"/>
  <c r="H21"/>
  <c r="K51" i="14"/>
  <c r="R51"/>
  <c r="P51"/>
  <c r="C52"/>
  <c r="D52" s="1"/>
  <c r="E52" s="1"/>
  <c r="I52" s="1"/>
  <c r="F52"/>
  <c r="Q52" s="1"/>
  <c r="W51"/>
  <c r="I51"/>
  <c r="D22" i="2"/>
  <c r="B26" i="13"/>
  <c r="B53" i="14"/>
  <c r="V56"/>
  <c r="O56"/>
  <c r="H56"/>
  <c r="D40" i="2"/>
  <c r="D46"/>
  <c r="D47"/>
  <c r="D30"/>
  <c r="D39"/>
  <c r="D24"/>
  <c r="D14"/>
  <c r="D23"/>
  <c r="D13"/>
  <c r="D45"/>
  <c r="D15"/>
  <c r="D32"/>
  <c r="D8"/>
  <c r="D31"/>
  <c r="D48"/>
  <c r="D38"/>
  <c r="D7"/>
  <c r="D16"/>
  <c r="D9"/>
  <c r="D25"/>
  <c r="D6"/>
  <c r="I29"/>
  <c r="C29" s="1"/>
  <c r="I30"/>
  <c r="I39"/>
  <c r="I32"/>
  <c r="Q22"/>
  <c r="R22" s="1"/>
  <c r="I23"/>
  <c r="I22"/>
  <c r="C22" s="1"/>
  <c r="I31"/>
  <c r="I25"/>
  <c r="C25" s="1"/>
  <c r="C37"/>
  <c r="I38"/>
  <c r="C38" s="1"/>
  <c r="I24"/>
  <c r="C24" s="1"/>
  <c r="I48"/>
  <c r="C48" s="1"/>
  <c r="R37"/>
  <c r="L21"/>
  <c r="C5"/>
  <c r="K6"/>
  <c r="I7"/>
  <c r="I15"/>
  <c r="I16"/>
  <c r="I9"/>
  <c r="I6"/>
  <c r="I8"/>
  <c r="I14"/>
  <c r="I13"/>
  <c r="O23"/>
  <c r="I46"/>
  <c r="C46" s="1"/>
  <c r="O31"/>
  <c r="O32"/>
  <c r="O30"/>
  <c r="I45"/>
  <c r="C45" s="1"/>
  <c r="I41"/>
  <c r="C41" s="1"/>
  <c r="O6"/>
  <c r="O14"/>
  <c r="I40"/>
  <c r="C40" s="1"/>
  <c r="I47"/>
  <c r="C47" s="1"/>
  <c r="Q38"/>
  <c r="Q39" s="1"/>
  <c r="Q40" s="1"/>
  <c r="Q41" s="1"/>
  <c r="R41" s="1"/>
  <c r="K22"/>
  <c r="C39" l="1"/>
  <c r="S51" i="14"/>
  <c r="T51" s="1"/>
  <c r="E23" i="13" s="1"/>
  <c r="Z51" i="14"/>
  <c r="AA51" s="1"/>
  <c r="G23" i="13" s="1"/>
  <c r="L51" i="14"/>
  <c r="M51" s="1"/>
  <c r="C23" i="13" s="1"/>
  <c r="K52" i="14"/>
  <c r="L52" s="1"/>
  <c r="R52"/>
  <c r="D22" i="13"/>
  <c r="W52" i="14"/>
  <c r="Y52"/>
  <c r="P52"/>
  <c r="F22" i="13"/>
  <c r="C53" i="14"/>
  <c r="D53" s="1"/>
  <c r="E53" s="1"/>
  <c r="R53" s="1"/>
  <c r="F53"/>
  <c r="Q53" s="1"/>
  <c r="H22" i="13"/>
  <c r="B27"/>
  <c r="B54" i="14"/>
  <c r="O57"/>
  <c r="V57"/>
  <c r="H57"/>
  <c r="E22" i="2"/>
  <c r="F22" s="1"/>
  <c r="C32"/>
  <c r="C8"/>
  <c r="C15"/>
  <c r="C14"/>
  <c r="C16"/>
  <c r="C13"/>
  <c r="C9"/>
  <c r="C6"/>
  <c r="L6"/>
  <c r="C7"/>
  <c r="C31"/>
  <c r="C23"/>
  <c r="C30"/>
  <c r="Q23"/>
  <c r="Q24" s="1"/>
  <c r="E21"/>
  <c r="F21" s="1"/>
  <c r="E5"/>
  <c r="F5" s="1"/>
  <c r="L22"/>
  <c r="R21"/>
  <c r="R39"/>
  <c r="R38"/>
  <c r="R40"/>
  <c r="E37"/>
  <c r="L37"/>
  <c r="Q6"/>
  <c r="E6" s="1"/>
  <c r="K7"/>
  <c r="Q42"/>
  <c r="R42" s="1"/>
  <c r="K38"/>
  <c r="E38" s="1"/>
  <c r="K23"/>
  <c r="H23" i="13" l="1"/>
  <c r="S52" i="14"/>
  <c r="T52" s="1"/>
  <c r="E24" i="13" s="1"/>
  <c r="Z52" i="14"/>
  <c r="AA52" s="1"/>
  <c r="G24" i="13" s="1"/>
  <c r="M52" i="14"/>
  <c r="C24" i="13" s="1"/>
  <c r="F23"/>
  <c r="D23"/>
  <c r="K53" i="14"/>
  <c r="I53"/>
  <c r="Y53"/>
  <c r="P53"/>
  <c r="C54"/>
  <c r="D54" s="1"/>
  <c r="E54" s="1"/>
  <c r="I54" s="1"/>
  <c r="F54"/>
  <c r="Q54" s="1"/>
  <c r="W53"/>
  <c r="B28" i="13"/>
  <c r="B55" i="14"/>
  <c r="V58"/>
  <c r="O58"/>
  <c r="H58"/>
  <c r="E23" i="2"/>
  <c r="R6"/>
  <c r="F6"/>
  <c r="L7"/>
  <c r="R23"/>
  <c r="L23"/>
  <c r="F37"/>
  <c r="F38"/>
  <c r="L38"/>
  <c r="Q7"/>
  <c r="E7" s="1"/>
  <c r="F7" s="1"/>
  <c r="Q25"/>
  <c r="R24"/>
  <c r="K8"/>
  <c r="Q43"/>
  <c r="R43" s="1"/>
  <c r="K24"/>
  <c r="E24" s="1"/>
  <c r="K39"/>
  <c r="E39" l="1"/>
  <c r="L39"/>
  <c r="D24" i="13"/>
  <c r="L53" i="14"/>
  <c r="M53" s="1"/>
  <c r="C25" i="13" s="1"/>
  <c r="S53" i="14"/>
  <c r="T53" s="1"/>
  <c r="E25" i="13" s="1"/>
  <c r="Z53" i="14"/>
  <c r="AA53" s="1"/>
  <c r="G25" i="13" s="1"/>
  <c r="F24"/>
  <c r="H24"/>
  <c r="Y54" i="14"/>
  <c r="C55"/>
  <c r="D55" s="1"/>
  <c r="E55" s="1"/>
  <c r="W55" s="1"/>
  <c r="F55"/>
  <c r="Q55" s="1"/>
  <c r="P54"/>
  <c r="W54"/>
  <c r="R54"/>
  <c r="K54"/>
  <c r="L54" s="1"/>
  <c r="M54" s="1"/>
  <c r="B29" i="13"/>
  <c r="B56" i="14"/>
  <c r="V59"/>
  <c r="H59"/>
  <c r="O59"/>
  <c r="Q8" i="2"/>
  <c r="R8" s="1"/>
  <c r="R7"/>
  <c r="K9"/>
  <c r="K10" s="1"/>
  <c r="L8"/>
  <c r="L24"/>
  <c r="F24"/>
  <c r="F23"/>
  <c r="Q26"/>
  <c r="R25"/>
  <c r="Q44"/>
  <c r="R44" s="1"/>
  <c r="K40"/>
  <c r="E40" s="1"/>
  <c r="K25"/>
  <c r="E25" s="1"/>
  <c r="Z54" i="14" l="1"/>
  <c r="AA54" s="1"/>
  <c r="G26" i="13" s="1"/>
  <c r="S54" i="14"/>
  <c r="T54" s="1"/>
  <c r="E26" i="13" s="1"/>
  <c r="C26"/>
  <c r="F25"/>
  <c r="H25"/>
  <c r="D25"/>
  <c r="R55" i="14"/>
  <c r="Y55"/>
  <c r="P55"/>
  <c r="I55"/>
  <c r="C56"/>
  <c r="D56" s="1"/>
  <c r="E56" s="1"/>
  <c r="W56" s="1"/>
  <c r="F56"/>
  <c r="Q56" s="1"/>
  <c r="K55"/>
  <c r="B30" i="13"/>
  <c r="B57" i="14"/>
  <c r="V60"/>
  <c r="O60"/>
  <c r="H60"/>
  <c r="E8" i="2"/>
  <c r="F8" s="1"/>
  <c r="Q9"/>
  <c r="R9" s="1"/>
  <c r="L10"/>
  <c r="L9"/>
  <c r="L25"/>
  <c r="F25"/>
  <c r="F40"/>
  <c r="L40"/>
  <c r="F39"/>
  <c r="R26"/>
  <c r="Q27"/>
  <c r="Q45"/>
  <c r="R45" s="1"/>
  <c r="K26"/>
  <c r="E26" s="1"/>
  <c r="K11"/>
  <c r="K41"/>
  <c r="E41" s="1"/>
  <c r="L55" i="14" l="1"/>
  <c r="M55" s="1"/>
  <c r="C27" i="13" s="1"/>
  <c r="S55" i="14"/>
  <c r="T55" s="1"/>
  <c r="E27" i="13" s="1"/>
  <c r="F27" s="1"/>
  <c r="Z55" i="14"/>
  <c r="AA55" s="1"/>
  <c r="G27" i="13" s="1"/>
  <c r="D26"/>
  <c r="F26"/>
  <c r="H26"/>
  <c r="Y56" i="14"/>
  <c r="R56"/>
  <c r="K56"/>
  <c r="P56"/>
  <c r="I56"/>
  <c r="C57"/>
  <c r="D57" s="1"/>
  <c r="E57" s="1"/>
  <c r="I57" s="1"/>
  <c r="F57"/>
  <c r="Q57" s="1"/>
  <c r="B31" i="13"/>
  <c r="B58" i="14"/>
  <c r="V61"/>
  <c r="H61"/>
  <c r="O61"/>
  <c r="Q10" i="2"/>
  <c r="Q11" s="1"/>
  <c r="R11" s="1"/>
  <c r="E9"/>
  <c r="F9" s="1"/>
  <c r="L11"/>
  <c r="L26"/>
  <c r="F26"/>
  <c r="F41"/>
  <c r="L41"/>
  <c r="R27"/>
  <c r="Q28"/>
  <c r="Q46"/>
  <c r="R46" s="1"/>
  <c r="K27"/>
  <c r="E27" s="1"/>
  <c r="K42"/>
  <c r="E42" s="1"/>
  <c r="K12"/>
  <c r="H27" i="13" l="1"/>
  <c r="S56" i="14"/>
  <c r="T56" s="1"/>
  <c r="E28" i="13" s="1"/>
  <c r="F28" s="1"/>
  <c r="L56" i="14"/>
  <c r="M56" s="1"/>
  <c r="C28" i="13" s="1"/>
  <c r="Z56" i="14"/>
  <c r="AA56" s="1"/>
  <c r="G28" i="13" s="1"/>
  <c r="D27"/>
  <c r="K57" i="14"/>
  <c r="W57"/>
  <c r="C58"/>
  <c r="F58"/>
  <c r="Q58" s="1"/>
  <c r="Y57"/>
  <c r="R57"/>
  <c r="P57"/>
  <c r="B32" i="13"/>
  <c r="B59" i="14"/>
  <c r="O62"/>
  <c r="V62"/>
  <c r="H62"/>
  <c r="R10" i="2"/>
  <c r="E10"/>
  <c r="F10" s="1"/>
  <c r="E11"/>
  <c r="F11" s="1"/>
  <c r="L12"/>
  <c r="L27"/>
  <c r="F27"/>
  <c r="F42"/>
  <c r="L42"/>
  <c r="R28"/>
  <c r="Q29"/>
  <c r="Q12"/>
  <c r="R12" s="1"/>
  <c r="Q47"/>
  <c r="R47" s="1"/>
  <c r="K13"/>
  <c r="K43"/>
  <c r="E43" s="1"/>
  <c r="K28"/>
  <c r="E28" s="1"/>
  <c r="C19" i="14" l="1"/>
  <c r="C59" s="1"/>
  <c r="D59" s="1"/>
  <c r="E59" s="1"/>
  <c r="L57"/>
  <c r="M57" s="1"/>
  <c r="C29" i="13" s="1"/>
  <c r="Z57" i="14"/>
  <c r="AA57" s="1"/>
  <c r="G29" i="13" s="1"/>
  <c r="S57" i="14"/>
  <c r="T57" s="1"/>
  <c r="E29" i="13" s="1"/>
  <c r="H28"/>
  <c r="D58" i="14"/>
  <c r="E58" s="1"/>
  <c r="I58" s="1"/>
  <c r="D28" i="13"/>
  <c r="F59" i="14"/>
  <c r="Q59" s="1"/>
  <c r="B33" i="13"/>
  <c r="B60" i="14"/>
  <c r="O63"/>
  <c r="H63"/>
  <c r="V63"/>
  <c r="E12" i="2"/>
  <c r="F12" s="1"/>
  <c r="L13"/>
  <c r="L28"/>
  <c r="F28"/>
  <c r="F43"/>
  <c r="L43"/>
  <c r="Q13"/>
  <c r="R13" s="1"/>
  <c r="R29"/>
  <c r="Q30"/>
  <c r="Q48"/>
  <c r="K14"/>
  <c r="K29"/>
  <c r="E29" s="1"/>
  <c r="K44"/>
  <c r="E44" s="1"/>
  <c r="D29" i="13" l="1"/>
  <c r="H29"/>
  <c r="W58" i="14"/>
  <c r="R58"/>
  <c r="K58"/>
  <c r="L58" s="1"/>
  <c r="M58" s="1"/>
  <c r="P58"/>
  <c r="Y58"/>
  <c r="F29" i="13"/>
  <c r="C60" i="14"/>
  <c r="F60"/>
  <c r="Q60" s="1"/>
  <c r="B34" i="13"/>
  <c r="B61" i="14"/>
  <c r="W59"/>
  <c r="P59"/>
  <c r="I59"/>
  <c r="R59"/>
  <c r="Y59"/>
  <c r="K59"/>
  <c r="O64"/>
  <c r="V64"/>
  <c r="H64"/>
  <c r="E13" i="2"/>
  <c r="F13" s="1"/>
  <c r="L14"/>
  <c r="L29"/>
  <c r="F29"/>
  <c r="R48"/>
  <c r="F44"/>
  <c r="L44"/>
  <c r="R30"/>
  <c r="Q31"/>
  <c r="Q14"/>
  <c r="R14" s="1"/>
  <c r="K45"/>
  <c r="E45" s="1"/>
  <c r="K30"/>
  <c r="E30" s="1"/>
  <c r="K15"/>
  <c r="C61" i="14" l="1"/>
  <c r="D61" s="1"/>
  <c r="E61" s="1"/>
  <c r="D60"/>
  <c r="E60" s="1"/>
  <c r="L59"/>
  <c r="M59" s="1"/>
  <c r="C31" i="13" s="1"/>
  <c r="Z59" i="14"/>
  <c r="AA59" s="1"/>
  <c r="G31" i="13" s="1"/>
  <c r="S58" i="14"/>
  <c r="T58" s="1"/>
  <c r="E30" i="13" s="1"/>
  <c r="S59" i="14"/>
  <c r="T59" s="1"/>
  <c r="E31" i="13" s="1"/>
  <c r="Z58" i="14"/>
  <c r="AA58" s="1"/>
  <c r="G30" i="13" s="1"/>
  <c r="H30" s="1"/>
  <c r="C30"/>
  <c r="F61" i="14"/>
  <c r="Q61" s="1"/>
  <c r="I60"/>
  <c r="B35" i="13"/>
  <c r="B62" i="14"/>
  <c r="H65"/>
  <c r="O65"/>
  <c r="V65"/>
  <c r="E14" i="2"/>
  <c r="F14" s="1"/>
  <c r="L15"/>
  <c r="F30"/>
  <c r="L30"/>
  <c r="F45"/>
  <c r="L45"/>
  <c r="Q15"/>
  <c r="R15" s="1"/>
  <c r="R31"/>
  <c r="Q32"/>
  <c r="K16"/>
  <c r="K46"/>
  <c r="E46" s="1"/>
  <c r="K31"/>
  <c r="E31" s="1"/>
  <c r="C62" i="14" l="1"/>
  <c r="D62" s="1"/>
  <c r="E62" s="1"/>
  <c r="D30" i="13"/>
  <c r="F31"/>
  <c r="F30"/>
  <c r="Y60" i="14"/>
  <c r="P60"/>
  <c r="R60"/>
  <c r="W60"/>
  <c r="K60"/>
  <c r="F62"/>
  <c r="Q62" s="1"/>
  <c r="D31" i="13"/>
  <c r="H31"/>
  <c r="B36"/>
  <c r="B63" i="14"/>
  <c r="W61"/>
  <c r="P61"/>
  <c r="I61"/>
  <c r="R61"/>
  <c r="Y61"/>
  <c r="K61"/>
  <c r="V66"/>
  <c r="H66"/>
  <c r="O66"/>
  <c r="E15" i="2"/>
  <c r="F15" s="1"/>
  <c r="L16"/>
  <c r="L31"/>
  <c r="F31"/>
  <c r="F46"/>
  <c r="L46"/>
  <c r="R32"/>
  <c r="Q16"/>
  <c r="R16" s="1"/>
  <c r="K47"/>
  <c r="E47" s="1"/>
  <c r="K32"/>
  <c r="E32" s="1"/>
  <c r="C63" i="14" l="1"/>
  <c r="D63" s="1"/>
  <c r="E63" s="1"/>
  <c r="L61"/>
  <c r="M61" s="1"/>
  <c r="C33" i="13" s="1"/>
  <c r="Z61" i="14"/>
  <c r="AA61" s="1"/>
  <c r="G33" i="13" s="1"/>
  <c r="L60" i="14"/>
  <c r="M60" s="1"/>
  <c r="C32" i="13" s="1"/>
  <c r="S60" i="14"/>
  <c r="T60" s="1"/>
  <c r="E32" i="13" s="1"/>
  <c r="S61" i="14"/>
  <c r="T61" s="1"/>
  <c r="E33" i="13" s="1"/>
  <c r="Z60" i="14"/>
  <c r="AA60" s="1"/>
  <c r="G32" i="13" s="1"/>
  <c r="F63" i="14"/>
  <c r="Q63" s="1"/>
  <c r="B37" i="13"/>
  <c r="B64" i="14"/>
  <c r="W62"/>
  <c r="I62"/>
  <c r="P62"/>
  <c r="K62"/>
  <c r="R62"/>
  <c r="Y62"/>
  <c r="V67"/>
  <c r="O67"/>
  <c r="H67"/>
  <c r="E16" i="2"/>
  <c r="F16" s="1"/>
  <c r="L32"/>
  <c r="F47"/>
  <c r="L47"/>
  <c r="K48"/>
  <c r="E48" s="1"/>
  <c r="C64" i="14" l="1"/>
  <c r="D64" s="1"/>
  <c r="E64" s="1"/>
  <c r="L62"/>
  <c r="M62" s="1"/>
  <c r="C34" i="13" s="1"/>
  <c r="Z62" i="14"/>
  <c r="AA62" s="1"/>
  <c r="G34" i="13" s="1"/>
  <c r="S62" i="14"/>
  <c r="T62" s="1"/>
  <c r="E34" i="13" s="1"/>
  <c r="D32"/>
  <c r="F32"/>
  <c r="D33"/>
  <c r="H32"/>
  <c r="F64" i="14"/>
  <c r="Q64" s="1"/>
  <c r="H33" i="13"/>
  <c r="W63" i="14"/>
  <c r="I63"/>
  <c r="P63"/>
  <c r="Y63"/>
  <c r="R63"/>
  <c r="K63"/>
  <c r="B38" i="13"/>
  <c r="B65" i="14"/>
  <c r="F33" i="13"/>
  <c r="F32" i="2"/>
  <c r="L48"/>
  <c r="C65" i="14" l="1"/>
  <c r="C66" s="1"/>
  <c r="Z63"/>
  <c r="AA63" s="1"/>
  <c r="G35" i="13" s="1"/>
  <c r="S63" i="14"/>
  <c r="T63" s="1"/>
  <c r="E35" i="13" s="1"/>
  <c r="L63" i="14"/>
  <c r="M63" s="1"/>
  <c r="C35" i="13" s="1"/>
  <c r="H34"/>
  <c r="F65" i="14"/>
  <c r="Q65" s="1"/>
  <c r="D34" i="13"/>
  <c r="F34"/>
  <c r="B39"/>
  <c r="B66" i="14"/>
  <c r="W64"/>
  <c r="I64"/>
  <c r="P64"/>
  <c r="R64"/>
  <c r="K64"/>
  <c r="Y64"/>
  <c r="F48" i="2"/>
  <c r="D65" i="14" l="1"/>
  <c r="E65" s="1"/>
  <c r="W65" s="1"/>
  <c r="L64"/>
  <c r="M64" s="1"/>
  <c r="C36" i="13" s="1"/>
  <c r="Z64" i="14"/>
  <c r="AA64" s="1"/>
  <c r="G36" i="13" s="1"/>
  <c r="S64" i="14"/>
  <c r="T64" s="1"/>
  <c r="E36" i="13" s="1"/>
  <c r="H35"/>
  <c r="F66" i="14"/>
  <c r="Q66" s="1"/>
  <c r="D35" i="13"/>
  <c r="F35"/>
  <c r="B67" i="14"/>
  <c r="D66"/>
  <c r="E66" s="1"/>
  <c r="C67"/>
  <c r="D67" s="1"/>
  <c r="Y65" l="1"/>
  <c r="Z65" s="1"/>
  <c r="AA65" s="1"/>
  <c r="G37" i="13" s="1"/>
  <c r="P65" i="14"/>
  <c r="I65"/>
  <c r="K65"/>
  <c r="R65"/>
  <c r="F67"/>
  <c r="Q67" s="1"/>
  <c r="D36" i="13"/>
  <c r="W66" i="14"/>
  <c r="P66"/>
  <c r="I66"/>
  <c r="R66"/>
  <c r="Y66"/>
  <c r="K66"/>
  <c r="F36" i="13"/>
  <c r="H36"/>
  <c r="E67" i="14"/>
  <c r="L65" l="1"/>
  <c r="M65" s="1"/>
  <c r="C37" i="13" s="1"/>
  <c r="D37" s="1"/>
  <c r="S65" i="14"/>
  <c r="T65" s="1"/>
  <c r="E37" i="13" s="1"/>
  <c r="F37" s="1"/>
  <c r="S66" i="14"/>
  <c r="T66" s="1"/>
  <c r="E38" i="13" s="1"/>
  <c r="L66" i="14"/>
  <c r="M66" s="1"/>
  <c r="C38" i="13" s="1"/>
  <c r="Z66" i="14"/>
  <c r="AA66" s="1"/>
  <c r="G38" i="13" s="1"/>
  <c r="H37"/>
  <c r="W67" i="14"/>
  <c r="I67"/>
  <c r="P67"/>
  <c r="R67"/>
  <c r="K67"/>
  <c r="Y67"/>
  <c r="L67" l="1"/>
  <c r="M67" s="1"/>
  <c r="C39" i="13" s="1"/>
  <c r="S67" i="14"/>
  <c r="T67" s="1"/>
  <c r="E39" i="13" s="1"/>
  <c r="Z67" i="14"/>
  <c r="AA67" s="1"/>
  <c r="G39" i="13" s="1"/>
  <c r="D38"/>
  <c r="F38"/>
  <c r="H38"/>
  <c r="D39" l="1"/>
  <c r="H39"/>
  <c r="F39"/>
</calcChain>
</file>

<file path=xl/comments1.xml><?xml version="1.0" encoding="utf-8"?>
<comments xmlns="http://schemas.openxmlformats.org/spreadsheetml/2006/main">
  <authors>
    <author>Haque, Mehrin</author>
  </authors>
  <commentList>
    <comment ref="H35" authorId="0">
      <text>
        <r>
          <rPr>
            <b/>
            <sz val="9"/>
            <color indexed="81"/>
            <rFont val="Tahoma"/>
            <family val="2"/>
          </rPr>
          <t xml:space="preserve">Excludes fixed component of Sewer charge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5" authorId="0">
      <text>
        <r>
          <rPr>
            <sz val="9"/>
            <color indexed="81"/>
            <rFont val="Tahoma"/>
            <family val="2"/>
          </rPr>
          <t xml:space="preserve">Water main replacement levy only for the Consumption Component (excludes fixed component)
</t>
        </r>
      </text>
    </comment>
    <comment ref="J35" authorId="0">
      <text>
        <r>
          <rPr>
            <sz val="9"/>
            <color indexed="81"/>
            <rFont val="Tahoma"/>
            <family val="2"/>
          </rPr>
          <t xml:space="preserve">Excludes fixed component of Sewer charge
</t>
        </r>
      </text>
    </comment>
  </commentList>
</comments>
</file>

<file path=xl/comments2.xml><?xml version="1.0" encoding="utf-8"?>
<comments xmlns="http://schemas.openxmlformats.org/spreadsheetml/2006/main">
  <authors>
    <author>Buan, Eric</author>
  </authors>
  <commentList>
    <comment ref="F2" authorId="0">
      <text>
        <r>
          <rPr>
            <b/>
            <sz val="9"/>
            <color indexed="81"/>
            <rFont val="Tahoma"/>
            <family val="2"/>
          </rPr>
          <t>Escalators are not the Dawn/AECO weighted commodity price for a given year. Rather, an escalator is calculated for year X by taking the difference in the Dawn/AECO-weighted commodity price between year 4 of the avoided cost table and year X and adjusting this value for inflation. The long-term commodity price escalators are then layered onto the avoided commodity costs modeled by SENDOUT.</t>
        </r>
      </text>
    </comment>
    <comment ref="C10" authorId="0">
      <text>
        <r>
          <rPr>
            <b/>
            <sz val="9"/>
            <color indexed="81"/>
            <rFont val="Tahoma"/>
            <family val="2"/>
          </rPr>
          <t>Buan, Eric:</t>
        </r>
        <r>
          <rPr>
            <sz val="9"/>
            <color indexed="81"/>
            <rFont val="Tahoma"/>
            <family val="2"/>
          </rPr>
          <t xml:space="preserve">
How many CDN dollars do you get for one USD</t>
        </r>
      </text>
    </comment>
    <comment ref="C14" authorId="0">
      <text>
        <r>
          <rPr>
            <b/>
            <sz val="9"/>
            <color indexed="81"/>
            <rFont val="Tahoma"/>
            <family val="2"/>
          </rPr>
          <t>As per ICF Report Avoided Cost study findings, avoided fuel use and losses typically account for about 0.153% (i.e. approximately one sixth of a percent) of the total natural gas throughput on the system.</t>
        </r>
      </text>
    </comment>
    <comment ref="C15" authorId="0">
      <text>
        <r>
          <rPr>
            <b/>
            <sz val="9"/>
            <color indexed="81"/>
            <rFont val="Tahoma"/>
            <family val="2"/>
          </rPr>
          <t>As per the ICF Avoided Cost study, a DSM program targeting weather sensitive load will reduce the requirement for storage capacity by about 3 GJs for every 10 GJ of demand reduction. At a storage cost of $0.19 per GJ, each GJ reduction in demand attributed to a weather sensitive DSM program would save $0.06 per GJ, or $0.0022 per m3.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Used to calculate long-term commodity price escalators. Each annual escalator is estimated as being 80% of the commodity price at Dawn and 20% of the commodity price at AECO.</t>
        </r>
      </text>
    </comment>
  </commentList>
</comments>
</file>

<file path=xl/comments3.xml><?xml version="1.0" encoding="utf-8"?>
<comments xmlns="http://schemas.openxmlformats.org/spreadsheetml/2006/main">
  <authors>
    <author>Buan, Eric</author>
  </authors>
  <commentList>
    <comment ref="O10" authorId="0">
      <text>
        <r>
          <rPr>
            <b/>
            <sz val="9"/>
            <color indexed="81"/>
            <rFont val="Tahoma"/>
            <family val="2"/>
          </rPr>
          <t>Buan, Eric:</t>
        </r>
        <r>
          <rPr>
            <sz val="9"/>
            <color indexed="81"/>
            <rFont val="Tahoma"/>
            <family val="2"/>
          </rPr>
          <t xml:space="preserve">
http://www.ieso.ca/imoweb/pubs/marketReports/monthly/2014Sep.pdf
September 2014 report</t>
        </r>
      </text>
    </comment>
  </commentList>
</comments>
</file>

<file path=xl/sharedStrings.xml><?xml version="1.0" encoding="utf-8"?>
<sst xmlns="http://schemas.openxmlformats.org/spreadsheetml/2006/main" count="397" uniqueCount="142">
  <si>
    <t>Industrial</t>
  </si>
  <si>
    <t>South</t>
  </si>
  <si>
    <t>North</t>
  </si>
  <si>
    <t>TOTALS</t>
  </si>
  <si>
    <t>SOUTH</t>
  </si>
  <si>
    <t>NORTH</t>
  </si>
  <si>
    <t>Total Volumes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</si>
  <si>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</si>
  <si>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</si>
  <si>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</si>
  <si>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</si>
  <si>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</si>
  <si>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</si>
  <si>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</si>
  <si>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</si>
  <si>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</si>
  <si>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</si>
  <si>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</si>
  <si>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</si>
  <si>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t>10</t>
    </r>
    <r>
      <rPr>
        <b/>
        <vertAlign val="superscript"/>
        <sz val="10"/>
        <rFont val="Arial"/>
        <family val="2"/>
      </rPr>
      <t>3</t>
    </r>
    <r>
      <rPr>
        <b/>
        <sz val="10"/>
        <rFont val="Arial"/>
        <family val="2"/>
      </rPr>
      <t>m</t>
    </r>
    <r>
      <rPr>
        <b/>
        <vertAlign val="superscript"/>
        <sz val="10"/>
        <rFont val="Arial"/>
        <family val="2"/>
      </rPr>
      <t>3</t>
    </r>
  </si>
  <si>
    <t>Res 01</t>
  </si>
  <si>
    <t>Comm 01</t>
  </si>
  <si>
    <t>Comm 10</t>
  </si>
  <si>
    <t>Ind 10</t>
  </si>
  <si>
    <t>Comm M1</t>
  </si>
  <si>
    <t>Comm M2</t>
  </si>
  <si>
    <t>Ind M1</t>
  </si>
  <si>
    <t>Ind M2</t>
  </si>
  <si>
    <t>M1 South Commercial</t>
  </si>
  <si>
    <t>M2 South Commercial</t>
  </si>
  <si>
    <t>M1 South Industrial</t>
  </si>
  <si>
    <t>M2 South Industrial</t>
  </si>
  <si>
    <t>M4 South Industrial</t>
  </si>
  <si>
    <t>M5 South Industrial</t>
  </si>
  <si>
    <t>M7 South Industrial</t>
  </si>
  <si>
    <t>T1 South Industrial</t>
  </si>
  <si>
    <t>South Total</t>
  </si>
  <si>
    <t>01 North Residential</t>
  </si>
  <si>
    <t>01 North Commercial</t>
  </si>
  <si>
    <t>10 North Commercial</t>
  </si>
  <si>
    <t>10 North Industrial</t>
  </si>
  <si>
    <t>20 North Industrial</t>
  </si>
  <si>
    <t>100 North Industrial</t>
  </si>
  <si>
    <t>North Total</t>
  </si>
  <si>
    <t>T2 South Industrial</t>
  </si>
  <si>
    <t>Inflation Factor</t>
  </si>
  <si>
    <t>Discount Rate</t>
  </si>
  <si>
    <t>Gas Avoided Costs</t>
  </si>
  <si>
    <t>Water Avoided Costs</t>
  </si>
  <si>
    <t>Electricity Avoided Costs</t>
  </si>
  <si>
    <t>Baseload (m3)</t>
  </si>
  <si>
    <t>Weather Sensitive (m3)</t>
  </si>
  <si>
    <t>Rate</t>
  </si>
  <si>
    <t>NPV</t>
  </si>
  <si>
    <t>2013 RESIDENTIAL WATER &amp; WASTEWATER RATES</t>
  </si>
  <si>
    <t>VARIABLE CHARGES, BASED ON MONTHLY CONSUMPTION OF:</t>
  </si>
  <si>
    <t>m3</t>
  </si>
  <si>
    <t>CITY</t>
  </si>
  <si>
    <t>m3 PER TIER</t>
  </si>
  <si>
    <t>VARIABLE CHARGES</t>
  </si>
  <si>
    <t>TOTAL VARIABLE COST</t>
  </si>
  <si>
    <t>TOTAL VARIABLE COST/m3</t>
  </si>
  <si>
    <t>WATER</t>
  </si>
  <si>
    <t>WASTEWATER</t>
  </si>
  <si>
    <t>OTHER VARIABLE COSTS</t>
  </si>
  <si>
    <t>RATE ($)</t>
  </si>
  <si>
    <t xml:space="preserve">Cost </t>
  </si>
  <si>
    <t xml:space="preserve">TOTAL </t>
  </si>
  <si>
    <t>Rate ($) or % of Water Charge</t>
  </si>
  <si>
    <t>Burlington</t>
  </si>
  <si>
    <t xml:space="preserve">Cambridge </t>
  </si>
  <si>
    <t xml:space="preserve">Chatham </t>
  </si>
  <si>
    <t>Halton Hills</t>
  </si>
  <si>
    <t>SAME AS BURLINGTON</t>
  </si>
  <si>
    <t xml:space="preserve">Hamilton </t>
  </si>
  <si>
    <t>Kingston</t>
  </si>
  <si>
    <t>London</t>
  </si>
  <si>
    <t>Milton</t>
  </si>
  <si>
    <t>North Bay</t>
  </si>
  <si>
    <t xml:space="preserve">Oakville </t>
  </si>
  <si>
    <t xml:space="preserve">Orillia </t>
  </si>
  <si>
    <t>Sarnia</t>
  </si>
  <si>
    <t xml:space="preserve">Sault Ste Marie </t>
  </si>
  <si>
    <t>Sudbury</t>
  </si>
  <si>
    <t xml:space="preserve">Thunder Bay </t>
  </si>
  <si>
    <t xml:space="preserve">Waterloo </t>
  </si>
  <si>
    <t>Summary by QRAM Rate Class</t>
  </si>
  <si>
    <t>Net Annual Natural Gas Savings (m3) w RR</t>
  </si>
  <si>
    <t>M1 South Residential</t>
  </si>
  <si>
    <t>Res M1</t>
  </si>
  <si>
    <t>What is year one of the avoided costs table</t>
  </si>
  <si>
    <t>Total DSM volumes: 10m³ m³</t>
  </si>
  <si>
    <t>AECO</t>
  </si>
  <si>
    <t>U.S. $ to Canadian $</t>
  </si>
  <si>
    <t>MMBtu to M3</t>
  </si>
  <si>
    <t>Dawn</t>
  </si>
  <si>
    <t>Escalator 2035 - 2043</t>
  </si>
  <si>
    <t>Avoided Storage Costs</t>
  </si>
  <si>
    <t>Avoided Fuel Losses (%)</t>
  </si>
  <si>
    <t>Res/Com Baseload ($/m3)</t>
  </si>
  <si>
    <t>Res/Com Weather Sensitive ($/m3)</t>
  </si>
  <si>
    <t>Industrial Baseload ($/m3)</t>
  </si>
  <si>
    <t>All Load profiles</t>
  </si>
  <si>
    <t>Year$ of long-term price forecasting</t>
  </si>
  <si>
    <t>GJ/m3 natural gas</t>
  </si>
  <si>
    <t>Percentage of commodity purchases</t>
  </si>
  <si>
    <t xml:space="preserve"> </t>
  </si>
  <si>
    <t>From last post-audit audit tool (2013)</t>
  </si>
  <si>
    <t>Avoided variable commodity, storage and transmission pipeline costs</t>
  </si>
  <si>
    <t>Avoided Storage Requirement Costs</t>
  </si>
  <si>
    <t>Avoided Fuel Use and Losses</t>
  </si>
  <si>
    <t>Avoided T&amp;D Costs</t>
  </si>
  <si>
    <t>Total Avoided Costs</t>
  </si>
  <si>
    <t>Avoided T&amp;D rate rider</t>
  </si>
  <si>
    <t>USD to CAD rate</t>
  </si>
  <si>
    <t>Monthly % distribution of DSM volumes for Residential and Commercial rate classes</t>
  </si>
  <si>
    <t>Seasonally Adj Unit Avoided Gas Cost ($/10 3m3)</t>
  </si>
  <si>
    <t>Long-Term Avoided Commodity Price Escalators</t>
  </si>
  <si>
    <t>Long-Term Commodity Price Escalators</t>
  </si>
  <si>
    <t>Used to set up avoided cost table</t>
  </si>
  <si>
    <t>Used for inflation</t>
  </si>
  <si>
    <t>Used to calculate NPV</t>
  </si>
  <si>
    <t>Conversion rate</t>
  </si>
  <si>
    <t>Used to generate annual load decrements for SENDOUT modeling</t>
  </si>
  <si>
    <t>Used to divide annual DSM volumes in each rate class into monthly volumes. Monthly volumes used to calculate load decrements for SENDOUT modeling.</t>
  </si>
  <si>
    <t>Monthly load decrements used as inputs to SENDOUT modeling</t>
  </si>
  <si>
    <t>SENDOUT Output: per unit ($/m3) avoided variable commodity, storage and transmission pipeline costs for each of three load profiles</t>
  </si>
  <si>
    <t>ICF International’s ‘Base Case North American natural gas price forecast for Dawn and AECO from the October 2014 edition of the ICF Strategic’. Used to calculate long-term commodity price escalators.</t>
  </si>
  <si>
    <t>Average $/m3</t>
  </si>
  <si>
    <t>Windsor</t>
  </si>
  <si>
    <t>$/m3 water savings</t>
  </si>
  <si>
    <t>$/kWh electricity savings</t>
  </si>
  <si>
    <t>Final avoided costs</t>
  </si>
  <si>
    <t>Residential/Commercial</t>
  </si>
  <si>
    <t>Calculation of average water rates for avoided water costs ($/m3 water)</t>
  </si>
  <si>
    <t>Res/Com Weather-Sensitive</t>
  </si>
  <si>
    <t>Res/Com Baseload</t>
  </si>
  <si>
    <t>Industrial Baseload</t>
  </si>
  <si>
    <t>Decrement in Res/Com baseload</t>
  </si>
  <si>
    <t>Decrement in Res/Com weather-sensitive</t>
  </si>
  <si>
    <t>Decrement in Industrial baseload</t>
  </si>
  <si>
    <t>©2014 ICF International</t>
  </si>
</sst>
</file>

<file path=xl/styles.xml><?xml version="1.0" encoding="utf-8"?>
<styleSheet xmlns="http://schemas.openxmlformats.org/spreadsheetml/2006/main">
  <numFmts count="1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_-;\-* #,##0.0_-;_-* &quot;-&quot;??_-;_-@_-"/>
    <numFmt numFmtId="165" formatCode="#,##0.0"/>
    <numFmt numFmtId="166" formatCode="0.0"/>
    <numFmt numFmtId="167" formatCode="0.0%"/>
    <numFmt numFmtId="168" formatCode="#,##0_ ;[Red]\-#,##0\ "/>
    <numFmt numFmtId="169" formatCode="#,##0.00000"/>
    <numFmt numFmtId="170" formatCode="0.0000"/>
    <numFmt numFmtId="171" formatCode="_(* #,##0.00_);_(* \(#,##0.00\);_(* &quot;-&quot;??_);_(@_)"/>
    <numFmt numFmtId="172" formatCode="_(* #,##0.0000_);_(* \(#,##0.0000\);_(* &quot;-&quot;??_);_(@_)"/>
    <numFmt numFmtId="173" formatCode="0.00000"/>
    <numFmt numFmtId="174" formatCode="0.000"/>
    <numFmt numFmtId="175" formatCode="&quot;$&quot;#,##0.0000"/>
    <numFmt numFmtId="176" formatCode="0.000%"/>
    <numFmt numFmtId="177" formatCode="[&lt;=9999999]###\-####;###\-###\-####"/>
  </numFmts>
  <fonts count="5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vertAlign val="superscript"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FF0000"/>
      <name val="Arial"/>
      <family val="2"/>
    </font>
    <font>
      <b/>
      <sz val="10"/>
      <color indexed="9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indexed="8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</borders>
  <cellStyleXfs count="143">
    <xf numFmtId="0" fontId="0" fillId="0" borderId="0"/>
    <xf numFmtId="43" fontId="1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7" fillId="0" borderId="0"/>
    <xf numFmtId="44" fontId="17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1" fillId="0" borderId="0"/>
    <xf numFmtId="9" fontId="11" fillId="0" borderId="0" applyFont="0" applyFill="0" applyBorder="0" applyAlignment="0" applyProtection="0"/>
    <xf numFmtId="0" fontId="20" fillId="0" borderId="0">
      <alignment vertical="top"/>
    </xf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4" fillId="20" borderId="12" applyNumberFormat="0" applyAlignment="0" applyProtection="0"/>
    <xf numFmtId="0" fontId="24" fillId="20" borderId="12" applyNumberFormat="0" applyAlignment="0" applyProtection="0"/>
    <xf numFmtId="0" fontId="25" fillId="21" borderId="13" applyNumberFormat="0" applyAlignment="0" applyProtection="0"/>
    <xf numFmtId="0" fontId="25" fillId="21" borderId="13" applyNumberFormat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9" fillId="0" borderId="15" applyNumberFormat="0" applyFill="0" applyAlignment="0" applyProtection="0"/>
    <xf numFmtId="0" fontId="29" fillId="0" borderId="15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7" borderId="12" applyNumberFormat="0" applyAlignment="0" applyProtection="0"/>
    <xf numFmtId="0" fontId="31" fillId="7" borderId="12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20" fillId="0" borderId="0">
      <alignment vertical="top"/>
    </xf>
    <xf numFmtId="0" fontId="20" fillId="0" borderId="0">
      <alignment vertical="top"/>
    </xf>
    <xf numFmtId="0" fontId="11" fillId="0" borderId="0"/>
    <xf numFmtId="0" fontId="11" fillId="0" borderId="0"/>
    <xf numFmtId="0" fontId="11" fillId="0" borderId="0"/>
    <xf numFmtId="0" fontId="20" fillId="0" borderId="0">
      <alignment vertical="top"/>
    </xf>
    <xf numFmtId="0" fontId="11" fillId="0" borderId="0"/>
    <xf numFmtId="0" fontId="11" fillId="0" borderId="0"/>
    <xf numFmtId="0" fontId="11" fillId="23" borderId="18" applyNumberFormat="0" applyFont="0" applyAlignment="0" applyProtection="0"/>
    <xf numFmtId="0" fontId="11" fillId="23" borderId="18" applyNumberFormat="0" applyFont="0" applyAlignment="0" applyProtection="0"/>
    <xf numFmtId="0" fontId="34" fillId="20" borderId="19" applyNumberFormat="0" applyAlignment="0" applyProtection="0"/>
    <xf numFmtId="0" fontId="34" fillId="20" borderId="19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0" fillId="0" borderId="0">
      <alignment vertical="top"/>
    </xf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1" fillId="0" borderId="0"/>
    <xf numFmtId="44" fontId="20" fillId="0" borderId="0" applyFont="0" applyFill="0" applyBorder="0" applyAlignment="0" applyProtection="0"/>
    <xf numFmtId="0" fontId="20" fillId="0" borderId="0">
      <alignment vertical="top"/>
    </xf>
    <xf numFmtId="9" fontId="20" fillId="0" borderId="0" applyFont="0" applyFill="0" applyBorder="0" applyAlignment="0" applyProtection="0"/>
    <xf numFmtId="0" fontId="11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38" fillId="0" borderId="0"/>
    <xf numFmtId="43" fontId="8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43" fontId="6" fillId="0" borderId="0" applyFont="0" applyFill="0" applyBorder="0" applyAlignment="0" applyProtection="0"/>
    <xf numFmtId="0" fontId="5" fillId="0" borderId="0"/>
    <xf numFmtId="43" fontId="51" fillId="0" borderId="0" applyFont="0" applyFill="0" applyBorder="0" applyAlignment="0" applyProtection="0"/>
    <xf numFmtId="0" fontId="4" fillId="0" borderId="0"/>
    <xf numFmtId="0" fontId="4" fillId="0" borderId="0"/>
    <xf numFmtId="171" fontId="4" fillId="0" borderId="0" applyFont="0" applyFill="0" applyBorder="0" applyAlignment="0" applyProtection="0"/>
  </cellStyleXfs>
  <cellXfs count="369">
    <xf numFmtId="0" fontId="0" fillId="0" borderId="0" xfId="0"/>
    <xf numFmtId="0" fontId="11" fillId="0" borderId="0" xfId="0" applyFont="1"/>
    <xf numFmtId="166" fontId="0" fillId="0" borderId="0" xfId="0" applyNumberFormat="1"/>
    <xf numFmtId="49" fontId="11" fillId="0" borderId="0" xfId="6" applyNumberFormat="1" applyFont="1" applyBorder="1"/>
    <xf numFmtId="0" fontId="18" fillId="0" borderId="0" xfId="4" applyBorder="1"/>
    <xf numFmtId="0" fontId="0" fillId="0" borderId="0" xfId="0" applyFill="1"/>
    <xf numFmtId="3" fontId="0" fillId="0" borderId="0" xfId="0" applyNumberFormat="1"/>
    <xf numFmtId="0" fontId="20" fillId="0" borderId="0" xfId="99">
      <alignment vertical="top"/>
    </xf>
    <xf numFmtId="0" fontId="20" fillId="0" borderId="24" xfId="99" applyFont="1" applyBorder="1" applyAlignment="1">
      <alignment horizontal="center" vertical="top" wrapText="1" readingOrder="1"/>
    </xf>
    <xf numFmtId="0" fontId="20" fillId="0" borderId="25" xfId="99" applyFont="1" applyBorder="1" applyAlignment="1">
      <alignment horizontal="center" vertical="top" wrapText="1" readingOrder="1"/>
    </xf>
    <xf numFmtId="0" fontId="20" fillId="0" borderId="32" xfId="99" applyFont="1" applyBorder="1" applyAlignment="1">
      <alignment horizontal="center" vertical="top" wrapText="1" readingOrder="1"/>
    </xf>
    <xf numFmtId="169" fontId="20" fillId="26" borderId="26" xfId="99" applyNumberFormat="1" applyFont="1" applyFill="1" applyBorder="1" applyAlignment="1">
      <alignment horizontal="right" vertical="top"/>
    </xf>
    <xf numFmtId="169" fontId="10" fillId="26" borderId="26" xfId="99" applyNumberFormat="1" applyFont="1" applyFill="1" applyBorder="1" applyAlignment="1">
      <alignment horizontal="right" vertical="top"/>
    </xf>
    <xf numFmtId="0" fontId="5" fillId="0" borderId="0" xfId="138"/>
    <xf numFmtId="0" fontId="0" fillId="28" borderId="0" xfId="0" applyFill="1"/>
    <xf numFmtId="169" fontId="0" fillId="0" borderId="0" xfId="0" applyNumberFormat="1"/>
    <xf numFmtId="2" fontId="0" fillId="0" borderId="0" xfId="0" applyNumberFormat="1"/>
    <xf numFmtId="165" fontId="0" fillId="0" borderId="0" xfId="0" applyNumberFormat="1"/>
    <xf numFmtId="0" fontId="48" fillId="29" borderId="56" xfId="0" applyFont="1" applyFill="1" applyBorder="1"/>
    <xf numFmtId="0" fontId="48" fillId="29" borderId="54" xfId="0" applyFont="1" applyFill="1" applyBorder="1"/>
    <xf numFmtId="0" fontId="49" fillId="29" borderId="55" xfId="0" applyFont="1" applyFill="1" applyBorder="1"/>
    <xf numFmtId="0" fontId="48" fillId="29" borderId="53" xfId="0" applyFont="1" applyFill="1" applyBorder="1"/>
    <xf numFmtId="0" fontId="47" fillId="29" borderId="34" xfId="0" applyFont="1" applyFill="1" applyBorder="1" applyAlignment="1">
      <alignment vertical="center" wrapText="1"/>
    </xf>
    <xf numFmtId="3" fontId="0" fillId="27" borderId="59" xfId="0" applyNumberFormat="1" applyFill="1" applyBorder="1"/>
    <xf numFmtId="0" fontId="48" fillId="29" borderId="55" xfId="0" applyFont="1" applyFill="1" applyBorder="1"/>
    <xf numFmtId="3" fontId="0" fillId="27" borderId="60" xfId="0" applyNumberFormat="1" applyFill="1" applyBorder="1"/>
    <xf numFmtId="0" fontId="47" fillId="29" borderId="46" xfId="0" applyFont="1" applyFill="1" applyBorder="1" applyAlignment="1">
      <alignment vertical="center" wrapText="1"/>
    </xf>
    <xf numFmtId="0" fontId="48" fillId="29" borderId="46" xfId="0" applyFont="1" applyFill="1" applyBorder="1"/>
    <xf numFmtId="0" fontId="11" fillId="28" borderId="0" xfId="0" applyFont="1" applyFill="1"/>
    <xf numFmtId="3" fontId="0" fillId="0" borderId="57" xfId="0" applyNumberFormat="1" applyFill="1" applyBorder="1"/>
    <xf numFmtId="3" fontId="0" fillId="0" borderId="3" xfId="0" applyNumberFormat="1" applyFill="1" applyBorder="1"/>
    <xf numFmtId="3" fontId="0" fillId="0" borderId="58" xfId="0" applyNumberFormat="1" applyFill="1" applyBorder="1"/>
    <xf numFmtId="3" fontId="39" fillId="0" borderId="43" xfId="0" applyNumberFormat="1" applyFont="1" applyFill="1" applyBorder="1"/>
    <xf numFmtId="0" fontId="10" fillId="28" borderId="0" xfId="0" applyFont="1" applyFill="1"/>
    <xf numFmtId="0" fontId="50" fillId="0" borderId="0" xfId="0" applyFont="1"/>
    <xf numFmtId="9" fontId="50" fillId="0" borderId="3" xfId="2" applyFont="1" applyFill="1" applyBorder="1"/>
    <xf numFmtId="9" fontId="50" fillId="0" borderId="62" xfId="2" applyFont="1" applyFill="1" applyBorder="1"/>
    <xf numFmtId="9" fontId="50" fillId="0" borderId="63" xfId="2" applyFont="1" applyFill="1" applyBorder="1"/>
    <xf numFmtId="9" fontId="50" fillId="0" borderId="59" xfId="2" applyFont="1" applyFill="1" applyBorder="1"/>
    <xf numFmtId="9" fontId="50" fillId="0" borderId="64" xfId="2" applyFont="1" applyFill="1" applyBorder="1"/>
    <xf numFmtId="9" fontId="50" fillId="0" borderId="65" xfId="2" applyFont="1" applyFill="1" applyBorder="1"/>
    <xf numFmtId="9" fontId="50" fillId="0" borderId="66" xfId="2" applyFont="1" applyFill="1" applyBorder="1"/>
    <xf numFmtId="9" fontId="50" fillId="0" borderId="67" xfId="2" applyFont="1" applyFill="1" applyBorder="1"/>
    <xf numFmtId="9" fontId="50" fillId="0" borderId="60" xfId="2" applyFont="1" applyFill="1" applyBorder="1"/>
    <xf numFmtId="0" fontId="50" fillId="29" borderId="50" xfId="0" applyFont="1" applyFill="1" applyBorder="1" applyAlignment="1">
      <alignment horizontal="center"/>
    </xf>
    <xf numFmtId="0" fontId="50" fillId="29" borderId="47" xfId="0" applyFont="1" applyFill="1" applyBorder="1" applyAlignment="1">
      <alignment horizontal="center"/>
    </xf>
    <xf numFmtId="0" fontId="50" fillId="29" borderId="49" xfId="0" applyFont="1" applyFill="1" applyBorder="1" applyAlignment="1">
      <alignment horizontal="center"/>
    </xf>
    <xf numFmtId="1" fontId="50" fillId="29" borderId="62" xfId="8" applyNumberFormat="1" applyFont="1" applyFill="1" applyBorder="1"/>
    <xf numFmtId="17" fontId="50" fillId="29" borderId="59" xfId="8" applyNumberFormat="1" applyFont="1" applyFill="1" applyBorder="1" applyAlignment="1">
      <alignment horizontal="center"/>
    </xf>
    <xf numFmtId="1" fontId="50" fillId="29" borderId="64" xfId="8" applyNumberFormat="1" applyFont="1" applyFill="1" applyBorder="1"/>
    <xf numFmtId="17" fontId="50" fillId="29" borderId="65" xfId="8" applyNumberFormat="1" applyFont="1" applyFill="1" applyBorder="1" applyAlignment="1">
      <alignment horizontal="center"/>
    </xf>
    <xf numFmtId="17" fontId="47" fillId="29" borderId="65" xfId="8" applyNumberFormat="1" applyFont="1" applyFill="1" applyBorder="1" applyAlignment="1">
      <alignment horizontal="center"/>
    </xf>
    <xf numFmtId="1" fontId="50" fillId="29" borderId="66" xfId="8" applyNumberFormat="1" applyFont="1" applyFill="1" applyBorder="1"/>
    <xf numFmtId="17" fontId="47" fillId="29" borderId="60" xfId="8" applyNumberFormat="1" applyFont="1" applyFill="1" applyBorder="1" applyAlignment="1">
      <alignment horizontal="center"/>
    </xf>
    <xf numFmtId="0" fontId="47" fillId="29" borderId="35" xfId="0" applyFont="1" applyFill="1" applyBorder="1"/>
    <xf numFmtId="0" fontId="50" fillId="29" borderId="36" xfId="0" applyFont="1" applyFill="1" applyBorder="1"/>
    <xf numFmtId="0" fontId="50" fillId="29" borderId="37" xfId="0" applyFont="1" applyFill="1" applyBorder="1"/>
    <xf numFmtId="168" fontId="50" fillId="27" borderId="3" xfId="9" applyNumberFormat="1" applyFont="1" applyFill="1" applyBorder="1"/>
    <xf numFmtId="17" fontId="50" fillId="29" borderId="53" xfId="8" applyNumberFormat="1" applyFont="1" applyFill="1" applyBorder="1" applyAlignment="1">
      <alignment horizontal="center"/>
    </xf>
    <xf numFmtId="17" fontId="50" fillId="29" borderId="54" xfId="8" applyNumberFormat="1" applyFont="1" applyFill="1" applyBorder="1" applyAlignment="1">
      <alignment horizontal="center"/>
    </xf>
    <xf numFmtId="17" fontId="50" fillId="29" borderId="55" xfId="8" applyNumberFormat="1" applyFont="1" applyFill="1" applyBorder="1" applyAlignment="1">
      <alignment horizontal="center"/>
    </xf>
    <xf numFmtId="168" fontId="50" fillId="27" borderId="62" xfId="9" applyNumberFormat="1" applyFont="1" applyFill="1" applyBorder="1"/>
    <xf numFmtId="168" fontId="50" fillId="27" borderId="63" xfId="9" applyNumberFormat="1" applyFont="1" applyFill="1" applyBorder="1"/>
    <xf numFmtId="168" fontId="50" fillId="27" borderId="64" xfId="9" applyNumberFormat="1" applyFont="1" applyFill="1" applyBorder="1"/>
    <xf numFmtId="168" fontId="50" fillId="27" borderId="69" xfId="9" applyNumberFormat="1" applyFont="1" applyFill="1" applyBorder="1"/>
    <xf numFmtId="168" fontId="50" fillId="27" borderId="61" xfId="9" applyNumberFormat="1" applyFont="1" applyFill="1" applyBorder="1"/>
    <xf numFmtId="0" fontId="50" fillId="29" borderId="40" xfId="0" applyFont="1" applyFill="1" applyBorder="1" applyAlignment="1">
      <alignment horizontal="center"/>
    </xf>
    <xf numFmtId="0" fontId="50" fillId="29" borderId="41" xfId="0" applyFont="1" applyFill="1" applyBorder="1" applyAlignment="1">
      <alignment horizontal="center"/>
    </xf>
    <xf numFmtId="164" fontId="50" fillId="27" borderId="62" xfId="0" applyNumberFormat="1" applyFont="1" applyFill="1" applyBorder="1"/>
    <xf numFmtId="164" fontId="50" fillId="27" borderId="59" xfId="0" applyNumberFormat="1" applyFont="1" applyFill="1" applyBorder="1"/>
    <xf numFmtId="164" fontId="50" fillId="27" borderId="64" xfId="0" applyNumberFormat="1" applyFont="1" applyFill="1" applyBorder="1"/>
    <xf numFmtId="164" fontId="50" fillId="27" borderId="65" xfId="0" applyNumberFormat="1" applyFont="1" applyFill="1" applyBorder="1"/>
    <xf numFmtId="164" fontId="50" fillId="27" borderId="66" xfId="0" applyNumberFormat="1" applyFont="1" applyFill="1" applyBorder="1"/>
    <xf numFmtId="164" fontId="50" fillId="27" borderId="60" xfId="0" applyNumberFormat="1" applyFont="1" applyFill="1" applyBorder="1"/>
    <xf numFmtId="0" fontId="50" fillId="28" borderId="0" xfId="0" applyFont="1" applyFill="1"/>
    <xf numFmtId="168" fontId="50" fillId="27" borderId="66" xfId="9" applyNumberFormat="1" applyFont="1" applyFill="1" applyBorder="1"/>
    <xf numFmtId="168" fontId="50" fillId="27" borderId="67" xfId="9" applyNumberFormat="1" applyFont="1" applyFill="1" applyBorder="1"/>
    <xf numFmtId="168" fontId="50" fillId="27" borderId="70" xfId="9" applyNumberFormat="1" applyFont="1" applyFill="1" applyBorder="1"/>
    <xf numFmtId="0" fontId="12" fillId="29" borderId="39" xfId="0" applyFont="1" applyFill="1" applyBorder="1" applyAlignment="1">
      <alignment horizontal="center" wrapText="1"/>
    </xf>
    <xf numFmtId="0" fontId="12" fillId="29" borderId="40" xfId="0" applyFont="1" applyFill="1" applyBorder="1" applyAlignment="1">
      <alignment horizontal="center" wrapText="1"/>
    </xf>
    <xf numFmtId="0" fontId="12" fillId="29" borderId="41" xfId="0" applyFont="1" applyFill="1" applyBorder="1" applyAlignment="1">
      <alignment horizontal="center" wrapText="1"/>
    </xf>
    <xf numFmtId="0" fontId="12" fillId="29" borderId="43" xfId="0" applyFont="1" applyFill="1" applyBorder="1" applyAlignment="1">
      <alignment horizontal="center"/>
    </xf>
    <xf numFmtId="0" fontId="12" fillId="29" borderId="44" xfId="0" applyFont="1" applyFill="1" applyBorder="1" applyAlignment="1">
      <alignment horizontal="center"/>
    </xf>
    <xf numFmtId="0" fontId="12" fillId="29" borderId="45" xfId="0" applyFont="1" applyFill="1" applyBorder="1" applyAlignment="1">
      <alignment horizontal="center"/>
    </xf>
    <xf numFmtId="0" fontId="0" fillId="29" borderId="54" xfId="0" applyFill="1" applyBorder="1"/>
    <xf numFmtId="0" fontId="0" fillId="29" borderId="55" xfId="0" applyFill="1" applyBorder="1"/>
    <xf numFmtId="166" fontId="0" fillId="27" borderId="62" xfId="0" applyNumberFormat="1" applyFill="1" applyBorder="1"/>
    <xf numFmtId="166" fontId="0" fillId="27" borderId="63" xfId="0" applyNumberFormat="1" applyFill="1" applyBorder="1"/>
    <xf numFmtId="166" fontId="0" fillId="27" borderId="59" xfId="0" applyNumberFormat="1" applyFill="1" applyBorder="1"/>
    <xf numFmtId="166" fontId="0" fillId="27" borderId="64" xfId="0" applyNumberFormat="1" applyFill="1" applyBorder="1"/>
    <xf numFmtId="166" fontId="0" fillId="27" borderId="3" xfId="0" applyNumberFormat="1" applyFill="1" applyBorder="1"/>
    <xf numFmtId="166" fontId="0" fillId="27" borderId="65" xfId="0" applyNumberFormat="1" applyFill="1" applyBorder="1"/>
    <xf numFmtId="166" fontId="0" fillId="27" borderId="66" xfId="0" applyNumberFormat="1" applyFill="1" applyBorder="1"/>
    <xf numFmtId="166" fontId="0" fillId="27" borderId="67" xfId="0" applyNumberFormat="1" applyFill="1" applyBorder="1"/>
    <xf numFmtId="166" fontId="0" fillId="27" borderId="60" xfId="0" applyNumberFormat="1" applyFill="1" applyBorder="1"/>
    <xf numFmtId="166" fontId="0" fillId="27" borderId="71" xfId="0" applyNumberFormat="1" applyFill="1" applyBorder="1"/>
    <xf numFmtId="166" fontId="0" fillId="27" borderId="68" xfId="0" applyNumberFormat="1" applyFill="1" applyBorder="1"/>
    <xf numFmtId="166" fontId="0" fillId="27" borderId="72" xfId="0" applyNumberFormat="1" applyFill="1" applyBorder="1"/>
    <xf numFmtId="0" fontId="0" fillId="29" borderId="56" xfId="0" applyFill="1" applyBorder="1"/>
    <xf numFmtId="0" fontId="12" fillId="29" borderId="34" xfId="0" applyFont="1" applyFill="1" applyBorder="1"/>
    <xf numFmtId="1" fontId="15" fillId="29" borderId="42" xfId="0" applyNumberFormat="1" applyFont="1" applyFill="1" applyBorder="1" applyAlignment="1">
      <alignment horizontal="left"/>
    </xf>
    <xf numFmtId="0" fontId="0" fillId="24" borderId="0" xfId="0" applyFill="1"/>
    <xf numFmtId="0" fontId="10" fillId="24" borderId="0" xfId="0" applyFont="1" applyFill="1"/>
    <xf numFmtId="3" fontId="0" fillId="28" borderId="0" xfId="0" applyNumberFormat="1" applyFill="1"/>
    <xf numFmtId="0" fontId="0" fillId="29" borderId="21" xfId="0" applyFill="1" applyBorder="1"/>
    <xf numFmtId="0" fontId="12" fillId="29" borderId="21" xfId="0" applyFont="1" applyFill="1" applyBorder="1"/>
    <xf numFmtId="0" fontId="0" fillId="29" borderId="4" xfId="0" applyFill="1" applyBorder="1"/>
    <xf numFmtId="0" fontId="0" fillId="29" borderId="5" xfId="0" applyFill="1" applyBorder="1"/>
    <xf numFmtId="0" fontId="0" fillId="29" borderId="0" xfId="0" applyFill="1" applyBorder="1"/>
    <xf numFmtId="0" fontId="12" fillId="29" borderId="7" xfId="0" applyFont="1" applyFill="1" applyBorder="1" applyAlignment="1">
      <alignment horizontal="center"/>
    </xf>
    <xf numFmtId="0" fontId="0" fillId="29" borderId="7" xfId="0" applyFill="1" applyBorder="1" applyAlignment="1">
      <alignment horizontal="center"/>
    </xf>
    <xf numFmtId="0" fontId="12" fillId="29" borderId="0" xfId="0" applyFont="1" applyFill="1" applyBorder="1"/>
    <xf numFmtId="0" fontId="0" fillId="29" borderId="9" xfId="0" applyFill="1" applyBorder="1" applyAlignment="1">
      <alignment horizontal="center"/>
    </xf>
    <xf numFmtId="0" fontId="0" fillId="29" borderId="51" xfId="0" applyFill="1" applyBorder="1"/>
    <xf numFmtId="0" fontId="0" fillId="0" borderId="0" xfId="0" applyFill="1" applyBorder="1" applyAlignment="1"/>
    <xf numFmtId="0" fontId="0" fillId="0" borderId="8" xfId="0" applyFill="1" applyBorder="1" applyAlignment="1"/>
    <xf numFmtId="0" fontId="0" fillId="0" borderId="21" xfId="0" applyFill="1" applyBorder="1"/>
    <xf numFmtId="0" fontId="0" fillId="0" borderId="73" xfId="0" applyFill="1" applyBorder="1"/>
    <xf numFmtId="0" fontId="48" fillId="28" borderId="0" xfId="0" applyFont="1" applyFill="1"/>
    <xf numFmtId="0" fontId="48" fillId="0" borderId="0" xfId="0" applyFont="1"/>
    <xf numFmtId="0" fontId="48" fillId="29" borderId="62" xfId="0" applyFont="1" applyFill="1" applyBorder="1"/>
    <xf numFmtId="10" fontId="52" fillId="0" borderId="59" xfId="99" applyNumberFormat="1" applyFont="1" applyFill="1" applyBorder="1" applyAlignment="1">
      <alignment horizontal="right" vertical="top"/>
    </xf>
    <xf numFmtId="0" fontId="48" fillId="29" borderId="66" xfId="0" applyFont="1" applyFill="1" applyBorder="1"/>
    <xf numFmtId="10" fontId="52" fillId="0" borderId="60" xfId="99" applyNumberFormat="1" applyFont="1" applyFill="1" applyBorder="1" applyAlignment="1">
      <alignment horizontal="right" vertical="top"/>
    </xf>
    <xf numFmtId="0" fontId="48" fillId="29" borderId="64" xfId="0" applyFont="1" applyFill="1" applyBorder="1"/>
    <xf numFmtId="171" fontId="4" fillId="27" borderId="3" xfId="139" applyNumberFormat="1" applyFont="1" applyFill="1" applyBorder="1"/>
    <xf numFmtId="2" fontId="4" fillId="0" borderId="3" xfId="140" applyNumberFormat="1" applyFont="1" applyBorder="1" applyAlignment="1">
      <alignment horizontal="center"/>
    </xf>
    <xf numFmtId="0" fontId="48" fillId="27" borderId="3" xfId="0" applyFont="1" applyFill="1" applyBorder="1"/>
    <xf numFmtId="0" fontId="48" fillId="0" borderId="0" xfId="0" applyFont="1" applyAlignment="1">
      <alignment wrapText="1"/>
    </xf>
    <xf numFmtId="171" fontId="48" fillId="27" borderId="3" xfId="142" applyNumberFormat="1" applyFont="1" applyFill="1" applyBorder="1"/>
    <xf numFmtId="170" fontId="48" fillId="27" borderId="3" xfId="0" applyNumberFormat="1" applyFont="1" applyFill="1" applyBorder="1"/>
    <xf numFmtId="173" fontId="48" fillId="27" borderId="3" xfId="0" applyNumberFormat="1" applyFont="1" applyFill="1" applyBorder="1"/>
    <xf numFmtId="174" fontId="48" fillId="27" borderId="3" xfId="0" applyNumberFormat="1" applyFont="1" applyFill="1" applyBorder="1"/>
    <xf numFmtId="171" fontId="48" fillId="27" borderId="3" xfId="142" applyFont="1" applyFill="1" applyBorder="1"/>
    <xf numFmtId="2" fontId="4" fillId="0" borderId="63" xfId="140" applyNumberFormat="1" applyFont="1" applyBorder="1" applyAlignment="1">
      <alignment horizontal="center"/>
    </xf>
    <xf numFmtId="2" fontId="4" fillId="0" borderId="59" xfId="140" applyNumberFormat="1" applyFont="1" applyBorder="1" applyAlignment="1">
      <alignment horizontal="center"/>
    </xf>
    <xf numFmtId="2" fontId="4" fillId="0" borderId="65" xfId="140" applyNumberFormat="1" applyFont="1" applyBorder="1" applyAlignment="1">
      <alignment horizontal="center"/>
    </xf>
    <xf numFmtId="2" fontId="4" fillId="0" borderId="67" xfId="140" applyNumberFormat="1" applyFont="1" applyBorder="1" applyAlignment="1">
      <alignment horizontal="center"/>
    </xf>
    <xf numFmtId="2" fontId="4" fillId="0" borderId="60" xfId="140" applyNumberFormat="1" applyFont="1" applyBorder="1" applyAlignment="1">
      <alignment horizontal="center"/>
    </xf>
    <xf numFmtId="0" fontId="4" fillId="29" borderId="66" xfId="140" applyFont="1" applyFill="1" applyBorder="1" applyAlignment="1">
      <alignment horizontal="center"/>
    </xf>
    <xf numFmtId="10" fontId="52" fillId="27" borderId="59" xfId="99" applyNumberFormat="1" applyFont="1" applyFill="1" applyBorder="1" applyAlignment="1">
      <alignment horizontal="right" vertical="top"/>
    </xf>
    <xf numFmtId="10" fontId="52" fillId="27" borderId="60" xfId="99" applyNumberFormat="1" applyFont="1" applyFill="1" applyBorder="1" applyAlignment="1">
      <alignment horizontal="right" vertical="top"/>
    </xf>
    <xf numFmtId="0" fontId="4" fillId="27" borderId="59" xfId="141" applyFont="1" applyFill="1" applyBorder="1"/>
    <xf numFmtId="173" fontId="4" fillId="27" borderId="65" xfId="141" applyNumberFormat="1" applyFont="1" applyFill="1" applyBorder="1"/>
    <xf numFmtId="173" fontId="4" fillId="27" borderId="60" xfId="141" applyNumberFormat="1" applyFont="1" applyFill="1" applyBorder="1"/>
    <xf numFmtId="176" fontId="4" fillId="0" borderId="59" xfId="2" applyNumberFormat="1" applyFont="1" applyBorder="1"/>
    <xf numFmtId="0" fontId="48" fillId="0" borderId="59" xfId="0" applyFont="1" applyBorder="1"/>
    <xf numFmtId="0" fontId="48" fillId="27" borderId="64" xfId="0" applyFont="1" applyFill="1" applyBorder="1"/>
    <xf numFmtId="172" fontId="4" fillId="27" borderId="65" xfId="139" applyNumberFormat="1" applyFont="1" applyFill="1" applyBorder="1"/>
    <xf numFmtId="0" fontId="48" fillId="27" borderId="66" xfId="0" applyFont="1" applyFill="1" applyBorder="1"/>
    <xf numFmtId="172" fontId="4" fillId="27" borderId="60" xfId="139" applyNumberFormat="1" applyFont="1" applyFill="1" applyBorder="1"/>
    <xf numFmtId="9" fontId="4" fillId="0" borderId="59" xfId="2" applyFont="1" applyFill="1" applyBorder="1"/>
    <xf numFmtId="9" fontId="4" fillId="0" borderId="60" xfId="2" applyFont="1" applyFill="1" applyBorder="1"/>
    <xf numFmtId="0" fontId="39" fillId="29" borderId="7" xfId="141" applyFont="1" applyFill="1" applyBorder="1" applyAlignment="1">
      <alignment wrapText="1"/>
    </xf>
    <xf numFmtId="0" fontId="39" fillId="29" borderId="0" xfId="141" applyFont="1" applyFill="1" applyBorder="1" applyAlignment="1">
      <alignment wrapText="1"/>
    </xf>
    <xf numFmtId="0" fontId="39" fillId="29" borderId="8" xfId="141" applyFont="1" applyFill="1" applyBorder="1" applyAlignment="1">
      <alignment wrapText="1"/>
    </xf>
    <xf numFmtId="1" fontId="4" fillId="29" borderId="62" xfId="141" applyNumberFormat="1" applyFont="1" applyFill="1" applyBorder="1"/>
    <xf numFmtId="171" fontId="4" fillId="27" borderId="63" xfId="139" applyNumberFormat="1" applyFont="1" applyFill="1" applyBorder="1"/>
    <xf numFmtId="171" fontId="48" fillId="27" borderId="63" xfId="142" applyNumberFormat="1" applyFont="1" applyFill="1" applyBorder="1"/>
    <xf numFmtId="0" fontId="48" fillId="27" borderId="63" xfId="0" applyFont="1" applyFill="1" applyBorder="1"/>
    <xf numFmtId="170" fontId="48" fillId="31" borderId="59" xfId="0" applyNumberFormat="1" applyFont="1" applyFill="1" applyBorder="1"/>
    <xf numFmtId="1" fontId="4" fillId="29" borderId="64" xfId="141" applyNumberFormat="1" applyFont="1" applyFill="1" applyBorder="1"/>
    <xf numFmtId="170" fontId="48" fillId="27" borderId="65" xfId="0" applyNumberFormat="1" applyFont="1" applyFill="1" applyBorder="1"/>
    <xf numFmtId="1" fontId="4" fillId="29" borderId="66" xfId="141" applyNumberFormat="1" applyFont="1" applyFill="1" applyBorder="1"/>
    <xf numFmtId="171" fontId="48" fillId="27" borderId="67" xfId="142" applyFont="1" applyFill="1" applyBorder="1"/>
    <xf numFmtId="174" fontId="48" fillId="27" borderId="67" xfId="0" applyNumberFormat="1" applyFont="1" applyFill="1" applyBorder="1"/>
    <xf numFmtId="170" fontId="48" fillId="27" borderId="60" xfId="0" applyNumberFormat="1" applyFont="1" applyFill="1" applyBorder="1"/>
    <xf numFmtId="0" fontId="49" fillId="29" borderId="9" xfId="0" applyFont="1" applyFill="1" applyBorder="1" applyAlignment="1">
      <alignment wrapText="1"/>
    </xf>
    <xf numFmtId="0" fontId="49" fillId="29" borderId="10" xfId="0" applyFont="1" applyFill="1" applyBorder="1" applyAlignment="1">
      <alignment wrapText="1"/>
    </xf>
    <xf numFmtId="0" fontId="49" fillId="29" borderId="11" xfId="0" applyFont="1" applyFill="1" applyBorder="1" applyAlignment="1">
      <alignment wrapText="1"/>
    </xf>
    <xf numFmtId="173" fontId="48" fillId="31" borderId="62" xfId="0" applyNumberFormat="1" applyFont="1" applyFill="1" applyBorder="1"/>
    <xf numFmtId="170" fontId="48" fillId="27" borderId="63" xfId="0" applyNumberFormat="1" applyFont="1" applyFill="1" applyBorder="1"/>
    <xf numFmtId="173" fontId="48" fillId="27" borderId="63" xfId="0" applyNumberFormat="1" applyFont="1" applyFill="1" applyBorder="1"/>
    <xf numFmtId="173" fontId="48" fillId="27" borderId="59" xfId="0" applyNumberFormat="1" applyFont="1" applyFill="1" applyBorder="1"/>
    <xf numFmtId="173" fontId="48" fillId="31" borderId="64" xfId="0" applyNumberFormat="1" applyFont="1" applyFill="1" applyBorder="1"/>
    <xf numFmtId="173" fontId="48" fillId="27" borderId="65" xfId="0" applyNumberFormat="1" applyFont="1" applyFill="1" applyBorder="1"/>
    <xf numFmtId="173" fontId="48" fillId="27" borderId="64" xfId="0" applyNumberFormat="1" applyFont="1" applyFill="1" applyBorder="1"/>
    <xf numFmtId="173" fontId="48" fillId="27" borderId="66" xfId="0" applyNumberFormat="1" applyFont="1" applyFill="1" applyBorder="1"/>
    <xf numFmtId="173" fontId="48" fillId="27" borderId="67" xfId="0" applyNumberFormat="1" applyFont="1" applyFill="1" applyBorder="1"/>
    <xf numFmtId="0" fontId="48" fillId="27" borderId="67" xfId="0" applyFont="1" applyFill="1" applyBorder="1"/>
    <xf numFmtId="170" fontId="48" fillId="27" borderId="67" xfId="0" applyNumberFormat="1" applyFont="1" applyFill="1" applyBorder="1"/>
    <xf numFmtId="173" fontId="48" fillId="27" borderId="60" xfId="0" applyNumberFormat="1" applyFont="1" applyFill="1" applyBorder="1"/>
    <xf numFmtId="1" fontId="0" fillId="0" borderId="49" xfId="0" applyNumberFormat="1" applyFill="1" applyBorder="1"/>
    <xf numFmtId="171" fontId="4" fillId="31" borderId="3" xfId="139" applyNumberFormat="1" applyFont="1" applyFill="1" applyBorder="1"/>
    <xf numFmtId="171" fontId="4" fillId="31" borderId="67" xfId="139" applyNumberFormat="1" applyFont="1" applyFill="1" applyBorder="1"/>
    <xf numFmtId="2" fontId="0" fillId="30" borderId="21" xfId="0" applyNumberFormat="1" applyFill="1" applyBorder="1" applyAlignment="1"/>
    <xf numFmtId="2" fontId="0" fillId="30" borderId="73" xfId="0" applyNumberFormat="1" applyFill="1" applyBorder="1" applyAlignment="1"/>
    <xf numFmtId="10" fontId="20" fillId="0" borderId="0" xfId="99" applyNumberFormat="1">
      <alignment vertical="top"/>
    </xf>
    <xf numFmtId="0" fontId="20" fillId="0" borderId="78" xfId="99" applyFont="1" applyBorder="1" applyAlignment="1">
      <alignment horizontal="center" vertical="top" wrapText="1" readingOrder="1"/>
    </xf>
    <xf numFmtId="1" fontId="20" fillId="0" borderId="79" xfId="99" applyNumberFormat="1" applyFont="1" applyBorder="1" applyAlignment="1">
      <alignment horizontal="right" vertical="top"/>
    </xf>
    <xf numFmtId="1" fontId="20" fillId="0" borderId="80" xfId="99" applyNumberFormat="1" applyFont="1" applyBorder="1" applyAlignment="1">
      <alignment horizontal="right" vertical="top"/>
    </xf>
    <xf numFmtId="9" fontId="48" fillId="0" borderId="49" xfId="2" applyFont="1" applyBorder="1"/>
    <xf numFmtId="173" fontId="48" fillId="28" borderId="0" xfId="0" applyNumberFormat="1" applyFont="1" applyFill="1"/>
    <xf numFmtId="0" fontId="4" fillId="29" borderId="62" xfId="140" applyFont="1" applyFill="1" applyBorder="1"/>
    <xf numFmtId="0" fontId="4" fillId="29" borderId="64" xfId="140" applyFont="1" applyFill="1" applyBorder="1"/>
    <xf numFmtId="0" fontId="4" fillId="29" borderId="66" xfId="140" applyFont="1" applyFill="1" applyBorder="1"/>
    <xf numFmtId="0" fontId="48" fillId="29" borderId="50" xfId="0" applyFont="1" applyFill="1" applyBorder="1"/>
    <xf numFmtId="0" fontId="3" fillId="29" borderId="60" xfId="140" applyFont="1" applyFill="1" applyBorder="1" applyAlignment="1">
      <alignment horizontal="center"/>
    </xf>
    <xf numFmtId="1" fontId="48" fillId="27" borderId="63" xfId="0" applyNumberFormat="1" applyFont="1" applyFill="1" applyBorder="1"/>
    <xf numFmtId="1" fontId="48" fillId="27" borderId="3" xfId="0" applyNumberFormat="1" applyFont="1" applyFill="1" applyBorder="1"/>
    <xf numFmtId="0" fontId="4" fillId="0" borderId="59" xfId="141" applyFont="1" applyFill="1" applyBorder="1"/>
    <xf numFmtId="173" fontId="4" fillId="0" borderId="65" xfId="141" applyNumberFormat="1" applyFont="1" applyFill="1" applyBorder="1"/>
    <xf numFmtId="173" fontId="4" fillId="0" borderId="60" xfId="141" applyNumberFormat="1" applyFont="1" applyFill="1" applyBorder="1"/>
    <xf numFmtId="166" fontId="0" fillId="24" borderId="0" xfId="0" applyNumberFormat="1" applyFill="1"/>
    <xf numFmtId="1" fontId="13" fillId="29" borderId="5" xfId="0" applyNumberFormat="1" applyFont="1" applyFill="1" applyBorder="1" applyAlignment="1">
      <alignment horizontal="center"/>
    </xf>
    <xf numFmtId="1" fontId="13" fillId="29" borderId="6" xfId="0" applyNumberFormat="1" applyFont="1" applyFill="1" applyBorder="1" applyAlignment="1">
      <alignment horizontal="center"/>
    </xf>
    <xf numFmtId="2" fontId="0" fillId="30" borderId="51" xfId="0" applyNumberFormat="1" applyFill="1" applyBorder="1" applyAlignment="1"/>
    <xf numFmtId="2" fontId="0" fillId="30" borderId="52" xfId="0" applyNumberFormat="1" applyFill="1" applyBorder="1" applyAlignment="1"/>
    <xf numFmtId="0" fontId="48" fillId="31" borderId="3" xfId="0" applyFont="1" applyFill="1" applyBorder="1"/>
    <xf numFmtId="0" fontId="20" fillId="0" borderId="30" xfId="99" applyFont="1" applyBorder="1" applyAlignment="1">
      <alignment horizontal="center" vertical="top" wrapText="1" readingOrder="1"/>
    </xf>
    <xf numFmtId="0" fontId="11" fillId="24" borderId="0" xfId="0" applyFont="1" applyFill="1"/>
    <xf numFmtId="175" fontId="4" fillId="0" borderId="60" xfId="139" applyNumberFormat="1" applyFont="1" applyFill="1" applyBorder="1"/>
    <xf numFmtId="0" fontId="10" fillId="29" borderId="34" xfId="138" applyFont="1" applyFill="1" applyBorder="1" applyAlignment="1">
      <alignment horizontal="left"/>
    </xf>
    <xf numFmtId="0" fontId="10" fillId="29" borderId="42" xfId="138" applyFont="1" applyFill="1" applyBorder="1" applyAlignment="1">
      <alignment horizontal="left"/>
    </xf>
    <xf numFmtId="0" fontId="10" fillId="29" borderId="46" xfId="138" applyFont="1" applyFill="1" applyBorder="1" applyAlignment="1">
      <alignment horizontal="left"/>
    </xf>
    <xf numFmtId="0" fontId="10" fillId="29" borderId="42" xfId="138" applyFont="1" applyFill="1" applyBorder="1"/>
    <xf numFmtId="0" fontId="10" fillId="29" borderId="38" xfId="138" applyFont="1" applyFill="1" applyBorder="1"/>
    <xf numFmtId="0" fontId="42" fillId="29" borderId="42" xfId="138" applyFont="1" applyFill="1" applyBorder="1" applyAlignment="1">
      <alignment horizontal="left"/>
    </xf>
    <xf numFmtId="177" fontId="10" fillId="26" borderId="63" xfId="138" applyNumberFormat="1" applyFont="1" applyFill="1" applyBorder="1" applyAlignment="1">
      <alignment horizontal="right" vertical="center"/>
    </xf>
    <xf numFmtId="2" fontId="10" fillId="26" borderId="63" xfId="138" applyNumberFormat="1" applyFont="1" applyFill="1" applyBorder="1" applyAlignment="1">
      <alignment horizontal="right" vertical="center"/>
    </xf>
    <xf numFmtId="2" fontId="42" fillId="26" borderId="67" xfId="138" applyNumberFormat="1" applyFont="1" applyFill="1" applyBorder="1" applyAlignment="1">
      <alignment horizontal="right" vertical="center"/>
    </xf>
    <xf numFmtId="2" fontId="10" fillId="26" borderId="47" xfId="138" applyNumberFormat="1" applyFont="1" applyFill="1" applyBorder="1" applyAlignment="1">
      <alignment horizontal="right" vertical="center"/>
    </xf>
    <xf numFmtId="0" fontId="5" fillId="31" borderId="63" xfId="138" applyFill="1" applyBorder="1" applyAlignment="1">
      <alignment horizontal="right" vertical="center"/>
    </xf>
    <xf numFmtId="2" fontId="10" fillId="31" borderId="67" xfId="138" applyNumberFormat="1" applyFont="1" applyFill="1" applyBorder="1" applyAlignment="1">
      <alignment horizontal="right" vertical="center"/>
    </xf>
    <xf numFmtId="2" fontId="10" fillId="26" borderId="67" xfId="138" applyNumberFormat="1" applyFont="1" applyFill="1" applyBorder="1" applyAlignment="1">
      <alignment horizontal="right" vertical="center"/>
    </xf>
    <xf numFmtId="2" fontId="10" fillId="31" borderId="63" xfId="138" applyNumberFormat="1" applyFont="1" applyFill="1" applyBorder="1" applyAlignment="1">
      <alignment horizontal="right" vertical="center"/>
    </xf>
    <xf numFmtId="2" fontId="42" fillId="31" borderId="67" xfId="138" applyNumberFormat="1" applyFont="1" applyFill="1" applyBorder="1" applyAlignment="1">
      <alignment horizontal="right" vertical="center"/>
    </xf>
    <xf numFmtId="0" fontId="5" fillId="26" borderId="63" xfId="138" applyFill="1" applyBorder="1" applyAlignment="1">
      <alignment horizontal="right" vertical="center"/>
    </xf>
    <xf numFmtId="0" fontId="5" fillId="26" borderId="3" xfId="138" applyFill="1" applyBorder="1" applyAlignment="1">
      <alignment horizontal="right" vertical="center"/>
    </xf>
    <xf numFmtId="0" fontId="5" fillId="26" borderId="67" xfId="138" applyFill="1" applyBorder="1" applyAlignment="1">
      <alignment horizontal="right" vertical="center"/>
    </xf>
    <xf numFmtId="2" fontId="10" fillId="31" borderId="47" xfId="138" applyNumberFormat="1" applyFont="1" applyFill="1" applyBorder="1" applyAlignment="1">
      <alignment horizontal="right" vertical="center"/>
    </xf>
    <xf numFmtId="0" fontId="45" fillId="29" borderId="35" xfId="138" applyFont="1" applyFill="1" applyBorder="1"/>
    <xf numFmtId="0" fontId="5" fillId="29" borderId="36" xfId="138" applyFill="1" applyBorder="1"/>
    <xf numFmtId="0" fontId="5" fillId="29" borderId="37" xfId="138" applyFill="1" applyBorder="1"/>
    <xf numFmtId="177" fontId="10" fillId="0" borderId="71" xfId="138" applyNumberFormat="1" applyFont="1" applyBorder="1" applyAlignment="1">
      <alignment horizontal="right" vertical="center"/>
    </xf>
    <xf numFmtId="170" fontId="42" fillId="0" borderId="72" xfId="138" applyNumberFormat="1" applyFont="1" applyBorder="1" applyAlignment="1">
      <alignment horizontal="right" vertical="center"/>
    </xf>
    <xf numFmtId="170" fontId="10" fillId="0" borderId="83" xfId="138" applyNumberFormat="1" applyFont="1" applyBorder="1" applyAlignment="1">
      <alignment horizontal="right" vertical="center"/>
    </xf>
    <xf numFmtId="170" fontId="10" fillId="0" borderId="62" xfId="138" applyNumberFormat="1" applyFont="1" applyBorder="1" applyAlignment="1">
      <alignment horizontal="right" vertical="center"/>
    </xf>
    <xf numFmtId="170" fontId="10" fillId="0" borderId="66" xfId="138" applyNumberFormat="1" applyFont="1" applyBorder="1" applyAlignment="1">
      <alignment horizontal="right" vertical="center"/>
    </xf>
    <xf numFmtId="170" fontId="10" fillId="0" borderId="50" xfId="138" applyNumberFormat="1" applyFont="1" applyBorder="1" applyAlignment="1">
      <alignment horizontal="right" vertical="center"/>
    </xf>
    <xf numFmtId="0" fontId="5" fillId="0" borderId="71" xfId="138" applyBorder="1" applyAlignment="1">
      <alignment horizontal="right" vertical="center"/>
    </xf>
    <xf numFmtId="9" fontId="10" fillId="0" borderId="72" xfId="138" applyNumberFormat="1" applyFont="1" applyFill="1" applyBorder="1" applyAlignment="1">
      <alignment horizontal="right" vertical="center"/>
    </xf>
    <xf numFmtId="170" fontId="10" fillId="0" borderId="71" xfId="138" applyNumberFormat="1" applyFont="1" applyBorder="1" applyAlignment="1">
      <alignment horizontal="right" vertical="center"/>
    </xf>
    <xf numFmtId="170" fontId="10" fillId="0" borderId="72" xfId="138" applyNumberFormat="1" applyFont="1" applyBorder="1" applyAlignment="1">
      <alignment horizontal="right" vertical="center"/>
    </xf>
    <xf numFmtId="0" fontId="10" fillId="0" borderId="71" xfId="138" applyFont="1" applyFill="1" applyBorder="1" applyAlignment="1">
      <alignment horizontal="right" vertical="center"/>
    </xf>
    <xf numFmtId="0" fontId="10" fillId="0" borderId="68" xfId="138" applyFont="1" applyFill="1" applyBorder="1" applyAlignment="1">
      <alignment horizontal="right" vertical="center"/>
    </xf>
    <xf numFmtId="0" fontId="10" fillId="0" borderId="72" xfId="138" applyFont="1" applyFill="1" applyBorder="1" applyAlignment="1">
      <alignment horizontal="right" vertical="center"/>
    </xf>
    <xf numFmtId="170" fontId="10" fillId="0" borderId="64" xfId="138" applyNumberFormat="1" applyFont="1" applyBorder="1" applyAlignment="1">
      <alignment horizontal="right" vertical="center"/>
    </xf>
    <xf numFmtId="9" fontId="10" fillId="0" borderId="83" xfId="138" applyNumberFormat="1" applyFont="1" applyFill="1" applyBorder="1" applyAlignment="1">
      <alignment horizontal="right" vertical="center"/>
    </xf>
    <xf numFmtId="9" fontId="10" fillId="0" borderId="71" xfId="138" applyNumberFormat="1" applyFont="1" applyFill="1" applyBorder="1" applyAlignment="1">
      <alignment horizontal="right" vertical="center"/>
    </xf>
    <xf numFmtId="0" fontId="42" fillId="0" borderId="72" xfId="138" applyFont="1" applyFill="1" applyBorder="1" applyAlignment="1">
      <alignment horizontal="right" vertical="center"/>
    </xf>
    <xf numFmtId="167" fontId="10" fillId="0" borderId="83" xfId="138" applyNumberFormat="1" applyFont="1" applyFill="1" applyBorder="1" applyAlignment="1">
      <alignment horizontal="right" vertical="center"/>
    </xf>
    <xf numFmtId="170" fontId="10" fillId="0" borderId="83" xfId="138" applyNumberFormat="1" applyFont="1" applyFill="1" applyBorder="1" applyAlignment="1">
      <alignment horizontal="right" vertical="center"/>
    </xf>
    <xf numFmtId="177" fontId="10" fillId="26" borderId="69" xfId="138" applyNumberFormat="1" applyFont="1" applyFill="1" applyBorder="1" applyAlignment="1">
      <alignment horizontal="right" vertical="center"/>
    </xf>
    <xf numFmtId="2" fontId="42" fillId="26" borderId="70" xfId="138" applyNumberFormat="1" applyFont="1" applyFill="1" applyBorder="1" applyAlignment="1">
      <alignment horizontal="right" vertical="center"/>
    </xf>
    <xf numFmtId="2" fontId="10" fillId="26" borderId="82" xfId="138" applyNumberFormat="1" applyFont="1" applyFill="1" applyBorder="1" applyAlignment="1">
      <alignment horizontal="right" vertical="center"/>
    </xf>
    <xf numFmtId="2" fontId="42" fillId="0" borderId="53" xfId="138" applyNumberFormat="1" applyFont="1" applyBorder="1" applyAlignment="1">
      <alignment horizontal="right" vertical="center"/>
    </xf>
    <xf numFmtId="2" fontId="42" fillId="0" borderId="55" xfId="138" applyNumberFormat="1" applyFont="1" applyBorder="1" applyAlignment="1">
      <alignment horizontal="right" vertical="center"/>
    </xf>
    <xf numFmtId="2" fontId="42" fillId="0" borderId="46" xfId="138" applyNumberFormat="1" applyFont="1" applyBorder="1" applyAlignment="1">
      <alignment horizontal="right" vertical="center"/>
    </xf>
    <xf numFmtId="2" fontId="10" fillId="0" borderId="46" xfId="138" applyNumberFormat="1" applyFont="1" applyBorder="1" applyAlignment="1">
      <alignment horizontal="right" vertical="center"/>
    </xf>
    <xf numFmtId="0" fontId="5" fillId="31" borderId="69" xfId="138" applyFill="1" applyBorder="1" applyAlignment="1">
      <alignment horizontal="right" vertical="center"/>
    </xf>
    <xf numFmtId="2" fontId="10" fillId="31" borderId="70" xfId="138" applyNumberFormat="1" applyFont="1" applyFill="1" applyBorder="1" applyAlignment="1">
      <alignment horizontal="right" vertical="center"/>
    </xf>
    <xf numFmtId="2" fontId="10" fillId="31" borderId="69" xfId="138" applyNumberFormat="1" applyFont="1" applyFill="1" applyBorder="1" applyAlignment="1">
      <alignment horizontal="right" vertical="center"/>
    </xf>
    <xf numFmtId="2" fontId="42" fillId="31" borderId="70" xfId="138" applyNumberFormat="1" applyFont="1" applyFill="1" applyBorder="1" applyAlignment="1">
      <alignment horizontal="right" vertical="center"/>
    </xf>
    <xf numFmtId="2" fontId="42" fillId="31" borderId="61" xfId="138" applyNumberFormat="1" applyFont="1" applyFill="1" applyBorder="1" applyAlignment="1">
      <alignment horizontal="right" vertical="center"/>
    </xf>
    <xf numFmtId="2" fontId="10" fillId="0" borderId="53" xfId="138" applyNumberFormat="1" applyFont="1" applyBorder="1" applyAlignment="1">
      <alignment horizontal="right" vertical="center"/>
    </xf>
    <xf numFmtId="2" fontId="42" fillId="0" borderId="54" xfId="138" applyNumberFormat="1" applyFont="1" applyBorder="1" applyAlignment="1">
      <alignment horizontal="right" vertical="center"/>
    </xf>
    <xf numFmtId="2" fontId="10" fillId="31" borderId="82" xfId="138" applyNumberFormat="1" applyFont="1" applyFill="1" applyBorder="1" applyAlignment="1">
      <alignment horizontal="right" vertical="center"/>
    </xf>
    <xf numFmtId="2" fontId="10" fillId="26" borderId="76" xfId="138" applyNumberFormat="1" applyFont="1" applyFill="1" applyBorder="1" applyAlignment="1">
      <alignment horizontal="right" vertical="center"/>
    </xf>
    <xf numFmtId="2" fontId="42" fillId="26" borderId="51" xfId="138" applyNumberFormat="1" applyFont="1" applyFill="1" applyBorder="1" applyAlignment="1">
      <alignment horizontal="right" vertical="center"/>
    </xf>
    <xf numFmtId="2" fontId="10" fillId="26" borderId="36" xfId="138" applyNumberFormat="1" applyFont="1" applyFill="1" applyBorder="1" applyAlignment="1">
      <alignment horizontal="right" vertical="center"/>
    </xf>
    <xf numFmtId="0" fontId="5" fillId="26" borderId="76" xfId="138" applyFill="1" applyBorder="1" applyAlignment="1">
      <alignment horizontal="right" vertical="center"/>
    </xf>
    <xf numFmtId="2" fontId="10" fillId="26" borderId="51" xfId="138" applyNumberFormat="1" applyFont="1" applyFill="1" applyBorder="1" applyAlignment="1">
      <alignment horizontal="right" vertical="center"/>
    </xf>
    <xf numFmtId="2" fontId="42" fillId="26" borderId="21" xfId="138" applyNumberFormat="1" applyFont="1" applyFill="1" applyBorder="1" applyAlignment="1">
      <alignment horizontal="right" vertical="center"/>
    </xf>
    <xf numFmtId="2" fontId="10" fillId="26" borderId="5" xfId="138" applyNumberFormat="1" applyFont="1" applyFill="1" applyBorder="1" applyAlignment="1">
      <alignment horizontal="right" vertical="center"/>
    </xf>
    <xf numFmtId="173" fontId="5" fillId="26" borderId="53" xfId="138" applyNumberFormat="1" applyFill="1" applyBorder="1" applyAlignment="1">
      <alignment horizontal="right" vertical="center"/>
    </xf>
    <xf numFmtId="173" fontId="5" fillId="26" borderId="55" xfId="138" applyNumberFormat="1" applyFill="1" applyBorder="1" applyAlignment="1">
      <alignment horizontal="right" vertical="center"/>
    </xf>
    <xf numFmtId="173" fontId="10" fillId="26" borderId="46" xfId="138" applyNumberFormat="1" applyFont="1" applyFill="1" applyBorder="1" applyAlignment="1">
      <alignment horizontal="right" vertical="center"/>
    </xf>
    <xf numFmtId="173" fontId="5" fillId="26" borderId="46" xfId="138" applyNumberFormat="1" applyFill="1" applyBorder="1" applyAlignment="1">
      <alignment horizontal="right" vertical="center"/>
    </xf>
    <xf numFmtId="173" fontId="10" fillId="31" borderId="46" xfId="138" applyNumberFormat="1" applyFont="1" applyFill="1" applyBorder="1" applyAlignment="1">
      <alignment horizontal="right" vertical="center"/>
    </xf>
    <xf numFmtId="173" fontId="5" fillId="26" borderId="54" xfId="138" applyNumberFormat="1" applyFill="1" applyBorder="1" applyAlignment="1">
      <alignment horizontal="right" vertical="center"/>
    </xf>
    <xf numFmtId="173" fontId="5" fillId="26" borderId="34" xfId="138" applyNumberFormat="1" applyFill="1" applyBorder="1" applyAlignment="1">
      <alignment horizontal="right" vertical="center"/>
    </xf>
    <xf numFmtId="173" fontId="5" fillId="27" borderId="46" xfId="138" applyNumberFormat="1" applyFill="1" applyBorder="1" applyAlignment="1"/>
    <xf numFmtId="0" fontId="10" fillId="0" borderId="76" xfId="138" applyFont="1" applyBorder="1" applyAlignment="1">
      <alignment horizontal="right" vertical="center"/>
    </xf>
    <xf numFmtId="0" fontId="10" fillId="0" borderId="51" xfId="138" applyFont="1" applyBorder="1" applyAlignment="1">
      <alignment horizontal="right" vertical="center"/>
    </xf>
    <xf numFmtId="0" fontId="10" fillId="0" borderId="36" xfId="138" applyFont="1" applyBorder="1" applyAlignment="1">
      <alignment horizontal="right" vertical="center"/>
    </xf>
    <xf numFmtId="0" fontId="10" fillId="0" borderId="36" xfId="138" applyFont="1" applyFill="1" applyBorder="1" applyAlignment="1">
      <alignment horizontal="right" vertical="center"/>
    </xf>
    <xf numFmtId="0" fontId="10" fillId="0" borderId="76" xfId="138" applyFont="1" applyFill="1" applyBorder="1" applyAlignment="1">
      <alignment horizontal="right" vertical="center"/>
    </xf>
    <xf numFmtId="0" fontId="10" fillId="0" borderId="51" xfId="138" applyFont="1" applyFill="1" applyBorder="1" applyAlignment="1">
      <alignment horizontal="right" vertical="center"/>
    </xf>
    <xf numFmtId="0" fontId="10" fillId="0" borderId="21" xfId="138" applyFont="1" applyFill="1" applyBorder="1" applyAlignment="1">
      <alignment horizontal="right" vertical="center"/>
    </xf>
    <xf numFmtId="0" fontId="10" fillId="29" borderId="34" xfId="138" applyFont="1" applyFill="1" applyBorder="1"/>
    <xf numFmtId="0" fontId="10" fillId="29" borderId="46" xfId="138" applyFont="1" applyFill="1" applyBorder="1"/>
    <xf numFmtId="2" fontId="10" fillId="26" borderId="59" xfId="138" applyNumberFormat="1" applyFont="1" applyFill="1" applyBorder="1" applyAlignment="1">
      <alignment horizontal="right" vertical="center"/>
    </xf>
    <xf numFmtId="2" fontId="10" fillId="26" borderId="60" xfId="138" applyNumberFormat="1" applyFont="1" applyFill="1" applyBorder="1" applyAlignment="1">
      <alignment horizontal="right" vertical="center"/>
    </xf>
    <xf numFmtId="2" fontId="10" fillId="26" borderId="49" xfId="138" applyNumberFormat="1" applyFont="1" applyFill="1" applyBorder="1" applyAlignment="1">
      <alignment horizontal="right" vertical="center"/>
    </xf>
    <xf numFmtId="2" fontId="10" fillId="26" borderId="3" xfId="138" applyNumberFormat="1" applyFont="1" applyFill="1" applyBorder="1" applyAlignment="1">
      <alignment horizontal="right" vertical="center"/>
    </xf>
    <xf numFmtId="2" fontId="10" fillId="26" borderId="65" xfId="138" applyNumberFormat="1" applyFont="1" applyFill="1" applyBorder="1" applyAlignment="1">
      <alignment horizontal="right" vertical="center"/>
    </xf>
    <xf numFmtId="0" fontId="5" fillId="29" borderId="36" xfId="138" applyFill="1" applyBorder="1" applyAlignment="1">
      <alignment horizontal="left"/>
    </xf>
    <xf numFmtId="0" fontId="2" fillId="24" borderId="0" xfId="138" applyFont="1" applyFill="1"/>
    <xf numFmtId="0" fontId="5" fillId="24" borderId="0" xfId="138" applyFill="1"/>
    <xf numFmtId="10" fontId="20" fillId="27" borderId="29" xfId="99" applyNumberFormat="1" applyFont="1" applyFill="1" applyBorder="1" applyAlignment="1">
      <alignment horizontal="right" vertical="top"/>
    </xf>
    <xf numFmtId="10" fontId="20" fillId="27" borderId="92" xfId="99" applyNumberFormat="1" applyFont="1" applyFill="1" applyBorder="1" applyAlignment="1">
      <alignment horizontal="right" vertical="top"/>
    </xf>
    <xf numFmtId="1" fontId="20" fillId="26" borderId="74" xfId="99" applyNumberFormat="1" applyFont="1" applyFill="1" applyBorder="1" applyAlignment="1">
      <alignment horizontal="right" vertical="top"/>
    </xf>
    <xf numFmtId="169" fontId="20" fillId="26" borderId="0" xfId="99" applyNumberFormat="1" applyFont="1" applyFill="1" applyBorder="1" applyAlignment="1">
      <alignment horizontal="right" vertical="top"/>
    </xf>
    <xf numFmtId="1" fontId="20" fillId="26" borderId="48" xfId="99" applyNumberFormat="1" applyFont="1" applyFill="1" applyBorder="1" applyAlignment="1">
      <alignment horizontal="right" vertical="top"/>
    </xf>
    <xf numFmtId="169" fontId="20" fillId="26" borderId="1" xfId="99" applyNumberFormat="1" applyFont="1" applyFill="1" applyBorder="1" applyAlignment="1">
      <alignment horizontal="right" vertical="top"/>
    </xf>
    <xf numFmtId="169" fontId="10" fillId="26" borderId="33" xfId="99" applyNumberFormat="1" applyFont="1" applyFill="1" applyBorder="1" applyAlignment="1">
      <alignment horizontal="right" vertical="top"/>
    </xf>
    <xf numFmtId="169" fontId="20" fillId="26" borderId="33" xfId="99" applyNumberFormat="1" applyFont="1" applyFill="1" applyBorder="1" applyAlignment="1">
      <alignment horizontal="right" vertical="top"/>
    </xf>
    <xf numFmtId="169" fontId="20" fillId="26" borderId="81" xfId="99" applyNumberFormat="1" applyFont="1" applyFill="1" applyBorder="1" applyAlignment="1">
      <alignment horizontal="right" vertical="top"/>
    </xf>
    <xf numFmtId="169" fontId="20" fillId="26" borderId="2" xfId="99" applyNumberFormat="1" applyFont="1" applyFill="1" applyBorder="1" applyAlignment="1">
      <alignment horizontal="right" vertical="top"/>
    </xf>
    <xf numFmtId="1" fontId="20" fillId="26" borderId="85" xfId="99" applyNumberFormat="1" applyFont="1" applyFill="1" applyBorder="1" applyAlignment="1">
      <alignment horizontal="right" vertical="top"/>
    </xf>
    <xf numFmtId="0" fontId="10" fillId="24" borderId="10" xfId="0" applyFont="1" applyFill="1" applyBorder="1" applyAlignment="1">
      <alignment horizontal="left" wrapText="1"/>
    </xf>
    <xf numFmtId="0" fontId="12" fillId="29" borderId="50" xfId="138" applyFont="1" applyFill="1" applyBorder="1" applyAlignment="1">
      <alignment horizontal="right"/>
    </xf>
    <xf numFmtId="0" fontId="12" fillId="29" borderId="82" xfId="138" applyFont="1" applyFill="1" applyBorder="1" applyAlignment="1">
      <alignment horizontal="right"/>
    </xf>
    <xf numFmtId="0" fontId="44" fillId="29" borderId="35" xfId="138" applyFont="1" applyFill="1" applyBorder="1" applyAlignment="1">
      <alignment horizontal="center"/>
    </xf>
    <xf numFmtId="0" fontId="44" fillId="29" borderId="36" xfId="138" applyFont="1" applyFill="1" applyBorder="1" applyAlignment="1">
      <alignment horizontal="center"/>
    </xf>
    <xf numFmtId="0" fontId="44" fillId="29" borderId="37" xfId="138" applyFont="1" applyFill="1" applyBorder="1" applyAlignment="1">
      <alignment horizontal="center"/>
    </xf>
    <xf numFmtId="0" fontId="12" fillId="29" borderId="62" xfId="138" applyFont="1" applyFill="1" applyBorder="1" applyAlignment="1">
      <alignment horizontal="center"/>
    </xf>
    <xf numFmtId="0" fontId="12" fillId="29" borderId="64" xfId="138" applyFont="1" applyFill="1" applyBorder="1" applyAlignment="1">
      <alignment horizontal="center"/>
    </xf>
    <xf numFmtId="0" fontId="12" fillId="29" borderId="87" xfId="138" applyFont="1" applyFill="1" applyBorder="1" applyAlignment="1">
      <alignment horizontal="center"/>
    </xf>
    <xf numFmtId="0" fontId="12" fillId="29" borderId="69" xfId="138" applyFont="1" applyFill="1" applyBorder="1" applyAlignment="1">
      <alignment horizontal="center" wrapText="1"/>
    </xf>
    <xf numFmtId="0" fontId="12" fillId="29" borderId="61" xfId="138" applyFont="1" applyFill="1" applyBorder="1" applyAlignment="1">
      <alignment horizontal="center" wrapText="1"/>
    </xf>
    <xf numFmtId="0" fontId="12" fillId="29" borderId="70" xfId="138" applyFont="1" applyFill="1" applyBorder="1" applyAlignment="1">
      <alignment horizontal="center" wrapText="1"/>
    </xf>
    <xf numFmtId="0" fontId="12" fillId="29" borderId="50" xfId="138" applyFont="1" applyFill="1" applyBorder="1" applyAlignment="1">
      <alignment horizontal="center"/>
    </xf>
    <xf numFmtId="0" fontId="12" fillId="29" borderId="47" xfId="138" applyFont="1" applyFill="1" applyBorder="1" applyAlignment="1">
      <alignment horizontal="center"/>
    </xf>
    <xf numFmtId="0" fontId="12" fillId="29" borderId="49" xfId="138" applyFont="1" applyFill="1" applyBorder="1" applyAlignment="1">
      <alignment horizontal="center"/>
    </xf>
    <xf numFmtId="0" fontId="12" fillId="29" borderId="76" xfId="138" applyFont="1" applyFill="1" applyBorder="1" applyAlignment="1">
      <alignment horizontal="center" vertical="center" wrapText="1"/>
    </xf>
    <xf numFmtId="0" fontId="12" fillId="29" borderId="21" xfId="138" applyFont="1" applyFill="1" applyBorder="1" applyAlignment="1">
      <alignment horizontal="center" vertical="center" wrapText="1"/>
    </xf>
    <xf numFmtId="0" fontId="12" fillId="29" borderId="51" xfId="138" applyFont="1" applyFill="1" applyBorder="1" applyAlignment="1">
      <alignment horizontal="center" vertical="center" wrapText="1"/>
    </xf>
    <xf numFmtId="0" fontId="12" fillId="29" borderId="53" xfId="138" applyFont="1" applyFill="1" applyBorder="1" applyAlignment="1">
      <alignment horizontal="center" vertical="center" wrapText="1"/>
    </xf>
    <xf numFmtId="0" fontId="12" fillId="29" borderId="54" xfId="138" applyFont="1" applyFill="1" applyBorder="1" applyAlignment="1">
      <alignment horizontal="center" vertical="center" wrapText="1"/>
    </xf>
    <xf numFmtId="0" fontId="12" fillId="29" borderId="55" xfId="138" applyFont="1" applyFill="1" applyBorder="1" applyAlignment="1">
      <alignment horizontal="center" vertical="center" wrapText="1"/>
    </xf>
    <xf numFmtId="0" fontId="12" fillId="29" borderId="84" xfId="138" applyFont="1" applyFill="1" applyBorder="1" applyAlignment="1">
      <alignment horizontal="center" wrapText="1"/>
    </xf>
    <xf numFmtId="0" fontId="12" fillId="29" borderId="85" xfId="138" applyFont="1" applyFill="1" applyBorder="1" applyAlignment="1">
      <alignment horizontal="center" wrapText="1"/>
    </xf>
    <xf numFmtId="0" fontId="12" fillId="29" borderId="86" xfId="138" applyFont="1" applyFill="1" applyBorder="1" applyAlignment="1">
      <alignment horizontal="center" wrapText="1"/>
    </xf>
    <xf numFmtId="0" fontId="12" fillId="29" borderId="2" xfId="138" applyFont="1" applyFill="1" applyBorder="1" applyAlignment="1">
      <alignment horizontal="center" wrapText="1"/>
    </xf>
    <xf numFmtId="0" fontId="12" fillId="29" borderId="80" xfId="138" applyFont="1" applyFill="1" applyBorder="1" applyAlignment="1">
      <alignment horizontal="center" wrapText="1"/>
    </xf>
    <xf numFmtId="0" fontId="12" fillId="29" borderId="56" xfId="138" applyFont="1" applyFill="1" applyBorder="1" applyAlignment="1">
      <alignment horizontal="center" vertical="center" wrapText="1"/>
    </xf>
    <xf numFmtId="0" fontId="12" fillId="29" borderId="64" xfId="138" applyFont="1" applyFill="1" applyBorder="1" applyAlignment="1">
      <alignment horizontal="center" wrapText="1"/>
    </xf>
    <xf numFmtId="0" fontId="12" fillId="29" borderId="66" xfId="138" applyFont="1" applyFill="1" applyBorder="1" applyAlignment="1">
      <alignment horizontal="center" wrapText="1"/>
    </xf>
    <xf numFmtId="0" fontId="12" fillId="29" borderId="3" xfId="138" applyFont="1" applyFill="1" applyBorder="1" applyAlignment="1">
      <alignment horizontal="center"/>
    </xf>
    <xf numFmtId="0" fontId="12" fillId="29" borderId="67" xfId="138" applyFont="1" applyFill="1" applyBorder="1" applyAlignment="1">
      <alignment horizontal="center"/>
    </xf>
    <xf numFmtId="0" fontId="12" fillId="29" borderId="65" xfId="138" applyFont="1" applyFill="1" applyBorder="1" applyAlignment="1">
      <alignment horizontal="center" wrapText="1"/>
    </xf>
    <xf numFmtId="0" fontId="12" fillId="29" borderId="60" xfId="138" applyFont="1" applyFill="1" applyBorder="1" applyAlignment="1">
      <alignment horizontal="center" wrapText="1"/>
    </xf>
    <xf numFmtId="0" fontId="12" fillId="29" borderId="68" xfId="138" applyFont="1" applyFill="1" applyBorder="1" applyAlignment="1">
      <alignment horizontal="center" wrapText="1"/>
    </xf>
    <xf numFmtId="0" fontId="12" fillId="29" borderId="72" xfId="138" applyFont="1" applyFill="1" applyBorder="1" applyAlignment="1">
      <alignment horizontal="center" wrapText="1"/>
    </xf>
    <xf numFmtId="0" fontId="46" fillId="26" borderId="36" xfId="138" applyFont="1" applyFill="1" applyBorder="1" applyAlignment="1">
      <alignment horizontal="center" vertical="center"/>
    </xf>
    <xf numFmtId="0" fontId="48" fillId="24" borderId="0" xfId="0" applyFont="1" applyFill="1" applyAlignment="1">
      <alignment horizontal="left" wrapText="1"/>
    </xf>
    <xf numFmtId="0" fontId="49" fillId="29" borderId="75" xfId="0" applyFont="1" applyFill="1" applyBorder="1" applyAlignment="1">
      <alignment horizontal="center" wrapText="1"/>
    </xf>
    <xf numFmtId="0" fontId="49" fillId="29" borderId="76" xfId="0" applyFont="1" applyFill="1" applyBorder="1" applyAlignment="1">
      <alignment horizontal="center" wrapText="1"/>
    </xf>
    <xf numFmtId="0" fontId="49" fillId="29" borderId="77" xfId="0" applyFont="1" applyFill="1" applyBorder="1" applyAlignment="1">
      <alignment horizontal="center" wrapText="1"/>
    </xf>
    <xf numFmtId="0" fontId="39" fillId="27" borderId="62" xfId="140" applyFont="1" applyFill="1" applyBorder="1" applyAlignment="1">
      <alignment horizontal="center" wrapText="1"/>
    </xf>
    <xf numFmtId="0" fontId="39" fillId="27" borderId="59" xfId="140" applyFont="1" applyFill="1" applyBorder="1" applyAlignment="1">
      <alignment horizontal="center" wrapText="1"/>
    </xf>
    <xf numFmtId="0" fontId="1" fillId="29" borderId="64" xfId="140" applyFont="1" applyFill="1" applyBorder="1" applyAlignment="1">
      <alignment horizontal="center"/>
    </xf>
    <xf numFmtId="0" fontId="4" fillId="29" borderId="65" xfId="140" applyFont="1" applyFill="1" applyBorder="1" applyAlignment="1">
      <alignment horizontal="center"/>
    </xf>
    <xf numFmtId="0" fontId="43" fillId="25" borderId="27" xfId="99" applyFont="1" applyFill="1" applyBorder="1" applyAlignment="1">
      <alignment horizontal="center" vertical="top" wrapText="1" readingOrder="1"/>
    </xf>
    <xf numFmtId="0" fontId="43" fillId="25" borderId="28" xfId="99" applyFont="1" applyFill="1" applyBorder="1" applyAlignment="1">
      <alignment horizontal="center" vertical="top" wrapText="1" readingOrder="1"/>
    </xf>
    <xf numFmtId="0" fontId="43" fillId="25" borderId="29" xfId="99" applyFont="1" applyFill="1" applyBorder="1" applyAlignment="1">
      <alignment horizontal="center" vertical="top" wrapText="1" readingOrder="1"/>
    </xf>
    <xf numFmtId="0" fontId="20" fillId="24" borderId="0" xfId="99" applyFont="1" applyFill="1" applyAlignment="1">
      <alignment horizontal="left" vertical="top"/>
    </xf>
    <xf numFmtId="0" fontId="19" fillId="0" borderId="88" xfId="99" applyFont="1" applyBorder="1" applyAlignment="1">
      <alignment horizontal="left" vertical="top" wrapText="1" readingOrder="1"/>
    </xf>
    <xf numFmtId="0" fontId="19" fillId="0" borderId="89" xfId="99" applyFont="1" applyBorder="1" applyAlignment="1">
      <alignment horizontal="left" vertical="top" wrapText="1" readingOrder="1"/>
    </xf>
    <xf numFmtId="0" fontId="19" fillId="0" borderId="90" xfId="99" applyFont="1" applyBorder="1" applyAlignment="1">
      <alignment horizontal="left" vertical="top" wrapText="1" readingOrder="1"/>
    </xf>
    <xf numFmtId="0" fontId="19" fillId="0" borderId="91" xfId="99" applyFont="1" applyBorder="1" applyAlignment="1">
      <alignment horizontal="left" vertical="top" wrapText="1" readingOrder="1"/>
    </xf>
    <xf numFmtId="0" fontId="20" fillId="0" borderId="30" xfId="99" applyFont="1" applyBorder="1" applyAlignment="1">
      <alignment horizontal="center" vertical="top" wrapText="1" readingOrder="1"/>
    </xf>
    <xf numFmtId="0" fontId="19" fillId="0" borderId="22" xfId="99" applyFont="1" applyBorder="1" applyAlignment="1">
      <alignment horizontal="center" vertical="top" wrapText="1" readingOrder="1"/>
    </xf>
    <xf numFmtId="0" fontId="19" fillId="0" borderId="31" xfId="99" applyFont="1" applyBorder="1" applyAlignment="1">
      <alignment horizontal="center" vertical="top" wrapText="1" readingOrder="1"/>
    </xf>
    <xf numFmtId="0" fontId="20" fillId="0" borderId="22" xfId="99" applyFont="1" applyBorder="1" applyAlignment="1">
      <alignment horizontal="center" vertical="top" wrapText="1" readingOrder="1"/>
    </xf>
    <xf numFmtId="0" fontId="20" fillId="0" borderId="31" xfId="99" applyFont="1" applyBorder="1" applyAlignment="1">
      <alignment horizontal="center" vertical="top" wrapText="1" readingOrder="1"/>
    </xf>
    <xf numFmtId="0" fontId="19" fillId="0" borderId="23" xfId="99" applyFont="1" applyBorder="1" applyAlignment="1">
      <alignment horizontal="center" vertical="top" wrapText="1" readingOrder="1"/>
    </xf>
  </cellXfs>
  <cellStyles count="143">
    <cellStyle name="20% - Accent1 2" xfId="21"/>
    <cellStyle name="20% - Accent1 3" xfId="22"/>
    <cellStyle name="20% - Accent2 2" xfId="23"/>
    <cellStyle name="20% - Accent2 3" xfId="24"/>
    <cellStyle name="20% - Accent3 2" xfId="25"/>
    <cellStyle name="20% - Accent3 3" xfId="26"/>
    <cellStyle name="20% - Accent4 2" xfId="27"/>
    <cellStyle name="20% - Accent4 3" xfId="28"/>
    <cellStyle name="20% - Accent5 2" xfId="29"/>
    <cellStyle name="20% - Accent5 3" xfId="30"/>
    <cellStyle name="20% - Accent6 2" xfId="31"/>
    <cellStyle name="20% - Accent6 3" xfId="32"/>
    <cellStyle name="40% - Accent1 2" xfId="33"/>
    <cellStyle name="40% - Accent1 3" xfId="34"/>
    <cellStyle name="40% - Accent2 2" xfId="35"/>
    <cellStyle name="40% - Accent2 3" xfId="36"/>
    <cellStyle name="40% - Accent3 2" xfId="37"/>
    <cellStyle name="40% - Accent3 3" xfId="38"/>
    <cellStyle name="40% - Accent4 2" xfId="39"/>
    <cellStyle name="40% - Accent4 3" xfId="40"/>
    <cellStyle name="40% - Accent5 2" xfId="41"/>
    <cellStyle name="40% - Accent5 3" xfId="42"/>
    <cellStyle name="40% - Accent6 2" xfId="43"/>
    <cellStyle name="40% - Accent6 3" xfId="44"/>
    <cellStyle name="60% - Accent1 2" xfId="45"/>
    <cellStyle name="60% - Accent1 3" xfId="46"/>
    <cellStyle name="60% - Accent2 2" xfId="47"/>
    <cellStyle name="60% - Accent2 3" xfId="48"/>
    <cellStyle name="60% - Accent3 2" xfId="49"/>
    <cellStyle name="60% - Accent3 3" xfId="50"/>
    <cellStyle name="60% - Accent4 2" xfId="51"/>
    <cellStyle name="60% - Accent4 3" xfId="52"/>
    <cellStyle name="60% - Accent5 2" xfId="53"/>
    <cellStyle name="60% - Accent5 3" xfId="54"/>
    <cellStyle name="60% - Accent6 2" xfId="55"/>
    <cellStyle name="60% - Accent6 3" xfId="56"/>
    <cellStyle name="Accent1 2" xfId="57"/>
    <cellStyle name="Accent1 3" xfId="58"/>
    <cellStyle name="Accent2 2" xfId="59"/>
    <cellStyle name="Accent2 3" xfId="60"/>
    <cellStyle name="Accent3 2" xfId="61"/>
    <cellStyle name="Accent3 3" xfId="62"/>
    <cellStyle name="Accent4 2" xfId="63"/>
    <cellStyle name="Accent4 3" xfId="64"/>
    <cellStyle name="Accent5 2" xfId="65"/>
    <cellStyle name="Accent5 3" xfId="66"/>
    <cellStyle name="Accent6 2" xfId="67"/>
    <cellStyle name="Accent6 3" xfId="68"/>
    <cellStyle name="Bad 2" xfId="69"/>
    <cellStyle name="Bad 3" xfId="70"/>
    <cellStyle name="Calculation 2" xfId="71"/>
    <cellStyle name="Calculation 3" xfId="72"/>
    <cellStyle name="Check Cell 2" xfId="73"/>
    <cellStyle name="Check Cell 3" xfId="74"/>
    <cellStyle name="Comma" xfId="139" builtinId="3"/>
    <cellStyle name="Comma 2" xfId="1"/>
    <cellStyle name="Comma 2 2" xfId="12"/>
    <cellStyle name="Comma 2 2 2" xfId="130"/>
    <cellStyle name="Comma 2 3" xfId="75"/>
    <cellStyle name="Comma 3" xfId="5"/>
    <cellStyle name="Comma 3 2" xfId="132"/>
    <cellStyle name="Comma 3 3" xfId="137"/>
    <cellStyle name="Comma 4" xfId="9"/>
    <cellStyle name="Comma 5" xfId="14"/>
    <cellStyle name="Comma 6" xfId="142"/>
    <cellStyle name="Comma 9" xfId="127"/>
    <cellStyle name="Currency 12" xfId="128"/>
    <cellStyle name="Currency 2" xfId="7"/>
    <cellStyle name="Currency 2 2" xfId="76"/>
    <cellStyle name="Currency 2 3" xfId="19"/>
    <cellStyle name="Currency 3" xfId="77"/>
    <cellStyle name="Currency 4" xfId="78"/>
    <cellStyle name="Currency 5" xfId="79"/>
    <cellStyle name="Currency 6" xfId="119"/>
    <cellStyle name="Currency 6 2" xfId="122"/>
    <cellStyle name="Currency 7" xfId="135"/>
    <cellStyle name="Explanatory Text 2" xfId="80"/>
    <cellStyle name="Explanatory Text 3" xfId="81"/>
    <cellStyle name="Good 2" xfId="82"/>
    <cellStyle name="Good 3" xfId="83"/>
    <cellStyle name="Heading 1 2" xfId="84"/>
    <cellStyle name="Heading 1 3" xfId="85"/>
    <cellStyle name="Heading 2 2" xfId="86"/>
    <cellStyle name="Heading 2 3" xfId="87"/>
    <cellStyle name="Heading 3 2" xfId="88"/>
    <cellStyle name="Heading 3 3" xfId="89"/>
    <cellStyle name="Heading 4 2" xfId="90"/>
    <cellStyle name="Heading 4 3" xfId="91"/>
    <cellStyle name="Input 2" xfId="92"/>
    <cellStyle name="Input 3" xfId="93"/>
    <cellStyle name="Linked Cell 2" xfId="94"/>
    <cellStyle name="Linked Cell 3" xfId="95"/>
    <cellStyle name="Neutral 2" xfId="96"/>
    <cellStyle name="Neutral 3" xfId="97"/>
    <cellStyle name="Normal" xfId="0" builtinId="0"/>
    <cellStyle name="Normal 10" xfId="136"/>
    <cellStyle name="Normal 11" xfId="138"/>
    <cellStyle name="Normal 12" xfId="126"/>
    <cellStyle name="Normal 13" xfId="141"/>
    <cellStyle name="Normal 14" xfId="140"/>
    <cellStyle name="Normal 2" xfId="6"/>
    <cellStyle name="Normal 2 2" xfId="11"/>
    <cellStyle name="Normal 2 2 2" xfId="100"/>
    <cellStyle name="Normal 2 2 3" xfId="99"/>
    <cellStyle name="Normal 2 3" xfId="101"/>
    <cellStyle name="Normal 2 4" xfId="98"/>
    <cellStyle name="Normal 2 5" xfId="15"/>
    <cellStyle name="Normal 2 6" xfId="16"/>
    <cellStyle name="Normal 3" xfId="4"/>
    <cellStyle name="Normal 3 2" xfId="131"/>
    <cellStyle name="Normal 3 3" xfId="18"/>
    <cellStyle name="Normal 3_2012" xfId="133"/>
    <cellStyle name="Normal 4" xfId="8"/>
    <cellStyle name="Normal 4 2" xfId="121"/>
    <cellStyle name="Normal 4 2 2" xfId="125"/>
    <cellStyle name="Normal 4 3" xfId="102"/>
    <cellStyle name="Normal 5" xfId="103"/>
    <cellStyle name="Normal 6" xfId="104"/>
    <cellStyle name="Normal 6 2" xfId="129"/>
    <cellStyle name="Normal 7" xfId="105"/>
    <cellStyle name="Normal 8" xfId="118"/>
    <cellStyle name="Normal 8 2" xfId="123"/>
    <cellStyle name="Normal 9" xfId="13"/>
    <cellStyle name="Note 2" xfId="106"/>
    <cellStyle name="Note 3" xfId="107"/>
    <cellStyle name="Output 2" xfId="108"/>
    <cellStyle name="Output 3" xfId="109"/>
    <cellStyle name="Percent" xfId="2" builtinId="5"/>
    <cellStyle name="Percent 2" xfId="3"/>
    <cellStyle name="Percent 2 2" xfId="110"/>
    <cellStyle name="Percent 2 3" xfId="17"/>
    <cellStyle name="Percent 3" xfId="10"/>
    <cellStyle name="Percent 3 2" xfId="111"/>
    <cellStyle name="Percent 3 3" xfId="20"/>
    <cellStyle name="Percent 4" xfId="120"/>
    <cellStyle name="Percent 4 2" xfId="124"/>
    <cellStyle name="Percent 5" xfId="134"/>
    <cellStyle name="Title 2" xfId="112"/>
    <cellStyle name="Title 3" xfId="113"/>
    <cellStyle name="Total 2" xfId="114"/>
    <cellStyle name="Total 3" xfId="115"/>
    <cellStyle name="Warning Text 2" xfId="116"/>
    <cellStyle name="Warning Text 3" xfId="117"/>
  </cellStyles>
  <dxfs count="0"/>
  <tableStyles count="0" defaultTableStyle="TableStyleMedium9" defaultPivotStyle="PivotStyleLight16"/>
  <colors>
    <mruColors>
      <color rgb="FFCCFF99"/>
      <color rgb="FF9966FF"/>
      <color rgb="FFCC66FF"/>
      <color rgb="FF9999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74"/>
  <sheetViews>
    <sheetView showGridLines="0" tabSelected="1" zoomScale="80" zoomScaleNormal="80" workbookViewId="0"/>
  </sheetViews>
  <sheetFormatPr defaultColWidth="0" defaultRowHeight="12.75" zeroHeight="1"/>
  <cols>
    <col min="1" max="1" width="14.28515625" style="1" customWidth="1"/>
    <col min="2" max="2" width="45.5703125" style="1" customWidth="1"/>
    <col min="3" max="3" width="20.5703125" style="1" customWidth="1"/>
    <col min="4" max="5" width="9.140625" style="1" customWidth="1"/>
    <col min="6" max="6" width="17.140625" style="1" bestFit="1" customWidth="1"/>
    <col min="7" max="10" width="9.140625" style="1" customWidth="1"/>
    <col min="11" max="11" width="17.140625" style="1" hidden="1" customWidth="1"/>
    <col min="12" max="16384" width="9.140625" style="1" hidden="1"/>
  </cols>
  <sheetData>
    <row r="1" spans="1:10">
      <c r="A1" s="33" t="s">
        <v>106</v>
      </c>
      <c r="B1" s="28"/>
      <c r="C1" s="28"/>
      <c r="D1" s="28"/>
      <c r="E1" s="28"/>
      <c r="F1" s="28"/>
      <c r="G1" s="28"/>
      <c r="H1" s="28"/>
      <c r="I1" s="28"/>
      <c r="J1" s="28"/>
    </row>
    <row r="2" spans="1:10">
      <c r="A2" s="28"/>
      <c r="B2" s="28"/>
      <c r="C2" s="28"/>
      <c r="D2" s="28"/>
      <c r="E2" s="28"/>
      <c r="F2" s="28"/>
      <c r="G2" s="28"/>
      <c r="H2" s="28"/>
      <c r="I2" s="28"/>
      <c r="J2" s="28"/>
    </row>
    <row r="3" spans="1:10" ht="13.5" thickBot="1">
      <c r="A3" s="28"/>
      <c r="B3" s="28"/>
      <c r="C3" s="28"/>
      <c r="D3" s="28"/>
      <c r="E3" s="28"/>
      <c r="F3" s="28"/>
      <c r="G3" s="28"/>
      <c r="H3" s="28"/>
      <c r="I3" s="28"/>
      <c r="J3" s="28"/>
    </row>
    <row r="4" spans="1:10" ht="15.75" thickBot="1">
      <c r="A4" s="28"/>
      <c r="B4" s="27" t="s">
        <v>90</v>
      </c>
      <c r="C4" s="182">
        <v>2015</v>
      </c>
      <c r="D4" s="102" t="s">
        <v>119</v>
      </c>
      <c r="E4" s="210"/>
      <c r="F4" s="210"/>
      <c r="G4" s="210"/>
      <c r="H4" s="210"/>
      <c r="I4" s="210"/>
      <c r="J4" s="28"/>
    </row>
    <row r="5" spans="1:10">
      <c r="A5" s="28"/>
      <c r="B5" s="28"/>
      <c r="C5" s="28"/>
      <c r="D5" s="28"/>
      <c r="E5" s="28"/>
      <c r="F5" s="28"/>
      <c r="G5" s="28"/>
      <c r="H5" s="28"/>
      <c r="I5" s="28"/>
      <c r="J5" s="28"/>
    </row>
    <row r="6" spans="1:10" ht="13.5" thickBot="1">
      <c r="A6" s="28"/>
      <c r="B6" s="28"/>
      <c r="C6" s="28"/>
      <c r="D6" s="28"/>
      <c r="E6" s="28"/>
      <c r="F6" s="28"/>
      <c r="G6" s="28"/>
      <c r="H6" s="28"/>
      <c r="I6" s="28"/>
      <c r="J6" s="28"/>
    </row>
    <row r="7" spans="1:10" ht="15">
      <c r="A7" s="28"/>
      <c r="B7" s="120" t="s">
        <v>45</v>
      </c>
      <c r="C7" s="121">
        <v>1.6799999999999999E-2</v>
      </c>
      <c r="D7" s="102" t="s">
        <v>120</v>
      </c>
      <c r="E7" s="210"/>
      <c r="F7" s="210"/>
      <c r="G7" s="210"/>
      <c r="H7" s="210"/>
      <c r="I7" s="210"/>
      <c r="J7" s="28"/>
    </row>
    <row r="8" spans="1:10" ht="15.75" thickBot="1">
      <c r="A8" s="28"/>
      <c r="B8" s="122" t="s">
        <v>46</v>
      </c>
      <c r="C8" s="123">
        <v>0.04</v>
      </c>
      <c r="D8" s="102" t="s">
        <v>121</v>
      </c>
      <c r="E8" s="210"/>
      <c r="F8" s="210"/>
      <c r="G8" s="210"/>
      <c r="H8" s="210"/>
      <c r="I8" s="210"/>
      <c r="J8" s="28"/>
    </row>
    <row r="9" spans="1:10" ht="15.75" thickBot="1">
      <c r="A9" s="28"/>
      <c r="B9" s="118"/>
      <c r="C9" s="118"/>
      <c r="D9" s="28"/>
      <c r="E9" s="28"/>
      <c r="F9" s="28"/>
      <c r="G9" s="28"/>
      <c r="H9" s="28"/>
      <c r="I9" s="28"/>
      <c r="J9" s="28"/>
    </row>
    <row r="10" spans="1:10" ht="15">
      <c r="A10" s="28"/>
      <c r="B10" s="120" t="s">
        <v>114</v>
      </c>
      <c r="C10" s="200">
        <v>1.1000000000000001</v>
      </c>
      <c r="D10" s="102" t="s">
        <v>122</v>
      </c>
      <c r="E10" s="210"/>
      <c r="F10" s="210"/>
      <c r="G10" s="210"/>
      <c r="H10" s="210"/>
      <c r="I10" s="210"/>
      <c r="J10" s="28"/>
    </row>
    <row r="11" spans="1:10" ht="15">
      <c r="A11" s="28"/>
      <c r="B11" s="124" t="s">
        <v>94</v>
      </c>
      <c r="C11" s="201">
        <v>3.6799999999999999E-2</v>
      </c>
      <c r="D11" s="102" t="s">
        <v>122</v>
      </c>
      <c r="E11" s="210"/>
      <c r="F11" s="210"/>
      <c r="G11" s="210"/>
      <c r="H11" s="210"/>
      <c r="I11" s="210"/>
      <c r="J11" s="28"/>
    </row>
    <row r="12" spans="1:10" ht="15.75" thickBot="1">
      <c r="A12" s="28"/>
      <c r="B12" s="122" t="s">
        <v>104</v>
      </c>
      <c r="C12" s="202">
        <v>3.832E-2</v>
      </c>
      <c r="D12" s="102" t="s">
        <v>122</v>
      </c>
      <c r="E12" s="210"/>
      <c r="F12" s="210"/>
      <c r="G12" s="210"/>
      <c r="H12" s="210"/>
      <c r="I12" s="210"/>
      <c r="J12" s="28"/>
    </row>
    <row r="13" spans="1:10">
      <c r="A13" s="28"/>
      <c r="B13" s="28"/>
      <c r="C13" s="28"/>
      <c r="D13" s="28"/>
      <c r="E13" s="28"/>
      <c r="F13" s="28"/>
      <c r="G13" s="28"/>
      <c r="H13" s="28"/>
      <c r="I13" s="28"/>
      <c r="J13" s="28"/>
    </row>
    <row r="14" spans="1:10">
      <c r="A14" s="28"/>
      <c r="B14" s="28"/>
      <c r="C14" s="28"/>
      <c r="D14" s="28"/>
      <c r="E14" s="28"/>
      <c r="F14" s="28"/>
      <c r="G14" s="28"/>
      <c r="H14" s="28"/>
      <c r="I14" s="28"/>
      <c r="J14" s="28"/>
    </row>
    <row r="15" spans="1:10" ht="15" customHeight="1" thickBot="1">
      <c r="A15" s="28"/>
      <c r="B15" s="28"/>
      <c r="C15" s="28"/>
      <c r="D15" s="28"/>
      <c r="E15" s="28"/>
      <c r="F15" s="28"/>
      <c r="G15" s="28"/>
      <c r="H15" s="28"/>
      <c r="I15" s="28"/>
      <c r="J15" s="28"/>
    </row>
    <row r="16" spans="1:10" ht="13.5" thickBot="1">
      <c r="A16" s="28"/>
      <c r="B16" s="26" t="s">
        <v>107</v>
      </c>
      <c r="C16" s="28"/>
      <c r="D16" s="102" t="s">
        <v>123</v>
      </c>
      <c r="E16" s="210"/>
      <c r="F16" s="210"/>
      <c r="G16" s="210"/>
      <c r="H16" s="210"/>
      <c r="I16" s="210"/>
      <c r="J16" s="28"/>
    </row>
    <row r="17" spans="1:10" ht="35.25" customHeight="1" thickBot="1">
      <c r="A17" s="28"/>
      <c r="B17" s="26" t="s">
        <v>86</v>
      </c>
      <c r="C17" s="26" t="s">
        <v>87</v>
      </c>
      <c r="D17" s="28"/>
      <c r="E17" s="28"/>
      <c r="F17" s="28"/>
      <c r="G17" s="28"/>
      <c r="H17" s="28"/>
      <c r="I17" s="28"/>
      <c r="J17" s="28"/>
    </row>
    <row r="18" spans="1:10" ht="15">
      <c r="A18" s="28"/>
      <c r="B18" s="18" t="s">
        <v>88</v>
      </c>
      <c r="C18" s="29">
        <v>4239504.0301294597</v>
      </c>
      <c r="D18" s="28"/>
      <c r="E18" s="28"/>
      <c r="F18" s="28"/>
      <c r="G18" s="28"/>
      <c r="H18" s="28"/>
      <c r="I18" s="28"/>
      <c r="J18" s="28"/>
    </row>
    <row r="19" spans="1:10" ht="12.75" customHeight="1">
      <c r="A19" s="28"/>
      <c r="B19" s="19" t="s">
        <v>28</v>
      </c>
      <c r="C19" s="29">
        <v>3217982.5126496507</v>
      </c>
      <c r="D19" s="28"/>
      <c r="E19" s="28"/>
      <c r="F19" s="28"/>
      <c r="G19" s="28"/>
      <c r="H19" s="28"/>
      <c r="I19" s="28"/>
      <c r="J19" s="28"/>
    </row>
    <row r="20" spans="1:10" ht="15">
      <c r="A20" s="28"/>
      <c r="B20" s="19" t="s">
        <v>30</v>
      </c>
      <c r="C20" s="30">
        <v>152635.22</v>
      </c>
      <c r="D20" s="28"/>
      <c r="E20" s="28"/>
      <c r="F20" s="28"/>
      <c r="G20" s="28"/>
      <c r="H20" s="28"/>
      <c r="I20" s="28"/>
      <c r="J20" s="28"/>
    </row>
    <row r="21" spans="1:10" ht="15">
      <c r="A21" s="28"/>
      <c r="B21" s="19" t="s">
        <v>29</v>
      </c>
      <c r="C21" s="30">
        <v>8930309.4313280024</v>
      </c>
      <c r="D21" s="28"/>
      <c r="E21" s="28"/>
      <c r="F21" s="28"/>
      <c r="G21" s="28"/>
      <c r="H21" s="28"/>
      <c r="I21" s="28"/>
      <c r="J21" s="28"/>
    </row>
    <row r="22" spans="1:10" ht="15">
      <c r="A22" s="28"/>
      <c r="B22" s="19" t="s">
        <v>31</v>
      </c>
      <c r="C22" s="30">
        <v>2046360.713</v>
      </c>
      <c r="D22" s="28"/>
      <c r="E22" s="28"/>
      <c r="F22" s="28"/>
      <c r="G22" s="28"/>
      <c r="H22" s="28"/>
      <c r="I22" s="28"/>
      <c r="J22" s="28"/>
    </row>
    <row r="23" spans="1:10" ht="15">
      <c r="A23" s="28"/>
      <c r="B23" s="19" t="s">
        <v>32</v>
      </c>
      <c r="C23" s="30">
        <v>10036898.199999999</v>
      </c>
      <c r="D23" s="28"/>
      <c r="E23" s="28"/>
      <c r="F23" s="28"/>
      <c r="G23" s="28"/>
      <c r="H23" s="28"/>
      <c r="I23" s="28"/>
      <c r="J23" s="28"/>
    </row>
    <row r="24" spans="1:10" ht="15">
      <c r="A24" s="28"/>
      <c r="B24" s="19" t="s">
        <v>33</v>
      </c>
      <c r="C24" s="30">
        <v>14772629.163700001</v>
      </c>
      <c r="D24" s="28"/>
      <c r="E24" s="28"/>
      <c r="F24" s="28"/>
      <c r="G24" s="28"/>
      <c r="H24" s="28"/>
      <c r="I24" s="28"/>
      <c r="J24" s="28"/>
    </row>
    <row r="25" spans="1:10" ht="15">
      <c r="A25" s="28"/>
      <c r="B25" s="19" t="s">
        <v>34</v>
      </c>
      <c r="C25" s="30">
        <v>4761695.1887999997</v>
      </c>
      <c r="D25" s="28"/>
      <c r="E25" s="28"/>
      <c r="F25" s="28"/>
      <c r="G25" s="28"/>
      <c r="H25" s="28"/>
      <c r="I25" s="28"/>
      <c r="J25" s="28"/>
    </row>
    <row r="26" spans="1:10" ht="15">
      <c r="A26" s="28"/>
      <c r="B26" s="19" t="s">
        <v>35</v>
      </c>
      <c r="C26" s="30">
        <v>10488841.163119998</v>
      </c>
      <c r="D26" s="28"/>
      <c r="E26" s="28"/>
      <c r="F26" s="28"/>
      <c r="G26" s="28"/>
      <c r="H26" s="28"/>
      <c r="I26" s="28"/>
      <c r="J26" s="28"/>
    </row>
    <row r="27" spans="1:10" ht="15.75" thickBot="1">
      <c r="A27" s="28"/>
      <c r="B27" s="19" t="s">
        <v>44</v>
      </c>
      <c r="C27" s="31">
        <v>91908921.516159981</v>
      </c>
      <c r="D27" s="28"/>
      <c r="E27" s="28"/>
      <c r="F27" s="28"/>
      <c r="G27" s="28"/>
      <c r="H27" s="28"/>
      <c r="I27" s="28"/>
      <c r="J27" s="28"/>
    </row>
    <row r="28" spans="1:10" ht="16.5" thickTop="1" thickBot="1">
      <c r="A28" s="28"/>
      <c r="B28" s="20" t="s">
        <v>36</v>
      </c>
      <c r="C28" s="32">
        <v>150555777.13888711</v>
      </c>
      <c r="D28" s="28"/>
      <c r="E28" s="28"/>
      <c r="F28" s="28"/>
      <c r="G28" s="28"/>
      <c r="H28" s="28"/>
      <c r="I28" s="28"/>
      <c r="J28" s="28"/>
    </row>
    <row r="29" spans="1:10" ht="15">
      <c r="A29" s="28"/>
      <c r="B29" s="21" t="s">
        <v>37</v>
      </c>
      <c r="C29" s="29">
        <v>509501.45134924003</v>
      </c>
      <c r="D29" s="28"/>
      <c r="E29" s="28"/>
      <c r="F29" s="28"/>
      <c r="G29" s="28"/>
      <c r="H29" s="28"/>
      <c r="I29" s="28"/>
      <c r="J29" s="28"/>
    </row>
    <row r="30" spans="1:10" ht="15">
      <c r="A30" s="28"/>
      <c r="B30" s="19" t="s">
        <v>38</v>
      </c>
      <c r="C30" s="30">
        <v>917149.05719999981</v>
      </c>
      <c r="D30" s="28"/>
      <c r="E30" s="28"/>
      <c r="F30" s="28"/>
      <c r="G30" s="28"/>
      <c r="H30" s="28"/>
      <c r="I30" s="28"/>
      <c r="J30" s="28"/>
    </row>
    <row r="31" spans="1:10" ht="15">
      <c r="A31" s="28"/>
      <c r="B31" s="19" t="s">
        <v>39</v>
      </c>
      <c r="C31" s="30">
        <v>2742950.9852199992</v>
      </c>
      <c r="D31" s="28"/>
      <c r="E31" s="28"/>
      <c r="F31" s="28"/>
      <c r="G31" s="28"/>
      <c r="H31" s="28"/>
      <c r="I31" s="28"/>
      <c r="J31" s="28"/>
    </row>
    <row r="32" spans="1:10" ht="15">
      <c r="A32" s="28"/>
      <c r="B32" s="19" t="s">
        <v>40</v>
      </c>
      <c r="C32" s="30">
        <v>827685.50430000015</v>
      </c>
      <c r="D32" s="28"/>
      <c r="E32" s="28"/>
      <c r="F32" s="28"/>
      <c r="G32" s="28"/>
      <c r="H32" s="28"/>
      <c r="I32" s="28"/>
      <c r="J32" s="28"/>
    </row>
    <row r="33" spans="1:10" ht="15">
      <c r="A33" s="28"/>
      <c r="B33" s="19" t="s">
        <v>41</v>
      </c>
      <c r="C33" s="30">
        <v>4392753.6096000001</v>
      </c>
      <c r="D33" s="28"/>
      <c r="E33" s="28"/>
      <c r="F33" s="28"/>
      <c r="G33" s="28"/>
      <c r="H33" s="28"/>
      <c r="I33" s="28"/>
      <c r="J33" s="28"/>
    </row>
    <row r="34" spans="1:10" ht="15.75" thickBot="1">
      <c r="A34" s="28"/>
      <c r="B34" s="19" t="s">
        <v>42</v>
      </c>
      <c r="C34" s="31">
        <v>20020746.124399994</v>
      </c>
      <c r="D34" s="28"/>
      <c r="E34" s="28"/>
      <c r="F34" s="28"/>
      <c r="G34" s="28"/>
      <c r="H34" s="28"/>
      <c r="I34" s="28"/>
      <c r="J34" s="28"/>
    </row>
    <row r="35" spans="1:10" ht="16.5" thickTop="1" thickBot="1">
      <c r="A35" s="28"/>
      <c r="B35" s="20" t="s">
        <v>43</v>
      </c>
      <c r="C35" s="32">
        <v>29410786.732069232</v>
      </c>
      <c r="D35" s="28"/>
      <c r="E35" s="28"/>
      <c r="F35" s="28"/>
      <c r="G35" s="28"/>
      <c r="H35" s="28"/>
      <c r="I35" s="28"/>
      <c r="J35" s="28"/>
    </row>
    <row r="36" spans="1:10">
      <c r="A36" s="28"/>
      <c r="B36" s="28"/>
      <c r="C36" s="28"/>
      <c r="D36" s="28"/>
      <c r="E36" s="28"/>
      <c r="F36" s="28"/>
      <c r="G36" s="28"/>
      <c r="H36" s="28"/>
      <c r="I36" s="28"/>
      <c r="J36" s="28"/>
    </row>
    <row r="37" spans="1:10">
      <c r="A37" s="28"/>
      <c r="B37" s="28"/>
      <c r="C37" s="28"/>
      <c r="D37" s="28"/>
      <c r="E37" s="28"/>
      <c r="F37" s="28"/>
      <c r="G37" s="28"/>
      <c r="H37" s="28"/>
      <c r="I37" s="28"/>
      <c r="J37" s="28"/>
    </row>
    <row r="38" spans="1:10" ht="13.5" thickBot="1">
      <c r="A38" s="28"/>
      <c r="B38" s="28"/>
      <c r="C38" s="28"/>
      <c r="D38" s="28"/>
      <c r="E38" s="28"/>
      <c r="F38" s="28"/>
      <c r="G38" s="28"/>
      <c r="H38" s="28"/>
      <c r="I38" s="28"/>
      <c r="J38" s="28"/>
    </row>
    <row r="39" spans="1:10" ht="13.5" thickBot="1">
      <c r="A39" s="28"/>
      <c r="B39" s="22" t="s">
        <v>0</v>
      </c>
      <c r="C39" s="28"/>
      <c r="D39" s="28"/>
      <c r="E39" s="28"/>
      <c r="F39" s="28"/>
      <c r="G39" s="28"/>
      <c r="H39" s="28"/>
      <c r="I39" s="28"/>
      <c r="J39" s="28"/>
    </row>
    <row r="40" spans="1:10" ht="15">
      <c r="A40" s="28"/>
      <c r="B40" s="21" t="s">
        <v>2</v>
      </c>
      <c r="C40" s="23">
        <f>SUM(C33:C34)</f>
        <v>24413499.733999994</v>
      </c>
      <c r="D40" s="28"/>
      <c r="E40" s="28"/>
      <c r="F40" s="28"/>
      <c r="G40" s="28"/>
      <c r="H40" s="28"/>
      <c r="I40" s="28"/>
      <c r="J40" s="28"/>
    </row>
    <row r="41" spans="1:10" ht="15.75" thickBot="1">
      <c r="A41" s="28"/>
      <c r="B41" s="24" t="s">
        <v>1</v>
      </c>
      <c r="C41" s="25">
        <f>SUM(C23:C27)</f>
        <v>131968985.23177998</v>
      </c>
      <c r="D41" s="28"/>
      <c r="E41" s="28"/>
      <c r="F41" s="28"/>
      <c r="G41" s="28"/>
      <c r="H41" s="28"/>
      <c r="I41" s="28"/>
      <c r="J41" s="28"/>
    </row>
    <row r="42" spans="1:10">
      <c r="A42" s="28"/>
      <c r="B42" s="28"/>
      <c r="C42" s="28"/>
      <c r="D42" s="28"/>
      <c r="E42" s="28"/>
      <c r="F42" s="28"/>
      <c r="G42" s="28"/>
      <c r="H42" s="28"/>
      <c r="I42" s="28"/>
      <c r="J42" s="28"/>
    </row>
    <row r="43" spans="1:10">
      <c r="A43" s="28"/>
      <c r="B43" s="28"/>
      <c r="C43" s="28"/>
      <c r="D43" s="28"/>
      <c r="E43" s="28"/>
      <c r="F43" s="28"/>
      <c r="G43" s="28"/>
      <c r="H43" s="28"/>
      <c r="I43" s="28"/>
      <c r="J43" s="28"/>
    </row>
    <row r="44" spans="1:10">
      <c r="A44" s="28"/>
      <c r="B44" s="28"/>
      <c r="C44" s="28"/>
      <c r="D44" s="28"/>
      <c r="E44" s="28"/>
      <c r="F44" s="28"/>
      <c r="G44" s="28"/>
      <c r="H44" s="28"/>
      <c r="I44" s="28"/>
      <c r="J44" s="28"/>
    </row>
    <row r="45" spans="1:10">
      <c r="A45" s="28"/>
      <c r="B45" s="28"/>
      <c r="C45" s="28"/>
      <c r="D45" s="28"/>
      <c r="E45" s="28"/>
      <c r="F45" s="28"/>
      <c r="G45" s="28"/>
      <c r="H45" s="28"/>
      <c r="I45" s="28"/>
      <c r="J45" s="28"/>
    </row>
    <row r="46" spans="1:10">
      <c r="A46" s="28"/>
      <c r="B46" s="28"/>
      <c r="C46" s="28"/>
      <c r="D46" s="28"/>
      <c r="E46" s="28"/>
      <c r="F46" s="28"/>
      <c r="G46" s="28"/>
      <c r="H46" s="28"/>
      <c r="I46" s="28"/>
      <c r="J46" s="28"/>
    </row>
    <row r="47" spans="1:10">
      <c r="A47" s="28"/>
      <c r="B47" s="28"/>
      <c r="C47" s="28"/>
      <c r="D47" s="28"/>
      <c r="E47" s="28"/>
      <c r="F47" s="28"/>
      <c r="G47" s="28"/>
      <c r="H47" s="28"/>
      <c r="I47" s="28"/>
      <c r="J47" s="28"/>
    </row>
    <row r="48" spans="1:10">
      <c r="A48" s="28"/>
      <c r="B48" s="28"/>
      <c r="C48" s="28"/>
      <c r="D48" s="28"/>
      <c r="E48" s="28"/>
      <c r="F48" s="28"/>
      <c r="G48" s="28"/>
      <c r="H48" s="28"/>
      <c r="I48" s="28"/>
      <c r="J48" s="28"/>
    </row>
    <row r="49" spans="1:10">
      <c r="A49" s="28"/>
      <c r="B49" s="28"/>
      <c r="C49" s="28"/>
      <c r="D49" s="28"/>
      <c r="E49" s="28"/>
      <c r="F49" s="28"/>
      <c r="G49" s="28"/>
      <c r="H49" s="28"/>
      <c r="I49" s="28"/>
      <c r="J49" s="28"/>
    </row>
    <row r="50" spans="1:10">
      <c r="A50" s="28"/>
      <c r="B50" s="28"/>
      <c r="C50" s="28"/>
      <c r="D50" s="28"/>
      <c r="E50" s="28"/>
      <c r="F50" s="28"/>
      <c r="G50" s="28"/>
      <c r="H50" s="28"/>
      <c r="I50" s="28"/>
      <c r="J50" s="28"/>
    </row>
    <row r="51" spans="1:10">
      <c r="A51" s="28"/>
      <c r="B51" s="28"/>
      <c r="C51" s="28"/>
      <c r="D51" s="28"/>
      <c r="E51" s="28"/>
      <c r="F51" s="28"/>
      <c r="G51" s="28"/>
      <c r="H51" s="28"/>
      <c r="I51" s="28"/>
      <c r="J51" s="28"/>
    </row>
    <row r="52" spans="1:10">
      <c r="A52" s="28"/>
      <c r="B52" s="28"/>
      <c r="C52" s="28"/>
      <c r="D52" s="28"/>
      <c r="E52" s="28"/>
      <c r="F52" s="28"/>
      <c r="G52" s="28"/>
      <c r="H52" s="28"/>
      <c r="I52" s="28"/>
      <c r="J52" s="28"/>
    </row>
    <row r="53" spans="1:10">
      <c r="A53" s="28"/>
      <c r="B53" s="28"/>
      <c r="C53" s="28"/>
      <c r="D53" s="28"/>
      <c r="E53" s="28"/>
      <c r="F53" s="28"/>
      <c r="G53" s="28"/>
      <c r="H53" s="28"/>
      <c r="I53" s="28"/>
      <c r="J53" s="28"/>
    </row>
    <row r="54" spans="1:10" hidden="1">
      <c r="A54" s="28"/>
      <c r="B54" s="28"/>
      <c r="C54" s="28"/>
      <c r="D54" s="28"/>
      <c r="E54" s="28"/>
      <c r="F54" s="28"/>
      <c r="G54" s="28"/>
      <c r="H54" s="28"/>
      <c r="I54" s="28"/>
      <c r="J54" s="28"/>
    </row>
    <row r="55" spans="1:10" ht="15" hidden="1">
      <c r="A55" s="4"/>
      <c r="B55" s="3"/>
      <c r="C55" s="4"/>
      <c r="E55" s="4"/>
      <c r="F55" s="4"/>
      <c r="G55" s="4"/>
      <c r="H55" s="4"/>
      <c r="I55" s="4"/>
      <c r="J55" s="4"/>
    </row>
    <row r="56" spans="1:10" ht="15" hidden="1">
      <c r="A56" s="4"/>
      <c r="B56" s="3"/>
      <c r="C56" s="4"/>
    </row>
    <row r="57" spans="1:10" ht="15" hidden="1">
      <c r="A57" s="4"/>
      <c r="B57" s="3"/>
      <c r="C57" s="4"/>
    </row>
    <row r="58" spans="1:10" ht="15" hidden="1">
      <c r="A58" s="4"/>
      <c r="B58" s="3"/>
      <c r="C58" s="4"/>
    </row>
    <row r="59" spans="1:10" ht="15" hidden="1">
      <c r="A59" s="4"/>
      <c r="B59" s="3"/>
      <c r="C59" s="4"/>
    </row>
    <row r="60" spans="1:10" ht="15" hidden="1">
      <c r="A60" s="4"/>
      <c r="B60" s="3"/>
      <c r="C60" s="4"/>
    </row>
    <row r="61" spans="1:10" ht="15" hidden="1">
      <c r="A61" s="4"/>
      <c r="B61" s="3"/>
      <c r="C61" s="4"/>
    </row>
    <row r="62" spans="1:10" ht="15" hidden="1">
      <c r="A62" s="4"/>
      <c r="B62" s="3"/>
      <c r="C62" s="4"/>
    </row>
    <row r="63" spans="1:10" ht="15" hidden="1">
      <c r="A63" s="4"/>
      <c r="B63" s="4"/>
      <c r="C63" s="4"/>
    </row>
    <row r="64" spans="1:10"/>
    <row r="65"/>
    <row r="66"/>
    <row r="67"/>
    <row r="68"/>
    <row r="69"/>
    <row r="70"/>
    <row r="71"/>
    <row r="72"/>
    <row r="73"/>
    <row r="74"/>
  </sheetData>
  <sheetProtection sheet="1" objects="1" scenarios="1"/>
  <phoneticPr fontId="14" type="noConversion"/>
  <pageMargins left="0.75" right="0.75" top="1" bottom="1" header="0.5" footer="0.5"/>
  <pageSetup scale="6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Q55"/>
  <sheetViews>
    <sheetView tabSelected="1" zoomScaleNormal="100" workbookViewId="0"/>
  </sheetViews>
  <sheetFormatPr defaultColWidth="0" defaultRowHeight="12.75" zeroHeight="1"/>
  <cols>
    <col min="1" max="1" width="6.28515625" style="34" customWidth="1"/>
    <col min="2" max="2" width="9" style="34" customWidth="1"/>
    <col min="3" max="13" width="10.140625" style="34" customWidth="1"/>
    <col min="14" max="14" width="10.28515625" style="34" bestFit="1" customWidth="1"/>
    <col min="15" max="15" width="11.28515625" style="34" bestFit="1" customWidth="1"/>
    <col min="16" max="16" width="10.28515625" style="34" bestFit="1" customWidth="1"/>
    <col min="17" max="17" width="12.28515625" style="34" bestFit="1" customWidth="1"/>
    <col min="18" max="18" width="12.28515625" style="34" customWidth="1"/>
    <col min="19" max="19" width="10.28515625" style="34" bestFit="1" customWidth="1"/>
    <col min="20" max="20" width="10.85546875" style="34" bestFit="1" customWidth="1"/>
    <col min="21" max="21" width="10.28515625" style="34" bestFit="1" customWidth="1"/>
    <col min="22" max="22" width="10.28515625" style="34" customWidth="1"/>
    <col min="23" max="25" width="10.28515625" style="34" bestFit="1" customWidth="1"/>
    <col min="26" max="26" width="10.140625" customWidth="1"/>
    <col min="27" max="27" width="10.140625" style="34" customWidth="1"/>
    <col min="28" max="33" width="10.140625" style="34" hidden="1" customWidth="1"/>
    <col min="34" max="43" width="0" style="34" hidden="1" customWidth="1"/>
    <col min="44" max="16384" width="10.140625" style="34" hidden="1"/>
  </cols>
  <sheetData>
    <row r="1" spans="1:27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</row>
    <row r="2" spans="1:27" ht="30.75" customHeight="1" thickBot="1">
      <c r="A2" s="28"/>
      <c r="B2" s="28"/>
      <c r="C2" s="28"/>
      <c r="D2" s="311" t="s">
        <v>124</v>
      </c>
      <c r="E2" s="311"/>
      <c r="F2" s="311"/>
      <c r="G2" s="311"/>
      <c r="H2" s="311"/>
      <c r="I2" s="311"/>
      <c r="J2" s="311"/>
      <c r="K2" s="311"/>
      <c r="L2" s="311"/>
      <c r="M2" s="28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</row>
    <row r="3" spans="1:27" ht="13.5" thickBot="1">
      <c r="A3" s="28"/>
      <c r="B3" s="28"/>
      <c r="C3" s="28"/>
      <c r="D3" s="54" t="s">
        <v>115</v>
      </c>
      <c r="E3" s="55"/>
      <c r="F3" s="55"/>
      <c r="G3" s="55"/>
      <c r="H3" s="55"/>
      <c r="I3" s="55"/>
      <c r="J3" s="55"/>
      <c r="K3" s="55"/>
      <c r="L3" s="56"/>
      <c r="M3" s="28"/>
      <c r="N3" s="74"/>
      <c r="O3" s="54" t="s">
        <v>91</v>
      </c>
      <c r="P3" s="55"/>
      <c r="Q3" s="55"/>
      <c r="R3" s="55"/>
      <c r="S3" s="55"/>
      <c r="T3" s="55"/>
      <c r="U3" s="55"/>
      <c r="V3" s="55"/>
      <c r="W3" s="55"/>
      <c r="X3" s="55"/>
      <c r="Y3" s="56"/>
      <c r="Z3" s="74"/>
      <c r="AA3" s="74"/>
    </row>
    <row r="4" spans="1:27" ht="13.5" thickBot="1">
      <c r="A4" s="28"/>
      <c r="B4" s="28"/>
      <c r="C4" s="28"/>
      <c r="D4" s="44" t="s">
        <v>89</v>
      </c>
      <c r="E4" s="45" t="s">
        <v>20</v>
      </c>
      <c r="F4" s="45" t="s">
        <v>24</v>
      </c>
      <c r="G4" s="45" t="s">
        <v>25</v>
      </c>
      <c r="H4" s="45" t="s">
        <v>21</v>
      </c>
      <c r="I4" s="45" t="s">
        <v>22</v>
      </c>
      <c r="J4" s="45" t="s">
        <v>26</v>
      </c>
      <c r="K4" s="45" t="s">
        <v>27</v>
      </c>
      <c r="L4" s="46" t="s">
        <v>23</v>
      </c>
      <c r="M4" s="28"/>
      <c r="N4" s="74"/>
      <c r="O4" s="44" t="s">
        <v>89</v>
      </c>
      <c r="P4" s="45" t="s">
        <v>20</v>
      </c>
      <c r="Q4" s="45" t="s">
        <v>24</v>
      </c>
      <c r="R4" s="45" t="s">
        <v>25</v>
      </c>
      <c r="S4" s="45" t="s">
        <v>21</v>
      </c>
      <c r="T4" s="45" t="s">
        <v>22</v>
      </c>
      <c r="U4" s="45" t="s">
        <v>26</v>
      </c>
      <c r="V4" s="45" t="s">
        <v>27</v>
      </c>
      <c r="W4" s="45" t="s">
        <v>23</v>
      </c>
      <c r="X4" s="66" t="s">
        <v>1</v>
      </c>
      <c r="Y4" s="67" t="s">
        <v>2</v>
      </c>
      <c r="Z4" s="74"/>
      <c r="AA4" s="74"/>
    </row>
    <row r="5" spans="1:27">
      <c r="A5" s="28"/>
      <c r="B5" s="47">
        <f>'Step 1'!$C$4</f>
        <v>2015</v>
      </c>
      <c r="C5" s="48">
        <v>42005</v>
      </c>
      <c r="D5" s="36">
        <v>0.18439328203596925</v>
      </c>
      <c r="E5" s="37">
        <v>0.19057121572011562</v>
      </c>
      <c r="F5" s="37">
        <v>0.18798580342726853</v>
      </c>
      <c r="G5" s="37">
        <v>0.14473783009898866</v>
      </c>
      <c r="H5" s="37">
        <v>0.17923666386921216</v>
      </c>
      <c r="I5" s="37">
        <v>0.15128718174227046</v>
      </c>
      <c r="J5" s="37">
        <v>0.21583647974289127</v>
      </c>
      <c r="K5" s="37">
        <v>0.14165060352027747</v>
      </c>
      <c r="L5" s="38">
        <v>0.12884514929430382</v>
      </c>
      <c r="M5" s="28"/>
      <c r="N5" s="58" t="s">
        <v>7</v>
      </c>
      <c r="O5" s="61">
        <f>'Step 1'!$C$18*D5/1000</f>
        <v>781.73606232028965</v>
      </c>
      <c r="P5" s="62">
        <f>'Step 1'!$C$29*E5/1000</f>
        <v>97.096310994788013</v>
      </c>
      <c r="Q5" s="62">
        <f>'Step 1'!$C$19*F5/1000</f>
        <v>604.9350280553449</v>
      </c>
      <c r="R5" s="62">
        <f>'Step 1'!$C$21*G5/1000</f>
        <v>1292.5536092029483</v>
      </c>
      <c r="S5" s="62">
        <f>'Step 1'!$C$30*H5/1000</f>
        <v>164.38673728332122</v>
      </c>
      <c r="T5" s="62">
        <f>'Step 1'!$C$31*I5/1000</f>
        <v>414.97332421111781</v>
      </c>
      <c r="U5" s="62">
        <f>'Step 1'!$C$20*J5/1000</f>
        <v>32.944248569581752</v>
      </c>
      <c r="V5" s="62">
        <f>'Step 1'!$C$22*K5/1000</f>
        <v>289.86823001663532</v>
      </c>
      <c r="W5" s="64">
        <f>'Step 1'!$C$32*L5/1000</f>
        <v>106.64326237026467</v>
      </c>
      <c r="X5" s="68">
        <f t="shared" ref="X5:X40" si="0">(O5+Q5+R5+U5+V5)</f>
        <v>3002.0371781647996</v>
      </c>
      <c r="Y5" s="69">
        <f t="shared" ref="Y5:Y40" si="1">(P5+S5+T5+W5)</f>
        <v>783.09963485949174</v>
      </c>
      <c r="Z5" s="74"/>
      <c r="AA5" s="74"/>
    </row>
    <row r="6" spans="1:27">
      <c r="A6" s="28"/>
      <c r="B6" s="49">
        <f>'Step 1'!$C$4</f>
        <v>2015</v>
      </c>
      <c r="C6" s="50">
        <v>42036</v>
      </c>
      <c r="D6" s="39">
        <v>0.1577490750973623</v>
      </c>
      <c r="E6" s="35">
        <v>0.15460644441193161</v>
      </c>
      <c r="F6" s="35">
        <v>0.16261507988208082</v>
      </c>
      <c r="G6" s="35">
        <v>0.13521491704672781</v>
      </c>
      <c r="H6" s="35">
        <v>0.15980637516816495</v>
      </c>
      <c r="I6" s="35">
        <v>0.13615860742433256</v>
      </c>
      <c r="J6" s="35">
        <v>0.19748785940471961</v>
      </c>
      <c r="K6" s="35">
        <v>0.14929229259678686</v>
      </c>
      <c r="L6" s="40">
        <v>0.12966323436071425</v>
      </c>
      <c r="M6" s="28"/>
      <c r="N6" s="59" t="s">
        <v>8</v>
      </c>
      <c r="O6" s="63">
        <f>'Step 1'!$C$18*D6/1000</f>
        <v>668.77783962446233</v>
      </c>
      <c r="P6" s="57">
        <f>'Step 1'!$C$29*E6/1000</f>
        <v>78.772207815824757</v>
      </c>
      <c r="Q6" s="57">
        <f>'Step 1'!$C$19*F6/1000</f>
        <v>523.29248335366208</v>
      </c>
      <c r="R6" s="57">
        <f>'Step 1'!$C$21*G6/1000</f>
        <v>1207.5110489586268</v>
      </c>
      <c r="S6" s="57">
        <f>'Step 1'!$C$30*H6/1000</f>
        <v>146.56626632003196</v>
      </c>
      <c r="T6" s="57">
        <f>'Step 1'!$C$31*I6/1000</f>
        <v>373.47638638075608</v>
      </c>
      <c r="U6" s="57">
        <f>'Step 1'!$C$20*J6/1000</f>
        <v>30.143602867568447</v>
      </c>
      <c r="V6" s="57">
        <f>'Step 1'!$C$22*K6/1000</f>
        <v>305.50588232376538</v>
      </c>
      <c r="W6" s="65">
        <f>'Step 1'!$C$32*L6/1000</f>
        <v>107.32037952101689</v>
      </c>
      <c r="X6" s="70">
        <f t="shared" si="0"/>
        <v>2735.2308571280851</v>
      </c>
      <c r="Y6" s="71">
        <f t="shared" si="1"/>
        <v>706.13524003762961</v>
      </c>
      <c r="Z6" s="74"/>
      <c r="AA6" s="74"/>
    </row>
    <row r="7" spans="1:27">
      <c r="A7" s="28"/>
      <c r="B7" s="49">
        <f>'Step 1'!$C$4</f>
        <v>2015</v>
      </c>
      <c r="C7" s="50">
        <v>42064</v>
      </c>
      <c r="D7" s="39">
        <v>0.13552460211987355</v>
      </c>
      <c r="E7" s="35">
        <v>0.12855528590889867</v>
      </c>
      <c r="F7" s="35">
        <v>0.13899159195418381</v>
      </c>
      <c r="G7" s="35">
        <v>0.12771781751020633</v>
      </c>
      <c r="H7" s="35">
        <v>0.13780715827510018</v>
      </c>
      <c r="I7" s="35">
        <v>0.12805695164712755</v>
      </c>
      <c r="J7" s="35">
        <v>0.16119031551832688</v>
      </c>
      <c r="K7" s="35">
        <v>0.12253821081414255</v>
      </c>
      <c r="L7" s="40">
        <v>0.11151431744410981</v>
      </c>
      <c r="M7" s="28"/>
      <c r="N7" s="59" t="s">
        <v>9</v>
      </c>
      <c r="O7" s="63">
        <f>'Step 1'!$C$18*D7/1000</f>
        <v>574.55709686889543</v>
      </c>
      <c r="P7" s="57">
        <f>'Step 1'!$C$29*E7/1000</f>
        <v>65.499104749200384</v>
      </c>
      <c r="Q7" s="57">
        <f>'Step 1'!$C$19*F7/1000</f>
        <v>447.27251231389943</v>
      </c>
      <c r="R7" s="57">
        <f>'Step 1'!$C$21*G7/1000</f>
        <v>1140.5596302600243</v>
      </c>
      <c r="S7" s="57">
        <f>'Step 1'!$C$30*H7/1000</f>
        <v>126.38970528741928</v>
      </c>
      <c r="T7" s="57">
        <f>'Step 1'!$C$31*I7/1000</f>
        <v>351.25394168475827</v>
      </c>
      <c r="U7" s="57">
        <f>'Step 1'!$C$20*J7/1000</f>
        <v>24.603319271009237</v>
      </c>
      <c r="V7" s="57">
        <f>'Step 1'!$C$22*K7/1000</f>
        <v>250.75738045137305</v>
      </c>
      <c r="W7" s="65">
        <f>'Step 1'!$C$32*L7/1000</f>
        <v>92.298784070398327</v>
      </c>
      <c r="X7" s="70">
        <f t="shared" si="0"/>
        <v>2437.7499391652018</v>
      </c>
      <c r="Y7" s="71">
        <f t="shared" si="1"/>
        <v>635.44153579177623</v>
      </c>
      <c r="Z7" s="74"/>
      <c r="AA7" s="74"/>
    </row>
    <row r="8" spans="1:27">
      <c r="A8" s="28"/>
      <c r="B8" s="49">
        <f>'Step 1'!$C$4</f>
        <v>2015</v>
      </c>
      <c r="C8" s="50">
        <v>42095</v>
      </c>
      <c r="D8" s="39">
        <v>7.9553113726104199E-2</v>
      </c>
      <c r="E8" s="35">
        <v>7.9822613889751648E-2</v>
      </c>
      <c r="F8" s="35">
        <v>7.7777639338975607E-2</v>
      </c>
      <c r="G8" s="35">
        <v>8.6878690704707745E-2</v>
      </c>
      <c r="H8" s="35">
        <v>7.8270521471896157E-2</v>
      </c>
      <c r="I8" s="35">
        <v>8.7277425705626493E-2</v>
      </c>
      <c r="J8" s="35">
        <v>6.4614460889196673E-2</v>
      </c>
      <c r="K8" s="35">
        <v>7.80031735698032E-2</v>
      </c>
      <c r="L8" s="40">
        <v>7.8468114362956781E-2</v>
      </c>
      <c r="M8" s="28"/>
      <c r="N8" s="59" t="s">
        <v>10</v>
      </c>
      <c r="O8" s="63">
        <f>'Step 1'!$C$18*D8/1000</f>
        <v>337.26574625116598</v>
      </c>
      <c r="P8" s="57">
        <f>'Step 1'!$C$29*E8/1000</f>
        <v>40.669737627318469</v>
      </c>
      <c r="Q8" s="57">
        <f>'Step 1'!$C$19*F8/1000</f>
        <v>250.28708326799503</v>
      </c>
      <c r="R8" s="57">
        <f>'Step 1'!$C$21*G8/1000</f>
        <v>775.8535909816801</v>
      </c>
      <c r="S8" s="57">
        <f>'Step 1'!$C$30*H8/1000</f>
        <v>71.785734974501906</v>
      </c>
      <c r="T8" s="57">
        <f>'Step 1'!$C$31*I8/1000</f>
        <v>239.39770082671347</v>
      </c>
      <c r="U8" s="57">
        <f>'Step 1'!$C$20*J8/1000</f>
        <v>9.862442453003931</v>
      </c>
      <c r="V8" s="57">
        <f>'Step 1'!$C$22*K8/1000</f>
        <v>159.62262988256523</v>
      </c>
      <c r="W8" s="65">
        <f>'Step 1'!$C$32*L8/1000</f>
        <v>64.946920807973967</v>
      </c>
      <c r="X8" s="70">
        <f t="shared" si="0"/>
        <v>1532.8914928364104</v>
      </c>
      <c r="Y8" s="71">
        <f t="shared" si="1"/>
        <v>416.80009423650785</v>
      </c>
      <c r="Z8" s="74"/>
      <c r="AA8" s="74"/>
    </row>
    <row r="9" spans="1:27">
      <c r="A9" s="28"/>
      <c r="B9" s="49">
        <f>'Step 1'!$C$4</f>
        <v>2015</v>
      </c>
      <c r="C9" s="50">
        <v>42125</v>
      </c>
      <c r="D9" s="39">
        <v>3.9256528951618727E-2</v>
      </c>
      <c r="E9" s="35">
        <v>4.2222654298805444E-2</v>
      </c>
      <c r="F9" s="35">
        <v>3.7076636885466425E-2</v>
      </c>
      <c r="G9" s="35">
        <v>5.4296902506803482E-2</v>
      </c>
      <c r="H9" s="35">
        <v>3.9406718209919492E-2</v>
      </c>
      <c r="I9" s="35">
        <v>5.255333774049202E-2</v>
      </c>
      <c r="J9" s="35">
        <v>1.6102051874923126E-2</v>
      </c>
      <c r="K9" s="35">
        <v>5.0359605251238365E-2</v>
      </c>
      <c r="L9" s="40">
        <v>5.941379318290916E-2</v>
      </c>
      <c r="M9" s="28"/>
      <c r="N9" s="59" t="s">
        <v>11</v>
      </c>
      <c r="O9" s="63">
        <f>'Step 1'!$C$18*D9/1000</f>
        <v>166.4282126992814</v>
      </c>
      <c r="P9" s="57">
        <f>'Step 1'!$C$29*E9/1000</f>
        <v>21.512503645058601</v>
      </c>
      <c r="Q9" s="57">
        <f>'Step 1'!$C$19*F9/1000</f>
        <v>119.31196912529197</v>
      </c>
      <c r="R9" s="57">
        <f>'Step 1'!$C$21*G9/1000</f>
        <v>484.88814054840418</v>
      </c>
      <c r="S9" s="57">
        <f>'Step 1'!$C$30*H9/1000</f>
        <v>36.141834453573729</v>
      </c>
      <c r="T9" s="57">
        <f>'Step 1'!$C$31*I9/1000</f>
        <v>144.15122953188194</v>
      </c>
      <c r="U9" s="57">
        <f>'Step 1'!$C$20*J9/1000</f>
        <v>2.4577402303803035</v>
      </c>
      <c r="V9" s="57">
        <f>'Step 1'!$C$22*K9/1000</f>
        <v>103.05391770832269</v>
      </c>
      <c r="W9" s="65">
        <f>'Step 1'!$C$32*L9/1000</f>
        <v>49.175935372972077</v>
      </c>
      <c r="X9" s="70">
        <f t="shared" si="0"/>
        <v>876.13998031168057</v>
      </c>
      <c r="Y9" s="71">
        <f t="shared" si="1"/>
        <v>250.98150300348635</v>
      </c>
      <c r="Z9" s="74"/>
      <c r="AA9" s="74"/>
    </row>
    <row r="10" spans="1:27">
      <c r="A10" s="28"/>
      <c r="B10" s="49">
        <f>'Step 1'!$C$4</f>
        <v>2015</v>
      </c>
      <c r="C10" s="50">
        <v>42156</v>
      </c>
      <c r="D10" s="39">
        <v>2.4693633153225147E-2</v>
      </c>
      <c r="E10" s="35">
        <v>2.4076894267120737E-2</v>
      </c>
      <c r="F10" s="35">
        <v>1.6937630630879393E-2</v>
      </c>
      <c r="G10" s="35">
        <v>3.1379569581287493E-2</v>
      </c>
      <c r="H10" s="35">
        <v>1.8418827846866666E-2</v>
      </c>
      <c r="I10" s="35">
        <v>2.9270877099317139E-2</v>
      </c>
      <c r="J10" s="35">
        <v>4.6704836300764515E-3</v>
      </c>
      <c r="K10" s="35">
        <v>3.6115107861681643E-2</v>
      </c>
      <c r="L10" s="40">
        <v>5.0856346707758932E-2</v>
      </c>
      <c r="M10" s="28"/>
      <c r="N10" s="59" t="s">
        <v>12</v>
      </c>
      <c r="O10" s="63">
        <f>'Step 1'!$C$18*D10/1000</f>
        <v>104.68875727163645</v>
      </c>
      <c r="P10" s="57">
        <f>'Step 1'!$C$29*E10/1000</f>
        <v>12.267212573080213</v>
      </c>
      <c r="Q10" s="57">
        <f>'Step 1'!$C$19*F10/1000</f>
        <v>54.504999175888962</v>
      </c>
      <c r="R10" s="57">
        <f>'Step 1'!$C$21*G10/1000</f>
        <v>280.22926618278495</v>
      </c>
      <c r="S10" s="57">
        <f>'Step 1'!$C$30*H10/1000</f>
        <v>16.892810594482864</v>
      </c>
      <c r="T10" s="57">
        <f>'Step 1'!$C$31*I10/1000</f>
        <v>80.288581177825463</v>
      </c>
      <c r="U10" s="57">
        <f>'Step 1'!$C$20*J10/1000</f>
        <v>0.71288029638311778</v>
      </c>
      <c r="V10" s="57">
        <f>'Step 1'!$C$22*K10/1000</f>
        <v>73.904537873902754</v>
      </c>
      <c r="W10" s="65">
        <f>'Step 1'!$C$32*L10/1000</f>
        <v>42.0930609716671</v>
      </c>
      <c r="X10" s="70">
        <f>(O10+Q10+R10+U10+V10)</f>
        <v>514.04044080059623</v>
      </c>
      <c r="Y10" s="71">
        <f t="shared" si="1"/>
        <v>151.54166531705562</v>
      </c>
      <c r="Z10" s="74"/>
      <c r="AA10" s="74"/>
    </row>
    <row r="11" spans="1:27">
      <c r="A11" s="28"/>
      <c r="B11" s="49">
        <f>'Step 1'!$C$4</f>
        <v>2015</v>
      </c>
      <c r="C11" s="50">
        <v>42186</v>
      </c>
      <c r="D11" s="39">
        <v>2.5882588998617406E-2</v>
      </c>
      <c r="E11" s="35">
        <v>2.1247128091600294E-2</v>
      </c>
      <c r="F11" s="35">
        <v>1.8664837651651306E-2</v>
      </c>
      <c r="G11" s="35">
        <v>2.5640277010548346E-2</v>
      </c>
      <c r="H11" s="35">
        <v>1.6942452341312461E-2</v>
      </c>
      <c r="I11" s="35">
        <v>2.5418876141606931E-2</v>
      </c>
      <c r="J11" s="35">
        <v>7.0529740302163321E-3</v>
      </c>
      <c r="K11" s="35">
        <v>3.4046629339918616E-2</v>
      </c>
      <c r="L11" s="40">
        <v>4.9919689518557277E-2</v>
      </c>
      <c r="M11" s="28"/>
      <c r="N11" s="59" t="s">
        <v>13</v>
      </c>
      <c r="O11" s="63">
        <f>'Step 1'!$C$18*D11/1000</f>
        <v>109.72934036982291</v>
      </c>
      <c r="P11" s="57">
        <f>'Step 1'!$C$29*E11/1000</f>
        <v>10.825442599673559</v>
      </c>
      <c r="Q11" s="57">
        <f>'Step 1'!$C$19*F11/1000</f>
        <v>60.063121164458671</v>
      </c>
      <c r="R11" s="57">
        <f>'Step 1'!$C$21*G11/1000</f>
        <v>228.97560760916247</v>
      </c>
      <c r="S11" s="57">
        <f>'Step 1'!$C$30*H11/1000</f>
        <v>15.538754191490652</v>
      </c>
      <c r="T11" s="57">
        <f>'Step 1'!$C$31*I11/1000</f>
        <v>69.722731355805863</v>
      </c>
      <c r="U11" s="57">
        <f>'Step 1'!$C$20*J11/1000</f>
        <v>1.0765322427563564</v>
      </c>
      <c r="V11" s="57">
        <f>'Step 1'!$C$22*K11/1000</f>
        <v>69.671684691282564</v>
      </c>
      <c r="W11" s="65">
        <f>'Step 1'!$C$32*L11/1000</f>
        <v>41.317803393666509</v>
      </c>
      <c r="X11" s="70">
        <f t="shared" si="0"/>
        <v>469.51628607748296</v>
      </c>
      <c r="Y11" s="71">
        <f t="shared" si="1"/>
        <v>137.40473154063659</v>
      </c>
      <c r="Z11" s="74"/>
      <c r="AA11" s="74"/>
    </row>
    <row r="12" spans="1:27">
      <c r="A12" s="28"/>
      <c r="B12" s="49">
        <f>'Step 1'!$C$4</f>
        <v>2015</v>
      </c>
      <c r="C12" s="50">
        <v>42217</v>
      </c>
      <c r="D12" s="39">
        <v>2.403888100475482E-2</v>
      </c>
      <c r="E12" s="35">
        <v>1.9678748763178499E-2</v>
      </c>
      <c r="F12" s="35">
        <v>1.9198535000766834E-2</v>
      </c>
      <c r="G12" s="35">
        <v>2.6009750985891353E-2</v>
      </c>
      <c r="H12" s="35">
        <v>1.8048169818003213E-2</v>
      </c>
      <c r="I12" s="35">
        <v>2.5403774992745213E-2</v>
      </c>
      <c r="J12" s="35">
        <v>6.9328462226490167E-3</v>
      </c>
      <c r="K12" s="35">
        <v>3.4006557832163602E-2</v>
      </c>
      <c r="L12" s="40">
        <v>4.9866914344444291E-2</v>
      </c>
      <c r="M12" s="28"/>
      <c r="N12" s="59" t="s">
        <v>14</v>
      </c>
      <c r="O12" s="63">
        <f>'Step 1'!$C$18*D12/1000</f>
        <v>101.91293289946057</v>
      </c>
      <c r="P12" s="57">
        <f>'Step 1'!$C$29*E12/1000</f>
        <v>10.026351055576509</v>
      </c>
      <c r="Q12" s="57">
        <f>'Step 1'!$C$19*F12/1000</f>
        <v>61.780549900959926</v>
      </c>
      <c r="R12" s="57">
        <f>'Step 1'!$C$21*G12/1000</f>
        <v>232.27512453579837</v>
      </c>
      <c r="S12" s="57">
        <f>'Step 1'!$C$30*H12/1000</f>
        <v>16.55286193276714</v>
      </c>
      <c r="T12" s="57">
        <f>'Step 1'!$C$31*I12/1000</f>
        <v>69.681309644657674</v>
      </c>
      <c r="U12" s="57">
        <f>'Step 1'!$C$20*J12/1000</f>
        <v>1.0581965084202016</v>
      </c>
      <c r="V12" s="57">
        <f>'Step 1'!$C$22*K12/1000</f>
        <v>69.589683932102034</v>
      </c>
      <c r="W12" s="65">
        <f>'Step 1'!$C$32*L12/1000</f>
        <v>41.274122147066286</v>
      </c>
      <c r="X12" s="70">
        <f t="shared" si="0"/>
        <v>466.61648777674111</v>
      </c>
      <c r="Y12" s="71">
        <f t="shared" si="1"/>
        <v>137.53464478006762</v>
      </c>
      <c r="Z12" s="74"/>
      <c r="AA12" s="74"/>
    </row>
    <row r="13" spans="1:27">
      <c r="A13" s="28"/>
      <c r="B13" s="49">
        <f>'Step 1'!$C$4</f>
        <v>2015</v>
      </c>
      <c r="C13" s="50">
        <v>42248</v>
      </c>
      <c r="D13" s="39">
        <v>2.6976774894346259E-2</v>
      </c>
      <c r="E13" s="35">
        <v>2.5207057234820401E-2</v>
      </c>
      <c r="F13" s="35">
        <v>1.9874332751530482E-2</v>
      </c>
      <c r="G13" s="35">
        <v>3.2383720724676407E-2</v>
      </c>
      <c r="H13" s="35">
        <v>2.0954371315896468E-2</v>
      </c>
      <c r="I13" s="35">
        <v>2.9807848399088351E-2</v>
      </c>
      <c r="J13" s="35">
        <v>1.3235041406304653E-2</v>
      </c>
      <c r="K13" s="35">
        <v>3.9711101494558192E-2</v>
      </c>
      <c r="L13" s="40">
        <v>5.3387738490182558E-2</v>
      </c>
      <c r="M13" s="28"/>
      <c r="N13" s="59" t="s">
        <v>15</v>
      </c>
      <c r="O13" s="63">
        <f>'Step 1'!$C$18*D13/1000</f>
        <v>114.36814588447619</v>
      </c>
      <c r="P13" s="57">
        <f>'Step 1'!$C$29*E13/1000</f>
        <v>12.843032245384354</v>
      </c>
      <c r="Q13" s="57">
        <f>'Step 1'!$C$19*F13/1000</f>
        <v>63.955255245005304</v>
      </c>
      <c r="R13" s="57">
        <f>'Step 1'!$C$21*G13/1000</f>
        <v>289.19664660906977</v>
      </c>
      <c r="S13" s="57">
        <f>'Step 1'!$C$30*H13/1000</f>
        <v>19.218281896593165</v>
      </c>
      <c r="T13" s="57">
        <f>'Step 1'!$C$31*I13/1000</f>
        <v>81.761467133567777</v>
      </c>
      <c r="U13" s="57">
        <f>'Step 1'!$C$20*J13/1000</f>
        <v>2.0201334567604201</v>
      </c>
      <c r="V13" s="57">
        <f>'Step 1'!$C$22*K13/1000</f>
        <v>81.26323796841946</v>
      </c>
      <c r="W13" s="65">
        <f>'Step 1'!$C$32*L13/1000</f>
        <v>44.188257255683283</v>
      </c>
      <c r="X13" s="70">
        <f t="shared" si="0"/>
        <v>550.80341916373118</v>
      </c>
      <c r="Y13" s="71">
        <f t="shared" si="1"/>
        <v>158.01103853122856</v>
      </c>
      <c r="Z13" s="74"/>
      <c r="AA13" s="74"/>
    </row>
    <row r="14" spans="1:27">
      <c r="A14" s="28"/>
      <c r="B14" s="49">
        <f>'Step 1'!$C$4</f>
        <v>2015</v>
      </c>
      <c r="C14" s="50">
        <v>42278</v>
      </c>
      <c r="D14" s="39">
        <v>4.9005437630706188E-2</v>
      </c>
      <c r="E14" s="35">
        <v>5.5711069280894407E-2</v>
      </c>
      <c r="F14" s="35">
        <v>4.4879060411473298E-2</v>
      </c>
      <c r="G14" s="35">
        <v>7.1536012391334017E-2</v>
      </c>
      <c r="H14" s="35">
        <v>5.1806683743388871E-2</v>
      </c>
      <c r="I14" s="35">
        <v>6.6990887822744483E-2</v>
      </c>
      <c r="J14" s="35">
        <v>3.1501787151933545E-2</v>
      </c>
      <c r="K14" s="35">
        <v>7.5696935341564645E-2</v>
      </c>
      <c r="L14" s="40">
        <v>7.3333692579618623E-2</v>
      </c>
      <c r="M14" s="28"/>
      <c r="N14" s="59" t="s">
        <v>16</v>
      </c>
      <c r="O14" s="63">
        <f>'Step 1'!$C$18*D14/1000</f>
        <v>207.75875033363675</v>
      </c>
      <c r="P14" s="57">
        <f>'Step 1'!$C$29*E14/1000</f>
        <v>28.384870654833762</v>
      </c>
      <c r="Q14" s="57">
        <f>'Step 1'!$C$19*F14/1000</f>
        <v>144.42003158826833</v>
      </c>
      <c r="R14" s="57">
        <f>'Step 1'!$C$21*G14/1000</f>
        <v>638.83872613792698</v>
      </c>
      <c r="S14" s="57">
        <f>'Step 1'!$C$30*H14/1000</f>
        <v>47.514451151907664</v>
      </c>
      <c r="T14" s="57">
        <f>'Step 1'!$C$31*I14/1000</f>
        <v>183.75272175415944</v>
      </c>
      <c r="U14" s="57">
        <f>'Step 1'!$C$20*J14/1000</f>
        <v>4.8082822123285505</v>
      </c>
      <c r="V14" s="57">
        <f>'Step 1'!$C$22*K14/1000</f>
        <v>154.90323457747914</v>
      </c>
      <c r="W14" s="65">
        <f>'Step 1'!$C$32*L14/1000</f>
        <v>60.697234324942819</v>
      </c>
      <c r="X14" s="70">
        <f t="shared" si="0"/>
        <v>1150.7290248496397</v>
      </c>
      <c r="Y14" s="71">
        <f t="shared" si="1"/>
        <v>320.34927788584372</v>
      </c>
      <c r="Z14" s="74"/>
      <c r="AA14" s="74"/>
    </row>
    <row r="15" spans="1:27">
      <c r="A15" s="28"/>
      <c r="B15" s="49">
        <f>'Step 1'!$C$4</f>
        <v>2015</v>
      </c>
      <c r="C15" s="50">
        <v>42309</v>
      </c>
      <c r="D15" s="39">
        <v>9.5963509122201918E-2</v>
      </c>
      <c r="E15" s="35">
        <v>0.10469610138135302</v>
      </c>
      <c r="F15" s="35">
        <v>0.10872504520213502</v>
      </c>
      <c r="G15" s="35">
        <v>0.11641364453574019</v>
      </c>
      <c r="H15" s="35">
        <v>0.1126768246503754</v>
      </c>
      <c r="I15" s="35">
        <v>0.11608089797526512</v>
      </c>
      <c r="J15" s="35">
        <v>0.10008794108960482</v>
      </c>
      <c r="K15" s="35">
        <v>0.10382280948393037</v>
      </c>
      <c r="L15" s="40">
        <v>9.5437209120904323E-2</v>
      </c>
      <c r="M15" s="28"/>
      <c r="N15" s="59" t="s">
        <v>17</v>
      </c>
      <c r="O15" s="63">
        <f>'Step 1'!$C$18*D15/1000</f>
        <v>406.8376836689402</v>
      </c>
      <c r="P15" s="57">
        <f>'Step 1'!$C$29*E15/1000</f>
        <v>53.342815604406539</v>
      </c>
      <c r="Q15" s="57">
        <f>'Step 1'!$C$19*F15/1000</f>
        <v>349.87529414751327</v>
      </c>
      <c r="R15" s="57">
        <f>'Step 1'!$C$21*G15/1000</f>
        <v>1039.6098677327861</v>
      </c>
      <c r="S15" s="57">
        <f>'Step 1'!$C$30*H15/1000</f>
        <v>103.3414434963815</v>
      </c>
      <c r="T15" s="57">
        <f>'Step 1'!$C$31*I15/1000</f>
        <v>318.40421346647565</v>
      </c>
      <c r="U15" s="57">
        <f>'Step 1'!$C$20*J15/1000</f>
        <v>15.276944907558873</v>
      </c>
      <c r="V15" s="57">
        <f>'Step 1'!$C$22*K15/1000</f>
        <v>212.4589184411989</v>
      </c>
      <c r="W15" s="65">
        <f>'Step 1'!$C$32*L15/1000</f>
        <v>78.991994560220263</v>
      </c>
      <c r="X15" s="70">
        <f t="shared" si="0"/>
        <v>2024.0587088979973</v>
      </c>
      <c r="Y15" s="71">
        <f t="shared" si="1"/>
        <v>554.08046712748398</v>
      </c>
      <c r="Z15" s="74"/>
      <c r="AA15" s="74"/>
    </row>
    <row r="16" spans="1:27">
      <c r="A16" s="28"/>
      <c r="B16" s="49">
        <f>'Step 1'!$C$4</f>
        <v>2015</v>
      </c>
      <c r="C16" s="51">
        <v>42339</v>
      </c>
      <c r="D16" s="39">
        <v>0.15696257326522037</v>
      </c>
      <c r="E16" s="35">
        <v>0.15360478675152953</v>
      </c>
      <c r="F16" s="35">
        <v>0.16727380686358859</v>
      </c>
      <c r="G16" s="35">
        <v>0.14779086690308821</v>
      </c>
      <c r="H16" s="35">
        <v>0.16662523328986406</v>
      </c>
      <c r="I16" s="35">
        <v>0.15169333330938367</v>
      </c>
      <c r="J16" s="35">
        <v>0.18128775903915764</v>
      </c>
      <c r="K16" s="35">
        <v>0.13475697289393473</v>
      </c>
      <c r="L16" s="40">
        <v>0.11929380059353999</v>
      </c>
      <c r="M16" s="28"/>
      <c r="N16" s="59" t="s">
        <v>18</v>
      </c>
      <c r="O16" s="63">
        <f>'Step 1'!$C$18*D16/1000</f>
        <v>665.44346193739239</v>
      </c>
      <c r="P16" s="57">
        <f>'Step 1'!$C$29*E16/1000</f>
        <v>78.261861784094819</v>
      </c>
      <c r="Q16" s="57">
        <f>'Step 1'!$C$19*F16/1000</f>
        <v>538.28418531136322</v>
      </c>
      <c r="R16" s="57">
        <f>'Step 1'!$C$21*G16/1000</f>
        <v>1319.8181725687903</v>
      </c>
      <c r="S16" s="57">
        <f>'Step 1'!$C$30*H16/1000</f>
        <v>152.82017561752883</v>
      </c>
      <c r="T16" s="57">
        <f>'Step 1'!$C$31*I16/1000</f>
        <v>416.08737805227963</v>
      </c>
      <c r="U16" s="57">
        <f>'Step 1'!$C$20*J16/1000</f>
        <v>27.670896984248817</v>
      </c>
      <c r="V16" s="57">
        <f>'Step 1'!$C$22*K16/1000</f>
        <v>275.76137513295396</v>
      </c>
      <c r="W16" s="65">
        <f>'Step 1'!$C$32*L16/1000</f>
        <v>98.737749504127805</v>
      </c>
      <c r="X16" s="70">
        <f t="shared" si="0"/>
        <v>2826.9780919347486</v>
      </c>
      <c r="Y16" s="71">
        <f t="shared" si="1"/>
        <v>745.9071649580311</v>
      </c>
      <c r="Z16" s="74"/>
      <c r="AA16" s="74"/>
    </row>
    <row r="17" spans="1:27">
      <c r="A17" s="28"/>
      <c r="B17" s="49">
        <f t="shared" ref="B17:B40" si="2">B5+1</f>
        <v>2016</v>
      </c>
      <c r="C17" s="50">
        <v>42370</v>
      </c>
      <c r="D17" s="39">
        <v>0.18370194527588554</v>
      </c>
      <c r="E17" s="35">
        <v>0.18973495067243587</v>
      </c>
      <c r="F17" s="35">
        <v>0.18797262824006708</v>
      </c>
      <c r="G17" s="35">
        <v>0.14473324234046742</v>
      </c>
      <c r="H17" s="35">
        <v>0.17884721867765949</v>
      </c>
      <c r="I17" s="35">
        <v>0.15086944978849612</v>
      </c>
      <c r="J17" s="35">
        <v>0.21583998977855848</v>
      </c>
      <c r="K17" s="35">
        <v>0.14165376671957941</v>
      </c>
      <c r="L17" s="40">
        <v>0.12868689214681464</v>
      </c>
      <c r="M17" s="28"/>
      <c r="N17" s="59" t="s">
        <v>7</v>
      </c>
      <c r="O17" s="63">
        <f>'Step 1'!$C$18*D17/1000</f>
        <v>778.80513733973817</v>
      </c>
      <c r="P17" s="57">
        <f>'Step 1'!$C$29*E17/1000</f>
        <v>96.67023273928254</v>
      </c>
      <c r="Q17" s="57">
        <f>'Step 1'!$C$19*F17/1000</f>
        <v>604.89263053332979</v>
      </c>
      <c r="R17" s="57">
        <f>'Step 1'!$C$21*G17/1000</f>
        <v>1292.5126390997575</v>
      </c>
      <c r="S17" s="57">
        <f>'Step 1'!$C$30*H17/1000</f>
        <v>164.02955799305758</v>
      </c>
      <c r="T17" s="57">
        <f>'Step 1'!$C$31*I17/1000</f>
        <v>413.82750593695465</v>
      </c>
      <c r="U17" s="57">
        <f>'Step 1'!$C$20*J17/1000</f>
        <v>32.944784324648026</v>
      </c>
      <c r="V17" s="57">
        <f>'Step 1'!$C$22*K17/1000</f>
        <v>289.87470306341419</v>
      </c>
      <c r="W17" s="65">
        <f>'Step 1'!$C$32*L17/1000</f>
        <v>106.512275223336</v>
      </c>
      <c r="X17" s="70">
        <f t="shared" si="0"/>
        <v>2999.0298943608877</v>
      </c>
      <c r="Y17" s="71">
        <f t="shared" si="1"/>
        <v>781.03957189263087</v>
      </c>
      <c r="Z17" s="74"/>
      <c r="AA17" s="74"/>
    </row>
    <row r="18" spans="1:27">
      <c r="A18" s="28"/>
      <c r="B18" s="49">
        <f t="shared" si="2"/>
        <v>2016</v>
      </c>
      <c r="C18" s="50">
        <v>42401</v>
      </c>
      <c r="D18" s="39">
        <v>0.1625538478735962</v>
      </c>
      <c r="E18" s="35">
        <v>0.15913540261495632</v>
      </c>
      <c r="F18" s="35">
        <v>0.16262189940709687</v>
      </c>
      <c r="G18" s="35">
        <v>0.1352201772118268</v>
      </c>
      <c r="H18" s="35">
        <v>0.15956486367854186</v>
      </c>
      <c r="I18" s="35">
        <v>0.13588011418399631</v>
      </c>
      <c r="J18" s="35">
        <v>0.19749004990691696</v>
      </c>
      <c r="K18" s="35">
        <v>0.14929485450061192</v>
      </c>
      <c r="L18" s="40">
        <v>0.1294745770557611</v>
      </c>
      <c r="M18" s="28"/>
      <c r="N18" s="59" t="s">
        <v>8</v>
      </c>
      <c r="O18" s="63">
        <f>'Step 1'!$C$18*D18/1000</f>
        <v>689.14769317316222</v>
      </c>
      <c r="P18" s="57">
        <f>'Step 1'!$C$29*E18/1000</f>
        <v>81.079718593365897</v>
      </c>
      <c r="Q18" s="57">
        <f>'Step 1'!$C$19*F18/1000</f>
        <v>523.31442846590835</v>
      </c>
      <c r="R18" s="57">
        <f>'Step 1'!$C$21*G18/1000</f>
        <v>1207.5580238606208</v>
      </c>
      <c r="S18" s="57">
        <f>'Step 1'!$C$30*H18/1000</f>
        <v>146.34476428502117</v>
      </c>
      <c r="T18" s="57">
        <f>'Step 1'!$C$31*I18/1000</f>
        <v>372.71249307279874</v>
      </c>
      <c r="U18" s="57">
        <f>'Step 1'!$C$20*J18/1000</f>
        <v>30.143937215353251</v>
      </c>
      <c r="V18" s="57">
        <f>'Step 1'!$C$22*K18/1000</f>
        <v>305.51112490310345</v>
      </c>
      <c r="W18" s="65">
        <f>'Step 1'!$C$32*L18/1000</f>
        <v>107.16423060442685</v>
      </c>
      <c r="X18" s="70">
        <f t="shared" si="0"/>
        <v>2755.6752076181479</v>
      </c>
      <c r="Y18" s="71">
        <f t="shared" si="1"/>
        <v>707.30120655561268</v>
      </c>
      <c r="Z18" s="74"/>
      <c r="AA18" s="74"/>
    </row>
    <row r="19" spans="1:27">
      <c r="A19" s="28"/>
      <c r="B19" s="49">
        <f t="shared" si="2"/>
        <v>2016</v>
      </c>
      <c r="C19" s="50">
        <v>42430</v>
      </c>
      <c r="D19" s="39">
        <v>0.13468528166289723</v>
      </c>
      <c r="E19" s="35">
        <v>0.12780044668030391</v>
      </c>
      <c r="F19" s="35">
        <v>0.13900040756881149</v>
      </c>
      <c r="G19" s="35">
        <v>0.1277244278026779</v>
      </c>
      <c r="H19" s="35">
        <v>0.13762695422923366</v>
      </c>
      <c r="I19" s="35">
        <v>0.12787216381151154</v>
      </c>
      <c r="J19" s="35">
        <v>0.16119102852912562</v>
      </c>
      <c r="K19" s="35">
        <v>0.12253949646778191</v>
      </c>
      <c r="L19" s="40">
        <v>0.1113927479451691</v>
      </c>
      <c r="M19" s="28"/>
      <c r="N19" s="59" t="s">
        <v>9</v>
      </c>
      <c r="O19" s="63">
        <f>'Step 1'!$C$18*D19/1000</f>
        <v>570.99879440897428</v>
      </c>
      <c r="P19" s="57">
        <f>'Step 1'!$C$29*E19/1000</f>
        <v>65.114513066696006</v>
      </c>
      <c r="Q19" s="57">
        <f>'Step 1'!$C$19*F19/1000</f>
        <v>447.30088080760953</v>
      </c>
      <c r="R19" s="57">
        <f>'Step 1'!$C$21*G19/1000</f>
        <v>1140.618662217227</v>
      </c>
      <c r="S19" s="57">
        <f>'Step 1'!$C$30*H19/1000</f>
        <v>126.22443131664917</v>
      </c>
      <c r="T19" s="57">
        <f>'Step 1'!$C$31*I19/1000</f>
        <v>350.74707770899869</v>
      </c>
      <c r="U19" s="57">
        <f>'Step 1'!$C$20*J19/1000</f>
        <v>24.603428101569367</v>
      </c>
      <c r="V19" s="57">
        <f>'Step 1'!$C$22*K19/1000</f>
        <v>250.76001136247115</v>
      </c>
      <c r="W19" s="65">
        <f>'Step 1'!$C$32*L19/1000</f>
        <v>92.198162758360098</v>
      </c>
      <c r="X19" s="70">
        <f t="shared" si="0"/>
        <v>2434.2817768978516</v>
      </c>
      <c r="Y19" s="71">
        <f t="shared" si="1"/>
        <v>634.28418485070404</v>
      </c>
      <c r="Z19" s="74"/>
      <c r="AA19" s="74"/>
    </row>
    <row r="20" spans="1:27">
      <c r="A20" s="28"/>
      <c r="B20" s="49">
        <f t="shared" si="2"/>
        <v>2016</v>
      </c>
      <c r="C20" s="50">
        <v>42461</v>
      </c>
      <c r="D20" s="39">
        <v>7.8931248950195987E-2</v>
      </c>
      <c r="E20" s="35">
        <v>7.929002569821833E-2</v>
      </c>
      <c r="F20" s="35">
        <v>7.7779989359369126E-2</v>
      </c>
      <c r="G20" s="35">
        <v>8.6880047291569618E-2</v>
      </c>
      <c r="H20" s="35">
        <v>7.8382825115633922E-2</v>
      </c>
      <c r="I20" s="35">
        <v>8.7409968320001363E-2</v>
      </c>
      <c r="J20" s="35">
        <v>6.4614458625002771E-2</v>
      </c>
      <c r="K20" s="35">
        <v>7.8003644192650184E-2</v>
      </c>
      <c r="L20" s="40">
        <v>7.8486548310081089E-2</v>
      </c>
      <c r="M20" s="28"/>
      <c r="N20" s="59" t="s">
        <v>10</v>
      </c>
      <c r="O20" s="63">
        <f>'Step 1'!$C$18*D20/1000</f>
        <v>334.62934802750755</v>
      </c>
      <c r="P20" s="57">
        <f>'Step 1'!$C$29*E20/1000</f>
        <v>40.398383170760773</v>
      </c>
      <c r="Q20" s="57">
        <f>'Step 1'!$C$19*F20/1000</f>
        <v>250.29464559252574</v>
      </c>
      <c r="R20" s="57">
        <f>'Step 1'!$C$21*G20/1000</f>
        <v>775.86570572212702</v>
      </c>
      <c r="S20" s="57">
        <f>'Step 1'!$C$30*H20/1000</f>
        <v>71.888734155476129</v>
      </c>
      <c r="T20" s="57">
        <f>'Step 1'!$C$31*I20/1000</f>
        <v>239.76125872139664</v>
      </c>
      <c r="U20" s="57">
        <f>'Step 1'!$C$20*J20/1000</f>
        <v>9.862442107408194</v>
      </c>
      <c r="V20" s="57">
        <f>'Step 1'!$C$22*K20/1000</f>
        <v>159.62359294666993</v>
      </c>
      <c r="W20" s="65">
        <f>'Step 1'!$C$32*L20/1000</f>
        <v>64.962178318795793</v>
      </c>
      <c r="X20" s="70">
        <f t="shared" si="0"/>
        <v>1530.2757343962387</v>
      </c>
      <c r="Y20" s="71">
        <f t="shared" si="1"/>
        <v>417.01055436642935</v>
      </c>
      <c r="Z20" s="74"/>
      <c r="AA20" s="74"/>
    </row>
    <row r="21" spans="1:27">
      <c r="A21" s="28"/>
      <c r="B21" s="49">
        <f t="shared" si="2"/>
        <v>2016</v>
      </c>
      <c r="C21" s="50">
        <v>42491</v>
      </c>
      <c r="D21" s="39">
        <v>3.8785995083078902E-2</v>
      </c>
      <c r="E21" s="35">
        <v>4.1862002019188341E-2</v>
      </c>
      <c r="F21" s="35">
        <v>3.7074873024186286E-2</v>
      </c>
      <c r="G21" s="35">
        <v>5.4296180284034552E-2</v>
      </c>
      <c r="H21" s="35">
        <v>3.9513890509745873E-2</v>
      </c>
      <c r="I21" s="35">
        <v>5.2669348021476083E-2</v>
      </c>
      <c r="J21" s="35">
        <v>1.6101943313892093E-2</v>
      </c>
      <c r="K21" s="35">
        <v>5.0359571324965616E-2</v>
      </c>
      <c r="L21" s="40">
        <v>5.951887719864369E-2</v>
      </c>
      <c r="M21" s="28"/>
      <c r="N21" s="59" t="s">
        <v>11</v>
      </c>
      <c r="O21" s="63">
        <f>'Step 1'!$C$18*D21/1000</f>
        <v>164.43338246729439</v>
      </c>
      <c r="P21" s="57">
        <f>'Step 1'!$C$29*E21/1000</f>
        <v>21.328750785161276</v>
      </c>
      <c r="Q21" s="57">
        <f>'Step 1'!$C$19*F21/1000</f>
        <v>119.30629305053775</v>
      </c>
      <c r="R21" s="57">
        <f>'Step 1'!$C$21*G21/1000</f>
        <v>484.8816908755993</v>
      </c>
      <c r="S21" s="57">
        <f>'Step 1'!$C$30*H21/1000</f>
        <v>36.240127427317447</v>
      </c>
      <c r="T21" s="57">
        <f>'Step 1'!$C$31*I21/1000</f>
        <v>144.46944004640284</v>
      </c>
      <c r="U21" s="57">
        <f>'Step 1'!$C$20*J21/1000</f>
        <v>2.4577236601434489</v>
      </c>
      <c r="V21" s="57">
        <f>'Step 1'!$C$22*K21/1000</f>
        <v>103.053848282931</v>
      </c>
      <c r="W21" s="65">
        <f>'Step 1'!$C$32*L21/1000</f>
        <v>49.262911889529185</v>
      </c>
      <c r="X21" s="70">
        <f t="shared" si="0"/>
        <v>874.13293833650584</v>
      </c>
      <c r="Y21" s="71">
        <f t="shared" si="1"/>
        <v>251.30123014841075</v>
      </c>
      <c r="Z21" s="74"/>
      <c r="AA21" s="74"/>
    </row>
    <row r="22" spans="1:27">
      <c r="A22" s="28"/>
      <c r="B22" s="49">
        <f t="shared" si="2"/>
        <v>2016</v>
      </c>
      <c r="C22" s="50">
        <v>42522</v>
      </c>
      <c r="D22" s="39">
        <v>2.4668595820128005E-2</v>
      </c>
      <c r="E22" s="35">
        <v>2.4090158156139498E-2</v>
      </c>
      <c r="F22" s="35">
        <v>1.6934747202692856E-2</v>
      </c>
      <c r="G22" s="35">
        <v>3.1374751347924348E-2</v>
      </c>
      <c r="H22" s="35">
        <v>1.8539522863498616E-2</v>
      </c>
      <c r="I22" s="35">
        <v>2.940722028119919E-2</v>
      </c>
      <c r="J22" s="35">
        <v>4.6704311975610553E-3</v>
      </c>
      <c r="K22" s="35">
        <v>3.6114921579872374E-2</v>
      </c>
      <c r="L22" s="40">
        <v>5.0999784677726478E-2</v>
      </c>
      <c r="M22" s="28"/>
      <c r="N22" s="59" t="s">
        <v>12</v>
      </c>
      <c r="O22" s="63">
        <f>'Step 1'!$C$18*D22/1000</f>
        <v>104.58261139706742</v>
      </c>
      <c r="P22" s="57">
        <f>'Step 1'!$C$29*E22/1000</f>
        <v>12.273970543785806</v>
      </c>
      <c r="Q22" s="57">
        <f>'Step 1'!$C$19*F22/1000</f>
        <v>54.495720354408199</v>
      </c>
      <c r="R22" s="57">
        <f>'Step 1'!$C$21*G22/1000</f>
        <v>280.18623786793972</v>
      </c>
      <c r="S22" s="57">
        <f>'Step 1'!$C$30*H22/1000</f>
        <v>17.003505915195596</v>
      </c>
      <c r="T22" s="57">
        <f>'Step 1'!$C$31*I22/1000</f>
        <v>80.662563842896873</v>
      </c>
      <c r="U22" s="57">
        <f>'Step 1'!$C$20*J22/1000</f>
        <v>0.71287229333459512</v>
      </c>
      <c r="V22" s="57">
        <f>'Step 1'!$C$22*K22/1000</f>
        <v>73.90415667412671</v>
      </c>
      <c r="W22" s="65">
        <f>'Step 1'!$C$32*L22/1000</f>
        <v>42.21178250017546</v>
      </c>
      <c r="X22" s="70">
        <f t="shared" si="0"/>
        <v>513.88159858687663</v>
      </c>
      <c r="Y22" s="71">
        <f t="shared" si="1"/>
        <v>152.15182280205374</v>
      </c>
      <c r="Z22" s="74"/>
      <c r="AA22" s="74"/>
    </row>
    <row r="23" spans="1:27">
      <c r="A23" s="28"/>
      <c r="B23" s="49">
        <f t="shared" si="2"/>
        <v>2016</v>
      </c>
      <c r="C23" s="50">
        <v>42552</v>
      </c>
      <c r="D23" s="39">
        <v>2.5850852154520335E-2</v>
      </c>
      <c r="E23" s="35">
        <v>2.1266351183903676E-2</v>
      </c>
      <c r="F23" s="35">
        <v>1.8660195190877797E-2</v>
      </c>
      <c r="G23" s="35">
        <v>2.5633583722055431E-2</v>
      </c>
      <c r="H23" s="35">
        <v>1.7032429117587518E-2</v>
      </c>
      <c r="I23" s="35">
        <v>2.5519511564990119E-2</v>
      </c>
      <c r="J23" s="35">
        <v>7.0528101513956431E-3</v>
      </c>
      <c r="K23" s="35">
        <v>3.4046044856686657E-2</v>
      </c>
      <c r="L23" s="40">
        <v>5.0064872981783901E-2</v>
      </c>
      <c r="M23" s="28"/>
      <c r="N23" s="59" t="s">
        <v>13</v>
      </c>
      <c r="O23" s="63">
        <f>'Step 1'!$C$18*D23/1000</f>
        <v>109.59479189136978</v>
      </c>
      <c r="P23" s="57">
        <f>'Step 1'!$C$29*E23/1000</f>
        <v>10.835236793101553</v>
      </c>
      <c r="Q23" s="57">
        <f>'Step 1'!$C$19*F23/1000</f>
        <v>60.048181806873863</v>
      </c>
      <c r="R23" s="57">
        <f>'Step 1'!$C$21*G23/1000</f>
        <v>228.91583447180759</v>
      </c>
      <c r="S23" s="57">
        <f>'Step 1'!$C$30*H23/1000</f>
        <v>15.621276307021217</v>
      </c>
      <c r="T23" s="57">
        <f>'Step 1'!$C$31*I23/1000</f>
        <v>69.99876938952282</v>
      </c>
      <c r="U23" s="57">
        <f>'Step 1'!$C$20*J23/1000</f>
        <v>1.0765072290765072</v>
      </c>
      <c r="V23" s="57">
        <f>'Step 1'!$C$22*K23/1000</f>
        <v>69.670488627759283</v>
      </c>
      <c r="W23" s="65">
        <f>'Step 1'!$C$32*L23/1000</f>
        <v>41.437969641643257</v>
      </c>
      <c r="X23" s="70">
        <f t="shared" si="0"/>
        <v>469.30580402688702</v>
      </c>
      <c r="Y23" s="71">
        <f t="shared" si="1"/>
        <v>137.89325213128885</v>
      </c>
      <c r="Z23" s="74"/>
      <c r="AA23" s="74"/>
    </row>
    <row r="24" spans="1:27">
      <c r="A24" s="28"/>
      <c r="B24" s="49">
        <f t="shared" si="2"/>
        <v>2016</v>
      </c>
      <c r="C24" s="50">
        <v>42583</v>
      </c>
      <c r="D24" s="39">
        <v>2.4018195629015398E-2</v>
      </c>
      <c r="E24" s="35">
        <v>1.9713001487125265E-2</v>
      </c>
      <c r="F24" s="35">
        <v>1.9190748140380742E-2</v>
      </c>
      <c r="G24" s="35">
        <v>2.5999923058424468E-2</v>
      </c>
      <c r="H24" s="35">
        <v>1.8114996417820252E-2</v>
      </c>
      <c r="I24" s="35">
        <v>2.5476199178383216E-2</v>
      </c>
      <c r="J24" s="35">
        <v>6.9326328369260556E-3</v>
      </c>
      <c r="K24" s="35">
        <v>3.4005717505852892E-2</v>
      </c>
      <c r="L24" s="40">
        <v>5.0011351906802115E-2</v>
      </c>
      <c r="M24" s="28"/>
      <c r="N24" s="59" t="s">
        <v>14</v>
      </c>
      <c r="O24" s="63">
        <f>'Step 1'!$C$18*D24/1000</f>
        <v>101.82523716564855</v>
      </c>
      <c r="P24" s="57">
        <f>'Step 1'!$C$29*E24/1000</f>
        <v>10.04380286814005</v>
      </c>
      <c r="Q24" s="57">
        <f>'Step 1'!$C$19*F24/1000</f>
        <v>61.755491920409035</v>
      </c>
      <c r="R24" s="57">
        <f>'Step 1'!$C$21*G24/1000</f>
        <v>232.18735810245045</v>
      </c>
      <c r="S24" s="57">
        <f>'Step 1'!$C$30*H24/1000</f>
        <v>16.614151885785216</v>
      </c>
      <c r="T24" s="57">
        <f>'Step 1'!$C$31*I24/1000</f>
        <v>69.879965636007185</v>
      </c>
      <c r="U24" s="57">
        <f>'Step 1'!$C$20*J24/1000</f>
        <v>1.0581639382434325</v>
      </c>
      <c r="V24" s="57">
        <f>'Step 1'!$C$22*K24/1000</f>
        <v>69.587964321353709</v>
      </c>
      <c r="W24" s="65">
        <f>'Step 1'!$C$32*L24/1000</f>
        <v>41.393671023706283</v>
      </c>
      <c r="X24" s="70">
        <f t="shared" si="0"/>
        <v>466.41421544810515</v>
      </c>
      <c r="Y24" s="71">
        <f t="shared" si="1"/>
        <v>137.93159141363873</v>
      </c>
      <c r="Z24" s="74"/>
      <c r="AA24" s="74"/>
    </row>
    <row r="25" spans="1:27">
      <c r="A25" s="28"/>
      <c r="B25" s="49">
        <f t="shared" si="2"/>
        <v>2016</v>
      </c>
      <c r="C25" s="50">
        <v>42614</v>
      </c>
      <c r="D25" s="39">
        <v>2.6945944523511914E-2</v>
      </c>
      <c r="E25" s="35">
        <v>2.495940475851122E-2</v>
      </c>
      <c r="F25" s="35">
        <v>1.9865158039291831E-2</v>
      </c>
      <c r="G25" s="35">
        <v>3.2366296040105436E-2</v>
      </c>
      <c r="H25" s="35">
        <v>2.103579775423025E-2</v>
      </c>
      <c r="I25" s="35">
        <v>2.989604368683093E-2</v>
      </c>
      <c r="J25" s="35">
        <v>1.3234533818548083E-2</v>
      </c>
      <c r="K25" s="35">
        <v>3.9709819476551729E-2</v>
      </c>
      <c r="L25" s="40">
        <v>5.3513795717189186E-2</v>
      </c>
      <c r="M25" s="28"/>
      <c r="N25" s="59" t="s">
        <v>15</v>
      </c>
      <c r="O25" s="63">
        <f>'Step 1'!$C$18*D25/1000</f>
        <v>114.23744040307361</v>
      </c>
      <c r="P25" s="57">
        <f>'Step 1'!$C$29*E25/1000</f>
        <v>12.716852949274594</v>
      </c>
      <c r="Q25" s="57">
        <f>'Step 1'!$C$19*F25/1000</f>
        <v>63.92573118146273</v>
      </c>
      <c r="R25" s="57">
        <f>'Step 1'!$C$21*G25/1000</f>
        <v>289.0410387841078</v>
      </c>
      <c r="S25" s="57">
        <f>'Step 1'!$C$30*H25/1000</f>
        <v>19.292962077742146</v>
      </c>
      <c r="T25" s="57">
        <f>'Step 1'!$C$31*I25/1000</f>
        <v>82.003382484973031</v>
      </c>
      <c r="U25" s="57">
        <f>'Step 1'!$C$20*J25/1000</f>
        <v>2.0200559809915268</v>
      </c>
      <c r="V25" s="57">
        <f>'Step 1'!$C$22*K25/1000</f>
        <v>81.260614497137681</v>
      </c>
      <c r="W25" s="65">
        <f>'Step 1'!$C$32*L25/1000</f>
        <v>44.292592995188919</v>
      </c>
      <c r="X25" s="70">
        <f t="shared" si="0"/>
        <v>550.48488084677331</v>
      </c>
      <c r="Y25" s="71">
        <f t="shared" si="1"/>
        <v>158.3057905071787</v>
      </c>
      <c r="Z25" s="74"/>
      <c r="AA25" s="74"/>
    </row>
    <row r="26" spans="1:27">
      <c r="A26" s="28"/>
      <c r="B26" s="49">
        <f t="shared" si="2"/>
        <v>2016</v>
      </c>
      <c r="C26" s="50">
        <v>42644</v>
      </c>
      <c r="D26" s="39">
        <v>4.8530483960423011E-2</v>
      </c>
      <c r="E26" s="35">
        <v>5.5324651643406879E-2</v>
      </c>
      <c r="F26" s="35">
        <v>4.486034735645119E-2</v>
      </c>
      <c r="G26" s="35">
        <v>7.1505927111783621E-2</v>
      </c>
      <c r="H26" s="35">
        <v>5.1952343909482085E-2</v>
      </c>
      <c r="I26" s="35">
        <v>6.7155671167304143E-2</v>
      </c>
      <c r="J26" s="35">
        <v>3.1500722247771965E-2</v>
      </c>
      <c r="K26" s="35">
        <v>7.5694835785175982E-2</v>
      </c>
      <c r="L26" s="40">
        <v>7.3356021472123917E-2</v>
      </c>
      <c r="M26" s="28"/>
      <c r="N26" s="59" t="s">
        <v>16</v>
      </c>
      <c r="O26" s="63">
        <f>'Step 1'!$C$18*D26/1000</f>
        <v>205.74518233434645</v>
      </c>
      <c r="P26" s="57">
        <f>'Step 1'!$C$29*E26/1000</f>
        <v>28.187990307706922</v>
      </c>
      <c r="Q26" s="57">
        <f>'Step 1'!$C$19*F26/1000</f>
        <v>144.35981330444892</v>
      </c>
      <c r="R26" s="57">
        <f>'Step 1'!$C$21*G26/1000</f>
        <v>638.57005528221396</v>
      </c>
      <c r="S26" s="57">
        <f>'Step 1'!$C$30*H26/1000</f>
        <v>47.648043235911643</v>
      </c>
      <c r="T26" s="57">
        <f>'Step 1'!$C$31*I26/1000</f>
        <v>184.20471439146718</v>
      </c>
      <c r="U26" s="57">
        <f>'Step 1'!$C$20*J26/1000</f>
        <v>4.808119670447569</v>
      </c>
      <c r="V26" s="57">
        <f>'Step 1'!$C$22*K26/1000</f>
        <v>154.89893812777063</v>
      </c>
      <c r="W26" s="65">
        <f>'Step 1'!$C$32*L26/1000</f>
        <v>60.715715625596523</v>
      </c>
      <c r="X26" s="70">
        <f t="shared" si="0"/>
        <v>1148.3821087192275</v>
      </c>
      <c r="Y26" s="71">
        <f t="shared" si="1"/>
        <v>320.75646356068228</v>
      </c>
      <c r="Z26" s="74"/>
      <c r="AA26" s="74"/>
    </row>
    <row r="27" spans="1:27">
      <c r="A27" s="28"/>
      <c r="B27" s="49">
        <f t="shared" si="2"/>
        <v>2016</v>
      </c>
      <c r="C27" s="50">
        <v>42675</v>
      </c>
      <c r="D27" s="39">
        <v>9.5292535235689743E-2</v>
      </c>
      <c r="E27" s="35">
        <v>0.10407379527703786</v>
      </c>
      <c r="F27" s="35">
        <v>0.10871742509041428</v>
      </c>
      <c r="G27" s="35">
        <v>0.11641308096598911</v>
      </c>
      <c r="H27" s="35">
        <v>0.11278086370142358</v>
      </c>
      <c r="I27" s="35">
        <v>0.11619864166266175</v>
      </c>
      <c r="J27" s="35">
        <v>0.10008554013414915</v>
      </c>
      <c r="K27" s="35">
        <v>0.10382094896030498</v>
      </c>
      <c r="L27" s="40">
        <v>9.5372869681426956E-2</v>
      </c>
      <c r="M27" s="28"/>
      <c r="N27" s="59" t="s">
        <v>17</v>
      </c>
      <c r="O27" s="63">
        <f>'Step 1'!$C$18*D27/1000</f>
        <v>403.9930871729602</v>
      </c>
      <c r="P27" s="57">
        <f>'Step 1'!$C$29*E27/1000</f>
        <v>53.025749741074478</v>
      </c>
      <c r="Q27" s="57">
        <f>'Step 1'!$C$19*F27/1000</f>
        <v>349.85077276125156</v>
      </c>
      <c r="R27" s="57">
        <f>'Step 1'!$C$21*G27/1000</f>
        <v>1039.604834880523</v>
      </c>
      <c r="S27" s="57">
        <f>'Step 1'!$C$30*H27/1000</f>
        <v>103.43686281396232</v>
      </c>
      <c r="T27" s="57">
        <f>'Step 1'!$C$31*I27/1000</f>
        <v>318.7271786298237</v>
      </c>
      <c r="U27" s="57">
        <f>'Step 1'!$C$20*J27/1000</f>
        <v>15.276578437194685</v>
      </c>
      <c r="V27" s="57">
        <f>'Step 1'!$C$22*K27/1000</f>
        <v>212.4551111387463</v>
      </c>
      <c r="W27" s="65">
        <f>'Step 1'!$C$32*L27/1000</f>
        <v>78.938741738810052</v>
      </c>
      <c r="X27" s="70">
        <f t="shared" si="0"/>
        <v>2021.1803843906757</v>
      </c>
      <c r="Y27" s="71">
        <f t="shared" si="1"/>
        <v>554.12853292367049</v>
      </c>
      <c r="Z27" s="74"/>
      <c r="AA27" s="74"/>
    </row>
    <row r="28" spans="1:27">
      <c r="A28" s="28"/>
      <c r="B28" s="49">
        <f t="shared" si="2"/>
        <v>2016</v>
      </c>
      <c r="C28" s="51">
        <v>42705</v>
      </c>
      <c r="D28" s="39">
        <v>0.15603507383105764</v>
      </c>
      <c r="E28" s="35">
        <v>0.15274980980877281</v>
      </c>
      <c r="F28" s="35">
        <v>0.16732158138036046</v>
      </c>
      <c r="G28" s="35">
        <v>0.14785236282314115</v>
      </c>
      <c r="H28" s="35">
        <v>0.16660829402514279</v>
      </c>
      <c r="I28" s="35">
        <v>0.1516456683331493</v>
      </c>
      <c r="J28" s="35">
        <v>0.1812858594601521</v>
      </c>
      <c r="K28" s="35">
        <v>0.13475637862996637</v>
      </c>
      <c r="L28" s="40">
        <v>0.11912166090647779</v>
      </c>
      <c r="M28" s="28"/>
      <c r="N28" s="59" t="s">
        <v>18</v>
      </c>
      <c r="O28" s="63">
        <f>'Step 1'!$C$18*D28/1000</f>
        <v>661.51132434831663</v>
      </c>
      <c r="P28" s="57">
        <f>'Step 1'!$C$29*E28/1000</f>
        <v>77.826249790890131</v>
      </c>
      <c r="Q28" s="57">
        <f>'Step 1'!$C$19*F28/1000</f>
        <v>538.43792287088536</v>
      </c>
      <c r="R28" s="57">
        <f>'Step 1'!$C$21*G28/1000</f>
        <v>1320.3673501636272</v>
      </c>
      <c r="S28" s="57">
        <f>'Step 1'!$C$30*H28/1000</f>
        <v>152.80463978686006</v>
      </c>
      <c r="T28" s="57">
        <f>'Step 1'!$C$31*I28/1000</f>
        <v>415.95663535875713</v>
      </c>
      <c r="U28" s="57">
        <f>'Step 1'!$C$20*J28/1000</f>
        <v>27.670607041589399</v>
      </c>
      <c r="V28" s="57">
        <f>'Step 1'!$C$22*K28/1000</f>
        <v>275.76015905451595</v>
      </c>
      <c r="W28" s="65">
        <f>'Step 1'!$C$32*L28/1000</f>
        <v>98.595271980431676</v>
      </c>
      <c r="X28" s="70">
        <f t="shared" si="0"/>
        <v>2823.7473634789344</v>
      </c>
      <c r="Y28" s="71">
        <f t="shared" si="1"/>
        <v>745.18279691693897</v>
      </c>
      <c r="Z28" s="74"/>
      <c r="AA28" s="74"/>
    </row>
    <row r="29" spans="1:27">
      <c r="A29" s="28"/>
      <c r="B29" s="49">
        <f t="shared" si="2"/>
        <v>2017</v>
      </c>
      <c r="C29" s="50">
        <v>42736</v>
      </c>
      <c r="D29" s="39">
        <v>0.18475258473193606</v>
      </c>
      <c r="E29" s="35">
        <v>0.19070334326526195</v>
      </c>
      <c r="F29" s="35">
        <v>0.18797359445608566</v>
      </c>
      <c r="G29" s="35">
        <v>0.14473502028433702</v>
      </c>
      <c r="H29" s="35">
        <v>0.17870988286551187</v>
      </c>
      <c r="I29" s="35">
        <v>0.15068925347786319</v>
      </c>
      <c r="J29" s="35">
        <v>0.21584352704994719</v>
      </c>
      <c r="K29" s="35">
        <v>0.14165695450220506</v>
      </c>
      <c r="L29" s="40">
        <v>0.12852444776771499</v>
      </c>
      <c r="M29" s="28"/>
      <c r="N29" s="59" t="s">
        <v>7</v>
      </c>
      <c r="O29" s="63">
        <f>'Step 1'!$C$18*D29/1000</f>
        <v>783.25932754787743</v>
      </c>
      <c r="P29" s="57">
        <f>'Step 1'!$C$29*E29/1000</f>
        <v>97.163630170803287</v>
      </c>
      <c r="Q29" s="57">
        <f>'Step 1'!$C$19*F29/1000</f>
        <v>604.89573979958095</v>
      </c>
      <c r="R29" s="57">
        <f>'Step 1'!$C$21*G29/1000</f>
        <v>1292.5285166886647</v>
      </c>
      <c r="S29" s="57">
        <f>'Step 1'!$C$30*H29/1000</f>
        <v>163.90360058242661</v>
      </c>
      <c r="T29" s="57">
        <f>'Step 1'!$C$31*I29/1000</f>
        <v>413.33323628917105</v>
      </c>
      <c r="U29" s="57">
        <f>'Step 1'!$C$20*J29/1000</f>
        <v>32.945324236844641</v>
      </c>
      <c r="V29" s="57">
        <f>'Step 1'!$C$22*K29/1000</f>
        <v>289.88122641654093</v>
      </c>
      <c r="W29" s="65">
        <f>'Step 1'!$C$32*L29/1000</f>
        <v>106.37782236550021</v>
      </c>
      <c r="X29" s="70">
        <f t="shared" si="0"/>
        <v>3003.5101346895085</v>
      </c>
      <c r="Y29" s="71">
        <f t="shared" si="1"/>
        <v>780.77828940790118</v>
      </c>
      <c r="Z29" s="74"/>
      <c r="AA29" s="74"/>
    </row>
    <row r="30" spans="1:27">
      <c r="A30" s="28"/>
      <c r="B30" s="49">
        <f t="shared" si="2"/>
        <v>2017</v>
      </c>
      <c r="C30" s="50">
        <v>42767</v>
      </c>
      <c r="D30" s="39">
        <v>0.15803157029962581</v>
      </c>
      <c r="E30" s="35">
        <v>0.15468782865965947</v>
      </c>
      <c r="F30" s="35">
        <v>0.16262146903396643</v>
      </c>
      <c r="G30" s="35">
        <v>0.13521553912603154</v>
      </c>
      <c r="H30" s="35">
        <v>0.15941587908843222</v>
      </c>
      <c r="I30" s="35">
        <v>0.13569966730664032</v>
      </c>
      <c r="J30" s="35">
        <v>0.19749225740606627</v>
      </c>
      <c r="K30" s="35">
        <v>0.14929743631469394</v>
      </c>
      <c r="L30" s="40">
        <v>0.12928092817953718</v>
      </c>
      <c r="M30" s="28"/>
      <c r="N30" s="59" t="s">
        <v>8</v>
      </c>
      <c r="O30" s="63">
        <f>'Step 1'!$C$18*D30/1000</f>
        <v>669.9754791729506</v>
      </c>
      <c r="P30" s="57">
        <f>'Step 1'!$C$29*E30/1000</f>
        <v>78.813673208159059</v>
      </c>
      <c r="Q30" s="57">
        <f>'Step 1'!$C$19*F30/1000</f>
        <v>523.3130435327007</v>
      </c>
      <c r="R30" s="57">
        <f>'Step 1'!$C$21*G30/1000</f>
        <v>1207.5166043193001</v>
      </c>
      <c r="S30" s="57">
        <f>'Step 1'!$C$30*H30/1000</f>
        <v>146.20812320866477</v>
      </c>
      <c r="T30" s="57">
        <f>'Step 1'!$C$31*I30/1000</f>
        <v>372.21753613277519</v>
      </c>
      <c r="U30" s="57">
        <f>'Step 1'!$C$20*J30/1000</f>
        <v>30.144274157471553</v>
      </c>
      <c r="V30" s="57">
        <f>'Step 1'!$C$22*K30/1000</f>
        <v>305.51640822600916</v>
      </c>
      <c r="W30" s="65">
        <f>'Step 1'!$C$32*L30/1000</f>
        <v>107.00395023665234</v>
      </c>
      <c r="X30" s="70">
        <f t="shared" si="0"/>
        <v>2736.4658094084325</v>
      </c>
      <c r="Y30" s="71">
        <f t="shared" si="1"/>
        <v>704.24328278625137</v>
      </c>
      <c r="Z30" s="74"/>
      <c r="AA30" s="74"/>
    </row>
    <row r="31" spans="1:27">
      <c r="A31" s="28"/>
      <c r="B31" s="49">
        <f t="shared" si="2"/>
        <v>2017</v>
      </c>
      <c r="C31" s="50">
        <v>42795</v>
      </c>
      <c r="D31" s="39">
        <v>0.1353915497736525</v>
      </c>
      <c r="E31" s="35">
        <v>0.12842562256895762</v>
      </c>
      <c r="F31" s="35">
        <v>0.13899969732791037</v>
      </c>
      <c r="G31" s="35">
        <v>0.12771871800183748</v>
      </c>
      <c r="H31" s="35">
        <v>0.13759387349670688</v>
      </c>
      <c r="I31" s="35">
        <v>0.12782198873005818</v>
      </c>
      <c r="J31" s="35">
        <v>0.16119174707245032</v>
      </c>
      <c r="K31" s="35">
        <v>0.12254079211309003</v>
      </c>
      <c r="L31" s="40">
        <v>0.11126796191126043</v>
      </c>
      <c r="M31" s="28"/>
      <c r="N31" s="59" t="s">
        <v>9</v>
      </c>
      <c r="O31" s="63">
        <f>'Step 1'!$C$18*D31/1000</f>
        <v>573.99302091087304</v>
      </c>
      <c r="P31" s="57">
        <f>'Step 1'!$C$29*E31/1000</f>
        <v>65.433041089313619</v>
      </c>
      <c r="Q31" s="57">
        <f>'Step 1'!$C$19*F31/1000</f>
        <v>447.29859526480999</v>
      </c>
      <c r="R31" s="57">
        <f>'Step 1'!$C$21*G31/1000</f>
        <v>1140.5676719289308</v>
      </c>
      <c r="S31" s="57">
        <f>'Step 1'!$C$30*H31/1000</f>
        <v>126.19409135400075</v>
      </c>
      <c r="T31" s="57">
        <f>'Step 1'!$C$31*I31/1000</f>
        <v>350.60944991989271</v>
      </c>
      <c r="U31" s="57">
        <f>'Step 1'!$C$20*J31/1000</f>
        <v>24.60353777658781</v>
      </c>
      <c r="V31" s="57">
        <f>'Step 1'!$C$22*K31/1000</f>
        <v>250.76266272012771</v>
      </c>
      <c r="W31" s="65">
        <f>'Step 1'!$C$32*L31/1000</f>
        <v>92.094879166954797</v>
      </c>
      <c r="X31" s="70">
        <f t="shared" si="0"/>
        <v>2437.2254886013293</v>
      </c>
      <c r="Y31" s="71">
        <f t="shared" si="1"/>
        <v>634.33146153016185</v>
      </c>
      <c r="Z31" s="74"/>
      <c r="AA31" s="74"/>
    </row>
    <row r="32" spans="1:27">
      <c r="A32" s="28"/>
      <c r="B32" s="49">
        <f t="shared" si="2"/>
        <v>2017</v>
      </c>
      <c r="C32" s="50">
        <v>42826</v>
      </c>
      <c r="D32" s="39">
        <v>7.9241484362737633E-2</v>
      </c>
      <c r="E32" s="35">
        <v>7.9631586181757155E-2</v>
      </c>
      <c r="F32" s="35">
        <v>7.7779801485932373E-2</v>
      </c>
      <c r="G32" s="35">
        <v>8.6876011836757958E-2</v>
      </c>
      <c r="H32" s="35">
        <v>7.8431506561467107E-2</v>
      </c>
      <c r="I32" s="35">
        <v>8.7468092998499197E-2</v>
      </c>
      <c r="J32" s="35">
        <v>6.4614456343240159E-2</v>
      </c>
      <c r="K32" s="35">
        <v>7.8004118473020009E-2</v>
      </c>
      <c r="L32" s="40">
        <v>7.8505469990033452E-2</v>
      </c>
      <c r="M32" s="28"/>
      <c r="N32" s="59" t="s">
        <v>10</v>
      </c>
      <c r="O32" s="63">
        <f>'Step 1'!$C$18*D32/1000</f>
        <v>335.94459230926674</v>
      </c>
      <c r="P32" s="57">
        <f>'Step 1'!$C$29*E32/1000</f>
        <v>40.572408732847357</v>
      </c>
      <c r="Q32" s="57">
        <f>'Step 1'!$C$19*F32/1000</f>
        <v>250.29404101909171</v>
      </c>
      <c r="R32" s="57">
        <f>'Step 1'!$C$21*G32/1000</f>
        <v>775.82966786196278</v>
      </c>
      <c r="S32" s="57">
        <f>'Step 1'!$C$30*H32/1000</f>
        <v>71.933382297625158</v>
      </c>
      <c r="T32" s="57">
        <f>'Step 1'!$C$31*I32/1000</f>
        <v>239.92069186554789</v>
      </c>
      <c r="U32" s="57">
        <f>'Step 1'!$C$20*J32/1000</f>
        <v>9.8624417591308582</v>
      </c>
      <c r="V32" s="57">
        <f>'Step 1'!$C$22*K32/1000</f>
        <v>159.6245634953857</v>
      </c>
      <c r="W32" s="65">
        <f>'Step 1'!$C$32*L32/1000</f>
        <v>64.977839519009365</v>
      </c>
      <c r="X32" s="70">
        <f t="shared" si="0"/>
        <v>1531.5553064448377</v>
      </c>
      <c r="Y32" s="71">
        <f t="shared" si="1"/>
        <v>417.40432241502975</v>
      </c>
      <c r="Z32" s="74"/>
      <c r="AA32" s="74"/>
    </row>
    <row r="33" spans="1:27">
      <c r="A33" s="28"/>
      <c r="B33" s="49">
        <f t="shared" si="2"/>
        <v>2017</v>
      </c>
      <c r="C33" s="50">
        <v>42856</v>
      </c>
      <c r="D33" s="39">
        <v>3.8805270759843802E-2</v>
      </c>
      <c r="E33" s="35">
        <v>4.1984428100986536E-2</v>
      </c>
      <c r="F33" s="35">
        <v>3.7075009235444795E-2</v>
      </c>
      <c r="G33" s="35">
        <v>5.4296576218758177E-2</v>
      </c>
      <c r="H33" s="35">
        <v>3.9605859972652181E-2</v>
      </c>
      <c r="I33" s="35">
        <v>5.2783065514587474E-2</v>
      </c>
      <c r="J33" s="35">
        <v>1.6101833910494134E-2</v>
      </c>
      <c r="K33" s="35">
        <v>5.0359537135029296E-2</v>
      </c>
      <c r="L33" s="40">
        <v>5.9626741569764379E-2</v>
      </c>
      <c r="M33" s="28"/>
      <c r="N33" s="59" t="s">
        <v>11</v>
      </c>
      <c r="O33" s="63">
        <f>'Step 1'!$C$18*D33/1000</f>
        <v>164.51510177662269</v>
      </c>
      <c r="P33" s="57">
        <f>'Step 1'!$C$29*E33/1000</f>
        <v>21.391127051520456</v>
      </c>
      <c r="Q33" s="57">
        <f>'Step 1'!$C$19*F33/1000</f>
        <v>119.30673137598565</v>
      </c>
      <c r="R33" s="57">
        <f>'Step 1'!$C$21*G33/1000</f>
        <v>484.88522669519591</v>
      </c>
      <c r="S33" s="57">
        <f>'Step 1'!$C$30*H33/1000</f>
        <v>36.324477133513156</v>
      </c>
      <c r="T33" s="57">
        <f>'Step 1'!$C$31*I33/1000</f>
        <v>144.78136155616949</v>
      </c>
      <c r="U33" s="57">
        <f>'Step 1'!$C$20*J33/1000</f>
        <v>2.4577069613317324</v>
      </c>
      <c r="V33" s="57">
        <f>'Step 1'!$C$22*K33/1000</f>
        <v>103.05377831798853</v>
      </c>
      <c r="W33" s="65">
        <f>'Step 1'!$C$32*L33/1000</f>
        <v>49.352189665936208</v>
      </c>
      <c r="X33" s="70">
        <f t="shared" si="0"/>
        <v>874.21854512712446</v>
      </c>
      <c r="Y33" s="71">
        <f t="shared" si="1"/>
        <v>251.84915540713931</v>
      </c>
      <c r="Z33" s="74"/>
      <c r="AA33" s="74"/>
    </row>
    <row r="34" spans="1:27">
      <c r="A34" s="28"/>
      <c r="B34" s="49">
        <f t="shared" si="2"/>
        <v>2017</v>
      </c>
      <c r="C34" s="50">
        <v>42887</v>
      </c>
      <c r="D34" s="39">
        <v>2.4916331058095632E-2</v>
      </c>
      <c r="E34" s="35">
        <v>2.4360124670046401E-2</v>
      </c>
      <c r="F34" s="35">
        <v>1.6934969053360466E-2</v>
      </c>
      <c r="G34" s="35">
        <v>3.1374547877084873E-2</v>
      </c>
      <c r="H34" s="35">
        <v>1.860397111068619E-2</v>
      </c>
      <c r="I34" s="35">
        <v>2.9486915484832611E-2</v>
      </c>
      <c r="J34" s="35">
        <v>4.6703783582015363E-3</v>
      </c>
      <c r="K34" s="35">
        <v>3.6114733850343382E-2</v>
      </c>
      <c r="L34" s="40">
        <v>5.1147017787512336E-2</v>
      </c>
      <c r="M34" s="28"/>
      <c r="N34" s="59" t="s">
        <v>12</v>
      </c>
      <c r="O34" s="63">
        <f>'Step 1'!$C$18*D34/1000</f>
        <v>105.63288593683626</v>
      </c>
      <c r="P34" s="57">
        <f>'Step 1'!$C$29*E34/1000</f>
        <v>12.411518874437068</v>
      </c>
      <c r="Q34" s="57">
        <f>'Step 1'!$C$19*F34/1000</f>
        <v>54.496434265976987</v>
      </c>
      <c r="R34" s="57">
        <f>'Step 1'!$C$21*G34/1000</f>
        <v>280.18442081038296</v>
      </c>
      <c r="S34" s="57">
        <f>'Step 1'!$C$30*H34/1000</f>
        <v>17.062614564341871</v>
      </c>
      <c r="T34" s="57">
        <f>'Step 1'!$C$31*I34/1000</f>
        <v>80.881163880220456</v>
      </c>
      <c r="U34" s="57">
        <f>'Step 1'!$C$20*J34/1000</f>
        <v>0.71286422818733031</v>
      </c>
      <c r="V34" s="57">
        <f>'Step 1'!$C$22*K34/1000</f>
        <v>73.903772511793917</v>
      </c>
      <c r="W34" s="65">
        <f>'Step 1'!$C$32*L34/1000</f>
        <v>42.333645210898226</v>
      </c>
      <c r="X34" s="70">
        <f t="shared" si="0"/>
        <v>514.93037775317748</v>
      </c>
      <c r="Y34" s="71">
        <f t="shared" si="1"/>
        <v>152.68894252989762</v>
      </c>
      <c r="Z34" s="74"/>
      <c r="AA34" s="74"/>
    </row>
    <row r="35" spans="1:27">
      <c r="A35" s="28"/>
      <c r="B35" s="49">
        <f t="shared" si="2"/>
        <v>2017</v>
      </c>
      <c r="C35" s="50">
        <v>42917</v>
      </c>
      <c r="D35" s="39">
        <v>2.6105629052116198E-2</v>
      </c>
      <c r="E35" s="35">
        <v>2.1513766972174827E-2</v>
      </c>
      <c r="F35" s="35">
        <v>1.8660546586739213E-2</v>
      </c>
      <c r="G35" s="35">
        <v>2.5632677539870693E-2</v>
      </c>
      <c r="H35" s="35">
        <v>1.708465936081062E-2</v>
      </c>
      <c r="I35" s="35">
        <v>2.5584320411006917E-2</v>
      </c>
      <c r="J35" s="35">
        <v>7.0526450009759439E-3</v>
      </c>
      <c r="K35" s="35">
        <v>3.404545583104715E-2</v>
      </c>
      <c r="L35" s="40">
        <v>5.0213897767795418E-2</v>
      </c>
      <c r="M35" s="28"/>
      <c r="N35" s="59" t="s">
        <v>13</v>
      </c>
      <c r="O35" s="63">
        <f>'Step 1'!$C$18*D35/1000</f>
        <v>110.67491957551134</v>
      </c>
      <c r="P35" s="57">
        <f>'Step 1'!$C$29*E35/1000</f>
        <v>10.961295496312419</v>
      </c>
      <c r="Q35" s="57">
        <f>'Step 1'!$C$19*F35/1000</f>
        <v>60.04931259261091</v>
      </c>
      <c r="R35" s="57">
        <f>'Step 1'!$C$21*G35/1000</f>
        <v>228.90774198449671</v>
      </c>
      <c r="S35" s="57">
        <f>'Step 1'!$C$30*H35/1000</f>
        <v>15.669179225350613</v>
      </c>
      <c r="T35" s="57">
        <f>'Step 1'!$C$31*I35/1000</f>
        <v>70.176536877555549</v>
      </c>
      <c r="U35" s="57">
        <f>'Step 1'!$C$20*J35/1000</f>
        <v>1.0764820213058632</v>
      </c>
      <c r="V35" s="57">
        <f>'Step 1'!$C$22*K35/1000</f>
        <v>69.669283268831663</v>
      </c>
      <c r="W35" s="65">
        <f>'Step 1'!$C$32*L35/1000</f>
        <v>41.561315296806406</v>
      </c>
      <c r="X35" s="70">
        <f t="shared" si="0"/>
        <v>470.37773944275648</v>
      </c>
      <c r="Y35" s="71">
        <f t="shared" si="1"/>
        <v>138.368326896025</v>
      </c>
      <c r="Z35" s="74"/>
      <c r="AA35" s="74"/>
    </row>
    <row r="36" spans="1:27">
      <c r="A36" s="28"/>
      <c r="B36" s="49">
        <f t="shared" si="2"/>
        <v>2017</v>
      </c>
      <c r="C36" s="50">
        <v>42948</v>
      </c>
      <c r="D36" s="39">
        <v>2.4263760544177497E-2</v>
      </c>
      <c r="E36" s="35">
        <v>1.9958960520286881E-2</v>
      </c>
      <c r="F36" s="35">
        <v>1.9191340524129907E-2</v>
      </c>
      <c r="G36" s="35">
        <v>2.6000280723904368E-2</v>
      </c>
      <c r="H36" s="35">
        <v>1.816458357419494E-2</v>
      </c>
      <c r="I36" s="35">
        <v>2.5538013429619394E-2</v>
      </c>
      <c r="J36" s="35">
        <v>6.9324177954609139E-3</v>
      </c>
      <c r="K36" s="35">
        <v>3.4004870648808028E-2</v>
      </c>
      <c r="L36" s="40">
        <v>5.0159611056598052E-2</v>
      </c>
      <c r="M36" s="28"/>
      <c r="N36" s="59" t="s">
        <v>14</v>
      </c>
      <c r="O36" s="63">
        <f>'Step 1'!$C$18*D36/1000</f>
        <v>102.86631061313666</v>
      </c>
      <c r="P36" s="57">
        <f>'Step 1'!$C$29*E36/1000</f>
        <v>10.16911935250835</v>
      </c>
      <c r="Q36" s="57">
        <f>'Step 1'!$C$19*F36/1000</f>
        <v>61.757398200954626</v>
      </c>
      <c r="R36" s="57">
        <f>'Step 1'!$C$21*G36/1000</f>
        <v>232.19055216585883</v>
      </c>
      <c r="S36" s="57">
        <f>'Step 1'!$C$30*H36/1000</f>
        <v>16.659630699503492</v>
      </c>
      <c r="T36" s="57">
        <f>'Step 1'!$C$31*I36/1000</f>
        <v>70.049519097336088</v>
      </c>
      <c r="U36" s="57">
        <f>'Step 1'!$C$20*J36/1000</f>
        <v>1.0581311153420916</v>
      </c>
      <c r="V36" s="57">
        <f>'Step 1'!$C$22*K36/1000</f>
        <v>69.586231346367569</v>
      </c>
      <c r="W36" s="65">
        <f>'Step 1'!$C$32*L36/1000</f>
        <v>41.516382972872222</v>
      </c>
      <c r="X36" s="70">
        <f t="shared" si="0"/>
        <v>467.45862344165977</v>
      </c>
      <c r="Y36" s="71">
        <f t="shared" si="1"/>
        <v>138.39465212222015</v>
      </c>
      <c r="Z36" s="74"/>
      <c r="AA36" s="74"/>
    </row>
    <row r="37" spans="1:27">
      <c r="A37" s="28"/>
      <c r="B37" s="49">
        <f t="shared" si="2"/>
        <v>2017</v>
      </c>
      <c r="C37" s="50">
        <v>42979</v>
      </c>
      <c r="D37" s="39">
        <v>2.7214518498498846E-2</v>
      </c>
      <c r="E37" s="35">
        <v>2.5014177692026782E-2</v>
      </c>
      <c r="F37" s="35">
        <v>1.9865859395941744E-2</v>
      </c>
      <c r="G37" s="35">
        <v>3.2363013069799128E-2</v>
      </c>
      <c r="H37" s="35">
        <v>2.1095008217720604E-2</v>
      </c>
      <c r="I37" s="35">
        <v>2.9969932587154538E-2</v>
      </c>
      <c r="J37" s="35">
        <v>1.3234022292222213E-2</v>
      </c>
      <c r="K37" s="35">
        <v>3.9708527495131471E-2</v>
      </c>
      <c r="L37" s="40">
        <v>5.3643188217287766E-2</v>
      </c>
      <c r="M37" s="28"/>
      <c r="N37" s="59" t="s">
        <v>15</v>
      </c>
      <c r="O37" s="63">
        <f>'Step 1'!$C$18*D37/1000</f>
        <v>115.37606085241859</v>
      </c>
      <c r="P37" s="57">
        <f>'Step 1'!$C$29*E37/1000</f>
        <v>12.744759838395428</v>
      </c>
      <c r="Q37" s="57">
        <f>'Step 1'!$C$19*F37/1000</f>
        <v>63.927988134897284</v>
      </c>
      <c r="R37" s="57">
        <f>'Step 1'!$C$21*G37/1000</f>
        <v>289.01172084341857</v>
      </c>
      <c r="S37" s="57">
        <f>'Step 1'!$C$30*H37/1000</f>
        <v>19.3472668985087</v>
      </c>
      <c r="T37" s="57">
        <f>'Step 1'!$C$31*I37/1000</f>
        <v>82.206056116912492</v>
      </c>
      <c r="U37" s="57">
        <f>'Step 1'!$C$20*J37/1000</f>
        <v>2.019977904058242</v>
      </c>
      <c r="V37" s="57">
        <f>'Step 1'!$C$22*K37/1000</f>
        <v>81.257970637117339</v>
      </c>
      <c r="W37" s="65">
        <f>'Step 1'!$C$32*L37/1000</f>
        <v>44.399689291885643</v>
      </c>
      <c r="X37" s="70">
        <f t="shared" si="0"/>
        <v>551.59371837190997</v>
      </c>
      <c r="Y37" s="71">
        <f t="shared" si="1"/>
        <v>158.69777214570226</v>
      </c>
      <c r="Z37" s="74"/>
      <c r="AA37" s="74"/>
    </row>
    <row r="38" spans="1:27">
      <c r="A38" s="28"/>
      <c r="B38" s="49">
        <f t="shared" si="2"/>
        <v>2017</v>
      </c>
      <c r="C38" s="50">
        <v>43009</v>
      </c>
      <c r="D38" s="39">
        <v>4.8645841182647753E-2</v>
      </c>
      <c r="E38" s="35">
        <v>5.5561583784495112E-2</v>
      </c>
      <c r="F38" s="35">
        <v>4.4861763529365654E-2</v>
      </c>
      <c r="G38" s="35">
        <v>7.1504426034717516E-2</v>
      </c>
      <c r="H38" s="35">
        <v>5.2051181947548965E-2</v>
      </c>
      <c r="I38" s="35">
        <v>6.7276495461110211E-2</v>
      </c>
      <c r="J38" s="35">
        <v>3.1499649080608004E-2</v>
      </c>
      <c r="K38" s="35">
        <v>7.5692719911739495E-2</v>
      </c>
      <c r="L38" s="40">
        <v>7.3378941151497276E-2</v>
      </c>
      <c r="M38" s="28"/>
      <c r="N38" s="59" t="s">
        <v>16</v>
      </c>
      <c r="O38" s="63">
        <f>'Step 1'!$C$18*D38/1000</f>
        <v>206.2342397428728</v>
      </c>
      <c r="P38" s="57">
        <f>'Step 1'!$C$29*E38/1000</f>
        <v>28.308707577462663</v>
      </c>
      <c r="Q38" s="57">
        <f>'Step 1'!$C$19*F38/1000</f>
        <v>144.36437052412256</v>
      </c>
      <c r="R38" s="57">
        <f>'Step 1'!$C$21*G38/1000</f>
        <v>638.55665019953346</v>
      </c>
      <c r="S38" s="57">
        <f>'Step 1'!$C$30*H38/1000</f>
        <v>47.738692449340185</v>
      </c>
      <c r="T38" s="57">
        <f>'Step 1'!$C$31*I38/1000</f>
        <v>184.53612950720105</v>
      </c>
      <c r="U38" s="57">
        <f>'Step 1'!$C$20*J38/1000</f>
        <v>4.8079558673414002</v>
      </c>
      <c r="V38" s="57">
        <f>'Step 1'!$C$22*K38/1000</f>
        <v>154.89460828749651</v>
      </c>
      <c r="W38" s="65">
        <f>'Step 1'!$C$32*L38/1000</f>
        <v>60.73468591197706</v>
      </c>
      <c r="X38" s="70">
        <f t="shared" si="0"/>
        <v>1148.8578246213667</v>
      </c>
      <c r="Y38" s="71">
        <f t="shared" si="1"/>
        <v>321.31821544598097</v>
      </c>
      <c r="Z38" s="74"/>
      <c r="AA38" s="74"/>
    </row>
    <row r="39" spans="1:27">
      <c r="A39" s="28"/>
      <c r="B39" s="49">
        <f t="shared" si="2"/>
        <v>2017</v>
      </c>
      <c r="C39" s="50">
        <v>43040</v>
      </c>
      <c r="D39" s="39">
        <v>9.5732919985141066E-2</v>
      </c>
      <c r="E39" s="35">
        <v>0.10459567722932832</v>
      </c>
      <c r="F39" s="35">
        <v>0.10871798391921082</v>
      </c>
      <c r="G39" s="35">
        <v>0.11641779001313983</v>
      </c>
      <c r="H39" s="35">
        <v>0.11277773654256917</v>
      </c>
      <c r="I39" s="35">
        <v>0.11619661883333275</v>
      </c>
      <c r="J39" s="35">
        <v>0.10008312054875351</v>
      </c>
      <c r="K39" s="35">
        <v>0.10381907397731423</v>
      </c>
      <c r="L39" s="40">
        <v>9.5306827923039822E-2</v>
      </c>
      <c r="M39" s="28"/>
      <c r="N39" s="59" t="s">
        <v>17</v>
      </c>
      <c r="O39" s="63">
        <f>'Step 1'!$C$18*D39/1000</f>
        <v>405.86010009306665</v>
      </c>
      <c r="P39" s="57">
        <f>'Step 1'!$C$29*E39/1000</f>
        <v>53.291649353199432</v>
      </c>
      <c r="Q39" s="57">
        <f>'Step 1'!$C$19*F39/1000</f>
        <v>349.85257106254636</v>
      </c>
      <c r="R39" s="57">
        <f>'Step 1'!$C$21*G39/1000</f>
        <v>1039.6468881287055</v>
      </c>
      <c r="S39" s="57">
        <f>'Step 1'!$C$30*H39/1000</f>
        <v>103.43399474316728</v>
      </c>
      <c r="T39" s="57">
        <f>'Step 1'!$C$31*I39/1000</f>
        <v>318.72163010812278</v>
      </c>
      <c r="U39" s="57">
        <f>'Step 1'!$C$20*J39/1000</f>
        <v>15.276209123245513</v>
      </c>
      <c r="V39" s="57">
        <f>'Step 1'!$C$22*K39/1000</f>
        <v>212.4512742472165</v>
      </c>
      <c r="W39" s="65">
        <f>'Step 1'!$C$32*L39/1000</f>
        <v>78.884079932714556</v>
      </c>
      <c r="X39" s="70">
        <f t="shared" si="0"/>
        <v>2023.0870426547806</v>
      </c>
      <c r="Y39" s="71">
        <f t="shared" si="1"/>
        <v>554.33135413720402</v>
      </c>
      <c r="Z39" s="74"/>
      <c r="AA39" s="74"/>
    </row>
    <row r="40" spans="1:27" ht="13.5" thickBot="1">
      <c r="A40" s="28"/>
      <c r="B40" s="52">
        <f t="shared" si="2"/>
        <v>2017</v>
      </c>
      <c r="C40" s="53">
        <v>43070</v>
      </c>
      <c r="D40" s="41">
        <v>0.15689853975152715</v>
      </c>
      <c r="E40" s="42">
        <v>0.15356290035501882</v>
      </c>
      <c r="F40" s="42">
        <v>0.16731796545191271</v>
      </c>
      <c r="G40" s="42">
        <v>0.14786539927376158</v>
      </c>
      <c r="H40" s="42">
        <v>0.16646585726169927</v>
      </c>
      <c r="I40" s="42">
        <v>0.1514856357652952</v>
      </c>
      <c r="J40" s="42">
        <v>0.18128394514157986</v>
      </c>
      <c r="K40" s="42">
        <v>0.13475577974757783</v>
      </c>
      <c r="L40" s="43">
        <v>0.11894496667795879</v>
      </c>
      <c r="M40" s="28"/>
      <c r="N40" s="60" t="s">
        <v>18</v>
      </c>
      <c r="O40" s="75">
        <f>'Step 1'!$C$18*D40/1000</f>
        <v>665.17199159802658</v>
      </c>
      <c r="P40" s="76">
        <f>'Step 1'!$C$29*E40/1000</f>
        <v>78.240520604280817</v>
      </c>
      <c r="Q40" s="76">
        <f>'Step 1'!$C$19*F40/1000</f>
        <v>538.42628687637352</v>
      </c>
      <c r="R40" s="76">
        <f>'Step 1'!$C$21*G40/1000</f>
        <v>1320.4837697015537</v>
      </c>
      <c r="S40" s="76">
        <f>'Step 1'!$C$30*H40/1000</f>
        <v>152.6740040435572</v>
      </c>
      <c r="T40" s="76">
        <f>'Step 1'!$C$31*I40/1000</f>
        <v>415.51767386909438</v>
      </c>
      <c r="U40" s="76">
        <f>'Step 1'!$C$20*J40/1000</f>
        <v>27.670314849152973</v>
      </c>
      <c r="V40" s="76">
        <f>'Step 1'!$C$22*K40/1000</f>
        <v>275.75893352512435</v>
      </c>
      <c r="W40" s="77">
        <f>'Step 1'!$C$32*L40/1000</f>
        <v>98.44902472879302</v>
      </c>
      <c r="X40" s="72">
        <f t="shared" si="0"/>
        <v>2827.5112965502312</v>
      </c>
      <c r="Y40" s="73">
        <f t="shared" si="1"/>
        <v>744.88122324572544</v>
      </c>
      <c r="Z40" s="74"/>
      <c r="AA40" s="74"/>
    </row>
    <row r="41" spans="1:27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</row>
    <row r="42" spans="1:27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</row>
    <row r="43" spans="1:27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</row>
    <row r="44" spans="1:27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</row>
    <row r="45" spans="1:27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</row>
    <row r="46" spans="1:27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</row>
    <row r="47" spans="1:27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</row>
    <row r="48" spans="1:27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</row>
    <row r="49" hidden="1"/>
    <row r="50" hidden="1"/>
    <row r="51" hidden="1"/>
    <row r="52" hidden="1"/>
    <row r="53" hidden="1"/>
    <row r="54" hidden="1"/>
    <row r="55" hidden="1"/>
  </sheetData>
  <sheetProtection sheet="1" objects="1" scenarios="1"/>
  <mergeCells count="1">
    <mergeCell ref="D2:L2"/>
  </mergeCells>
  <phoneticPr fontId="14" type="noConversion"/>
  <pageMargins left="0.75" right="0.75" top="1" bottom="1" header="0.5" footer="0.5"/>
  <pageSetup scale="4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52"/>
  <sheetViews>
    <sheetView tabSelected="1" workbookViewId="0"/>
  </sheetViews>
  <sheetFormatPr defaultColWidth="0" defaultRowHeight="12.75" zeroHeight="1"/>
  <cols>
    <col min="1" max="1" width="2" customWidth="1"/>
    <col min="2" max="6" width="11.140625" customWidth="1"/>
    <col min="7" max="7" width="3.5703125" customWidth="1"/>
    <col min="8" max="12" width="11.140625" customWidth="1"/>
    <col min="13" max="13" width="3.140625" customWidth="1"/>
    <col min="14" max="18" width="11.140625" customWidth="1"/>
    <col min="19" max="21" width="9.140625" customWidth="1"/>
    <col min="22" max="16384" width="9.140625" hidden="1"/>
  </cols>
  <sheetData>
    <row r="1" spans="1:21">
      <c r="A1" s="14"/>
      <c r="B1" s="102" t="s">
        <v>125</v>
      </c>
      <c r="C1" s="101"/>
      <c r="D1" s="101"/>
      <c r="E1" s="101"/>
      <c r="F1" s="203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</row>
    <row r="2" spans="1:21" ht="13.5" thickBot="1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</row>
    <row r="3" spans="1:21" ht="38.25">
      <c r="A3" s="14"/>
      <c r="B3" s="99" t="s">
        <v>3</v>
      </c>
      <c r="C3" s="78" t="s">
        <v>135</v>
      </c>
      <c r="D3" s="79" t="s">
        <v>136</v>
      </c>
      <c r="E3" s="79" t="s">
        <v>137</v>
      </c>
      <c r="F3" s="80" t="s">
        <v>6</v>
      </c>
      <c r="G3" s="14"/>
      <c r="H3" s="99" t="s">
        <v>4</v>
      </c>
      <c r="I3" s="78" t="s">
        <v>135</v>
      </c>
      <c r="J3" s="79" t="s">
        <v>136</v>
      </c>
      <c r="K3" s="79" t="s">
        <v>137</v>
      </c>
      <c r="L3" s="80" t="s">
        <v>6</v>
      </c>
      <c r="M3" s="14"/>
      <c r="N3" s="99" t="s">
        <v>5</v>
      </c>
      <c r="O3" s="78" t="s">
        <v>135</v>
      </c>
      <c r="P3" s="79" t="s">
        <v>136</v>
      </c>
      <c r="Q3" s="79" t="s">
        <v>137</v>
      </c>
      <c r="R3" s="80" t="s">
        <v>6</v>
      </c>
      <c r="S3" s="14"/>
      <c r="T3" s="14"/>
      <c r="U3" s="14"/>
    </row>
    <row r="4" spans="1:21" ht="18.75" thickBot="1">
      <c r="A4" s="14"/>
      <c r="B4" s="100">
        <f>'Step 1'!C4</f>
        <v>2015</v>
      </c>
      <c r="C4" s="83" t="s">
        <v>19</v>
      </c>
      <c r="D4" s="81" t="s">
        <v>19</v>
      </c>
      <c r="E4" s="81" t="s">
        <v>19</v>
      </c>
      <c r="F4" s="82" t="s">
        <v>19</v>
      </c>
      <c r="G4" s="14"/>
      <c r="H4" s="100">
        <f>B4</f>
        <v>2015</v>
      </c>
      <c r="I4" s="83" t="s">
        <v>19</v>
      </c>
      <c r="J4" s="81" t="s">
        <v>19</v>
      </c>
      <c r="K4" s="81" t="s">
        <v>19</v>
      </c>
      <c r="L4" s="82" t="s">
        <v>19</v>
      </c>
      <c r="M4" s="14"/>
      <c r="N4" s="100">
        <f>B4</f>
        <v>2015</v>
      </c>
      <c r="O4" s="83" t="s">
        <v>19</v>
      </c>
      <c r="P4" s="81" t="s">
        <v>19</v>
      </c>
      <c r="Q4" s="81" t="s">
        <v>19</v>
      </c>
      <c r="R4" s="82" t="s">
        <v>19</v>
      </c>
      <c r="S4" s="14"/>
      <c r="T4" s="14"/>
      <c r="U4" s="14"/>
    </row>
    <row r="5" spans="1:21">
      <c r="A5" s="14"/>
      <c r="B5" s="98" t="s">
        <v>7</v>
      </c>
      <c r="C5" s="86">
        <f>I5+O5</f>
        <v>3159.5853942600979</v>
      </c>
      <c r="D5" s="87">
        <f>J5+P5</f>
        <v>625.55141876419339</v>
      </c>
      <c r="E5" s="87">
        <f>K5+Q5</f>
        <v>13031.873747148333</v>
      </c>
      <c r="F5" s="88">
        <f>SUM(C5:E5)</f>
        <v>16817.010560172625</v>
      </c>
      <c r="G5" s="14"/>
      <c r="H5" s="98" t="s">
        <v>7</v>
      </c>
      <c r="I5" s="86">
        <f>'Step 2'!X5-J5</f>
        <v>2518.6461066131928</v>
      </c>
      <c r="J5" s="87">
        <f>AVERAGE(J10:J12)</f>
        <v>483.39107155160673</v>
      </c>
      <c r="K5" s="87">
        <f>'Step 1'!C41/1000/12</f>
        <v>10997.415435981666</v>
      </c>
      <c r="L5" s="88">
        <f>SUM(I5:K5)</f>
        <v>13999.452614146465</v>
      </c>
      <c r="M5" s="14"/>
      <c r="N5" s="98" t="s">
        <v>7</v>
      </c>
      <c r="O5" s="86">
        <f>'Step 2'!Y5-P5</f>
        <v>640.93928764690509</v>
      </c>
      <c r="P5" s="87">
        <f>AVERAGE(P10:P12)</f>
        <v>142.16034721258663</v>
      </c>
      <c r="Q5" s="87">
        <f>'Step 1'!$C$40/1000/12</f>
        <v>2034.4583111666661</v>
      </c>
      <c r="R5" s="88">
        <f>SUM(O5:Q5)</f>
        <v>2817.5579460261579</v>
      </c>
      <c r="S5" s="14"/>
      <c r="T5" s="14"/>
      <c r="U5" s="14"/>
    </row>
    <row r="6" spans="1:21">
      <c r="A6" s="14"/>
      <c r="B6" s="84" t="s">
        <v>8</v>
      </c>
      <c r="C6" s="89">
        <f t="shared" ref="C6:C16" si="0">I6+O6</f>
        <v>2815.8146784015212</v>
      </c>
      <c r="D6" s="90">
        <f t="shared" ref="D6:D16" si="1">J6+P6</f>
        <v>625.55141876419339</v>
      </c>
      <c r="E6" s="90">
        <f t="shared" ref="E6:E16" si="2">K6+Q6</f>
        <v>13031.873747148333</v>
      </c>
      <c r="F6" s="91">
        <f t="shared" ref="F6:F16" si="3">SUM(C6:E6)</f>
        <v>16473.239844314048</v>
      </c>
      <c r="G6" s="14"/>
      <c r="H6" s="84" t="s">
        <v>8</v>
      </c>
      <c r="I6" s="89">
        <f>'Step 2'!X6-J6</f>
        <v>2251.8397855764783</v>
      </c>
      <c r="J6" s="90">
        <f>$J$5</f>
        <v>483.39107155160673</v>
      </c>
      <c r="K6" s="90">
        <f>K5</f>
        <v>10997.415435981666</v>
      </c>
      <c r="L6" s="91">
        <f t="shared" ref="L6:L16" si="4">SUM(I6:K6)</f>
        <v>13732.64629310975</v>
      </c>
      <c r="M6" s="14"/>
      <c r="N6" s="84" t="s">
        <v>8</v>
      </c>
      <c r="O6" s="89">
        <f>'Step 2'!Y6-P6</f>
        <v>563.97489282504296</v>
      </c>
      <c r="P6" s="90">
        <f>$P$5</f>
        <v>142.16034721258663</v>
      </c>
      <c r="Q6" s="90">
        <f>Q5</f>
        <v>2034.4583111666661</v>
      </c>
      <c r="R6" s="91">
        <f t="shared" ref="R6:R16" si="5">SUM(O6:Q6)</f>
        <v>2740.5935512042956</v>
      </c>
      <c r="S6" s="14"/>
      <c r="T6" s="14"/>
      <c r="U6" s="14"/>
    </row>
    <row r="7" spans="1:21">
      <c r="A7" s="14"/>
      <c r="B7" s="84" t="s">
        <v>9</v>
      </c>
      <c r="C7" s="89">
        <f t="shared" si="0"/>
        <v>2447.6400561927849</v>
      </c>
      <c r="D7" s="90">
        <f t="shared" si="1"/>
        <v>625.55141876419339</v>
      </c>
      <c r="E7" s="90">
        <f t="shared" si="2"/>
        <v>13031.873747148333</v>
      </c>
      <c r="F7" s="91">
        <f t="shared" si="3"/>
        <v>16105.065222105311</v>
      </c>
      <c r="G7" s="14"/>
      <c r="H7" s="84" t="s">
        <v>9</v>
      </c>
      <c r="I7" s="89">
        <f>'Step 2'!X7-J7</f>
        <v>1954.3588676135951</v>
      </c>
      <c r="J7" s="90">
        <f>$J$5</f>
        <v>483.39107155160673</v>
      </c>
      <c r="K7" s="90">
        <f t="shared" ref="K7:K16" si="6">K6</f>
        <v>10997.415435981666</v>
      </c>
      <c r="L7" s="91">
        <f t="shared" si="4"/>
        <v>13435.165375146868</v>
      </c>
      <c r="M7" s="14"/>
      <c r="N7" s="84" t="s">
        <v>9</v>
      </c>
      <c r="O7" s="89">
        <f>'Step 2'!Y7-P7</f>
        <v>493.28118857918957</v>
      </c>
      <c r="P7" s="90">
        <f>$P$5</f>
        <v>142.16034721258663</v>
      </c>
      <c r="Q7" s="90">
        <f>Q6</f>
        <v>2034.4583111666661</v>
      </c>
      <c r="R7" s="91">
        <f t="shared" si="5"/>
        <v>2669.8998469584421</v>
      </c>
      <c r="S7" s="14"/>
      <c r="T7" s="14"/>
      <c r="U7" s="14"/>
    </row>
    <row r="8" spans="1:21">
      <c r="A8" s="14"/>
      <c r="B8" s="84" t="s">
        <v>10</v>
      </c>
      <c r="C8" s="89">
        <f t="shared" si="0"/>
        <v>1324.1401683087249</v>
      </c>
      <c r="D8" s="90">
        <f t="shared" si="1"/>
        <v>625.55141876419339</v>
      </c>
      <c r="E8" s="90">
        <f t="shared" si="2"/>
        <v>13031.873747148333</v>
      </c>
      <c r="F8" s="91">
        <f t="shared" si="3"/>
        <v>14981.565334221252</v>
      </c>
      <c r="G8" s="14"/>
      <c r="H8" s="84" t="s">
        <v>10</v>
      </c>
      <c r="I8" s="89">
        <f>'Step 2'!X8-J8</f>
        <v>1049.5004212848037</v>
      </c>
      <c r="J8" s="90">
        <f>$J$5</f>
        <v>483.39107155160673</v>
      </c>
      <c r="K8" s="90">
        <f t="shared" si="6"/>
        <v>10997.415435981666</v>
      </c>
      <c r="L8" s="91">
        <f t="shared" si="4"/>
        <v>12530.306928818076</v>
      </c>
      <c r="M8" s="14"/>
      <c r="N8" s="84" t="s">
        <v>10</v>
      </c>
      <c r="O8" s="89">
        <f>'Step 2'!Y8-P8</f>
        <v>274.63974702392125</v>
      </c>
      <c r="P8" s="90">
        <f>$P$5</f>
        <v>142.16034721258663</v>
      </c>
      <c r="Q8" s="90">
        <f t="shared" ref="Q8:Q16" si="7">Q7</f>
        <v>2034.4583111666661</v>
      </c>
      <c r="R8" s="91">
        <f t="shared" si="5"/>
        <v>2451.258405403174</v>
      </c>
      <c r="S8" s="14"/>
      <c r="T8" s="14"/>
      <c r="U8" s="14"/>
    </row>
    <row r="9" spans="1:21">
      <c r="A9" s="14"/>
      <c r="B9" s="84" t="s">
        <v>11</v>
      </c>
      <c r="C9" s="89">
        <f t="shared" si="0"/>
        <v>501.5700645509736</v>
      </c>
      <c r="D9" s="90">
        <f t="shared" si="1"/>
        <v>625.55141876419339</v>
      </c>
      <c r="E9" s="90">
        <f t="shared" si="2"/>
        <v>13031.873747148333</v>
      </c>
      <c r="F9" s="91">
        <f t="shared" si="3"/>
        <v>14158.995230463501</v>
      </c>
      <c r="G9" s="14"/>
      <c r="H9" s="84" t="s">
        <v>11</v>
      </c>
      <c r="I9" s="89">
        <f>'Step 2'!X9-J9</f>
        <v>392.74890876007385</v>
      </c>
      <c r="J9" s="90">
        <f>$J$5</f>
        <v>483.39107155160673</v>
      </c>
      <c r="K9" s="90">
        <f t="shared" si="6"/>
        <v>10997.415435981666</v>
      </c>
      <c r="L9" s="91">
        <f t="shared" si="4"/>
        <v>11873.555416293346</v>
      </c>
      <c r="M9" s="14"/>
      <c r="N9" s="84" t="s">
        <v>11</v>
      </c>
      <c r="O9" s="89">
        <f>'Step 2'!Y9-P9</f>
        <v>108.82115579089972</v>
      </c>
      <c r="P9" s="90">
        <f>$P$5</f>
        <v>142.16034721258663</v>
      </c>
      <c r="Q9" s="90">
        <f t="shared" si="7"/>
        <v>2034.4583111666661</v>
      </c>
      <c r="R9" s="91">
        <f t="shared" si="5"/>
        <v>2285.4398141701527</v>
      </c>
      <c r="S9" s="14"/>
      <c r="T9" s="14"/>
      <c r="U9" s="14"/>
    </row>
    <row r="10" spans="1:21">
      <c r="A10" s="14"/>
      <c r="B10" s="84" t="s">
        <v>12</v>
      </c>
      <c r="C10" s="89">
        <f t="shared" si="0"/>
        <v>0</v>
      </c>
      <c r="D10" s="90">
        <f t="shared" si="1"/>
        <v>665.58210611765185</v>
      </c>
      <c r="E10" s="90">
        <f t="shared" si="2"/>
        <v>13031.873747148333</v>
      </c>
      <c r="F10" s="91">
        <f t="shared" si="3"/>
        <v>13697.455853265985</v>
      </c>
      <c r="G10" s="14"/>
      <c r="H10" s="84" t="s">
        <v>12</v>
      </c>
      <c r="I10" s="89">
        <v>0</v>
      </c>
      <c r="J10" s="90">
        <f>'Step 2'!X10</f>
        <v>514.04044080059623</v>
      </c>
      <c r="K10" s="90">
        <f t="shared" si="6"/>
        <v>10997.415435981666</v>
      </c>
      <c r="L10" s="91">
        <f t="shared" si="4"/>
        <v>11511.455876782262</v>
      </c>
      <c r="M10" s="14"/>
      <c r="N10" s="84" t="s">
        <v>12</v>
      </c>
      <c r="O10" s="89">
        <v>0</v>
      </c>
      <c r="P10" s="90">
        <f>'Step 2'!Y10</f>
        <v>151.54166531705562</v>
      </c>
      <c r="Q10" s="90">
        <f t="shared" si="7"/>
        <v>2034.4583111666661</v>
      </c>
      <c r="R10" s="91">
        <f t="shared" si="5"/>
        <v>2185.9999764837216</v>
      </c>
      <c r="S10" s="14"/>
      <c r="T10" s="14"/>
      <c r="U10" s="14"/>
    </row>
    <row r="11" spans="1:21">
      <c r="A11" s="14"/>
      <c r="B11" s="84" t="s">
        <v>13</v>
      </c>
      <c r="C11" s="89">
        <f t="shared" si="0"/>
        <v>0</v>
      </c>
      <c r="D11" s="90">
        <f t="shared" si="1"/>
        <v>606.92101761811955</v>
      </c>
      <c r="E11" s="90">
        <f t="shared" si="2"/>
        <v>13031.873747148333</v>
      </c>
      <c r="F11" s="91">
        <f t="shared" si="3"/>
        <v>13638.794764766451</v>
      </c>
      <c r="G11" s="14"/>
      <c r="H11" s="84" t="s">
        <v>13</v>
      </c>
      <c r="I11" s="89">
        <v>0</v>
      </c>
      <c r="J11" s="90">
        <f>'Step 2'!X11</f>
        <v>469.51628607748296</v>
      </c>
      <c r="K11" s="90">
        <f t="shared" si="6"/>
        <v>10997.415435981666</v>
      </c>
      <c r="L11" s="91">
        <f t="shared" si="4"/>
        <v>11466.931722059149</v>
      </c>
      <c r="M11" s="14"/>
      <c r="N11" s="84" t="s">
        <v>13</v>
      </c>
      <c r="O11" s="89">
        <v>0</v>
      </c>
      <c r="P11" s="90">
        <f>'Step 2'!Y11</f>
        <v>137.40473154063659</v>
      </c>
      <c r="Q11" s="90">
        <f t="shared" si="7"/>
        <v>2034.4583111666661</v>
      </c>
      <c r="R11" s="91">
        <f t="shared" si="5"/>
        <v>2171.8630427073026</v>
      </c>
      <c r="S11" s="14"/>
      <c r="T11" s="14"/>
      <c r="U11" s="14"/>
    </row>
    <row r="12" spans="1:21">
      <c r="A12" s="14"/>
      <c r="B12" s="84" t="s">
        <v>14</v>
      </c>
      <c r="C12" s="89">
        <f t="shared" si="0"/>
        <v>0</v>
      </c>
      <c r="D12" s="90">
        <f t="shared" si="1"/>
        <v>604.15113255680876</v>
      </c>
      <c r="E12" s="90">
        <f t="shared" si="2"/>
        <v>13031.873747148333</v>
      </c>
      <c r="F12" s="91">
        <f t="shared" si="3"/>
        <v>13636.024879705141</v>
      </c>
      <c r="G12" s="14"/>
      <c r="H12" s="84" t="s">
        <v>14</v>
      </c>
      <c r="I12" s="89">
        <v>0</v>
      </c>
      <c r="J12" s="90">
        <f>'Step 2'!X12</f>
        <v>466.61648777674111</v>
      </c>
      <c r="K12" s="90">
        <f t="shared" si="6"/>
        <v>10997.415435981666</v>
      </c>
      <c r="L12" s="91">
        <f t="shared" si="4"/>
        <v>11464.031923758406</v>
      </c>
      <c r="M12" s="14"/>
      <c r="N12" s="84" t="s">
        <v>14</v>
      </c>
      <c r="O12" s="89">
        <v>0</v>
      </c>
      <c r="P12" s="90">
        <f>'Step 2'!Y12</f>
        <v>137.53464478006762</v>
      </c>
      <c r="Q12" s="90">
        <f t="shared" si="7"/>
        <v>2034.4583111666661</v>
      </c>
      <c r="R12" s="91">
        <f t="shared" si="5"/>
        <v>2171.9929559467337</v>
      </c>
      <c r="S12" s="14"/>
      <c r="T12" s="14"/>
      <c r="U12" s="14"/>
    </row>
    <row r="13" spans="1:21">
      <c r="A13" s="14"/>
      <c r="B13" s="84" t="s">
        <v>15</v>
      </c>
      <c r="C13" s="89">
        <f t="shared" si="0"/>
        <v>83.263038930766385</v>
      </c>
      <c r="D13" s="90">
        <f t="shared" si="1"/>
        <v>625.55141876419339</v>
      </c>
      <c r="E13" s="90">
        <f t="shared" si="2"/>
        <v>13031.873747148333</v>
      </c>
      <c r="F13" s="91">
        <f t="shared" si="3"/>
        <v>13740.688204843293</v>
      </c>
      <c r="G13" s="14"/>
      <c r="H13" s="84" t="s">
        <v>15</v>
      </c>
      <c r="I13" s="89">
        <f>'Step 2'!X13-J13</f>
        <v>67.412347612124449</v>
      </c>
      <c r="J13" s="90">
        <f>$J$5</f>
        <v>483.39107155160673</v>
      </c>
      <c r="K13" s="90">
        <f t="shared" si="6"/>
        <v>10997.415435981666</v>
      </c>
      <c r="L13" s="91">
        <f t="shared" si="4"/>
        <v>11548.218855145396</v>
      </c>
      <c r="M13" s="14"/>
      <c r="N13" s="84" t="s">
        <v>15</v>
      </c>
      <c r="O13" s="89">
        <f>'Step 2'!Y13-P13</f>
        <v>15.850691318641935</v>
      </c>
      <c r="P13" s="90">
        <f>$P$5</f>
        <v>142.16034721258663</v>
      </c>
      <c r="Q13" s="90">
        <f t="shared" si="7"/>
        <v>2034.4583111666661</v>
      </c>
      <c r="R13" s="91">
        <f t="shared" si="5"/>
        <v>2192.4693496978948</v>
      </c>
      <c r="S13" s="14"/>
      <c r="T13" s="14"/>
      <c r="U13" s="14"/>
    </row>
    <row r="14" spans="1:21">
      <c r="A14" s="14"/>
      <c r="B14" s="84" t="s">
        <v>16</v>
      </c>
      <c r="C14" s="89">
        <f t="shared" si="0"/>
        <v>845.52688397129009</v>
      </c>
      <c r="D14" s="90">
        <f t="shared" si="1"/>
        <v>625.55141876419339</v>
      </c>
      <c r="E14" s="90">
        <f t="shared" si="2"/>
        <v>13031.873747148333</v>
      </c>
      <c r="F14" s="91">
        <f t="shared" si="3"/>
        <v>14502.952049883816</v>
      </c>
      <c r="G14" s="14"/>
      <c r="H14" s="84" t="s">
        <v>16</v>
      </c>
      <c r="I14" s="89">
        <f>'Step 2'!X14-J14</f>
        <v>667.33795329803297</v>
      </c>
      <c r="J14" s="90">
        <f>$J$5</f>
        <v>483.39107155160673</v>
      </c>
      <c r="K14" s="90">
        <f t="shared" si="6"/>
        <v>10997.415435981666</v>
      </c>
      <c r="L14" s="91">
        <f t="shared" si="4"/>
        <v>12148.144460831305</v>
      </c>
      <c r="M14" s="14"/>
      <c r="N14" s="84" t="s">
        <v>16</v>
      </c>
      <c r="O14" s="89">
        <f>'Step 2'!Y14-P14</f>
        <v>178.18893067325709</v>
      </c>
      <c r="P14" s="90">
        <f>$P$5</f>
        <v>142.16034721258663</v>
      </c>
      <c r="Q14" s="90">
        <f t="shared" si="7"/>
        <v>2034.4583111666661</v>
      </c>
      <c r="R14" s="91">
        <f t="shared" si="5"/>
        <v>2354.8075890525097</v>
      </c>
      <c r="S14" s="14"/>
      <c r="T14" s="14"/>
      <c r="U14" s="14"/>
    </row>
    <row r="15" spans="1:21">
      <c r="A15" s="14"/>
      <c r="B15" s="84" t="s">
        <v>17</v>
      </c>
      <c r="C15" s="89">
        <f t="shared" si="0"/>
        <v>1952.5877572612881</v>
      </c>
      <c r="D15" s="90">
        <f t="shared" si="1"/>
        <v>625.55141876419339</v>
      </c>
      <c r="E15" s="90">
        <f t="shared" si="2"/>
        <v>13031.873747148333</v>
      </c>
      <c r="F15" s="91">
        <f t="shared" si="3"/>
        <v>15610.012923173814</v>
      </c>
      <c r="G15" s="14"/>
      <c r="H15" s="84" t="s">
        <v>17</v>
      </c>
      <c r="I15" s="89">
        <f>'Step 2'!X15-J15</f>
        <v>1540.6676373463906</v>
      </c>
      <c r="J15" s="90">
        <f>$J$5</f>
        <v>483.39107155160673</v>
      </c>
      <c r="K15" s="90">
        <f t="shared" si="6"/>
        <v>10997.415435981666</v>
      </c>
      <c r="L15" s="91">
        <f t="shared" si="4"/>
        <v>13021.474144879663</v>
      </c>
      <c r="M15" s="14"/>
      <c r="N15" s="84" t="s">
        <v>17</v>
      </c>
      <c r="O15" s="89">
        <f>'Step 2'!Y15-P15</f>
        <v>411.92011991489733</v>
      </c>
      <c r="P15" s="90">
        <f>$P$5</f>
        <v>142.16034721258663</v>
      </c>
      <c r="Q15" s="90">
        <f t="shared" si="7"/>
        <v>2034.4583111666661</v>
      </c>
      <c r="R15" s="91">
        <f t="shared" si="5"/>
        <v>2588.5387782941502</v>
      </c>
      <c r="S15" s="14"/>
      <c r="T15" s="14"/>
      <c r="U15" s="14"/>
    </row>
    <row r="16" spans="1:21" ht="13.5" thickBot="1">
      <c r="A16" s="14"/>
      <c r="B16" s="85" t="s">
        <v>18</v>
      </c>
      <c r="C16" s="92">
        <f t="shared" si="0"/>
        <v>2947.3338381285862</v>
      </c>
      <c r="D16" s="93">
        <f t="shared" si="1"/>
        <v>625.55141876419339</v>
      </c>
      <c r="E16" s="93">
        <f t="shared" si="2"/>
        <v>13031.873747148333</v>
      </c>
      <c r="F16" s="94">
        <f t="shared" si="3"/>
        <v>16604.759004041112</v>
      </c>
      <c r="G16" s="14"/>
      <c r="H16" s="85" t="s">
        <v>18</v>
      </c>
      <c r="I16" s="92">
        <f>'Step 2'!X16-J16</f>
        <v>2343.5870203831419</v>
      </c>
      <c r="J16" s="93">
        <f>$J$5</f>
        <v>483.39107155160673</v>
      </c>
      <c r="K16" s="93">
        <f t="shared" si="6"/>
        <v>10997.415435981666</v>
      </c>
      <c r="L16" s="94">
        <f t="shared" si="4"/>
        <v>13824.393527916414</v>
      </c>
      <c r="M16" s="14"/>
      <c r="N16" s="85" t="s">
        <v>18</v>
      </c>
      <c r="O16" s="92">
        <f>'Step 2'!Y16-P16</f>
        <v>603.74681774544445</v>
      </c>
      <c r="P16" s="93">
        <f>$P$5</f>
        <v>142.16034721258663</v>
      </c>
      <c r="Q16" s="93">
        <f t="shared" si="7"/>
        <v>2034.4583111666661</v>
      </c>
      <c r="R16" s="94">
        <f t="shared" si="5"/>
        <v>2780.3654761246971</v>
      </c>
      <c r="S16" s="14"/>
      <c r="T16" s="14"/>
      <c r="U16" s="14"/>
    </row>
    <row r="17" spans="1:21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</row>
    <row r="18" spans="1:21" ht="13.5" thickBot="1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</row>
    <row r="19" spans="1:21" ht="38.25">
      <c r="A19" s="14"/>
      <c r="B19" s="99" t="s">
        <v>3</v>
      </c>
      <c r="C19" s="78" t="s">
        <v>135</v>
      </c>
      <c r="D19" s="79" t="s">
        <v>136</v>
      </c>
      <c r="E19" s="79" t="s">
        <v>137</v>
      </c>
      <c r="F19" s="80" t="s">
        <v>6</v>
      </c>
      <c r="G19" s="14"/>
      <c r="H19" s="99" t="s">
        <v>4</v>
      </c>
      <c r="I19" s="78" t="s">
        <v>135</v>
      </c>
      <c r="J19" s="79" t="s">
        <v>136</v>
      </c>
      <c r="K19" s="79" t="s">
        <v>137</v>
      </c>
      <c r="L19" s="80" t="s">
        <v>6</v>
      </c>
      <c r="M19" s="14"/>
      <c r="N19" s="99" t="s">
        <v>5</v>
      </c>
      <c r="O19" s="78" t="s">
        <v>135</v>
      </c>
      <c r="P19" s="79" t="s">
        <v>136</v>
      </c>
      <c r="Q19" s="79" t="s">
        <v>137</v>
      </c>
      <c r="R19" s="80" t="s">
        <v>6</v>
      </c>
      <c r="S19" s="14"/>
      <c r="T19" s="14"/>
      <c r="U19" s="14"/>
    </row>
    <row r="20" spans="1:21" ht="18.75" thickBot="1">
      <c r="A20" s="14"/>
      <c r="B20" s="100">
        <f>B4+1</f>
        <v>2016</v>
      </c>
      <c r="C20" s="83" t="s">
        <v>19</v>
      </c>
      <c r="D20" s="81" t="s">
        <v>19</v>
      </c>
      <c r="E20" s="81" t="s">
        <v>19</v>
      </c>
      <c r="F20" s="82" t="s">
        <v>19</v>
      </c>
      <c r="G20" s="14"/>
      <c r="H20" s="100">
        <f>B20</f>
        <v>2016</v>
      </c>
      <c r="I20" s="83" t="s">
        <v>19</v>
      </c>
      <c r="J20" s="81" t="s">
        <v>19</v>
      </c>
      <c r="K20" s="81" t="s">
        <v>19</v>
      </c>
      <c r="L20" s="82" t="s">
        <v>19</v>
      </c>
      <c r="M20" s="14"/>
      <c r="N20" s="100">
        <f>B20</f>
        <v>2016</v>
      </c>
      <c r="O20" s="83" t="s">
        <v>19</v>
      </c>
      <c r="P20" s="81" t="s">
        <v>19</v>
      </c>
      <c r="Q20" s="81" t="s">
        <v>19</v>
      </c>
      <c r="R20" s="82" t="s">
        <v>19</v>
      </c>
      <c r="S20" s="14"/>
      <c r="T20" s="14"/>
      <c r="U20" s="14"/>
    </row>
    <row r="21" spans="1:21">
      <c r="A21" s="14"/>
      <c r="B21" s="98" t="s">
        <v>7</v>
      </c>
      <c r="C21" s="95">
        <f>I21+O21</f>
        <v>3154.2100381172354</v>
      </c>
      <c r="D21" s="87">
        <f>J21+P21</f>
        <v>625.85942813628333</v>
      </c>
      <c r="E21" s="87">
        <f>K21+Q21</f>
        <v>13031.873747148333</v>
      </c>
      <c r="F21" s="88">
        <f>SUM(C21:E21)</f>
        <v>16811.94321340185</v>
      </c>
      <c r="G21" s="14"/>
      <c r="H21" s="98" t="s">
        <v>7</v>
      </c>
      <c r="I21" s="86">
        <f>'Step 2'!X17-J21</f>
        <v>2515.8293550069316</v>
      </c>
      <c r="J21" s="87">
        <f>AVERAGE(J26:J28)</f>
        <v>483.20053935395623</v>
      </c>
      <c r="K21" s="87">
        <f>K5</f>
        <v>10997.415435981666</v>
      </c>
      <c r="L21" s="88">
        <f>SUM(I21:K21)</f>
        <v>13996.445330342554</v>
      </c>
      <c r="M21" s="14"/>
      <c r="N21" s="98" t="s">
        <v>7</v>
      </c>
      <c r="O21" s="86">
        <f>'Step 2'!Y17-P21</f>
        <v>638.38068311030383</v>
      </c>
      <c r="P21" s="87">
        <f>AVERAGE(P26:P28)</f>
        <v>142.6588887823271</v>
      </c>
      <c r="Q21" s="87">
        <f>Q5</f>
        <v>2034.4583111666661</v>
      </c>
      <c r="R21" s="88">
        <f>SUM(O21:Q21)</f>
        <v>2815.4978830592972</v>
      </c>
      <c r="S21" s="14"/>
      <c r="T21" s="14"/>
      <c r="U21" s="14"/>
    </row>
    <row r="22" spans="1:21">
      <c r="A22" s="14"/>
      <c r="B22" s="84" t="s">
        <v>8</v>
      </c>
      <c r="C22" s="96">
        <f t="shared" ref="C22:C32" si="8">I22+O22</f>
        <v>2837.1169860374775</v>
      </c>
      <c r="D22" s="90">
        <f t="shared" ref="D22:D32" si="9">J22+P22</f>
        <v>625.85942813628333</v>
      </c>
      <c r="E22" s="90">
        <f t="shared" ref="E22:E32" si="10">K22+Q22</f>
        <v>13031.873747148333</v>
      </c>
      <c r="F22" s="91">
        <f t="shared" ref="F22:F32" si="11">SUM(C22:E22)</f>
        <v>16494.850161322094</v>
      </c>
      <c r="G22" s="14"/>
      <c r="H22" s="84" t="s">
        <v>8</v>
      </c>
      <c r="I22" s="89">
        <f>'Step 2'!X18-J22</f>
        <v>2272.4746682641917</v>
      </c>
      <c r="J22" s="90">
        <f>$J$21</f>
        <v>483.20053935395623</v>
      </c>
      <c r="K22" s="90">
        <f>K21</f>
        <v>10997.415435981666</v>
      </c>
      <c r="L22" s="91">
        <f t="shared" ref="L22:L32" si="12">SUM(I22:K22)</f>
        <v>13753.090643599813</v>
      </c>
      <c r="M22" s="14"/>
      <c r="N22" s="84" t="s">
        <v>8</v>
      </c>
      <c r="O22" s="89">
        <f>'Step 2'!Y18-P22</f>
        <v>564.64231777328564</v>
      </c>
      <c r="P22" s="90">
        <f>$P$21</f>
        <v>142.6588887823271</v>
      </c>
      <c r="Q22" s="90">
        <f>Q21</f>
        <v>2034.4583111666661</v>
      </c>
      <c r="R22" s="91">
        <f t="shared" ref="R22:R32" si="13">SUM(O22:Q22)</f>
        <v>2741.7595177222788</v>
      </c>
      <c r="S22" s="14"/>
      <c r="T22" s="14"/>
      <c r="U22" s="14"/>
    </row>
    <row r="23" spans="1:21">
      <c r="A23" s="14"/>
      <c r="B23" s="84" t="s">
        <v>9</v>
      </c>
      <c r="C23" s="96">
        <f t="shared" si="8"/>
        <v>2442.7065336122723</v>
      </c>
      <c r="D23" s="90">
        <f t="shared" si="9"/>
        <v>625.85942813628333</v>
      </c>
      <c r="E23" s="90">
        <f t="shared" si="10"/>
        <v>13031.873747148333</v>
      </c>
      <c r="F23" s="91">
        <f t="shared" si="11"/>
        <v>16100.439708896889</v>
      </c>
      <c r="G23" s="14"/>
      <c r="H23" s="84" t="s">
        <v>9</v>
      </c>
      <c r="I23" s="89">
        <f>'Step 2'!X19-J23</f>
        <v>1951.0812375438954</v>
      </c>
      <c r="J23" s="90">
        <f>$J$21</f>
        <v>483.20053935395623</v>
      </c>
      <c r="K23" s="90">
        <f t="shared" ref="K23:K32" si="14">K22</f>
        <v>10997.415435981666</v>
      </c>
      <c r="L23" s="91">
        <f t="shared" si="12"/>
        <v>13431.697212879517</v>
      </c>
      <c r="M23" s="14"/>
      <c r="N23" s="84" t="s">
        <v>9</v>
      </c>
      <c r="O23" s="89">
        <f>'Step 2'!Y19-P23</f>
        <v>491.62529606837694</v>
      </c>
      <c r="P23" s="90">
        <f>$P$21</f>
        <v>142.6588887823271</v>
      </c>
      <c r="Q23" s="90">
        <f t="shared" ref="Q23:Q32" si="15">Q22</f>
        <v>2034.4583111666661</v>
      </c>
      <c r="R23" s="91">
        <f t="shared" si="13"/>
        <v>2668.7424960173703</v>
      </c>
      <c r="S23" s="14"/>
      <c r="T23" s="14"/>
      <c r="U23" s="14"/>
    </row>
    <row r="24" spans="1:21">
      <c r="A24" s="14"/>
      <c r="B24" s="84" t="s">
        <v>10</v>
      </c>
      <c r="C24" s="96">
        <f t="shared" si="8"/>
        <v>1321.4268606263847</v>
      </c>
      <c r="D24" s="90">
        <f t="shared" si="9"/>
        <v>625.85942813628333</v>
      </c>
      <c r="E24" s="90">
        <f t="shared" si="10"/>
        <v>13031.873747148333</v>
      </c>
      <c r="F24" s="91">
        <f t="shared" si="11"/>
        <v>14979.160035911002</v>
      </c>
      <c r="G24" s="14"/>
      <c r="H24" s="84" t="s">
        <v>10</v>
      </c>
      <c r="I24" s="89">
        <f>'Step 2'!X20-J24</f>
        <v>1047.0751950422825</v>
      </c>
      <c r="J24" s="90">
        <f>$J$21</f>
        <v>483.20053935395623</v>
      </c>
      <c r="K24" s="90">
        <f t="shared" si="14"/>
        <v>10997.415435981666</v>
      </c>
      <c r="L24" s="91">
        <f t="shared" si="12"/>
        <v>12527.691170377904</v>
      </c>
      <c r="M24" s="14"/>
      <c r="N24" s="84" t="s">
        <v>10</v>
      </c>
      <c r="O24" s="89">
        <f>'Step 2'!Y20-P24</f>
        <v>274.35166558410225</v>
      </c>
      <c r="P24" s="90">
        <f>$P$21</f>
        <v>142.6588887823271</v>
      </c>
      <c r="Q24" s="90">
        <f t="shared" si="15"/>
        <v>2034.4583111666661</v>
      </c>
      <c r="R24" s="91">
        <f t="shared" si="13"/>
        <v>2451.4688655330956</v>
      </c>
      <c r="S24" s="14"/>
      <c r="T24" s="14"/>
      <c r="U24" s="14"/>
    </row>
    <row r="25" spans="1:21">
      <c r="A25" s="14"/>
      <c r="B25" s="84" t="s">
        <v>11</v>
      </c>
      <c r="C25" s="96">
        <f t="shared" si="8"/>
        <v>499.57474034863327</v>
      </c>
      <c r="D25" s="90">
        <f t="shared" si="9"/>
        <v>625.85942813628333</v>
      </c>
      <c r="E25" s="90">
        <f t="shared" si="10"/>
        <v>13031.873747148333</v>
      </c>
      <c r="F25" s="91">
        <f t="shared" si="11"/>
        <v>14157.30791563325</v>
      </c>
      <c r="G25" s="14"/>
      <c r="H25" s="84" t="s">
        <v>11</v>
      </c>
      <c r="I25" s="89">
        <f>'Step 2'!X21-J25</f>
        <v>390.93239898254961</v>
      </c>
      <c r="J25" s="90">
        <f>$J$21</f>
        <v>483.20053935395623</v>
      </c>
      <c r="K25" s="90">
        <f t="shared" si="14"/>
        <v>10997.415435981666</v>
      </c>
      <c r="L25" s="91">
        <f t="shared" si="12"/>
        <v>11871.548374318172</v>
      </c>
      <c r="M25" s="14"/>
      <c r="N25" s="84" t="s">
        <v>11</v>
      </c>
      <c r="O25" s="89">
        <f>'Step 2'!Y21-P25</f>
        <v>108.64234136608366</v>
      </c>
      <c r="P25" s="90">
        <f>$P$21</f>
        <v>142.6588887823271</v>
      </c>
      <c r="Q25" s="90">
        <f t="shared" si="15"/>
        <v>2034.4583111666661</v>
      </c>
      <c r="R25" s="91">
        <f t="shared" si="13"/>
        <v>2285.7595413150771</v>
      </c>
      <c r="S25" s="14"/>
      <c r="T25" s="14"/>
      <c r="U25" s="14"/>
    </row>
    <row r="26" spans="1:21">
      <c r="A26" s="14"/>
      <c r="B26" s="84" t="s">
        <v>12</v>
      </c>
      <c r="C26" s="96">
        <f t="shared" si="8"/>
        <v>0</v>
      </c>
      <c r="D26" s="90">
        <f t="shared" si="9"/>
        <v>666.03342138893038</v>
      </c>
      <c r="E26" s="90">
        <f t="shared" si="10"/>
        <v>13031.873747148333</v>
      </c>
      <c r="F26" s="91">
        <f t="shared" si="11"/>
        <v>13697.907168537264</v>
      </c>
      <c r="G26" s="14"/>
      <c r="H26" s="84" t="s">
        <v>12</v>
      </c>
      <c r="I26" s="89">
        <v>0</v>
      </c>
      <c r="J26" s="90">
        <f>'Step 2'!X22</f>
        <v>513.88159858687663</v>
      </c>
      <c r="K26" s="90">
        <f t="shared" si="14"/>
        <v>10997.415435981666</v>
      </c>
      <c r="L26" s="91">
        <f t="shared" si="12"/>
        <v>11511.297034568543</v>
      </c>
      <c r="M26" s="14"/>
      <c r="N26" s="84" t="s">
        <v>12</v>
      </c>
      <c r="O26" s="89">
        <v>0</v>
      </c>
      <c r="P26" s="90">
        <f>'Step 2'!Y22</f>
        <v>152.15182280205374</v>
      </c>
      <c r="Q26" s="90">
        <f t="shared" si="15"/>
        <v>2034.4583111666661</v>
      </c>
      <c r="R26" s="91">
        <f t="shared" si="13"/>
        <v>2186.6101339687198</v>
      </c>
      <c r="S26" s="14"/>
      <c r="T26" s="14"/>
      <c r="U26" s="14"/>
    </row>
    <row r="27" spans="1:21">
      <c r="A27" s="14"/>
      <c r="B27" s="84" t="s">
        <v>13</v>
      </c>
      <c r="C27" s="96">
        <f t="shared" si="8"/>
        <v>0</v>
      </c>
      <c r="D27" s="90">
        <f t="shared" si="9"/>
        <v>607.19905615817584</v>
      </c>
      <c r="E27" s="90">
        <f t="shared" si="10"/>
        <v>13031.873747148333</v>
      </c>
      <c r="F27" s="91">
        <f t="shared" si="11"/>
        <v>13639.072803306508</v>
      </c>
      <c r="G27" s="14"/>
      <c r="H27" s="84" t="s">
        <v>13</v>
      </c>
      <c r="I27" s="89">
        <v>0</v>
      </c>
      <c r="J27" s="90">
        <f>'Step 2'!X23</f>
        <v>469.30580402688702</v>
      </c>
      <c r="K27" s="90">
        <f t="shared" si="14"/>
        <v>10997.415435981666</v>
      </c>
      <c r="L27" s="91">
        <f t="shared" si="12"/>
        <v>11466.721240008552</v>
      </c>
      <c r="M27" s="14"/>
      <c r="N27" s="84" t="s">
        <v>13</v>
      </c>
      <c r="O27" s="89">
        <v>0</v>
      </c>
      <c r="P27" s="90">
        <f>'Step 2'!Y23</f>
        <v>137.89325213128885</v>
      </c>
      <c r="Q27" s="90">
        <f t="shared" si="15"/>
        <v>2034.4583111666661</v>
      </c>
      <c r="R27" s="91">
        <f t="shared" si="13"/>
        <v>2172.3515632979552</v>
      </c>
      <c r="S27" s="14"/>
      <c r="T27" s="14"/>
      <c r="U27" s="14"/>
    </row>
    <row r="28" spans="1:21">
      <c r="A28" s="14"/>
      <c r="B28" s="84" t="s">
        <v>14</v>
      </c>
      <c r="C28" s="96">
        <f t="shared" si="8"/>
        <v>0</v>
      </c>
      <c r="D28" s="90">
        <f t="shared" si="9"/>
        <v>604.34580686174388</v>
      </c>
      <c r="E28" s="90">
        <f t="shared" si="10"/>
        <v>13031.873747148333</v>
      </c>
      <c r="F28" s="91">
        <f t="shared" si="11"/>
        <v>13636.219554010077</v>
      </c>
      <c r="G28" s="14"/>
      <c r="H28" s="84" t="s">
        <v>14</v>
      </c>
      <c r="I28" s="89">
        <v>0</v>
      </c>
      <c r="J28" s="90">
        <f>'Step 2'!X24</f>
        <v>466.41421544810515</v>
      </c>
      <c r="K28" s="90">
        <f t="shared" si="14"/>
        <v>10997.415435981666</v>
      </c>
      <c r="L28" s="91">
        <f t="shared" si="12"/>
        <v>11463.829651429771</v>
      </c>
      <c r="M28" s="14"/>
      <c r="N28" s="84" t="s">
        <v>14</v>
      </c>
      <c r="O28" s="89">
        <v>0</v>
      </c>
      <c r="P28" s="90">
        <f>'Step 2'!Y24</f>
        <v>137.93159141363873</v>
      </c>
      <c r="Q28" s="90">
        <f t="shared" si="15"/>
        <v>2034.4583111666661</v>
      </c>
      <c r="R28" s="91">
        <f t="shared" si="13"/>
        <v>2172.3899025803048</v>
      </c>
      <c r="S28" s="14"/>
      <c r="T28" s="14"/>
      <c r="U28" s="14"/>
    </row>
    <row r="29" spans="1:21">
      <c r="A29" s="14"/>
      <c r="B29" s="84" t="s">
        <v>15</v>
      </c>
      <c r="C29" s="96">
        <f t="shared" si="8"/>
        <v>82.93124321766868</v>
      </c>
      <c r="D29" s="90">
        <f t="shared" si="9"/>
        <v>625.85942813628333</v>
      </c>
      <c r="E29" s="90">
        <f t="shared" si="10"/>
        <v>13031.873747148333</v>
      </c>
      <c r="F29" s="91">
        <f t="shared" si="11"/>
        <v>13740.664418502285</v>
      </c>
      <c r="G29" s="14"/>
      <c r="H29" s="84" t="s">
        <v>15</v>
      </c>
      <c r="I29" s="89">
        <f>'Step 2'!X25-J29</f>
        <v>67.284341492817077</v>
      </c>
      <c r="J29" s="90">
        <f>$J$21</f>
        <v>483.20053935395623</v>
      </c>
      <c r="K29" s="90">
        <f t="shared" si="14"/>
        <v>10997.415435981666</v>
      </c>
      <c r="L29" s="91">
        <f t="shared" si="12"/>
        <v>11547.90031682844</v>
      </c>
      <c r="M29" s="14"/>
      <c r="N29" s="84" t="s">
        <v>15</v>
      </c>
      <c r="O29" s="89">
        <f>'Step 2'!Y25-P29</f>
        <v>15.646901724851602</v>
      </c>
      <c r="P29" s="90">
        <f>$P$21</f>
        <v>142.6588887823271</v>
      </c>
      <c r="Q29" s="90">
        <f t="shared" si="15"/>
        <v>2034.4583111666661</v>
      </c>
      <c r="R29" s="91">
        <f t="shared" si="13"/>
        <v>2192.7641016738448</v>
      </c>
      <c r="S29" s="14"/>
      <c r="T29" s="14"/>
      <c r="U29" s="14"/>
    </row>
    <row r="30" spans="1:21">
      <c r="A30" s="14"/>
      <c r="B30" s="84" t="s">
        <v>16</v>
      </c>
      <c r="C30" s="96">
        <f t="shared" si="8"/>
        <v>843.27914414362658</v>
      </c>
      <c r="D30" s="90">
        <f t="shared" si="9"/>
        <v>625.85942813628333</v>
      </c>
      <c r="E30" s="90">
        <f t="shared" si="10"/>
        <v>13031.873747148333</v>
      </c>
      <c r="F30" s="91">
        <f t="shared" si="11"/>
        <v>14501.012319428242</v>
      </c>
      <c r="G30" s="14"/>
      <c r="H30" s="84" t="s">
        <v>16</v>
      </c>
      <c r="I30" s="89">
        <f>'Step 2'!X26-J30</f>
        <v>665.18156936527134</v>
      </c>
      <c r="J30" s="90">
        <f>$J$21</f>
        <v>483.20053935395623</v>
      </c>
      <c r="K30" s="90">
        <f t="shared" si="14"/>
        <v>10997.415435981666</v>
      </c>
      <c r="L30" s="91">
        <f>SUM(I30:K30)</f>
        <v>12145.797544700894</v>
      </c>
      <c r="M30" s="14"/>
      <c r="N30" s="84" t="s">
        <v>16</v>
      </c>
      <c r="O30" s="89">
        <f>'Step 2'!Y26-P30</f>
        <v>178.09757477835518</v>
      </c>
      <c r="P30" s="90">
        <f>$P$21</f>
        <v>142.6588887823271</v>
      </c>
      <c r="Q30" s="90">
        <f t="shared" si="15"/>
        <v>2034.4583111666661</v>
      </c>
      <c r="R30" s="91">
        <f t="shared" si="13"/>
        <v>2355.2147747273484</v>
      </c>
      <c r="S30" s="14"/>
      <c r="T30" s="14"/>
      <c r="U30" s="14"/>
    </row>
    <row r="31" spans="1:21">
      <c r="A31" s="14"/>
      <c r="B31" s="84" t="s">
        <v>17</v>
      </c>
      <c r="C31" s="96">
        <f t="shared" si="8"/>
        <v>1949.449489178063</v>
      </c>
      <c r="D31" s="90">
        <f t="shared" si="9"/>
        <v>625.85942813628333</v>
      </c>
      <c r="E31" s="90">
        <f t="shared" si="10"/>
        <v>13031.873747148333</v>
      </c>
      <c r="F31" s="91">
        <f t="shared" si="11"/>
        <v>15607.182664462678</v>
      </c>
      <c r="G31" s="14"/>
      <c r="H31" s="84" t="s">
        <v>17</v>
      </c>
      <c r="I31" s="89">
        <f>'Step 2'!X27-J31</f>
        <v>1537.9798450367196</v>
      </c>
      <c r="J31" s="90">
        <f>$J$21</f>
        <v>483.20053935395623</v>
      </c>
      <c r="K31" s="90">
        <f t="shared" si="14"/>
        <v>10997.415435981666</v>
      </c>
      <c r="L31" s="91">
        <f t="shared" si="12"/>
        <v>13018.595820372342</v>
      </c>
      <c r="M31" s="14"/>
      <c r="N31" s="84" t="s">
        <v>17</v>
      </c>
      <c r="O31" s="89">
        <f>'Step 2'!Y27-P31</f>
        <v>411.46964414134339</v>
      </c>
      <c r="P31" s="90">
        <f>$P$21</f>
        <v>142.6588887823271</v>
      </c>
      <c r="Q31" s="90">
        <f t="shared" si="15"/>
        <v>2034.4583111666661</v>
      </c>
      <c r="R31" s="91">
        <f t="shared" si="13"/>
        <v>2588.5868440903369</v>
      </c>
      <c r="S31" s="14"/>
      <c r="T31" s="14"/>
      <c r="U31" s="14"/>
    </row>
    <row r="32" spans="1:21" ht="13.5" thickBot="1">
      <c r="A32" s="14"/>
      <c r="B32" s="85" t="s">
        <v>18</v>
      </c>
      <c r="C32" s="97">
        <f t="shared" si="8"/>
        <v>2943.0707322595899</v>
      </c>
      <c r="D32" s="93">
        <f t="shared" si="9"/>
        <v>625.85942813628333</v>
      </c>
      <c r="E32" s="93">
        <f t="shared" si="10"/>
        <v>13031.873747148333</v>
      </c>
      <c r="F32" s="94">
        <f t="shared" si="11"/>
        <v>16600.803907544207</v>
      </c>
      <c r="G32" s="14"/>
      <c r="H32" s="85" t="s">
        <v>18</v>
      </c>
      <c r="I32" s="92">
        <f>'Step 2'!X28-J32</f>
        <v>2340.5468241249782</v>
      </c>
      <c r="J32" s="93">
        <f>$J$21</f>
        <v>483.20053935395623</v>
      </c>
      <c r="K32" s="93">
        <f t="shared" si="14"/>
        <v>10997.415435981666</v>
      </c>
      <c r="L32" s="94">
        <f t="shared" si="12"/>
        <v>13821.162799460601</v>
      </c>
      <c r="M32" s="14"/>
      <c r="N32" s="85" t="s">
        <v>18</v>
      </c>
      <c r="O32" s="92">
        <f>'Step 2'!Y28-P32</f>
        <v>602.52390813461193</v>
      </c>
      <c r="P32" s="93">
        <f>$P$21</f>
        <v>142.6588887823271</v>
      </c>
      <c r="Q32" s="93">
        <f t="shared" si="15"/>
        <v>2034.4583111666661</v>
      </c>
      <c r="R32" s="94">
        <f t="shared" si="13"/>
        <v>2779.6411080836051</v>
      </c>
      <c r="S32" s="14"/>
      <c r="T32" s="14"/>
      <c r="U32" s="14"/>
    </row>
    <row r="33" spans="1:2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</row>
    <row r="34" spans="1:21" ht="13.5" thickBot="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</row>
    <row r="35" spans="1:21" ht="38.25">
      <c r="A35" s="14"/>
      <c r="B35" s="99" t="s">
        <v>3</v>
      </c>
      <c r="C35" s="78" t="s">
        <v>135</v>
      </c>
      <c r="D35" s="79" t="s">
        <v>136</v>
      </c>
      <c r="E35" s="79" t="s">
        <v>137</v>
      </c>
      <c r="F35" s="80" t="s">
        <v>6</v>
      </c>
      <c r="G35" s="14"/>
      <c r="H35" s="99" t="s">
        <v>4</v>
      </c>
      <c r="I35" s="78" t="s">
        <v>135</v>
      </c>
      <c r="J35" s="79" t="s">
        <v>136</v>
      </c>
      <c r="K35" s="79" t="s">
        <v>137</v>
      </c>
      <c r="L35" s="80" t="s">
        <v>6</v>
      </c>
      <c r="M35" s="14"/>
      <c r="N35" s="99" t="s">
        <v>5</v>
      </c>
      <c r="O35" s="78" t="s">
        <v>135</v>
      </c>
      <c r="P35" s="79" t="s">
        <v>136</v>
      </c>
      <c r="Q35" s="79" t="s">
        <v>137</v>
      </c>
      <c r="R35" s="80" t="s">
        <v>6</v>
      </c>
      <c r="S35" s="14"/>
      <c r="T35" s="14"/>
      <c r="U35" s="14"/>
    </row>
    <row r="36" spans="1:21" ht="18.75" thickBot="1">
      <c r="A36" s="14"/>
      <c r="B36" s="100">
        <f>B20+1</f>
        <v>2017</v>
      </c>
      <c r="C36" s="83" t="s">
        <v>19</v>
      </c>
      <c r="D36" s="81" t="s">
        <v>19</v>
      </c>
      <c r="E36" s="81" t="s">
        <v>19</v>
      </c>
      <c r="F36" s="82" t="s">
        <v>19</v>
      </c>
      <c r="G36" s="14"/>
      <c r="H36" s="100">
        <f>B36</f>
        <v>2017</v>
      </c>
      <c r="I36" s="83" t="s">
        <v>19</v>
      </c>
      <c r="J36" s="81" t="s">
        <v>19</v>
      </c>
      <c r="K36" s="81" t="s">
        <v>19</v>
      </c>
      <c r="L36" s="82" t="s">
        <v>19</v>
      </c>
      <c r="M36" s="14"/>
      <c r="N36" s="100">
        <f>B36</f>
        <v>2017</v>
      </c>
      <c r="O36" s="83" t="s">
        <v>19</v>
      </c>
      <c r="P36" s="81" t="s">
        <v>19</v>
      </c>
      <c r="Q36" s="81" t="s">
        <v>19</v>
      </c>
      <c r="R36" s="82" t="s">
        <v>19</v>
      </c>
      <c r="S36" s="14"/>
      <c r="T36" s="14"/>
      <c r="U36" s="14"/>
    </row>
    <row r="37" spans="1:21">
      <c r="A37" s="14"/>
      <c r="B37" s="98" t="s">
        <v>7</v>
      </c>
      <c r="C37" s="86">
        <f>I37+O37</f>
        <v>3156.8822033688311</v>
      </c>
      <c r="D37" s="87">
        <f>J37+P37</f>
        <v>627.40622072857877</v>
      </c>
      <c r="E37" s="87">
        <f>K37+Q37</f>
        <v>13031.873747148333</v>
      </c>
      <c r="F37" s="88">
        <f>SUM(C37:E37)</f>
        <v>16816.162171245742</v>
      </c>
      <c r="G37" s="14"/>
      <c r="H37" s="98" t="s">
        <v>7</v>
      </c>
      <c r="I37" s="86">
        <f>'Step 2'!X29-J37</f>
        <v>2519.2545544769773</v>
      </c>
      <c r="J37" s="87">
        <f>AVERAGE(J42:J44)</f>
        <v>484.25558021253124</v>
      </c>
      <c r="K37" s="87">
        <f>K5</f>
        <v>10997.415435981666</v>
      </c>
      <c r="L37" s="88">
        <f>SUM(I37:K37)</f>
        <v>14000.925570671174</v>
      </c>
      <c r="M37" s="14"/>
      <c r="N37" s="98" t="s">
        <v>7</v>
      </c>
      <c r="O37" s="86">
        <f>'Step 2'!Y29-P37</f>
        <v>637.6276488918536</v>
      </c>
      <c r="P37" s="87">
        <f>AVERAGE(P42:P44)</f>
        <v>143.15064051604759</v>
      </c>
      <c r="Q37" s="87">
        <f>Q5</f>
        <v>2034.4583111666661</v>
      </c>
      <c r="R37" s="88">
        <f>SUM(O37:Q37)</f>
        <v>2815.2366005745671</v>
      </c>
      <c r="S37" s="14"/>
      <c r="T37" s="14"/>
      <c r="U37" s="14"/>
    </row>
    <row r="38" spans="1:21">
      <c r="A38" s="14"/>
      <c r="B38" s="84" t="s">
        <v>8</v>
      </c>
      <c r="C38" s="89">
        <f t="shared" ref="C38:C48" si="16">I38+O38</f>
        <v>2813.302871466105</v>
      </c>
      <c r="D38" s="90">
        <f t="shared" ref="D38:D48" si="17">J38+P38</f>
        <v>627.40622072857877</v>
      </c>
      <c r="E38" s="90">
        <f t="shared" ref="E38:E48" si="18">K38+Q38</f>
        <v>13031.873747148333</v>
      </c>
      <c r="F38" s="91">
        <f t="shared" ref="F38:F48" si="19">SUM(C38:E38)</f>
        <v>16472.582839343017</v>
      </c>
      <c r="G38" s="14"/>
      <c r="H38" s="84" t="s">
        <v>8</v>
      </c>
      <c r="I38" s="89">
        <f>'Step 2'!X30-J38</f>
        <v>2252.2102291959013</v>
      </c>
      <c r="J38" s="90">
        <f>$J$37</f>
        <v>484.25558021253124</v>
      </c>
      <c r="K38" s="90">
        <f>K37</f>
        <v>10997.415435981666</v>
      </c>
      <c r="L38" s="91">
        <f t="shared" ref="L38:L48" si="20">SUM(I38:K38)</f>
        <v>13733.881245390097</v>
      </c>
      <c r="M38" s="14"/>
      <c r="N38" s="84" t="s">
        <v>8</v>
      </c>
      <c r="O38" s="89">
        <f>'Step 2'!Y30-P38</f>
        <v>561.09264227020378</v>
      </c>
      <c r="P38" s="90">
        <f>$P$37</f>
        <v>143.15064051604759</v>
      </c>
      <c r="Q38" s="90">
        <f>Q37</f>
        <v>2034.4583111666661</v>
      </c>
      <c r="R38" s="91">
        <f t="shared" ref="R38:R48" si="21">SUM(O38:Q38)</f>
        <v>2738.7015939529174</v>
      </c>
      <c r="S38" s="14"/>
      <c r="T38" s="14"/>
      <c r="U38" s="14"/>
    </row>
    <row r="39" spans="1:21">
      <c r="A39" s="14"/>
      <c r="B39" s="84" t="s">
        <v>9</v>
      </c>
      <c r="C39" s="89">
        <f t="shared" si="16"/>
        <v>2444.1507294029125</v>
      </c>
      <c r="D39" s="90">
        <f t="shared" si="17"/>
        <v>627.40622072857877</v>
      </c>
      <c r="E39" s="90">
        <f t="shared" si="18"/>
        <v>13031.873747148333</v>
      </c>
      <c r="F39" s="91">
        <f t="shared" si="19"/>
        <v>16103.430697279824</v>
      </c>
      <c r="G39" s="14"/>
      <c r="H39" s="84" t="s">
        <v>9</v>
      </c>
      <c r="I39" s="89">
        <f>'Step 2'!X31-J39</f>
        <v>1952.9699083887981</v>
      </c>
      <c r="J39" s="90">
        <f>$J$37</f>
        <v>484.25558021253124</v>
      </c>
      <c r="K39" s="90">
        <f t="shared" ref="K39:K48" si="22">K38</f>
        <v>10997.415435981666</v>
      </c>
      <c r="L39" s="91">
        <f>SUM(I39:K39)</f>
        <v>13434.640924582995</v>
      </c>
      <c r="M39" s="14"/>
      <c r="N39" s="84" t="s">
        <v>9</v>
      </c>
      <c r="O39" s="89">
        <f>'Step 2'!Y31-P39</f>
        <v>491.18082101411426</v>
      </c>
      <c r="P39" s="90">
        <f>$P$37</f>
        <v>143.15064051604759</v>
      </c>
      <c r="Q39" s="90">
        <f t="shared" ref="Q39:Q48" si="23">Q38</f>
        <v>2034.4583111666661</v>
      </c>
      <c r="R39" s="91">
        <f t="shared" si="21"/>
        <v>2668.7897726968281</v>
      </c>
      <c r="S39" s="14"/>
      <c r="T39" s="14"/>
      <c r="U39" s="14"/>
    </row>
    <row r="40" spans="1:21">
      <c r="A40" s="14"/>
      <c r="B40" s="84" t="s">
        <v>10</v>
      </c>
      <c r="C40" s="89">
        <f t="shared" si="16"/>
        <v>1321.5534081312887</v>
      </c>
      <c r="D40" s="90">
        <f t="shared" si="17"/>
        <v>627.40622072857877</v>
      </c>
      <c r="E40" s="90">
        <f t="shared" si="18"/>
        <v>13031.873747148333</v>
      </c>
      <c r="F40" s="91">
        <f t="shared" si="19"/>
        <v>14980.833376008201</v>
      </c>
      <c r="G40" s="14"/>
      <c r="H40" s="84" t="s">
        <v>10</v>
      </c>
      <c r="I40" s="89">
        <f>'Step 2'!X32-J40</f>
        <v>1047.2997262323065</v>
      </c>
      <c r="J40" s="90">
        <f>$J$37</f>
        <v>484.25558021253124</v>
      </c>
      <c r="K40" s="90">
        <f t="shared" si="22"/>
        <v>10997.415435981666</v>
      </c>
      <c r="L40" s="91">
        <f t="shared" si="20"/>
        <v>12528.970742426503</v>
      </c>
      <c r="M40" s="14"/>
      <c r="N40" s="84" t="s">
        <v>10</v>
      </c>
      <c r="O40" s="89">
        <f>'Step 2'!Y32-P40</f>
        <v>274.25368189898217</v>
      </c>
      <c r="P40" s="90">
        <f>$P$37</f>
        <v>143.15064051604759</v>
      </c>
      <c r="Q40" s="90">
        <f t="shared" si="23"/>
        <v>2034.4583111666661</v>
      </c>
      <c r="R40" s="91">
        <f t="shared" si="21"/>
        <v>2451.8626335816957</v>
      </c>
      <c r="S40" s="14"/>
      <c r="T40" s="14"/>
      <c r="U40" s="14"/>
    </row>
    <row r="41" spans="1:21">
      <c r="A41" s="14"/>
      <c r="B41" s="84" t="s">
        <v>11</v>
      </c>
      <c r="C41" s="89">
        <f t="shared" si="16"/>
        <v>498.66147980568496</v>
      </c>
      <c r="D41" s="90">
        <f t="shared" si="17"/>
        <v>627.40622072857877</v>
      </c>
      <c r="E41" s="90">
        <f t="shared" si="18"/>
        <v>13031.873747148333</v>
      </c>
      <c r="F41" s="91">
        <f t="shared" si="19"/>
        <v>14157.941447682597</v>
      </c>
      <c r="G41" s="14"/>
      <c r="H41" s="84" t="s">
        <v>11</v>
      </c>
      <c r="I41" s="89">
        <f>'Step 2'!X33-J41</f>
        <v>389.96296491459321</v>
      </c>
      <c r="J41" s="90">
        <f>$J$37</f>
        <v>484.25558021253124</v>
      </c>
      <c r="K41" s="90">
        <f t="shared" si="22"/>
        <v>10997.415435981666</v>
      </c>
      <c r="L41" s="91">
        <f t="shared" si="20"/>
        <v>11871.633981108791</v>
      </c>
      <c r="M41" s="14"/>
      <c r="N41" s="84" t="s">
        <v>11</v>
      </c>
      <c r="O41" s="89">
        <f>'Step 2'!Y33-P41</f>
        <v>108.69851489109172</v>
      </c>
      <c r="P41" s="90">
        <f>$P$37</f>
        <v>143.15064051604759</v>
      </c>
      <c r="Q41" s="90">
        <f t="shared" si="23"/>
        <v>2034.4583111666661</v>
      </c>
      <c r="R41" s="91">
        <f t="shared" si="21"/>
        <v>2286.3074665738054</v>
      </c>
      <c r="S41" s="14"/>
      <c r="T41" s="14"/>
      <c r="U41" s="14"/>
    </row>
    <row r="42" spans="1:21">
      <c r="A42" s="14"/>
      <c r="B42" s="84" t="s">
        <v>12</v>
      </c>
      <c r="C42" s="89">
        <f t="shared" si="16"/>
        <v>0</v>
      </c>
      <c r="D42" s="90">
        <f t="shared" si="17"/>
        <v>667.61932028307513</v>
      </c>
      <c r="E42" s="90">
        <f t="shared" si="18"/>
        <v>13031.873747148333</v>
      </c>
      <c r="F42" s="91">
        <f t="shared" si="19"/>
        <v>13699.493067431407</v>
      </c>
      <c r="G42" s="14"/>
      <c r="H42" s="84" t="s">
        <v>12</v>
      </c>
      <c r="I42" s="89">
        <v>0</v>
      </c>
      <c r="J42" s="90">
        <f>'Step 2'!X34</f>
        <v>514.93037775317748</v>
      </c>
      <c r="K42" s="90">
        <f t="shared" si="22"/>
        <v>10997.415435981666</v>
      </c>
      <c r="L42" s="91">
        <f t="shared" si="20"/>
        <v>11512.345813734843</v>
      </c>
      <c r="M42" s="14"/>
      <c r="N42" s="84" t="s">
        <v>12</v>
      </c>
      <c r="O42" s="89">
        <v>0</v>
      </c>
      <c r="P42" s="90">
        <f>'Step 2'!Y34</f>
        <v>152.68894252989762</v>
      </c>
      <c r="Q42" s="90">
        <f t="shared" si="23"/>
        <v>2034.4583111666661</v>
      </c>
      <c r="R42" s="91">
        <f t="shared" si="21"/>
        <v>2187.1472536965639</v>
      </c>
      <c r="S42" s="14"/>
      <c r="T42" s="14"/>
      <c r="U42" s="14"/>
    </row>
    <row r="43" spans="1:21">
      <c r="A43" s="14"/>
      <c r="B43" s="84" t="s">
        <v>13</v>
      </c>
      <c r="C43" s="89">
        <f t="shared" si="16"/>
        <v>0</v>
      </c>
      <c r="D43" s="90">
        <f t="shared" si="17"/>
        <v>608.74606633878147</v>
      </c>
      <c r="E43" s="90">
        <f t="shared" si="18"/>
        <v>13031.873747148333</v>
      </c>
      <c r="F43" s="91">
        <f t="shared" si="19"/>
        <v>13640.619813487114</v>
      </c>
      <c r="G43" s="14"/>
      <c r="H43" s="84" t="s">
        <v>13</v>
      </c>
      <c r="I43" s="89">
        <v>0</v>
      </c>
      <c r="J43" s="90">
        <f>'Step 2'!X35</f>
        <v>470.37773944275648</v>
      </c>
      <c r="K43" s="90">
        <f t="shared" si="22"/>
        <v>10997.415435981666</v>
      </c>
      <c r="L43" s="91">
        <f t="shared" si="20"/>
        <v>11467.793175424422</v>
      </c>
      <c r="M43" s="14"/>
      <c r="N43" s="84" t="s">
        <v>13</v>
      </c>
      <c r="O43" s="89">
        <v>0</v>
      </c>
      <c r="P43" s="90">
        <f>'Step 2'!Y35</f>
        <v>138.368326896025</v>
      </c>
      <c r="Q43" s="90">
        <f t="shared" si="23"/>
        <v>2034.4583111666661</v>
      </c>
      <c r="R43" s="91">
        <f t="shared" si="21"/>
        <v>2172.826638062691</v>
      </c>
      <c r="S43" s="14"/>
      <c r="T43" s="14"/>
      <c r="U43" s="14"/>
    </row>
    <row r="44" spans="1:21">
      <c r="A44" s="14"/>
      <c r="B44" s="84" t="s">
        <v>14</v>
      </c>
      <c r="C44" s="89">
        <f t="shared" si="16"/>
        <v>0</v>
      </c>
      <c r="D44" s="90">
        <f t="shared" si="17"/>
        <v>605.85327556387995</v>
      </c>
      <c r="E44" s="90">
        <f t="shared" si="18"/>
        <v>13031.873747148333</v>
      </c>
      <c r="F44" s="91">
        <f t="shared" si="19"/>
        <v>13637.727022712214</v>
      </c>
      <c r="G44" s="14"/>
      <c r="H44" s="84" t="s">
        <v>14</v>
      </c>
      <c r="I44" s="89">
        <v>0</v>
      </c>
      <c r="J44" s="90">
        <f>'Step 2'!X36</f>
        <v>467.45862344165977</v>
      </c>
      <c r="K44" s="90">
        <f t="shared" si="22"/>
        <v>10997.415435981666</v>
      </c>
      <c r="L44" s="91">
        <f t="shared" si="20"/>
        <v>11464.874059423326</v>
      </c>
      <c r="M44" s="14"/>
      <c r="N44" s="84" t="s">
        <v>14</v>
      </c>
      <c r="O44" s="89">
        <v>0</v>
      </c>
      <c r="P44" s="90">
        <f>'Step 2'!Y36</f>
        <v>138.39465212222015</v>
      </c>
      <c r="Q44" s="90">
        <f t="shared" si="23"/>
        <v>2034.4583111666661</v>
      </c>
      <c r="R44" s="91">
        <f t="shared" si="21"/>
        <v>2172.8529632888863</v>
      </c>
      <c r="S44" s="14"/>
      <c r="T44" s="14"/>
      <c r="U44" s="14"/>
    </row>
    <row r="45" spans="1:21">
      <c r="A45" s="14"/>
      <c r="B45" s="84" t="s">
        <v>15</v>
      </c>
      <c r="C45" s="89">
        <f t="shared" si="16"/>
        <v>82.885269789033401</v>
      </c>
      <c r="D45" s="90">
        <f t="shared" si="17"/>
        <v>627.40622072857877</v>
      </c>
      <c r="E45" s="90">
        <f t="shared" si="18"/>
        <v>13031.873747148333</v>
      </c>
      <c r="F45" s="91">
        <f t="shared" si="19"/>
        <v>13742.165237665944</v>
      </c>
      <c r="G45" s="14"/>
      <c r="H45" s="84" t="s">
        <v>15</v>
      </c>
      <c r="I45" s="89">
        <f>'Step 2'!X37-J45</f>
        <v>67.33813815937873</v>
      </c>
      <c r="J45" s="90">
        <f>$J$37</f>
        <v>484.25558021253124</v>
      </c>
      <c r="K45" s="90">
        <f t="shared" si="22"/>
        <v>10997.415435981666</v>
      </c>
      <c r="L45" s="91">
        <f t="shared" si="20"/>
        <v>11549.009154353576</v>
      </c>
      <c r="M45" s="14"/>
      <c r="N45" s="84" t="s">
        <v>15</v>
      </c>
      <c r="O45" s="89">
        <f>'Step 2'!Y37-P45</f>
        <v>15.547131629654672</v>
      </c>
      <c r="P45" s="90">
        <f>$P$37</f>
        <v>143.15064051604759</v>
      </c>
      <c r="Q45" s="90">
        <f t="shared" si="23"/>
        <v>2034.4583111666661</v>
      </c>
      <c r="R45" s="91">
        <f t="shared" si="21"/>
        <v>2193.1560833123685</v>
      </c>
      <c r="S45" s="14"/>
      <c r="T45" s="14"/>
      <c r="U45" s="14"/>
    </row>
    <row r="46" spans="1:21">
      <c r="A46" s="14"/>
      <c r="B46" s="84" t="s">
        <v>16</v>
      </c>
      <c r="C46" s="89">
        <f t="shared" si="16"/>
        <v>842.76981933876891</v>
      </c>
      <c r="D46" s="90">
        <f t="shared" si="17"/>
        <v>627.40622072857877</v>
      </c>
      <c r="E46" s="90">
        <f t="shared" si="18"/>
        <v>13031.873747148333</v>
      </c>
      <c r="F46" s="91">
        <f t="shared" si="19"/>
        <v>14502.049787215681</v>
      </c>
      <c r="G46" s="14"/>
      <c r="H46" s="84" t="s">
        <v>16</v>
      </c>
      <c r="I46" s="89">
        <f>'Step 2'!X38-J46</f>
        <v>664.60224440883553</v>
      </c>
      <c r="J46" s="90">
        <f>$J$37</f>
        <v>484.25558021253124</v>
      </c>
      <c r="K46" s="90">
        <f t="shared" si="22"/>
        <v>10997.415435981666</v>
      </c>
      <c r="L46" s="91">
        <f t="shared" si="20"/>
        <v>12146.273260603033</v>
      </c>
      <c r="M46" s="14"/>
      <c r="N46" s="84" t="s">
        <v>16</v>
      </c>
      <c r="O46" s="89">
        <f>'Step 2'!Y38-P46</f>
        <v>178.16757492993338</v>
      </c>
      <c r="P46" s="90">
        <f>$P$37</f>
        <v>143.15064051604759</v>
      </c>
      <c r="Q46" s="90">
        <f t="shared" si="23"/>
        <v>2034.4583111666661</v>
      </c>
      <c r="R46" s="91">
        <f t="shared" si="21"/>
        <v>2355.7765266126471</v>
      </c>
      <c r="S46" s="14"/>
      <c r="T46" s="14"/>
      <c r="U46" s="14"/>
    </row>
    <row r="47" spans="1:21">
      <c r="A47" s="14"/>
      <c r="B47" s="84" t="s">
        <v>17</v>
      </c>
      <c r="C47" s="89">
        <f t="shared" si="16"/>
        <v>1950.0121760634058</v>
      </c>
      <c r="D47" s="90">
        <f t="shared" si="17"/>
        <v>627.40622072857877</v>
      </c>
      <c r="E47" s="90">
        <f t="shared" si="18"/>
        <v>13031.873747148333</v>
      </c>
      <c r="F47" s="91">
        <f t="shared" si="19"/>
        <v>15609.292143940318</v>
      </c>
      <c r="G47" s="14"/>
      <c r="H47" s="84" t="s">
        <v>17</v>
      </c>
      <c r="I47" s="89">
        <f>'Step 2'!X39-J47</f>
        <v>1538.8314624422494</v>
      </c>
      <c r="J47" s="90">
        <f>$J$37</f>
        <v>484.25558021253124</v>
      </c>
      <c r="K47" s="90">
        <f t="shared" si="22"/>
        <v>10997.415435981666</v>
      </c>
      <c r="L47" s="91">
        <f t="shared" si="20"/>
        <v>13020.502478636447</v>
      </c>
      <c r="M47" s="14"/>
      <c r="N47" s="84" t="s">
        <v>17</v>
      </c>
      <c r="O47" s="89">
        <f>'Step 2'!Y39-P47</f>
        <v>411.18071362115643</v>
      </c>
      <c r="P47" s="90">
        <f>$P$37</f>
        <v>143.15064051604759</v>
      </c>
      <c r="Q47" s="90">
        <f t="shared" si="23"/>
        <v>2034.4583111666661</v>
      </c>
      <c r="R47" s="91">
        <f t="shared" si="21"/>
        <v>2588.7896653038702</v>
      </c>
      <c r="S47" s="14"/>
      <c r="T47" s="14"/>
      <c r="U47" s="14"/>
    </row>
    <row r="48" spans="1:21" ht="13.5" thickBot="1">
      <c r="A48" s="14"/>
      <c r="B48" s="85" t="s">
        <v>18</v>
      </c>
      <c r="C48" s="92">
        <f t="shared" si="16"/>
        <v>2944.9862990673778</v>
      </c>
      <c r="D48" s="93">
        <f t="shared" si="17"/>
        <v>627.40622072857877</v>
      </c>
      <c r="E48" s="93">
        <f t="shared" si="18"/>
        <v>13031.873747148333</v>
      </c>
      <c r="F48" s="94">
        <f t="shared" si="19"/>
        <v>16604.266266944291</v>
      </c>
      <c r="G48" s="14"/>
      <c r="H48" s="85" t="s">
        <v>18</v>
      </c>
      <c r="I48" s="92">
        <f>'Step 2'!X40-J48</f>
        <v>2343.2557163377001</v>
      </c>
      <c r="J48" s="93">
        <f>$J$37</f>
        <v>484.25558021253124</v>
      </c>
      <c r="K48" s="93">
        <f t="shared" si="22"/>
        <v>10997.415435981666</v>
      </c>
      <c r="L48" s="94">
        <f t="shared" si="20"/>
        <v>13824.926732531898</v>
      </c>
      <c r="M48" s="14"/>
      <c r="N48" s="85" t="s">
        <v>18</v>
      </c>
      <c r="O48" s="92">
        <f>'Step 2'!Y40-P48</f>
        <v>601.73058272967785</v>
      </c>
      <c r="P48" s="93">
        <f>$P$37</f>
        <v>143.15064051604759</v>
      </c>
      <c r="Q48" s="93">
        <f t="shared" si="23"/>
        <v>2034.4583111666661</v>
      </c>
      <c r="R48" s="94">
        <f t="shared" si="21"/>
        <v>2779.3395344123915</v>
      </c>
      <c r="S48" s="14"/>
      <c r="T48" s="14"/>
      <c r="U48" s="14"/>
    </row>
    <row r="49" spans="1:21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</row>
    <row r="50" spans="1:21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</row>
    <row r="51" spans="1:2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</row>
    <row r="52" spans="1:21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</row>
  </sheetData>
  <sheetProtection sheet="1" objects="1" scenarios="1"/>
  <phoneticPr fontId="14" type="noConversion"/>
  <pageMargins left="0.75" right="0.75" top="1" bottom="1" header="0.5" footer="0.5"/>
  <pageSetup scale="6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48"/>
  <sheetViews>
    <sheetView tabSelected="1" topLeftCell="B1" zoomScaleNormal="100" workbookViewId="0"/>
  </sheetViews>
  <sheetFormatPr defaultColWidth="0" defaultRowHeight="12.75" zeroHeight="1"/>
  <cols>
    <col min="1" max="2" width="9.140625" customWidth="1"/>
    <col min="3" max="3" width="43.28515625" bestFit="1" customWidth="1"/>
    <col min="4" max="4" width="11" customWidth="1"/>
    <col min="5" max="5" width="11.85546875" customWidth="1"/>
    <col min="6" max="6" width="11.5703125" customWidth="1"/>
    <col min="7" max="11" width="9.140625" customWidth="1"/>
    <col min="12" max="16384" width="9.140625" hidden="1"/>
  </cols>
  <sheetData>
    <row r="1" spans="1:11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13.5" thickBot="1">
      <c r="A2" s="14"/>
      <c r="B2" s="101" t="s">
        <v>126</v>
      </c>
      <c r="C2" s="101"/>
      <c r="D2" s="101"/>
      <c r="E2" s="101"/>
      <c r="F2" s="101"/>
      <c r="G2" s="101"/>
      <c r="H2" s="101"/>
      <c r="I2" s="101"/>
      <c r="J2" s="14"/>
      <c r="K2" s="14"/>
    </row>
    <row r="3" spans="1:11">
      <c r="A3" s="14"/>
      <c r="B3" s="106"/>
      <c r="C3" s="107"/>
      <c r="D3" s="204">
        <f>'Step 1'!C4</f>
        <v>2015</v>
      </c>
      <c r="E3" s="204">
        <f>D3+1</f>
        <v>2016</v>
      </c>
      <c r="F3" s="205">
        <f>E3+1</f>
        <v>2017</v>
      </c>
      <c r="G3" s="14"/>
      <c r="H3" s="14"/>
      <c r="I3" s="14"/>
      <c r="J3" s="14"/>
      <c r="K3" s="14"/>
    </row>
    <row r="4" spans="1:11">
      <c r="A4" s="14"/>
      <c r="B4" s="110"/>
      <c r="C4" s="108"/>
      <c r="D4" s="114"/>
      <c r="E4" s="114"/>
      <c r="F4" s="115"/>
      <c r="G4" s="14"/>
      <c r="H4" s="14"/>
      <c r="I4" s="14"/>
      <c r="J4" s="14"/>
      <c r="K4" s="14"/>
    </row>
    <row r="5" spans="1:11" ht="12.75" customHeight="1">
      <c r="A5" s="14"/>
      <c r="B5" s="109"/>
      <c r="C5" s="111" t="s">
        <v>138</v>
      </c>
      <c r="D5" s="114"/>
      <c r="E5" s="114"/>
      <c r="F5" s="115"/>
      <c r="G5" s="14"/>
      <c r="H5" s="14"/>
      <c r="I5" s="14"/>
      <c r="J5" s="14"/>
      <c r="K5" s="14"/>
    </row>
    <row r="6" spans="1:11" ht="12.75" customHeight="1">
      <c r="A6" s="14"/>
      <c r="B6" s="109"/>
      <c r="C6" s="104" t="s">
        <v>116</v>
      </c>
      <c r="D6" s="185">
        <v>209.26364457992861</v>
      </c>
      <c r="E6" s="185">
        <v>192.68491282962989</v>
      </c>
      <c r="F6" s="186">
        <v>192.06056677228929</v>
      </c>
      <c r="G6" s="14"/>
      <c r="H6" s="14"/>
      <c r="I6" s="14"/>
      <c r="J6" s="14"/>
      <c r="K6" s="14"/>
    </row>
    <row r="7" spans="1:11" s="5" customFormat="1">
      <c r="A7" s="14"/>
      <c r="B7" s="110"/>
      <c r="C7" s="108"/>
      <c r="D7" s="114"/>
      <c r="E7" s="114"/>
      <c r="F7" s="115"/>
      <c r="G7" s="14"/>
      <c r="H7" s="14"/>
      <c r="I7" s="14"/>
      <c r="J7" s="14"/>
      <c r="K7" s="14"/>
    </row>
    <row r="8" spans="1:11">
      <c r="A8" s="14"/>
      <c r="B8" s="109"/>
      <c r="C8" s="105" t="s">
        <v>139</v>
      </c>
      <c r="D8" s="116"/>
      <c r="E8" s="116"/>
      <c r="F8" s="117"/>
      <c r="G8" s="14"/>
      <c r="H8" s="14"/>
      <c r="I8" s="14"/>
      <c r="J8" s="14"/>
      <c r="K8" s="14"/>
    </row>
    <row r="9" spans="1:11" ht="12.75" customHeight="1">
      <c r="A9" s="14"/>
      <c r="B9" s="110"/>
      <c r="C9" s="104" t="s">
        <v>116</v>
      </c>
      <c r="D9" s="185">
        <v>213.87570016188278</v>
      </c>
      <c r="E9" s="185">
        <v>197.95928181189797</v>
      </c>
      <c r="F9" s="186">
        <v>196.12849738909853</v>
      </c>
      <c r="G9" s="14"/>
      <c r="H9" s="14"/>
      <c r="I9" s="14"/>
      <c r="J9" s="14"/>
      <c r="K9" s="14"/>
    </row>
    <row r="10" spans="1:11" s="5" customFormat="1">
      <c r="A10" s="14"/>
      <c r="B10" s="110"/>
      <c r="C10" s="108"/>
      <c r="D10" s="114"/>
      <c r="E10" s="114"/>
      <c r="F10" s="115"/>
      <c r="G10" s="14"/>
      <c r="H10" s="14"/>
      <c r="I10" s="14"/>
      <c r="J10" s="14"/>
      <c r="K10" s="14"/>
    </row>
    <row r="11" spans="1:11">
      <c r="A11" s="14"/>
      <c r="B11" s="109"/>
      <c r="C11" s="105" t="s">
        <v>140</v>
      </c>
      <c r="D11" s="116"/>
      <c r="E11" s="116"/>
      <c r="F11" s="117"/>
      <c r="G11" s="14"/>
      <c r="H11" s="14"/>
      <c r="I11" s="14"/>
      <c r="J11" s="14"/>
      <c r="K11" s="14"/>
    </row>
    <row r="12" spans="1:11" ht="12.75" customHeight="1" thickBot="1">
      <c r="A12" s="14"/>
      <c r="B12" s="112"/>
      <c r="C12" s="113" t="s">
        <v>116</v>
      </c>
      <c r="D12" s="206">
        <v>201.0372482640326</v>
      </c>
      <c r="E12" s="206">
        <v>196.896457515002</v>
      </c>
      <c r="F12" s="207">
        <v>193.80506211008455</v>
      </c>
      <c r="G12" s="14"/>
      <c r="H12" s="14"/>
      <c r="I12" s="14"/>
      <c r="J12" s="14"/>
      <c r="K12" s="14"/>
    </row>
    <row r="13" spans="1:11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</row>
    <row r="14" spans="1:11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</row>
    <row r="15" spans="1:11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</row>
    <row r="16" spans="1:11">
      <c r="A16" s="14"/>
      <c r="B16" s="14"/>
      <c r="C16" s="103"/>
      <c r="D16" s="103"/>
      <c r="E16" s="103"/>
      <c r="F16" s="103"/>
      <c r="G16" s="14"/>
      <c r="H16" s="14"/>
      <c r="I16" s="14"/>
      <c r="J16" s="14"/>
      <c r="K16" s="14"/>
    </row>
    <row r="17" spans="3:6" hidden="1">
      <c r="C17" s="6"/>
      <c r="D17" s="6"/>
      <c r="E17" s="6"/>
      <c r="F17" s="6"/>
    </row>
    <row r="18" spans="3:6" hidden="1">
      <c r="F18" s="15"/>
    </row>
    <row r="19" spans="3:6" hidden="1">
      <c r="C19" s="16"/>
      <c r="D19" s="16"/>
      <c r="E19" s="16"/>
      <c r="F19" s="16"/>
    </row>
    <row r="20" spans="3:6" hidden="1">
      <c r="C20" s="16"/>
      <c r="D20" s="16"/>
      <c r="E20" s="16"/>
      <c r="F20" s="16"/>
    </row>
    <row r="21" spans="3:6" hidden="1"/>
    <row r="22" spans="3:6" hidden="1"/>
    <row r="23" spans="3:6" hidden="1">
      <c r="C23" s="17"/>
      <c r="D23" s="17"/>
      <c r="E23" s="17"/>
      <c r="F23" s="17"/>
    </row>
    <row r="24" spans="3:6" hidden="1">
      <c r="C24" s="6"/>
      <c r="D24" s="6"/>
      <c r="E24" s="6"/>
      <c r="F24" s="6"/>
    </row>
    <row r="25" spans="3:6" hidden="1">
      <c r="C25" s="6"/>
      <c r="D25" s="6"/>
      <c r="E25" s="6"/>
      <c r="F25" s="15"/>
    </row>
    <row r="26" spans="3:6" hidden="1">
      <c r="C26" s="16"/>
      <c r="D26" s="16"/>
      <c r="E26" s="16"/>
      <c r="F26" s="16"/>
    </row>
    <row r="27" spans="3:6" hidden="1">
      <c r="C27" s="16"/>
      <c r="D27" s="16"/>
      <c r="E27" s="16"/>
      <c r="F27" s="16"/>
    </row>
    <row r="28" spans="3:6" hidden="1"/>
    <row r="29" spans="3:6" hidden="1"/>
    <row r="30" spans="3:6" hidden="1">
      <c r="C30" s="17"/>
      <c r="D30" s="17"/>
      <c r="E30" s="17"/>
      <c r="F30" s="17"/>
    </row>
    <row r="31" spans="3:6" hidden="1">
      <c r="C31" s="6"/>
      <c r="D31" s="6"/>
      <c r="E31" s="6"/>
      <c r="F31" s="6"/>
    </row>
    <row r="32" spans="3:6" hidden="1">
      <c r="C32" s="6"/>
      <c r="D32" s="6"/>
      <c r="E32" s="6"/>
      <c r="F32" s="15"/>
    </row>
    <row r="33" spans="3:6" hidden="1">
      <c r="C33" s="16"/>
      <c r="D33" s="16"/>
      <c r="E33" s="16"/>
      <c r="F33" s="16"/>
    </row>
    <row r="34" spans="3:6" hidden="1">
      <c r="C34" s="16"/>
      <c r="D34" s="16"/>
      <c r="E34" s="16"/>
      <c r="F34" s="16"/>
    </row>
    <row r="35" spans="3:6" hidden="1"/>
    <row r="36" spans="3:6" hidden="1"/>
    <row r="37" spans="3:6" hidden="1">
      <c r="C37" s="2"/>
      <c r="D37" s="2"/>
      <c r="E37" s="2"/>
      <c r="F37" s="2"/>
    </row>
    <row r="38" spans="3:6" hidden="1">
      <c r="C38" s="6"/>
      <c r="D38" s="6"/>
      <c r="E38" s="6"/>
      <c r="F38" s="6"/>
    </row>
    <row r="39" spans="3:6" hidden="1">
      <c r="C39" s="6"/>
      <c r="D39" s="6"/>
      <c r="E39" s="6"/>
      <c r="F39" s="15"/>
    </row>
    <row r="40" spans="3:6" hidden="1">
      <c r="C40" s="16"/>
      <c r="D40" s="16"/>
      <c r="E40" s="16"/>
      <c r="F40" s="16"/>
    </row>
    <row r="41" spans="3:6" hidden="1">
      <c r="C41" s="16"/>
      <c r="D41" s="16"/>
      <c r="E41" s="16"/>
      <c r="F41" s="16"/>
    </row>
    <row r="42" spans="3:6" hidden="1"/>
    <row r="43" spans="3:6" hidden="1"/>
    <row r="44" spans="3:6" hidden="1">
      <c r="C44" s="17"/>
      <c r="D44" s="17"/>
      <c r="E44" s="17"/>
      <c r="F44" s="17"/>
    </row>
    <row r="45" spans="3:6" hidden="1">
      <c r="C45" s="6"/>
      <c r="D45" s="6"/>
      <c r="E45" s="6"/>
      <c r="F45" s="6"/>
    </row>
    <row r="46" spans="3:6" hidden="1"/>
    <row r="47" spans="3:6" hidden="1">
      <c r="C47" s="16"/>
      <c r="D47" s="16"/>
      <c r="E47" s="16"/>
      <c r="F47" s="16"/>
    </row>
    <row r="48" spans="3:6" hidden="1">
      <c r="C48" s="16"/>
      <c r="D48" s="16"/>
      <c r="E48" s="16"/>
      <c r="F48" s="16"/>
    </row>
  </sheetData>
  <sheetProtection sheet="1" objects="1" scenarios="1"/>
  <printOptions gridLines="1"/>
  <pageMargins left="0.74803149606299213" right="0.74803149606299213" top="0.98425196850393704" bottom="0.98425196850393704" header="0.51181102362204722" footer="0.51181102362204722"/>
  <pageSetup scale="8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9"/>
  <sheetViews>
    <sheetView tabSelected="1" workbookViewId="0"/>
  </sheetViews>
  <sheetFormatPr defaultColWidth="0" defaultRowHeight="15" zeroHeight="1"/>
  <cols>
    <col min="1" max="1" width="18.7109375" style="13" customWidth="1"/>
    <col min="2" max="2" width="10.7109375" style="13" customWidth="1"/>
    <col min="3" max="11" width="13.140625" style="13" customWidth="1"/>
    <col min="12" max="12" width="12" style="13" customWidth="1"/>
    <col min="13" max="15" width="9.140625" style="13" customWidth="1"/>
    <col min="16" max="16384" width="9.140625" style="13" hidden="1"/>
  </cols>
  <sheetData>
    <row r="1" spans="1:15">
      <c r="A1" s="118"/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</row>
    <row r="2" spans="1:15" ht="15.75" thickBot="1">
      <c r="A2" s="298" t="s">
        <v>134</v>
      </c>
      <c r="B2" s="299"/>
      <c r="C2" s="299"/>
      <c r="D2" s="299"/>
      <c r="E2" s="299"/>
      <c r="F2" s="118"/>
      <c r="G2" s="118"/>
      <c r="H2" s="118"/>
      <c r="I2" s="118"/>
      <c r="J2" s="118"/>
      <c r="K2" s="118"/>
      <c r="L2" s="118"/>
      <c r="M2" s="118"/>
      <c r="N2" s="118"/>
      <c r="O2" s="118"/>
    </row>
    <row r="3" spans="1:15" ht="16.5" thickBot="1">
      <c r="A3" s="314" t="s">
        <v>54</v>
      </c>
      <c r="B3" s="315"/>
      <c r="C3" s="315"/>
      <c r="D3" s="315"/>
      <c r="E3" s="315"/>
      <c r="F3" s="315"/>
      <c r="G3" s="315"/>
      <c r="H3" s="315"/>
      <c r="I3" s="315"/>
      <c r="J3" s="315"/>
      <c r="K3" s="315"/>
      <c r="L3" s="316"/>
      <c r="M3" s="118"/>
      <c r="N3" s="118"/>
      <c r="O3" s="118"/>
    </row>
    <row r="4" spans="1:15" ht="15.75" thickBot="1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</row>
    <row r="5" spans="1:15" ht="15.75" thickBot="1">
      <c r="A5" s="231" t="s">
        <v>55</v>
      </c>
      <c r="B5" s="232"/>
      <c r="C5" s="232"/>
      <c r="D5" s="232"/>
      <c r="E5" s="232"/>
      <c r="F5" s="232"/>
      <c r="G5" s="297">
        <v>30</v>
      </c>
      <c r="H5" s="233" t="s">
        <v>56</v>
      </c>
      <c r="I5" s="118"/>
      <c r="J5" s="118"/>
      <c r="K5" s="118"/>
      <c r="L5" s="118"/>
      <c r="M5" s="118"/>
      <c r="N5" s="118"/>
      <c r="O5" s="118"/>
    </row>
    <row r="6" spans="1:15">
      <c r="A6" s="118"/>
      <c r="B6" s="118"/>
      <c r="C6" s="118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</row>
    <row r="7" spans="1:15" ht="15.75" thickBot="1">
      <c r="A7" s="118"/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</row>
    <row r="8" spans="1:15" ht="15.75" customHeight="1" thickBot="1">
      <c r="A8" s="317" t="s">
        <v>57</v>
      </c>
      <c r="B8" s="320" t="s">
        <v>58</v>
      </c>
      <c r="C8" s="323" t="s">
        <v>59</v>
      </c>
      <c r="D8" s="324"/>
      <c r="E8" s="324"/>
      <c r="F8" s="324"/>
      <c r="G8" s="324"/>
      <c r="H8" s="324"/>
      <c r="I8" s="325"/>
      <c r="J8" s="326" t="s">
        <v>60</v>
      </c>
      <c r="K8" s="329" t="s">
        <v>61</v>
      </c>
      <c r="L8" s="118"/>
      <c r="M8" s="118"/>
      <c r="N8" s="118"/>
      <c r="O8" s="118"/>
    </row>
    <row r="9" spans="1:15">
      <c r="A9" s="318"/>
      <c r="B9" s="321"/>
      <c r="C9" s="332" t="s">
        <v>62</v>
      </c>
      <c r="D9" s="333"/>
      <c r="E9" s="334"/>
      <c r="F9" s="335" t="s">
        <v>63</v>
      </c>
      <c r="G9" s="333"/>
      <c r="H9" s="336"/>
      <c r="I9" s="337" t="s">
        <v>64</v>
      </c>
      <c r="J9" s="327"/>
      <c r="K9" s="330"/>
      <c r="L9" s="118"/>
      <c r="M9" s="118"/>
      <c r="N9" s="118"/>
      <c r="O9" s="118"/>
    </row>
    <row r="10" spans="1:15">
      <c r="A10" s="318"/>
      <c r="B10" s="321"/>
      <c r="C10" s="338" t="s">
        <v>65</v>
      </c>
      <c r="D10" s="340" t="s">
        <v>66</v>
      </c>
      <c r="E10" s="342" t="s">
        <v>67</v>
      </c>
      <c r="F10" s="344" t="s">
        <v>68</v>
      </c>
      <c r="G10" s="340" t="s">
        <v>66</v>
      </c>
      <c r="H10" s="321" t="s">
        <v>67</v>
      </c>
      <c r="I10" s="330"/>
      <c r="J10" s="327"/>
      <c r="K10" s="330"/>
      <c r="L10" s="118"/>
      <c r="M10" s="118"/>
      <c r="N10" s="118"/>
      <c r="O10" s="118"/>
    </row>
    <row r="11" spans="1:15" ht="27" customHeight="1" thickBot="1">
      <c r="A11" s="319"/>
      <c r="B11" s="322"/>
      <c r="C11" s="339"/>
      <c r="D11" s="341"/>
      <c r="E11" s="343"/>
      <c r="F11" s="345"/>
      <c r="G11" s="341"/>
      <c r="H11" s="322"/>
      <c r="I11" s="331"/>
      <c r="J11" s="328"/>
      <c r="K11" s="331"/>
      <c r="L11" s="118"/>
      <c r="M11" s="118"/>
      <c r="N11" s="118"/>
      <c r="O11" s="118"/>
    </row>
    <row r="12" spans="1:15" ht="18" customHeight="1">
      <c r="A12" s="212" t="s">
        <v>69</v>
      </c>
      <c r="B12" s="283">
        <v>25</v>
      </c>
      <c r="C12" s="237">
        <v>1.9414</v>
      </c>
      <c r="D12" s="219">
        <f>B12*C12</f>
        <v>48.535000000000004</v>
      </c>
      <c r="E12" s="292">
        <f>SUM(D12:D13)</f>
        <v>58.936500000000002</v>
      </c>
      <c r="F12" s="234"/>
      <c r="G12" s="218"/>
      <c r="H12" s="253"/>
      <c r="I12" s="256"/>
      <c r="J12" s="268">
        <f>E12+H12+I12</f>
        <v>58.936500000000002</v>
      </c>
      <c r="K12" s="275">
        <f>J12/G5</f>
        <v>1.96455</v>
      </c>
      <c r="L12" s="118"/>
      <c r="M12" s="118"/>
      <c r="N12" s="118"/>
      <c r="O12" s="118"/>
    </row>
    <row r="13" spans="1:15" ht="18" customHeight="1" thickBot="1">
      <c r="A13" s="213"/>
      <c r="B13" s="284">
        <v>5</v>
      </c>
      <c r="C13" s="238">
        <v>2.0802999999999998</v>
      </c>
      <c r="D13" s="224">
        <f>B13*C13</f>
        <v>10.401499999999999</v>
      </c>
      <c r="E13" s="293"/>
      <c r="F13" s="235"/>
      <c r="G13" s="220"/>
      <c r="H13" s="254"/>
      <c r="I13" s="257"/>
      <c r="J13" s="269"/>
      <c r="K13" s="276"/>
      <c r="L13" s="118"/>
      <c r="M13" s="118"/>
      <c r="N13" s="118"/>
      <c r="O13" s="118"/>
    </row>
    <row r="14" spans="1:15" ht="18" customHeight="1" thickBot="1">
      <c r="A14" s="214" t="s">
        <v>70</v>
      </c>
      <c r="B14" s="285">
        <v>30</v>
      </c>
      <c r="C14" s="239">
        <v>1.6769000000000001</v>
      </c>
      <c r="D14" s="221">
        <f>C14*B14</f>
        <v>50.307000000000002</v>
      </c>
      <c r="E14" s="294">
        <f>D14</f>
        <v>50.307000000000002</v>
      </c>
      <c r="F14" s="236">
        <v>1.7607999999999999</v>
      </c>
      <c r="G14" s="221">
        <f>B14*F14</f>
        <v>52.823999999999998</v>
      </c>
      <c r="H14" s="255">
        <f>G14</f>
        <v>52.823999999999998</v>
      </c>
      <c r="I14" s="258"/>
      <c r="J14" s="270">
        <f>E14+H14+I14</f>
        <v>103.131</v>
      </c>
      <c r="K14" s="277">
        <f>J14/G5</f>
        <v>3.4377</v>
      </c>
      <c r="L14" s="118"/>
      <c r="M14" s="118"/>
      <c r="N14" s="118"/>
      <c r="O14" s="118"/>
    </row>
    <row r="15" spans="1:15" ht="18" customHeight="1" thickBot="1">
      <c r="A15" s="214" t="s">
        <v>71</v>
      </c>
      <c r="B15" s="286">
        <v>30</v>
      </c>
      <c r="C15" s="239">
        <v>1.02</v>
      </c>
      <c r="D15" s="221">
        <f>C15*B15</f>
        <v>30.6</v>
      </c>
      <c r="E15" s="294">
        <f>D15</f>
        <v>30.6</v>
      </c>
      <c r="F15" s="236">
        <v>0.87</v>
      </c>
      <c r="G15" s="221">
        <f>B15*F15</f>
        <v>26.1</v>
      </c>
      <c r="H15" s="255">
        <f>G15</f>
        <v>26.1</v>
      </c>
      <c r="I15" s="259"/>
      <c r="J15" s="270">
        <f>E15+H15+I15</f>
        <v>56.7</v>
      </c>
      <c r="K15" s="278">
        <f>J15/G5</f>
        <v>1.8900000000000001</v>
      </c>
      <c r="L15" s="118"/>
      <c r="M15" s="118"/>
      <c r="N15" s="118"/>
      <c r="O15" s="118"/>
    </row>
    <row r="16" spans="1:15" ht="18" customHeight="1" thickBot="1">
      <c r="A16" s="214" t="s">
        <v>72</v>
      </c>
      <c r="B16" s="346" t="s">
        <v>73</v>
      </c>
      <c r="C16" s="346"/>
      <c r="D16" s="346"/>
      <c r="E16" s="346"/>
      <c r="F16" s="346"/>
      <c r="G16" s="346"/>
      <c r="H16" s="346"/>
      <c r="I16" s="346"/>
      <c r="J16" s="346"/>
      <c r="K16" s="279">
        <f>K12</f>
        <v>1.96455</v>
      </c>
      <c r="L16" s="118"/>
      <c r="M16" s="118"/>
      <c r="N16" s="118"/>
      <c r="O16" s="118"/>
    </row>
    <row r="17" spans="1:15" ht="18" customHeight="1">
      <c r="A17" s="212" t="s">
        <v>74</v>
      </c>
      <c r="B17" s="287">
        <v>5</v>
      </c>
      <c r="C17" s="237">
        <v>0</v>
      </c>
      <c r="D17" s="219">
        <f>C17*B17</f>
        <v>0</v>
      </c>
      <c r="E17" s="292"/>
      <c r="F17" s="240"/>
      <c r="G17" s="222"/>
      <c r="H17" s="260"/>
      <c r="I17" s="265"/>
      <c r="J17" s="271"/>
      <c r="K17" s="275"/>
      <c r="L17" s="118"/>
      <c r="M17" s="118"/>
      <c r="N17" s="118"/>
      <c r="O17" s="118"/>
    </row>
    <row r="18" spans="1:15" ht="18" customHeight="1" thickBot="1">
      <c r="A18" s="215"/>
      <c r="B18" s="288">
        <v>25</v>
      </c>
      <c r="C18" s="238">
        <v>1.2230000000000001</v>
      </c>
      <c r="D18" s="224">
        <f>C18*B18</f>
        <v>30.575000000000003</v>
      </c>
      <c r="E18" s="293">
        <f>D18</f>
        <v>30.575000000000003</v>
      </c>
      <c r="F18" s="241">
        <v>1</v>
      </c>
      <c r="G18" s="223">
        <f>E18*F18</f>
        <v>30.575000000000003</v>
      </c>
      <c r="H18" s="261">
        <f>SUM(G17:G18)</f>
        <v>30.575000000000003</v>
      </c>
      <c r="I18" s="257"/>
      <c r="J18" s="272">
        <f>E18+H18+I18</f>
        <v>61.150000000000006</v>
      </c>
      <c r="K18" s="276">
        <f>J18/G5</f>
        <v>2.0383333333333336</v>
      </c>
      <c r="L18" s="118"/>
      <c r="M18" s="118"/>
      <c r="N18" s="118"/>
      <c r="O18" s="118"/>
    </row>
    <row r="19" spans="1:15" ht="18" customHeight="1">
      <c r="A19" s="212" t="s">
        <v>75</v>
      </c>
      <c r="B19" s="287">
        <v>25</v>
      </c>
      <c r="C19" s="237">
        <v>0.92220000000000002</v>
      </c>
      <c r="D19" s="219">
        <f>C19*B19</f>
        <v>23.055</v>
      </c>
      <c r="E19" s="292">
        <f>SUM(D19:D20)</f>
        <v>28.8185</v>
      </c>
      <c r="F19" s="242">
        <v>0.80049999999999999</v>
      </c>
      <c r="G19" s="219">
        <f>B19*F19</f>
        <v>20.012499999999999</v>
      </c>
      <c r="H19" s="262">
        <f>SUM(G19:G20)</f>
        <v>24.015000000000001</v>
      </c>
      <c r="I19" s="256"/>
      <c r="J19" s="268">
        <f>E19+H19+I19</f>
        <v>52.833500000000001</v>
      </c>
      <c r="K19" s="275">
        <f>J19/G5</f>
        <v>1.7611166666666667</v>
      </c>
      <c r="L19" s="118"/>
      <c r="M19" s="118"/>
      <c r="N19" s="118"/>
      <c r="O19" s="118"/>
    </row>
    <row r="20" spans="1:15" ht="18" customHeight="1" thickBot="1">
      <c r="A20" s="215"/>
      <c r="B20" s="288">
        <v>5</v>
      </c>
      <c r="C20" s="238">
        <v>1.1527000000000001</v>
      </c>
      <c r="D20" s="224">
        <f>C20*B20</f>
        <v>5.7635000000000005</v>
      </c>
      <c r="E20" s="293"/>
      <c r="F20" s="243">
        <v>0.80049999999999999</v>
      </c>
      <c r="G20" s="224">
        <f>B20*F20</f>
        <v>4.0024999999999995</v>
      </c>
      <c r="H20" s="263"/>
      <c r="I20" s="257"/>
      <c r="J20" s="269"/>
      <c r="K20" s="276"/>
      <c r="L20" s="118"/>
      <c r="M20" s="118"/>
      <c r="N20" s="118"/>
      <c r="O20" s="118"/>
    </row>
    <row r="21" spans="1:15" ht="18" customHeight="1">
      <c r="A21" s="290" t="s">
        <v>76</v>
      </c>
      <c r="B21" s="287">
        <v>7</v>
      </c>
      <c r="C21" s="237">
        <v>0</v>
      </c>
      <c r="D21" s="219">
        <f t="shared" ref="D21:D24" si="0">C21*B21</f>
        <v>0</v>
      </c>
      <c r="E21" s="292">
        <f>SUM(D21:D24)</f>
        <v>48.4512</v>
      </c>
      <c r="F21" s="244">
        <v>0</v>
      </c>
      <c r="G21" s="227">
        <f>B21*F21</f>
        <v>0</v>
      </c>
      <c r="H21" s="262">
        <f>SUM(G21:G24)</f>
        <v>43.4636</v>
      </c>
      <c r="I21" s="256"/>
      <c r="J21" s="268">
        <f>E21+H21+I21</f>
        <v>91.9148</v>
      </c>
      <c r="K21" s="275">
        <f>J21/G5</f>
        <v>3.0638266666666665</v>
      </c>
      <c r="L21" s="118"/>
      <c r="M21" s="118"/>
      <c r="N21" s="118"/>
      <c r="O21" s="118"/>
    </row>
    <row r="22" spans="1:15" ht="18" customHeight="1">
      <c r="A22" s="216"/>
      <c r="B22" s="289">
        <v>8</v>
      </c>
      <c r="C22" s="247">
        <v>1.7303999999999999</v>
      </c>
      <c r="D22" s="295">
        <f t="shared" si="0"/>
        <v>13.8432</v>
      </c>
      <c r="E22" s="296"/>
      <c r="F22" s="245">
        <v>1.5522</v>
      </c>
      <c r="G22" s="228">
        <f t="shared" ref="G22:G24" si="1">B22*F22</f>
        <v>12.4176</v>
      </c>
      <c r="H22" s="264"/>
      <c r="I22" s="266"/>
      <c r="J22" s="273"/>
      <c r="K22" s="280"/>
      <c r="L22" s="118"/>
      <c r="M22" s="118"/>
      <c r="N22" s="118"/>
      <c r="O22" s="118"/>
    </row>
    <row r="23" spans="1:15" ht="18" customHeight="1">
      <c r="A23" s="216"/>
      <c r="B23" s="289">
        <v>10</v>
      </c>
      <c r="C23" s="247">
        <v>2.2248000000000001</v>
      </c>
      <c r="D23" s="295">
        <f t="shared" si="0"/>
        <v>22.248000000000001</v>
      </c>
      <c r="E23" s="296"/>
      <c r="F23" s="245">
        <v>1.9958</v>
      </c>
      <c r="G23" s="228">
        <f t="shared" si="1"/>
        <v>19.957999999999998</v>
      </c>
      <c r="H23" s="264"/>
      <c r="I23" s="266"/>
      <c r="J23" s="273"/>
      <c r="K23" s="280"/>
      <c r="L23" s="118"/>
      <c r="M23" s="118"/>
      <c r="N23" s="118"/>
      <c r="O23" s="118"/>
    </row>
    <row r="24" spans="1:15" ht="18" customHeight="1" thickBot="1">
      <c r="A24" s="215"/>
      <c r="B24" s="288">
        <v>5</v>
      </c>
      <c r="C24" s="238">
        <v>2.472</v>
      </c>
      <c r="D24" s="224">
        <f t="shared" si="0"/>
        <v>12.36</v>
      </c>
      <c r="E24" s="293"/>
      <c r="F24" s="246">
        <v>2.2176</v>
      </c>
      <c r="G24" s="229">
        <f t="shared" si="1"/>
        <v>11.088000000000001</v>
      </c>
      <c r="H24" s="263"/>
      <c r="I24" s="257"/>
      <c r="J24" s="269"/>
      <c r="K24" s="276"/>
      <c r="L24" s="118"/>
      <c r="M24" s="118"/>
      <c r="N24" s="118"/>
      <c r="O24" s="118"/>
    </row>
    <row r="25" spans="1:15" ht="18" customHeight="1" thickBot="1">
      <c r="A25" s="291" t="s">
        <v>77</v>
      </c>
      <c r="B25" s="346" t="s">
        <v>73</v>
      </c>
      <c r="C25" s="346"/>
      <c r="D25" s="346"/>
      <c r="E25" s="346"/>
      <c r="F25" s="346"/>
      <c r="G25" s="346"/>
      <c r="H25" s="346"/>
      <c r="I25" s="346"/>
      <c r="J25" s="346"/>
      <c r="K25" s="279">
        <f>K12</f>
        <v>1.96455</v>
      </c>
      <c r="L25" s="118"/>
      <c r="M25" s="118"/>
      <c r="N25" s="118"/>
      <c r="O25" s="118"/>
    </row>
    <row r="26" spans="1:15" ht="18" customHeight="1" thickBot="1">
      <c r="A26" s="214" t="s">
        <v>78</v>
      </c>
      <c r="B26" s="286">
        <v>30</v>
      </c>
      <c r="C26" s="239">
        <v>1.1768587769467662</v>
      </c>
      <c r="D26" s="221">
        <f>C26*B26</f>
        <v>35.305763308402987</v>
      </c>
      <c r="E26" s="294">
        <f>D26</f>
        <v>35.305763308402987</v>
      </c>
      <c r="F26" s="248">
        <v>0.7</v>
      </c>
      <c r="G26" s="230">
        <f>E26*F26</f>
        <v>24.714034315882088</v>
      </c>
      <c r="H26" s="255">
        <f>G26</f>
        <v>24.714034315882088</v>
      </c>
      <c r="I26" s="259"/>
      <c r="J26" s="270">
        <f>E26+H26+I26</f>
        <v>60.019797624285076</v>
      </c>
      <c r="K26" s="277">
        <f>J26/G5</f>
        <v>2.0006599208095026</v>
      </c>
      <c r="L26" s="118"/>
      <c r="M26" s="118"/>
      <c r="N26" s="118"/>
      <c r="O26" s="118"/>
    </row>
    <row r="27" spans="1:15" ht="18" customHeight="1" thickBot="1">
      <c r="A27" s="214" t="s">
        <v>79</v>
      </c>
      <c r="B27" s="346" t="s">
        <v>73</v>
      </c>
      <c r="C27" s="346"/>
      <c r="D27" s="346"/>
      <c r="E27" s="346"/>
      <c r="F27" s="346"/>
      <c r="G27" s="346"/>
      <c r="H27" s="346"/>
      <c r="I27" s="346"/>
      <c r="J27" s="346"/>
      <c r="K27" s="279">
        <f>K12</f>
        <v>1.96455</v>
      </c>
      <c r="L27" s="118"/>
      <c r="M27" s="118"/>
      <c r="N27" s="118"/>
      <c r="O27" s="118"/>
    </row>
    <row r="28" spans="1:15" ht="18" customHeight="1" thickBot="1">
      <c r="A28" s="214" t="s">
        <v>80</v>
      </c>
      <c r="B28" s="286">
        <v>30</v>
      </c>
      <c r="C28" s="239">
        <v>1.1399999999999999</v>
      </c>
      <c r="D28" s="221">
        <f t="shared" ref="D28:D31" si="2">C28*B28</f>
        <v>34.199999999999996</v>
      </c>
      <c r="E28" s="294">
        <f>D28</f>
        <v>34.199999999999996</v>
      </c>
      <c r="F28" s="236">
        <v>1.32</v>
      </c>
      <c r="G28" s="221">
        <f>B28*F28</f>
        <v>39.6</v>
      </c>
      <c r="H28" s="255">
        <f>G28</f>
        <v>39.6</v>
      </c>
      <c r="I28" s="259"/>
      <c r="J28" s="270">
        <f>E28+H28+I28</f>
        <v>73.8</v>
      </c>
      <c r="K28" s="277">
        <f>J28/G5</f>
        <v>2.46</v>
      </c>
      <c r="L28" s="118"/>
      <c r="M28" s="118"/>
      <c r="N28" s="118"/>
      <c r="O28" s="118"/>
    </row>
    <row r="29" spans="1:15" ht="18" customHeight="1" thickBot="1">
      <c r="A29" s="214" t="s">
        <v>81</v>
      </c>
      <c r="B29" s="286">
        <v>30</v>
      </c>
      <c r="C29" s="239">
        <v>0.20230000000000001</v>
      </c>
      <c r="D29" s="221">
        <f t="shared" si="2"/>
        <v>6.069</v>
      </c>
      <c r="E29" s="294">
        <f>D29</f>
        <v>6.069</v>
      </c>
      <c r="F29" s="248">
        <v>1.1599999999999999</v>
      </c>
      <c r="G29" s="230">
        <f>E29*F29</f>
        <v>7.0400399999999994</v>
      </c>
      <c r="H29" s="267">
        <f>G29</f>
        <v>7.0400399999999994</v>
      </c>
      <c r="I29" s="259"/>
      <c r="J29" s="270">
        <f>E29+H29+I29</f>
        <v>13.10904</v>
      </c>
      <c r="K29" s="277">
        <f>J29/G5</f>
        <v>0.43696800000000002</v>
      </c>
      <c r="L29" s="118"/>
      <c r="M29" s="118"/>
      <c r="N29" s="118"/>
      <c r="O29" s="118"/>
    </row>
    <row r="30" spans="1:15" ht="18" customHeight="1">
      <c r="A30" s="212" t="s">
        <v>82</v>
      </c>
      <c r="B30" s="287">
        <v>15</v>
      </c>
      <c r="C30" s="237">
        <v>0.45100000000000001</v>
      </c>
      <c r="D30" s="219">
        <f t="shared" si="2"/>
        <v>6.7650000000000006</v>
      </c>
      <c r="E30" s="292">
        <f>SUM(D30:D31)</f>
        <v>26.565000000000001</v>
      </c>
      <c r="F30" s="249">
        <v>1</v>
      </c>
      <c r="G30" s="225">
        <f>E30*F30</f>
        <v>26.565000000000001</v>
      </c>
      <c r="H30" s="262">
        <f>G30</f>
        <v>26.565000000000001</v>
      </c>
      <c r="I30" s="265"/>
      <c r="J30" s="268">
        <f>E30+H30+I30</f>
        <v>53.13</v>
      </c>
      <c r="K30" s="275">
        <f>J30/G5</f>
        <v>1.7710000000000001</v>
      </c>
      <c r="L30" s="118"/>
      <c r="M30" s="118"/>
      <c r="N30" s="118"/>
      <c r="O30" s="118"/>
    </row>
    <row r="31" spans="1:15" ht="18" customHeight="1" thickBot="1">
      <c r="A31" s="217"/>
      <c r="B31" s="288">
        <v>15</v>
      </c>
      <c r="C31" s="238">
        <v>1.32</v>
      </c>
      <c r="D31" s="224">
        <f t="shared" si="2"/>
        <v>19.8</v>
      </c>
      <c r="E31" s="293"/>
      <c r="F31" s="250"/>
      <c r="G31" s="226"/>
      <c r="H31" s="263"/>
      <c r="I31" s="257"/>
      <c r="J31" s="269"/>
      <c r="K31" s="276"/>
      <c r="L31" s="118"/>
      <c r="M31" s="118"/>
      <c r="N31" s="118"/>
      <c r="O31" s="118"/>
    </row>
    <row r="32" spans="1:15" ht="18" customHeight="1" thickBot="1">
      <c r="A32" s="214" t="s">
        <v>83</v>
      </c>
      <c r="B32" s="286">
        <v>30</v>
      </c>
      <c r="C32" s="239">
        <v>1.171</v>
      </c>
      <c r="D32" s="221">
        <f>C32*B32</f>
        <v>35.130000000000003</v>
      </c>
      <c r="E32" s="294">
        <f>D32</f>
        <v>35.130000000000003</v>
      </c>
      <c r="F32" s="251">
        <v>1.179</v>
      </c>
      <c r="G32" s="230">
        <f>E32*F32</f>
        <v>41.418270000000007</v>
      </c>
      <c r="H32" s="267">
        <f>G32</f>
        <v>41.418270000000007</v>
      </c>
      <c r="I32" s="259"/>
      <c r="J32" s="270">
        <f>E32+H32+I32</f>
        <v>76.548270000000002</v>
      </c>
      <c r="K32" s="278">
        <f>J32/G5</f>
        <v>2.551609</v>
      </c>
      <c r="L32" s="118"/>
      <c r="M32" s="118"/>
      <c r="N32" s="118"/>
      <c r="O32" s="118"/>
    </row>
    <row r="33" spans="1:15" ht="18" customHeight="1" thickBot="1">
      <c r="A33" s="214" t="s">
        <v>84</v>
      </c>
      <c r="B33" s="285">
        <v>30</v>
      </c>
      <c r="C33" s="239">
        <v>1.3779999999999999</v>
      </c>
      <c r="D33" s="221">
        <f>C33*B33</f>
        <v>41.339999999999996</v>
      </c>
      <c r="E33" s="294">
        <f>D33</f>
        <v>41.339999999999996</v>
      </c>
      <c r="F33" s="248">
        <v>0.75</v>
      </c>
      <c r="G33" s="230">
        <f>E33*F33</f>
        <v>31.004999999999995</v>
      </c>
      <c r="H33" s="267">
        <f>G33</f>
        <v>31.004999999999995</v>
      </c>
      <c r="I33" s="259"/>
      <c r="J33" s="270">
        <f>E33+H33+I33</f>
        <v>72.344999999999999</v>
      </c>
      <c r="K33" s="278">
        <f>J33/G5</f>
        <v>2.4114999999999998</v>
      </c>
      <c r="L33" s="118"/>
      <c r="M33" s="118"/>
      <c r="N33" s="118"/>
      <c r="O33" s="118"/>
    </row>
    <row r="34" spans="1:15" ht="18" customHeight="1" thickBot="1">
      <c r="A34" s="214" t="s">
        <v>85</v>
      </c>
      <c r="B34" s="286">
        <v>30</v>
      </c>
      <c r="C34" s="239">
        <v>1.55</v>
      </c>
      <c r="D34" s="221">
        <f>C34*B34</f>
        <v>46.5</v>
      </c>
      <c r="E34" s="294">
        <f>D34</f>
        <v>46.5</v>
      </c>
      <c r="F34" s="252">
        <v>1.91</v>
      </c>
      <c r="G34" s="221">
        <f>B34*F34</f>
        <v>57.3</v>
      </c>
      <c r="H34" s="255">
        <f>G34</f>
        <v>57.3</v>
      </c>
      <c r="I34" s="259"/>
      <c r="J34" s="270">
        <f>E34+H34+I34</f>
        <v>103.8</v>
      </c>
      <c r="K34" s="277">
        <f>J34/G5</f>
        <v>3.46</v>
      </c>
      <c r="L34" s="118"/>
      <c r="M34" s="118"/>
      <c r="N34" s="118"/>
      <c r="O34" s="118"/>
    </row>
    <row r="35" spans="1:15" ht="18" customHeight="1" thickBot="1">
      <c r="A35" s="214" t="s">
        <v>129</v>
      </c>
      <c r="B35" s="286">
        <v>30</v>
      </c>
      <c r="C35" s="239">
        <v>0.36199999999999999</v>
      </c>
      <c r="D35" s="221">
        <f>C35*B35</f>
        <v>10.86</v>
      </c>
      <c r="E35" s="294">
        <f>D35</f>
        <v>10.86</v>
      </c>
      <c r="F35" s="248">
        <v>4.45</v>
      </c>
      <c r="G35" s="230">
        <v>70.074149999999989</v>
      </c>
      <c r="H35" s="267">
        <f>G35</f>
        <v>70.074149999999989</v>
      </c>
      <c r="I35" s="259">
        <v>4.8869999999999996</v>
      </c>
      <c r="J35" s="274">
        <f>E35+H35+I35</f>
        <v>85.821149999999989</v>
      </c>
      <c r="K35" s="281">
        <f>J35/G5</f>
        <v>2.8607049999999998</v>
      </c>
      <c r="L35" s="118"/>
      <c r="M35" s="118"/>
      <c r="N35" s="118"/>
      <c r="O35" s="118"/>
    </row>
    <row r="36" spans="1:15" ht="15.75" thickBot="1">
      <c r="A36" s="118"/>
      <c r="B36" s="118"/>
      <c r="C36" s="118"/>
      <c r="D36" s="118"/>
      <c r="E36" s="118"/>
      <c r="F36" s="118"/>
      <c r="G36" s="118"/>
      <c r="H36" s="118"/>
      <c r="I36" s="312" t="s">
        <v>128</v>
      </c>
      <c r="J36" s="313"/>
      <c r="K36" s="282">
        <f>AVERAGE(K12:K35)</f>
        <v>2.235389328675069</v>
      </c>
      <c r="L36" s="118"/>
      <c r="M36" s="118"/>
      <c r="N36" s="118"/>
      <c r="O36" s="118"/>
    </row>
    <row r="37" spans="1:15" ht="15" customHeight="1">
      <c r="A37" s="118"/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</row>
    <row r="38" spans="1:15">
      <c r="A38" s="118"/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</row>
    <row r="39" spans="1:15">
      <c r="A39" s="118"/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</row>
  </sheetData>
  <sheetProtection sheet="1" objects="1" scenarios="1"/>
  <mergeCells count="19">
    <mergeCell ref="B27:J27"/>
    <mergeCell ref="B16:J16"/>
    <mergeCell ref="B25:J25"/>
    <mergeCell ref="I36:J36"/>
    <mergeCell ref="A3:L3"/>
    <mergeCell ref="A8:A11"/>
    <mergeCell ref="B8:B11"/>
    <mergeCell ref="C8:I8"/>
    <mergeCell ref="J8:J11"/>
    <mergeCell ref="K8:K11"/>
    <mergeCell ref="C9:E9"/>
    <mergeCell ref="F9:H9"/>
    <mergeCell ref="I9:I11"/>
    <mergeCell ref="C10:C11"/>
    <mergeCell ref="D10:D11"/>
    <mergeCell ref="E10:E11"/>
    <mergeCell ref="F10:F11"/>
    <mergeCell ref="G10:G11"/>
    <mergeCell ref="H10:H11"/>
  </mergeCells>
  <pageMargins left="0.70866141732283472" right="0.70866141732283472" top="0.74803149606299213" bottom="0.74803149606299213" header="0.31496062992125984" footer="0.31496062992125984"/>
  <pageSetup scale="48" fitToHeight="2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K75"/>
  <sheetViews>
    <sheetView tabSelected="1" zoomScaleNormal="100" workbookViewId="0">
      <pane xSplit="2" topLeftCell="C1" activePane="topRight" state="frozen"/>
      <selection pane="topRight"/>
    </sheetView>
  </sheetViews>
  <sheetFormatPr defaultColWidth="0" defaultRowHeight="15" zeroHeight="1"/>
  <cols>
    <col min="1" max="1" width="9.140625" style="119" customWidth="1"/>
    <col min="2" max="2" width="40.28515625" style="119" bestFit="1" customWidth="1"/>
    <col min="3" max="4" width="19" style="119" customWidth="1"/>
    <col min="5" max="28" width="19.85546875" style="119" customWidth="1"/>
    <col min="29" max="29" width="18.7109375" style="119" customWidth="1"/>
    <col min="30" max="30" width="9.140625" style="119" hidden="1" customWidth="1"/>
    <col min="31" max="35" width="18.7109375" style="119" hidden="1" customWidth="1"/>
    <col min="36" max="36" width="9.140625" style="119" hidden="1" customWidth="1"/>
    <col min="37" max="37" width="18.7109375" style="119" hidden="1" customWidth="1"/>
    <col min="38" max="16384" width="9.140625" style="119" hidden="1"/>
  </cols>
  <sheetData>
    <row r="1" spans="1:29">
      <c r="A1" s="118"/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</row>
    <row r="2" spans="1:29" ht="15" customHeight="1">
      <c r="A2" s="118"/>
      <c r="B2" s="118"/>
      <c r="C2" s="118"/>
      <c r="D2" s="118"/>
      <c r="E2" s="118"/>
      <c r="F2" s="347" t="s">
        <v>127</v>
      </c>
      <c r="G2" s="347"/>
      <c r="H2" s="347"/>
      <c r="I2" s="347"/>
      <c r="J2" s="347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</row>
    <row r="3" spans="1:29" ht="15.75" thickBot="1">
      <c r="A3" s="118"/>
      <c r="B3" s="118"/>
      <c r="C3" s="118"/>
      <c r="D3" s="118"/>
      <c r="E3" s="118"/>
      <c r="F3" s="347"/>
      <c r="G3" s="347"/>
      <c r="H3" s="347"/>
      <c r="I3" s="347"/>
      <c r="J3" s="347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</row>
    <row r="4" spans="1:29">
      <c r="A4" s="118"/>
      <c r="B4" s="118"/>
      <c r="C4" s="118"/>
      <c r="D4" s="118"/>
      <c r="E4" s="118"/>
      <c r="F4" s="351" t="str">
        <f>C17&amp;"$ ($/MMBtu)"</f>
        <v>2012$ ($/MMBtu)</v>
      </c>
      <c r="G4" s="352"/>
      <c r="H4" s="118" t="s">
        <v>106</v>
      </c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</row>
    <row r="5" spans="1:29">
      <c r="A5" s="118"/>
      <c r="B5" s="118"/>
      <c r="C5" s="118"/>
      <c r="D5" s="118"/>
      <c r="E5" s="118"/>
      <c r="F5" s="353" t="s">
        <v>141</v>
      </c>
      <c r="G5" s="354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</row>
    <row r="6" spans="1:29" ht="15.75" thickBot="1">
      <c r="A6" s="118"/>
      <c r="B6" s="118"/>
      <c r="C6" s="118"/>
      <c r="D6" s="118"/>
      <c r="E6" s="118"/>
      <c r="F6" s="139" t="s">
        <v>92</v>
      </c>
      <c r="G6" s="197" t="s">
        <v>95</v>
      </c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18"/>
      <c r="AB6" s="118"/>
      <c r="AC6" s="118"/>
    </row>
    <row r="7" spans="1:29">
      <c r="A7" s="118"/>
      <c r="B7" s="120" t="s">
        <v>45</v>
      </c>
      <c r="C7" s="140">
        <f>'Step 1'!C7</f>
        <v>1.6799999999999999E-2</v>
      </c>
      <c r="D7" s="118"/>
      <c r="E7" s="193">
        <v>2010</v>
      </c>
      <c r="F7" s="134">
        <v>4.0365586116358099</v>
      </c>
      <c r="G7" s="135">
        <v>5.1263842020872303</v>
      </c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</row>
    <row r="8" spans="1:29" ht="15.75" thickBot="1">
      <c r="A8" s="118"/>
      <c r="B8" s="122" t="s">
        <v>46</v>
      </c>
      <c r="C8" s="141">
        <f>'Step 1'!C8</f>
        <v>0.04</v>
      </c>
      <c r="D8" s="118"/>
      <c r="E8" s="194">
        <v>2011</v>
      </c>
      <c r="F8" s="126">
        <v>3.7384051469128501</v>
      </c>
      <c r="G8" s="136">
        <v>4.7656610588448904</v>
      </c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</row>
    <row r="9" spans="1:29" ht="15.75" thickBot="1">
      <c r="A9" s="118"/>
      <c r="B9" s="118"/>
      <c r="C9" s="118"/>
      <c r="D9" s="118"/>
      <c r="E9" s="194">
        <v>2012</v>
      </c>
      <c r="F9" s="126">
        <v>2.3944584745209698</v>
      </c>
      <c r="G9" s="136">
        <v>3.4020685141460199</v>
      </c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</row>
    <row r="10" spans="1:29">
      <c r="A10" s="118"/>
      <c r="B10" s="120" t="s">
        <v>93</v>
      </c>
      <c r="C10" s="142">
        <f>'Step 1'!C10</f>
        <v>1.1000000000000001</v>
      </c>
      <c r="D10" s="118"/>
      <c r="E10" s="194">
        <v>2013</v>
      </c>
      <c r="F10" s="126">
        <v>3.0012821451562002</v>
      </c>
      <c r="G10" s="136">
        <v>4.76659098091947</v>
      </c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</row>
    <row r="11" spans="1:29">
      <c r="A11" s="118"/>
      <c r="B11" s="124" t="s">
        <v>94</v>
      </c>
      <c r="C11" s="143">
        <f>'Step 1'!C11</f>
        <v>3.6799999999999999E-2</v>
      </c>
      <c r="D11" s="118"/>
      <c r="E11" s="194">
        <v>2014</v>
      </c>
      <c r="F11" s="126">
        <v>4.1945648490238803</v>
      </c>
      <c r="G11" s="136">
        <v>7.4161219070497904</v>
      </c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</row>
    <row r="12" spans="1:29" ht="15.75" thickBot="1">
      <c r="A12" s="118"/>
      <c r="B12" s="122" t="s">
        <v>104</v>
      </c>
      <c r="C12" s="144">
        <f>'Step 1'!C12</f>
        <v>3.832E-2</v>
      </c>
      <c r="D12" s="118"/>
      <c r="E12" s="194">
        <v>2015</v>
      </c>
      <c r="F12" s="126">
        <v>3.0017641668568702</v>
      </c>
      <c r="G12" s="136">
        <v>4.5222222816138897</v>
      </c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</row>
    <row r="13" spans="1:29" ht="15.75" thickBot="1">
      <c r="A13" s="118"/>
      <c r="B13" s="118"/>
      <c r="C13" s="118"/>
      <c r="D13" s="118"/>
      <c r="E13" s="194">
        <v>2016</v>
      </c>
      <c r="F13" s="126">
        <v>3.2675654127042102</v>
      </c>
      <c r="G13" s="136">
        <v>4.50925977248147</v>
      </c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</row>
    <row r="14" spans="1:29">
      <c r="A14" s="118"/>
      <c r="B14" s="120" t="s">
        <v>98</v>
      </c>
      <c r="C14" s="145">
        <v>1.5299999999999999E-3</v>
      </c>
      <c r="D14" s="118"/>
      <c r="E14" s="194">
        <v>2017</v>
      </c>
      <c r="F14" s="126">
        <v>3.5803925449718301</v>
      </c>
      <c r="G14" s="136">
        <v>4.8847657002481002</v>
      </c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</row>
    <row r="15" spans="1:29" ht="15.75" thickBot="1">
      <c r="A15" s="118"/>
      <c r="B15" s="122" t="str">
        <f>"Avoided Storage Costs ("&amp;'Step 1'!C4&amp;"$/M3)"</f>
        <v>Avoided Storage Costs (2015$/M3)</v>
      </c>
      <c r="C15" s="211">
        <f>3/10*0.19*C12</f>
        <v>2.1842399999999996E-3</v>
      </c>
      <c r="D15" s="118"/>
      <c r="E15" s="194">
        <v>2018</v>
      </c>
      <c r="F15" s="126">
        <v>3.6855850335323401</v>
      </c>
      <c r="G15" s="136">
        <v>5.1166593766694302</v>
      </c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</row>
    <row r="16" spans="1:29" ht="15.75" thickBot="1">
      <c r="A16" s="118"/>
      <c r="B16" s="118"/>
      <c r="C16" s="118"/>
      <c r="D16" s="118"/>
      <c r="E16" s="194">
        <v>2019</v>
      </c>
      <c r="F16" s="126">
        <v>4.2537163312928401</v>
      </c>
      <c r="G16" s="136">
        <v>5.6566732504193196</v>
      </c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</row>
    <row r="17" spans="1:29">
      <c r="A17" s="118"/>
      <c r="B17" s="120" t="s">
        <v>103</v>
      </c>
      <c r="C17" s="146">
        <v>2012</v>
      </c>
      <c r="D17" s="118"/>
      <c r="E17" s="194">
        <v>2020</v>
      </c>
      <c r="F17" s="126">
        <v>4.6960392451645401</v>
      </c>
      <c r="G17" s="136">
        <v>6.0172952795335597</v>
      </c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</row>
    <row r="18" spans="1:29">
      <c r="A18" s="118"/>
      <c r="B18" s="147" t="str">
        <f>C17&amp;"$ to "&amp;'Final Avoided costs'!B12&amp;"$ escalator"</f>
        <v>2012$ to 2017$ escalator</v>
      </c>
      <c r="C18" s="148">
        <f>(1+C7)^('Final Avoided costs'!B12-'Step 6'!C17)</f>
        <v>1.0868702159553658</v>
      </c>
      <c r="D18" s="118"/>
      <c r="E18" s="194">
        <v>2021</v>
      </c>
      <c r="F18" s="126">
        <v>4.5439594270661701</v>
      </c>
      <c r="G18" s="136">
        <v>5.8687701867538697</v>
      </c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</row>
    <row r="19" spans="1:29" ht="15.75" thickBot="1">
      <c r="A19" s="118"/>
      <c r="B19" s="149" t="s">
        <v>96</v>
      </c>
      <c r="C19" s="150">
        <f>(C58/C53)^(1/5)</f>
        <v>1.0130990993079061</v>
      </c>
      <c r="D19" s="118"/>
      <c r="E19" s="194">
        <v>2022</v>
      </c>
      <c r="F19" s="126">
        <v>4.5003844346556301</v>
      </c>
      <c r="G19" s="136">
        <v>5.8412485639213703</v>
      </c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</row>
    <row r="20" spans="1:29" ht="15.75" thickBot="1">
      <c r="A20" s="118"/>
      <c r="B20" s="118"/>
      <c r="C20" s="118"/>
      <c r="D20" s="118"/>
      <c r="E20" s="194">
        <v>2023</v>
      </c>
      <c r="F20" s="126">
        <v>4.8226323868006098</v>
      </c>
      <c r="G20" s="136">
        <v>6.1704802014580498</v>
      </c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</row>
    <row r="21" spans="1:29" ht="15.75" thickBot="1">
      <c r="A21" s="118"/>
      <c r="B21" s="27" t="s">
        <v>105</v>
      </c>
      <c r="C21" s="118"/>
      <c r="D21" s="118"/>
      <c r="E21" s="194">
        <v>2024</v>
      </c>
      <c r="F21" s="126">
        <v>4.4796787409089003</v>
      </c>
      <c r="G21" s="136">
        <v>5.8025351416725304</v>
      </c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</row>
    <row r="22" spans="1:29">
      <c r="A22" s="118"/>
      <c r="B22" s="120" t="s">
        <v>95</v>
      </c>
      <c r="C22" s="151">
        <v>0.8</v>
      </c>
      <c r="D22" s="118"/>
      <c r="E22" s="194">
        <v>2025</v>
      </c>
      <c r="F22" s="126">
        <v>4.7864686199444799</v>
      </c>
      <c r="G22" s="136">
        <v>6.0610362584920701</v>
      </c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</row>
    <row r="23" spans="1:29" ht="15.75" thickBot="1">
      <c r="A23" s="118"/>
      <c r="B23" s="122" t="s">
        <v>92</v>
      </c>
      <c r="C23" s="152">
        <v>0.2</v>
      </c>
      <c r="D23" s="118"/>
      <c r="E23" s="194">
        <v>2026</v>
      </c>
      <c r="F23" s="126">
        <v>4.7284923190011501</v>
      </c>
      <c r="G23" s="136">
        <v>5.9934140187446499</v>
      </c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</row>
    <row r="24" spans="1:29">
      <c r="A24" s="118"/>
      <c r="B24" s="118"/>
      <c r="C24" s="118"/>
      <c r="D24" s="118"/>
      <c r="E24" s="194">
        <v>2027</v>
      </c>
      <c r="F24" s="126">
        <v>5.1273502800097699</v>
      </c>
      <c r="G24" s="136">
        <v>6.4003376805375796</v>
      </c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</row>
    <row r="25" spans="1:29" ht="15.75" thickBot="1">
      <c r="A25" s="118"/>
      <c r="B25" s="118"/>
      <c r="C25" s="118"/>
      <c r="D25" s="118"/>
      <c r="E25" s="194">
        <v>2028</v>
      </c>
      <c r="F25" s="126">
        <v>5.0760331443120297</v>
      </c>
      <c r="G25" s="136">
        <v>6.3597479504408998</v>
      </c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</row>
    <row r="26" spans="1:29" ht="15.75" thickBot="1">
      <c r="A26" s="118"/>
      <c r="B26" s="196" t="s">
        <v>113</v>
      </c>
      <c r="C26" s="191">
        <v>0.02</v>
      </c>
      <c r="D26" s="118"/>
      <c r="E26" s="194">
        <v>2029</v>
      </c>
      <c r="F26" s="126">
        <v>5.4395882112759804</v>
      </c>
      <c r="G26" s="136">
        <v>6.7626830522118002</v>
      </c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</row>
    <row r="27" spans="1:29">
      <c r="A27" s="118"/>
      <c r="B27" s="118"/>
      <c r="C27" s="118"/>
      <c r="D27" s="118"/>
      <c r="E27" s="194">
        <v>2030</v>
      </c>
      <c r="F27" s="126">
        <v>5.35687986615764</v>
      </c>
      <c r="G27" s="136">
        <v>6.7109392306487496</v>
      </c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</row>
    <row r="28" spans="1:29">
      <c r="A28" s="118"/>
      <c r="B28" s="118"/>
      <c r="C28" s="118"/>
      <c r="D28" s="118"/>
      <c r="E28" s="194">
        <v>2031</v>
      </c>
      <c r="F28" s="126">
        <v>5.3949574098474198</v>
      </c>
      <c r="G28" s="136">
        <v>6.69180155959641</v>
      </c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</row>
    <row r="29" spans="1:29">
      <c r="A29" s="118"/>
      <c r="B29" s="118"/>
      <c r="C29" s="118"/>
      <c r="D29" s="118"/>
      <c r="E29" s="194">
        <v>2032</v>
      </c>
      <c r="F29" s="126">
        <v>5.3870086051321104</v>
      </c>
      <c r="G29" s="136">
        <v>6.72262450661092</v>
      </c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</row>
    <row r="30" spans="1:29">
      <c r="A30" s="118"/>
      <c r="B30" s="118"/>
      <c r="C30" s="118"/>
      <c r="D30" s="118"/>
      <c r="E30" s="194">
        <v>2033</v>
      </c>
      <c r="F30" s="126">
        <v>5.5280419430507104</v>
      </c>
      <c r="G30" s="136">
        <v>6.8965857482861797</v>
      </c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</row>
    <row r="31" spans="1:29">
      <c r="A31" s="118"/>
      <c r="B31" s="118"/>
      <c r="C31" s="118"/>
      <c r="D31" s="118"/>
      <c r="E31" s="194">
        <v>2034</v>
      </c>
      <c r="F31" s="126">
        <v>5.5721349747077999</v>
      </c>
      <c r="G31" s="136">
        <v>6.97787849815992</v>
      </c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</row>
    <row r="32" spans="1:29" ht="15.75" thickBot="1">
      <c r="A32" s="118"/>
      <c r="B32" s="118"/>
      <c r="C32" s="118"/>
      <c r="D32" s="118"/>
      <c r="E32" s="195">
        <v>2035</v>
      </c>
      <c r="F32" s="137">
        <v>5.7199483319721596</v>
      </c>
      <c r="G32" s="138">
        <v>7.1614163923559699</v>
      </c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</row>
    <row r="33" spans="1:29">
      <c r="A33" s="118"/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</row>
    <row r="34" spans="1:29">
      <c r="A34" s="118"/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</row>
    <row r="35" spans="1:29" ht="15.75" thickBot="1">
      <c r="A35" s="118"/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</row>
    <row r="36" spans="1:29" s="128" customFormat="1" ht="15" customHeight="1">
      <c r="A36" s="118"/>
      <c r="B36" s="118"/>
      <c r="C36" s="348" t="s">
        <v>102</v>
      </c>
      <c r="D36" s="349"/>
      <c r="E36" s="349"/>
      <c r="F36" s="350"/>
      <c r="G36" s="118"/>
      <c r="H36" s="348" t="s">
        <v>99</v>
      </c>
      <c r="I36" s="349"/>
      <c r="J36" s="349"/>
      <c r="K36" s="349"/>
      <c r="L36" s="349"/>
      <c r="M36" s="350"/>
      <c r="N36" s="118"/>
      <c r="O36" s="348" t="s">
        <v>100</v>
      </c>
      <c r="P36" s="349"/>
      <c r="Q36" s="349"/>
      <c r="R36" s="349"/>
      <c r="S36" s="349"/>
      <c r="T36" s="350"/>
      <c r="U36" s="118"/>
      <c r="V36" s="348" t="s">
        <v>101</v>
      </c>
      <c r="W36" s="349"/>
      <c r="X36" s="349"/>
      <c r="Y36" s="349"/>
      <c r="Z36" s="349"/>
      <c r="AA36" s="350"/>
      <c r="AB36" s="118"/>
      <c r="AC36" s="118"/>
    </row>
    <row r="37" spans="1:29" ht="60.75" thickBot="1">
      <c r="A37" s="118"/>
      <c r="B37" s="118"/>
      <c r="C37" s="153" t="str">
        <f>"Long-term commodity prices "&amp;C17&amp;"$/MMBtu"</f>
        <v>Long-term commodity prices 2012$/MMBtu</v>
      </c>
      <c r="D37" s="154" t="str">
        <f>"Long-term commodity prices "&amp;'Final Avoided costs'!B12&amp;"$CDN/m3"</f>
        <v>Long-term commodity prices 2017$CDN/m3</v>
      </c>
      <c r="E37" s="168" t="s">
        <v>117</v>
      </c>
      <c r="F37" s="155" t="s">
        <v>97</v>
      </c>
      <c r="G37" s="118"/>
      <c r="H37" s="167" t="s">
        <v>108</v>
      </c>
      <c r="I37" s="168" t="s">
        <v>118</v>
      </c>
      <c r="J37" s="168" t="s">
        <v>109</v>
      </c>
      <c r="K37" s="168" t="s">
        <v>110</v>
      </c>
      <c r="L37" s="168" t="s">
        <v>111</v>
      </c>
      <c r="M37" s="169" t="s">
        <v>112</v>
      </c>
      <c r="N37" s="118"/>
      <c r="O37" s="167" t="s">
        <v>108</v>
      </c>
      <c r="P37" s="168" t="s">
        <v>118</v>
      </c>
      <c r="Q37" s="168" t="s">
        <v>109</v>
      </c>
      <c r="R37" s="168" t="s">
        <v>110</v>
      </c>
      <c r="S37" s="168" t="s">
        <v>111</v>
      </c>
      <c r="T37" s="169" t="s">
        <v>112</v>
      </c>
      <c r="U37" s="118"/>
      <c r="V37" s="167" t="s">
        <v>108</v>
      </c>
      <c r="W37" s="168" t="s">
        <v>118</v>
      </c>
      <c r="X37" s="168" t="s">
        <v>109</v>
      </c>
      <c r="Y37" s="168" t="s">
        <v>110</v>
      </c>
      <c r="Z37" s="168" t="s">
        <v>111</v>
      </c>
      <c r="AA37" s="169" t="s">
        <v>112</v>
      </c>
      <c r="AB37" s="118"/>
      <c r="AC37" s="118"/>
    </row>
    <row r="38" spans="1:29">
      <c r="A38" s="118"/>
      <c r="B38" s="156">
        <f>'Final Avoided costs'!B10</f>
        <v>2015</v>
      </c>
      <c r="C38" s="157"/>
      <c r="D38" s="158"/>
      <c r="E38" s="159"/>
      <c r="F38" s="160">
        <f>$C$15</f>
        <v>2.1842399999999996E-3</v>
      </c>
      <c r="G38" s="118"/>
      <c r="H38" s="170">
        <f t="array" ref="H38:H40">TRANSPOSE('Step 4'!D6:F6)/1000</f>
        <v>0.2092636445799286</v>
      </c>
      <c r="I38" s="198">
        <f>E38</f>
        <v>0</v>
      </c>
      <c r="J38" s="159">
        <v>0</v>
      </c>
      <c r="K38" s="171">
        <f>(H38+$E38)*$C$14</f>
        <v>3.2017337620729073E-4</v>
      </c>
      <c r="L38" s="172">
        <f>$C$26*SUM(H38:K38)</f>
        <v>4.1916763591227178E-3</v>
      </c>
      <c r="M38" s="173">
        <f>SUM(H38:L38)</f>
        <v>0.21377549431525861</v>
      </c>
      <c r="N38" s="192"/>
      <c r="O38" s="170">
        <f t="array" ref="O38:O40">TRANSPOSE('Step 4'!D9:F9)/1000</f>
        <v>0.21387570016188279</v>
      </c>
      <c r="P38" s="198">
        <f>E38</f>
        <v>0</v>
      </c>
      <c r="Q38" s="159">
        <f>F38</f>
        <v>2.1842399999999996E-3</v>
      </c>
      <c r="R38" s="171">
        <f t="shared" ref="R38:R67" si="0">(O38+$E38)*$C$14</f>
        <v>3.2722982124768065E-4</v>
      </c>
      <c r="S38" s="172">
        <f>$C$26*SUM(O38:R38)</f>
        <v>4.3277433996626096E-3</v>
      </c>
      <c r="T38" s="173">
        <f>SUM(O38:S38)</f>
        <v>0.22071491338279309</v>
      </c>
      <c r="U38" s="192"/>
      <c r="V38" s="170">
        <f t="array" ref="V38:V40">TRANSPOSE('Step 4'!D12:F12)/1000</f>
        <v>0.2010372482640326</v>
      </c>
      <c r="W38" s="198">
        <f>E38</f>
        <v>0</v>
      </c>
      <c r="X38" s="159">
        <v>0</v>
      </c>
      <c r="Y38" s="171">
        <f t="shared" ref="Y38:Y67" si="1">(V38+$E38)*$C$14</f>
        <v>3.0758698984396986E-4</v>
      </c>
      <c r="Z38" s="172">
        <f>$C$26*SUM(V38:Y38)</f>
        <v>4.0268967050775314E-3</v>
      </c>
      <c r="AA38" s="173">
        <f>SUM(V38:Z38)</f>
        <v>0.20537173195895411</v>
      </c>
      <c r="AB38" s="192"/>
      <c r="AC38" s="118"/>
    </row>
    <row r="39" spans="1:29">
      <c r="A39" s="118"/>
      <c r="B39" s="161">
        <f>'Final Avoided costs'!B11</f>
        <v>2016</v>
      </c>
      <c r="C39" s="125"/>
      <c r="D39" s="129"/>
      <c r="E39" s="127"/>
      <c r="F39" s="162">
        <f t="shared" ref="F39:F67" si="2">$C$15*(1+$C$7)^(B39-$B$38)</f>
        <v>2.2209352319999993E-3</v>
      </c>
      <c r="G39" s="118"/>
      <c r="H39" s="174">
        <v>0.19268491282962991</v>
      </c>
      <c r="I39" s="199">
        <f t="shared" ref="I39:I67" si="3">E39</f>
        <v>0</v>
      </c>
      <c r="J39" s="127">
        <v>0</v>
      </c>
      <c r="K39" s="130">
        <f t="shared" ref="K39:K67" si="4">(H39+$E39)*$C$14</f>
        <v>2.9480791662933375E-4</v>
      </c>
      <c r="L39" s="131">
        <f t="shared" ref="L39:L67" si="5">$C$26*SUM(H39:K39)</f>
        <v>3.859594414925185E-3</v>
      </c>
      <c r="M39" s="175">
        <f t="shared" ref="M39:M67" si="6">SUM(H39:L39)</f>
        <v>0.19683931516118441</v>
      </c>
      <c r="N39" s="192"/>
      <c r="O39" s="174">
        <v>0.19795928181189798</v>
      </c>
      <c r="P39" s="199">
        <f t="shared" ref="P39:P67" si="7">E39</f>
        <v>0</v>
      </c>
      <c r="Q39" s="127">
        <f t="shared" ref="Q39:Q67" si="8">F39</f>
        <v>2.2209352319999993E-3</v>
      </c>
      <c r="R39" s="130">
        <f t="shared" si="0"/>
        <v>3.0287770117220391E-4</v>
      </c>
      <c r="S39" s="131">
        <f t="shared" ref="S39:S67" si="9">$C$26*SUM(O39:R39)</f>
        <v>4.0096618949014041E-3</v>
      </c>
      <c r="T39" s="175">
        <f t="shared" ref="T39:T67" si="10">SUM(O39:S39)</f>
        <v>0.2044927566399716</v>
      </c>
      <c r="U39" s="192"/>
      <c r="V39" s="174">
        <v>0.19689645751500201</v>
      </c>
      <c r="W39" s="199">
        <f t="shared" ref="W39:W67" si="11">E39</f>
        <v>0</v>
      </c>
      <c r="X39" s="127">
        <v>0</v>
      </c>
      <c r="Y39" s="130">
        <f t="shared" si="1"/>
        <v>3.0125157999795303E-4</v>
      </c>
      <c r="Z39" s="131">
        <f t="shared" ref="Z39:Z67" si="12">$C$26*SUM(V39:Y39)</f>
        <v>3.9439541818999989E-3</v>
      </c>
      <c r="AA39" s="175">
        <f t="shared" ref="AA39:AA67" si="13">SUM(V39:Z39)</f>
        <v>0.20114166327689995</v>
      </c>
      <c r="AB39" s="192"/>
      <c r="AC39" s="118"/>
    </row>
    <row r="40" spans="1:29">
      <c r="A40" s="118"/>
      <c r="B40" s="161">
        <f>'Final Avoided costs'!B12</f>
        <v>2017</v>
      </c>
      <c r="C40" s="125">
        <f t="shared" ref="C40:C58" si="14">VLOOKUP(B40,$E$7:$G$32,2,FALSE)*$C$23+VLOOKUP(B40,$E$7:$G$32,3,FALSE)*$C$22</f>
        <v>4.6238910691928465</v>
      </c>
      <c r="D40" s="129">
        <f t="shared" ref="D40:D67" si="15">C40*$C$11/$C$10*$C$18</f>
        <v>0.16812814276849086</v>
      </c>
      <c r="E40" s="208">
        <v>0</v>
      </c>
      <c r="F40" s="162">
        <f t="shared" si="2"/>
        <v>2.2582469438975992E-3</v>
      </c>
      <c r="G40" s="118"/>
      <c r="H40" s="174">
        <v>0.1920605667722893</v>
      </c>
      <c r="I40" s="199">
        <f t="shared" si="3"/>
        <v>0</v>
      </c>
      <c r="J40" s="127">
        <v>0</v>
      </c>
      <c r="K40" s="130">
        <f t="shared" si="4"/>
        <v>2.9385266716160259E-4</v>
      </c>
      <c r="L40" s="131">
        <f t="shared" si="5"/>
        <v>3.8470883887890186E-3</v>
      </c>
      <c r="M40" s="175">
        <f t="shared" si="6"/>
        <v>0.19620150782823995</v>
      </c>
      <c r="N40" s="192"/>
      <c r="O40" s="174">
        <v>0.19612849738909852</v>
      </c>
      <c r="P40" s="199">
        <f t="shared" si="7"/>
        <v>0</v>
      </c>
      <c r="Q40" s="127">
        <f t="shared" si="8"/>
        <v>2.2582469438975992E-3</v>
      </c>
      <c r="R40" s="130">
        <f t="shared" si="0"/>
        <v>3.0007660100532068E-4</v>
      </c>
      <c r="S40" s="131">
        <f t="shared" si="9"/>
        <v>3.9737364186800284E-3</v>
      </c>
      <c r="T40" s="175">
        <f t="shared" si="10"/>
        <v>0.20266055735268146</v>
      </c>
      <c r="U40" s="192"/>
      <c r="V40" s="174">
        <v>0.19380506211008455</v>
      </c>
      <c r="W40" s="199">
        <f t="shared" si="11"/>
        <v>0</v>
      </c>
      <c r="X40" s="127">
        <v>0</v>
      </c>
      <c r="Y40" s="130">
        <f t="shared" si="1"/>
        <v>2.9652174502842936E-4</v>
      </c>
      <c r="Z40" s="131">
        <f t="shared" si="12"/>
        <v>3.8820316771022594E-3</v>
      </c>
      <c r="AA40" s="175">
        <f t="shared" si="13"/>
        <v>0.19798361553221525</v>
      </c>
      <c r="AB40" s="192"/>
      <c r="AC40" s="118"/>
    </row>
    <row r="41" spans="1:29">
      <c r="A41" s="118"/>
      <c r="B41" s="161">
        <f>'Final Avoided costs'!B13</f>
        <v>2018</v>
      </c>
      <c r="C41" s="125">
        <f t="shared" si="14"/>
        <v>4.830444508042012</v>
      </c>
      <c r="D41" s="129">
        <f>C41*$C$11/$C$10*$C$18</f>
        <v>0.17563858052242726</v>
      </c>
      <c r="E41" s="132">
        <f t="shared" ref="E41:E67" si="16">(D41-$D$40)*(1+$C$7)^(B41-$B$40)</f>
        <v>7.6366131082025255E-3</v>
      </c>
      <c r="F41" s="162">
        <f t="shared" si="2"/>
        <v>2.2961854925550784E-3</v>
      </c>
      <c r="G41" s="118"/>
      <c r="H41" s="176">
        <f>H40*(1+$C$7)</f>
        <v>0.19528718429406375</v>
      </c>
      <c r="I41" s="131">
        <f>E41</f>
        <v>7.6366131082025255E-3</v>
      </c>
      <c r="J41" s="127">
        <v>0</v>
      </c>
      <c r="K41" s="130">
        <f t="shared" si="4"/>
        <v>3.1047341002546738E-4</v>
      </c>
      <c r="L41" s="131">
        <f t="shared" si="5"/>
        <v>4.0646854162458348E-3</v>
      </c>
      <c r="M41" s="175">
        <f t="shared" si="6"/>
        <v>0.20729895622853756</v>
      </c>
      <c r="N41" s="192"/>
      <c r="O41" s="176">
        <f t="shared" ref="O41:O67" si="17">O40*(1+$C$7)</f>
        <v>0.19942345614523535</v>
      </c>
      <c r="P41" s="131">
        <f t="shared" si="7"/>
        <v>7.6366131082025255E-3</v>
      </c>
      <c r="Q41" s="127">
        <f t="shared" si="8"/>
        <v>2.2961854925550784E-3</v>
      </c>
      <c r="R41" s="130">
        <f t="shared" si="0"/>
        <v>3.1680190595775989E-4</v>
      </c>
      <c r="S41" s="131">
        <f t="shared" si="9"/>
        <v>4.1934611330390146E-3</v>
      </c>
      <c r="T41" s="175">
        <f t="shared" si="10"/>
        <v>0.21386651778498972</v>
      </c>
      <c r="U41" s="192"/>
      <c r="V41" s="176">
        <f t="shared" ref="V41:V67" si="18">V40*(1+$C$7)</f>
        <v>0.19706098715353396</v>
      </c>
      <c r="W41" s="131">
        <f t="shared" si="11"/>
        <v>7.6366131082025255E-3</v>
      </c>
      <c r="X41" s="127">
        <v>0</v>
      </c>
      <c r="Y41" s="130">
        <f t="shared" si="1"/>
        <v>3.1318732840045677E-4</v>
      </c>
      <c r="Z41" s="131">
        <f t="shared" si="12"/>
        <v>4.1002157518027389E-3</v>
      </c>
      <c r="AA41" s="175">
        <f t="shared" si="13"/>
        <v>0.20911100334193969</v>
      </c>
      <c r="AB41" s="192"/>
      <c r="AC41" s="118"/>
    </row>
    <row r="42" spans="1:29">
      <c r="A42" s="118"/>
      <c r="B42" s="161">
        <f>'Final Avoided costs'!B14</f>
        <v>2019</v>
      </c>
      <c r="C42" s="125">
        <f t="shared" si="14"/>
        <v>5.3760818665940242</v>
      </c>
      <c r="D42" s="129">
        <f t="shared" si="15"/>
        <v>0.19547836358515167</v>
      </c>
      <c r="E42" s="132">
        <f t="shared" si="16"/>
        <v>2.8276907562423896E-2</v>
      </c>
      <c r="F42" s="162">
        <f t="shared" si="2"/>
        <v>2.334761408830004E-3</v>
      </c>
      <c r="G42" s="118"/>
      <c r="H42" s="176">
        <f>H41*(1+$C$7)</f>
        <v>0.19856800899020399</v>
      </c>
      <c r="I42" s="131">
        <f>E42</f>
        <v>2.8276907562423896E-2</v>
      </c>
      <c r="J42" s="127">
        <v>0</v>
      </c>
      <c r="K42" s="130">
        <f t="shared" si="4"/>
        <v>3.4707272232552066E-4</v>
      </c>
      <c r="L42" s="131">
        <f t="shared" si="5"/>
        <v>4.5438397854990686E-3</v>
      </c>
      <c r="M42" s="175">
        <f t="shared" si="6"/>
        <v>0.23173582906045248</v>
      </c>
      <c r="N42" s="192"/>
      <c r="O42" s="176">
        <f t="shared" si="17"/>
        <v>0.20277377020847528</v>
      </c>
      <c r="P42" s="131">
        <f t="shared" si="7"/>
        <v>2.8276907562423896E-2</v>
      </c>
      <c r="Q42" s="127">
        <f t="shared" si="8"/>
        <v>2.334761408830004E-3</v>
      </c>
      <c r="R42" s="130">
        <f t="shared" si="0"/>
        <v>3.5350753698947576E-4</v>
      </c>
      <c r="S42" s="131">
        <f t="shared" si="9"/>
        <v>4.6747789343343739E-3</v>
      </c>
      <c r="T42" s="175">
        <f t="shared" si="10"/>
        <v>0.23841372565105307</v>
      </c>
      <c r="U42" s="192"/>
      <c r="V42" s="176">
        <f t="shared" si="18"/>
        <v>0.20037161173771331</v>
      </c>
      <c r="W42" s="131">
        <f t="shared" si="11"/>
        <v>2.8276907562423896E-2</v>
      </c>
      <c r="X42" s="127">
        <v>0</v>
      </c>
      <c r="Y42" s="130">
        <f t="shared" si="1"/>
        <v>3.4983223452920992E-4</v>
      </c>
      <c r="Z42" s="131">
        <f t="shared" si="12"/>
        <v>4.5799670306933288E-3</v>
      </c>
      <c r="AA42" s="175">
        <f t="shared" si="13"/>
        <v>0.23357831856535977</v>
      </c>
      <c r="AB42" s="192"/>
      <c r="AC42" s="118"/>
    </row>
    <row r="43" spans="1:29">
      <c r="A43" s="118"/>
      <c r="B43" s="161">
        <f>'Final Avoided costs'!B15</f>
        <v>2020</v>
      </c>
      <c r="C43" s="125">
        <f t="shared" si="14"/>
        <v>5.7530440726597565</v>
      </c>
      <c r="D43" s="129">
        <f t="shared" si="15"/>
        <v>0.20918499175855454</v>
      </c>
      <c r="E43" s="132">
        <f t="shared" si="16"/>
        <v>4.316107251080873E-2</v>
      </c>
      <c r="F43" s="162">
        <f t="shared" si="2"/>
        <v>2.3739854004983479E-3</v>
      </c>
      <c r="G43" s="118"/>
      <c r="H43" s="176">
        <f t="shared" ref="H43:H67" si="19">H42*(1+$C$7)</f>
        <v>0.20190395154123941</v>
      </c>
      <c r="I43" s="131">
        <f t="shared" si="3"/>
        <v>4.316107251080873E-2</v>
      </c>
      <c r="J43" s="127">
        <v>0</v>
      </c>
      <c r="K43" s="130">
        <f>(H43+$E43)*$C$14</f>
        <v>3.7494948679963361E-4</v>
      </c>
      <c r="L43" s="131">
        <f t="shared" si="5"/>
        <v>4.9087994707769558E-3</v>
      </c>
      <c r="M43" s="175">
        <f t="shared" si="6"/>
        <v>0.25034877300962471</v>
      </c>
      <c r="N43" s="192"/>
      <c r="O43" s="176">
        <f t="shared" si="17"/>
        <v>0.20618036954797767</v>
      </c>
      <c r="P43" s="131">
        <f t="shared" si="7"/>
        <v>4.316107251080873E-2</v>
      </c>
      <c r="Q43" s="127">
        <f t="shared" si="8"/>
        <v>2.3739854004983479E-3</v>
      </c>
      <c r="R43" s="130">
        <f t="shared" si="0"/>
        <v>3.8149240634994315E-4</v>
      </c>
      <c r="S43" s="131">
        <f t="shared" si="9"/>
        <v>5.0419383973126933E-3</v>
      </c>
      <c r="T43" s="175">
        <f t="shared" si="10"/>
        <v>0.25713885826294736</v>
      </c>
      <c r="U43" s="192"/>
      <c r="V43" s="176">
        <f t="shared" si="18"/>
        <v>0.20373785481490689</v>
      </c>
      <c r="W43" s="131">
        <f t="shared" si="11"/>
        <v>4.316107251080873E-2</v>
      </c>
      <c r="X43" s="127">
        <v>0</v>
      </c>
      <c r="Y43" s="130">
        <f t="shared" si="1"/>
        <v>3.7775535880834487E-4</v>
      </c>
      <c r="Z43" s="131">
        <f t="shared" si="12"/>
        <v>4.9455336536904796E-3</v>
      </c>
      <c r="AA43" s="175">
        <f t="shared" si="13"/>
        <v>0.25222221633821446</v>
      </c>
      <c r="AB43" s="192"/>
      <c r="AC43" s="118"/>
    </row>
    <row r="44" spans="1:29">
      <c r="A44" s="118"/>
      <c r="B44" s="161">
        <f>'Final Avoided costs'!B16</f>
        <v>2021</v>
      </c>
      <c r="C44" s="125">
        <f t="shared" si="14"/>
        <v>5.6038080348163302</v>
      </c>
      <c r="D44" s="129">
        <f t="shared" si="15"/>
        <v>0.20375865763837742</v>
      </c>
      <c r="E44" s="132">
        <f t="shared" si="16"/>
        <v>3.8085902233708176E-2</v>
      </c>
      <c r="F44" s="162">
        <f t="shared" si="2"/>
        <v>2.41386835522672E-3</v>
      </c>
      <c r="G44" s="118"/>
      <c r="H44" s="176">
        <f t="shared" si="19"/>
        <v>0.20529593792713222</v>
      </c>
      <c r="I44" s="131">
        <f t="shared" si="3"/>
        <v>3.8085902233708176E-2</v>
      </c>
      <c r="J44" s="127">
        <v>0</v>
      </c>
      <c r="K44" s="130">
        <f t="shared" si="4"/>
        <v>3.7237421544608575E-4</v>
      </c>
      <c r="L44" s="131">
        <f t="shared" si="5"/>
        <v>4.8750842875257298E-3</v>
      </c>
      <c r="M44" s="175">
        <f t="shared" si="6"/>
        <v>0.2486292986638122</v>
      </c>
      <c r="N44" s="192"/>
      <c r="O44" s="176">
        <f t="shared" si="17"/>
        <v>0.20964419975638368</v>
      </c>
      <c r="P44" s="131">
        <f t="shared" si="7"/>
        <v>3.8085902233708176E-2</v>
      </c>
      <c r="Q44" s="127">
        <f t="shared" si="8"/>
        <v>2.41386835522672E-3</v>
      </c>
      <c r="R44" s="130">
        <f t="shared" si="0"/>
        <v>3.7902705604484052E-4</v>
      </c>
      <c r="S44" s="131">
        <f t="shared" si="9"/>
        <v>5.0104599480272688E-3</v>
      </c>
      <c r="T44" s="175">
        <f t="shared" si="10"/>
        <v>0.2555334573493907</v>
      </c>
      <c r="U44" s="192"/>
      <c r="V44" s="176">
        <f t="shared" si="18"/>
        <v>0.20716065077579732</v>
      </c>
      <c r="W44" s="131">
        <f t="shared" si="11"/>
        <v>3.8085902233708176E-2</v>
      </c>
      <c r="X44" s="127">
        <v>0</v>
      </c>
      <c r="Y44" s="130">
        <f>(V44+$E44)*$C$14</f>
        <v>3.7522722610454335E-4</v>
      </c>
      <c r="Z44" s="131">
        <f t="shared" si="12"/>
        <v>4.9124356047122002E-3</v>
      </c>
      <c r="AA44" s="175">
        <f t="shared" si="13"/>
        <v>0.25053421584032221</v>
      </c>
      <c r="AB44" s="192"/>
      <c r="AC44" s="118"/>
    </row>
    <row r="45" spans="1:29">
      <c r="A45" s="118"/>
      <c r="B45" s="161">
        <f>'Final Avoided costs'!B17</f>
        <v>2022</v>
      </c>
      <c r="C45" s="125">
        <f t="shared" si="14"/>
        <v>5.5730757380682228</v>
      </c>
      <c r="D45" s="129">
        <f t="shared" si="15"/>
        <v>0.20264120830880847</v>
      </c>
      <c r="E45" s="132">
        <f t="shared" si="16"/>
        <v>3.7511222997086688E-2</v>
      </c>
      <c r="F45" s="162">
        <f t="shared" si="2"/>
        <v>2.4544213435945287E-3</v>
      </c>
      <c r="G45" s="118"/>
      <c r="H45" s="176">
        <f t="shared" si="19"/>
        <v>0.20874490968430803</v>
      </c>
      <c r="I45" s="131">
        <f t="shared" si="3"/>
        <v>3.7511222997086688E-2</v>
      </c>
      <c r="J45" s="127">
        <v>0</v>
      </c>
      <c r="K45" s="130">
        <f t="shared" si="4"/>
        <v>3.7677188300253391E-4</v>
      </c>
      <c r="L45" s="131">
        <f t="shared" si="5"/>
        <v>4.9326580912879454E-3</v>
      </c>
      <c r="M45" s="175">
        <f t="shared" si="6"/>
        <v>0.25156556265568519</v>
      </c>
      <c r="N45" s="192"/>
      <c r="O45" s="176">
        <f t="shared" si="17"/>
        <v>0.2131662223122909</v>
      </c>
      <c r="P45" s="131">
        <f t="shared" si="7"/>
        <v>3.7511222997086688E-2</v>
      </c>
      <c r="Q45" s="127">
        <f t="shared" si="8"/>
        <v>2.4544213435945287E-3</v>
      </c>
      <c r="R45" s="130">
        <f t="shared" si="0"/>
        <v>3.8353649132334764E-4</v>
      </c>
      <c r="S45" s="131">
        <f t="shared" si="9"/>
        <v>5.0703080628859091E-3</v>
      </c>
      <c r="T45" s="175">
        <f t="shared" si="10"/>
        <v>0.25858571120718132</v>
      </c>
      <c r="U45" s="192"/>
      <c r="V45" s="176">
        <f t="shared" si="18"/>
        <v>0.21064094970883071</v>
      </c>
      <c r="W45" s="131">
        <f t="shared" si="11"/>
        <v>3.7511222997086688E-2</v>
      </c>
      <c r="X45" s="127">
        <v>0</v>
      </c>
      <c r="Y45" s="130">
        <f t="shared" si="1"/>
        <v>3.7967282424005355E-4</v>
      </c>
      <c r="Z45" s="131">
        <f t="shared" si="12"/>
        <v>4.9706369106031489E-3</v>
      </c>
      <c r="AA45" s="175">
        <f t="shared" si="13"/>
        <v>0.25350248244076057</v>
      </c>
      <c r="AB45" s="192"/>
      <c r="AC45" s="118"/>
    </row>
    <row r="46" spans="1:29">
      <c r="A46" s="118"/>
      <c r="B46" s="161">
        <f>'Final Avoided costs'!B18</f>
        <v>2023</v>
      </c>
      <c r="C46" s="125">
        <f t="shared" si="14"/>
        <v>5.9009106385265628</v>
      </c>
      <c r="D46" s="129">
        <f t="shared" si="15"/>
        <v>0.21456153085186858</v>
      </c>
      <c r="E46" s="132">
        <f t="shared" si="16"/>
        <v>5.1314913251486544E-2</v>
      </c>
      <c r="F46" s="162">
        <f t="shared" si="2"/>
        <v>2.4956556221669168E-3</v>
      </c>
      <c r="G46" s="118"/>
      <c r="H46" s="176">
        <f t="shared" si="19"/>
        <v>0.21225182416700439</v>
      </c>
      <c r="I46" s="131">
        <f t="shared" si="3"/>
        <v>5.1314913251486544E-2</v>
      </c>
      <c r="J46" s="127">
        <v>0</v>
      </c>
      <c r="K46" s="130">
        <f t="shared" si="4"/>
        <v>4.0325710825029107E-4</v>
      </c>
      <c r="L46" s="131">
        <f t="shared" si="5"/>
        <v>5.2793998905348236E-3</v>
      </c>
      <c r="M46" s="175">
        <f t="shared" si="6"/>
        <v>0.26924939441727602</v>
      </c>
      <c r="N46" s="192"/>
      <c r="O46" s="176">
        <f t="shared" si="17"/>
        <v>0.21674741484713739</v>
      </c>
      <c r="P46" s="131">
        <f t="shared" si="7"/>
        <v>5.1314913251486544E-2</v>
      </c>
      <c r="Q46" s="127">
        <f t="shared" si="8"/>
        <v>2.4956556221669168E-3</v>
      </c>
      <c r="R46" s="130">
        <f t="shared" si="0"/>
        <v>4.1013536199089462E-4</v>
      </c>
      <c r="S46" s="131">
        <f t="shared" si="9"/>
        <v>5.4193623816556355E-3</v>
      </c>
      <c r="T46" s="175">
        <f t="shared" si="10"/>
        <v>0.27638748146443742</v>
      </c>
      <c r="U46" s="192"/>
      <c r="V46" s="176">
        <f t="shared" si="18"/>
        <v>0.21417971766393906</v>
      </c>
      <c r="W46" s="131">
        <f t="shared" si="11"/>
        <v>5.1314913251486544E-2</v>
      </c>
      <c r="X46" s="127">
        <v>0</v>
      </c>
      <c r="Y46" s="130">
        <f t="shared" si="1"/>
        <v>4.0620678530060112E-4</v>
      </c>
      <c r="Z46" s="131">
        <f t="shared" si="12"/>
        <v>5.3180167540145245E-3</v>
      </c>
      <c r="AA46" s="175">
        <f t="shared" si="13"/>
        <v>0.2712188544547407</v>
      </c>
      <c r="AB46" s="192"/>
      <c r="AC46" s="118"/>
    </row>
    <row r="47" spans="1:29">
      <c r="A47" s="118"/>
      <c r="B47" s="161">
        <f>'Final Avoided costs'!B19</f>
        <v>2024</v>
      </c>
      <c r="C47" s="125">
        <f t="shared" si="14"/>
        <v>5.5379638615198044</v>
      </c>
      <c r="D47" s="129">
        <f t="shared" si="15"/>
        <v>0.20136451417720719</v>
      </c>
      <c r="E47" s="132">
        <f t="shared" si="16"/>
        <v>3.7347571406616632E-2</v>
      </c>
      <c r="F47" s="162">
        <f t="shared" si="2"/>
        <v>2.5375826366193207E-3</v>
      </c>
      <c r="G47" s="118"/>
      <c r="H47" s="176">
        <f t="shared" si="19"/>
        <v>0.21581765481301005</v>
      </c>
      <c r="I47" s="131">
        <f t="shared" si="3"/>
        <v>3.7347571406616632E-2</v>
      </c>
      <c r="J47" s="127">
        <v>0</v>
      </c>
      <c r="K47" s="130">
        <f t="shared" si="4"/>
        <v>3.8734279611602878E-4</v>
      </c>
      <c r="L47" s="131">
        <f t="shared" si="5"/>
        <v>5.0710513803148543E-3</v>
      </c>
      <c r="M47" s="175">
        <f t="shared" si="6"/>
        <v>0.25862362039605752</v>
      </c>
      <c r="N47" s="192"/>
      <c r="O47" s="176">
        <f t="shared" si="17"/>
        <v>0.22038877141656929</v>
      </c>
      <c r="P47" s="131">
        <f t="shared" si="7"/>
        <v>3.7347571406616632E-2</v>
      </c>
      <c r="Q47" s="127">
        <f t="shared" si="8"/>
        <v>2.5375826366193207E-3</v>
      </c>
      <c r="R47" s="130">
        <f t="shared" si="0"/>
        <v>3.9433660451947442E-4</v>
      </c>
      <c r="S47" s="131">
        <f t="shared" si="9"/>
        <v>5.2133652412864944E-3</v>
      </c>
      <c r="T47" s="175">
        <f t="shared" si="10"/>
        <v>0.26588162730561121</v>
      </c>
      <c r="U47" s="192"/>
      <c r="V47" s="176">
        <f t="shared" si="18"/>
        <v>0.21777793692069322</v>
      </c>
      <c r="W47" s="131">
        <f t="shared" si="11"/>
        <v>3.7347571406616632E-2</v>
      </c>
      <c r="X47" s="127">
        <v>0</v>
      </c>
      <c r="Y47" s="130">
        <f t="shared" si="1"/>
        <v>3.9034202774078402E-4</v>
      </c>
      <c r="Z47" s="131">
        <f t="shared" si="12"/>
        <v>5.110317007101013E-3</v>
      </c>
      <c r="AA47" s="175">
        <f t="shared" si="13"/>
        <v>0.26062616736215166</v>
      </c>
      <c r="AB47" s="192"/>
      <c r="AC47" s="118"/>
    </row>
    <row r="48" spans="1:29">
      <c r="A48" s="118"/>
      <c r="B48" s="161">
        <f>'Final Avoided costs'!B20</f>
        <v>2025</v>
      </c>
      <c r="C48" s="125">
        <f t="shared" si="14"/>
        <v>5.8061227307825529</v>
      </c>
      <c r="D48" s="129">
        <f t="shared" si="15"/>
        <v>0.21111497152608985</v>
      </c>
      <c r="E48" s="132">
        <f t="shared" si="16"/>
        <v>4.9115628716637563E-2</v>
      </c>
      <c r="F48" s="162">
        <f t="shared" si="2"/>
        <v>2.5802140249145248E-3</v>
      </c>
      <c r="G48" s="118"/>
      <c r="H48" s="176">
        <f t="shared" si="19"/>
        <v>0.21944339141386859</v>
      </c>
      <c r="I48" s="131">
        <f t="shared" si="3"/>
        <v>4.9115628716637563E-2</v>
      </c>
      <c r="J48" s="127">
        <v>0</v>
      </c>
      <c r="K48" s="130">
        <f t="shared" si="4"/>
        <v>4.1089530079967438E-4</v>
      </c>
      <c r="L48" s="131">
        <f t="shared" si="5"/>
        <v>5.3793983086261165E-3</v>
      </c>
      <c r="M48" s="175">
        <f t="shared" si="6"/>
        <v>0.27434931373993193</v>
      </c>
      <c r="N48" s="192"/>
      <c r="O48" s="176">
        <f t="shared" si="17"/>
        <v>0.22409130277636763</v>
      </c>
      <c r="P48" s="131">
        <f t="shared" si="7"/>
        <v>4.9115628716637563E-2</v>
      </c>
      <c r="Q48" s="127">
        <f t="shared" si="8"/>
        <v>2.5802140249145248E-3</v>
      </c>
      <c r="R48" s="130">
        <f t="shared" si="0"/>
        <v>4.1800660518429792E-4</v>
      </c>
      <c r="S48" s="131">
        <f t="shared" si="9"/>
        <v>5.5241030424620806E-3</v>
      </c>
      <c r="T48" s="175">
        <f t="shared" si="10"/>
        <v>0.28172925516556613</v>
      </c>
      <c r="U48" s="192"/>
      <c r="V48" s="176">
        <f t="shared" si="18"/>
        <v>0.22143660626096084</v>
      </c>
      <c r="W48" s="131">
        <f t="shared" si="11"/>
        <v>4.9115628716637563E-2</v>
      </c>
      <c r="X48" s="127">
        <v>0</v>
      </c>
      <c r="Y48" s="130">
        <f t="shared" si="1"/>
        <v>4.1394491951572552E-4</v>
      </c>
      <c r="Z48" s="131">
        <f t="shared" si="12"/>
        <v>5.4193235979422827E-3</v>
      </c>
      <c r="AA48" s="175">
        <f t="shared" si="13"/>
        <v>0.27638550349505642</v>
      </c>
      <c r="AB48" s="192"/>
      <c r="AC48" s="118"/>
    </row>
    <row r="49" spans="1:29">
      <c r="A49" s="118"/>
      <c r="B49" s="161">
        <f>'Final Avoided costs'!B21</f>
        <v>2026</v>
      </c>
      <c r="C49" s="125">
        <f t="shared" si="14"/>
        <v>5.7404296787959508</v>
      </c>
      <c r="D49" s="129">
        <f t="shared" si="15"/>
        <v>0.2087263229489448</v>
      </c>
      <c r="E49" s="132">
        <f t="shared" si="16"/>
        <v>4.7165713064618621E-2</v>
      </c>
      <c r="F49" s="162">
        <f t="shared" si="2"/>
        <v>2.6235616205330888E-3</v>
      </c>
      <c r="G49" s="118"/>
      <c r="H49" s="176">
        <f t="shared" si="19"/>
        <v>0.22313004038962156</v>
      </c>
      <c r="I49" s="131">
        <f t="shared" si="3"/>
        <v>4.7165713064618621E-2</v>
      </c>
      <c r="J49" s="127">
        <v>0</v>
      </c>
      <c r="K49" s="130">
        <f t="shared" si="4"/>
        <v>4.1355250278498745E-4</v>
      </c>
      <c r="L49" s="131">
        <f t="shared" si="5"/>
        <v>5.4141861191405027E-3</v>
      </c>
      <c r="M49" s="175">
        <f t="shared" si="6"/>
        <v>0.27612349207616566</v>
      </c>
      <c r="N49" s="192"/>
      <c r="O49" s="176">
        <f t="shared" si="17"/>
        <v>0.22785603666301057</v>
      </c>
      <c r="P49" s="131">
        <f t="shared" si="7"/>
        <v>4.7165713064618621E-2</v>
      </c>
      <c r="Q49" s="127">
        <f t="shared" si="8"/>
        <v>2.6235616205330888E-3</v>
      </c>
      <c r="R49" s="130">
        <f t="shared" si="0"/>
        <v>4.2078327708327265E-4</v>
      </c>
      <c r="S49" s="131">
        <f t="shared" si="9"/>
        <v>5.5613218925049113E-3</v>
      </c>
      <c r="T49" s="175">
        <f t="shared" si="10"/>
        <v>0.28362741651775047</v>
      </c>
      <c r="U49" s="192"/>
      <c r="V49" s="176">
        <f t="shared" si="18"/>
        <v>0.22515674124614496</v>
      </c>
      <c r="W49" s="131">
        <f t="shared" si="11"/>
        <v>4.7165713064618621E-2</v>
      </c>
      <c r="X49" s="127">
        <v>0</v>
      </c>
      <c r="Y49" s="130">
        <f t="shared" si="1"/>
        <v>4.1665335509546823E-4</v>
      </c>
      <c r="Z49" s="131">
        <f t="shared" si="12"/>
        <v>5.4547821533171802E-3</v>
      </c>
      <c r="AA49" s="175">
        <f t="shared" si="13"/>
        <v>0.2781938898191762</v>
      </c>
      <c r="AB49" s="192"/>
      <c r="AC49" s="118"/>
    </row>
    <row r="50" spans="1:29">
      <c r="A50" s="118"/>
      <c r="B50" s="161">
        <f>'Final Avoided costs'!B22</f>
        <v>2027</v>
      </c>
      <c r="C50" s="125">
        <f t="shared" si="14"/>
        <v>6.1457402004320176</v>
      </c>
      <c r="D50" s="129">
        <f t="shared" si="15"/>
        <v>0.22346371711058871</v>
      </c>
      <c r="E50" s="132">
        <f t="shared" si="16"/>
        <v>6.5367187211195305E-2</v>
      </c>
      <c r="F50" s="162">
        <f t="shared" si="2"/>
        <v>2.6676374557580446E-3</v>
      </c>
      <c r="G50" s="118"/>
      <c r="H50" s="176">
        <f t="shared" si="19"/>
        <v>0.22687862506816719</v>
      </c>
      <c r="I50" s="131">
        <f t="shared" si="3"/>
        <v>6.5367187211195305E-2</v>
      </c>
      <c r="J50" s="127">
        <v>0</v>
      </c>
      <c r="K50" s="130">
        <f t="shared" si="4"/>
        <v>4.4713609278742466E-4</v>
      </c>
      <c r="L50" s="131">
        <f t="shared" si="5"/>
        <v>5.853858967442999E-3</v>
      </c>
      <c r="M50" s="175">
        <f t="shared" si="6"/>
        <v>0.29854680733959293</v>
      </c>
      <c r="N50" s="192"/>
      <c r="O50" s="176">
        <f t="shared" si="17"/>
        <v>0.23168401807894914</v>
      </c>
      <c r="P50" s="131">
        <f t="shared" si="7"/>
        <v>6.5367187211195305E-2</v>
      </c>
      <c r="Q50" s="127">
        <f t="shared" si="8"/>
        <v>2.6676374557580446E-3</v>
      </c>
      <c r="R50" s="130">
        <f t="shared" si="0"/>
        <v>4.5448834409392096E-4</v>
      </c>
      <c r="S50" s="131">
        <f t="shared" si="9"/>
        <v>6.0034666217999282E-3</v>
      </c>
      <c r="T50" s="175">
        <f t="shared" si="10"/>
        <v>0.30617679771179629</v>
      </c>
      <c r="U50" s="192"/>
      <c r="V50" s="176">
        <f t="shared" si="18"/>
        <v>0.22893937449908017</v>
      </c>
      <c r="W50" s="131">
        <f t="shared" si="11"/>
        <v>6.5367187211195305E-2</v>
      </c>
      <c r="X50" s="127">
        <v>0</v>
      </c>
      <c r="Y50" s="130">
        <f t="shared" si="1"/>
        <v>4.5028903941672144E-4</v>
      </c>
      <c r="Z50" s="131">
        <f t="shared" si="12"/>
        <v>5.8951370149938447E-3</v>
      </c>
      <c r="AA50" s="175">
        <f t="shared" si="13"/>
        <v>0.30065198776468605</v>
      </c>
      <c r="AB50" s="192"/>
      <c r="AC50" s="118"/>
    </row>
    <row r="51" spans="1:29">
      <c r="A51" s="118"/>
      <c r="B51" s="161">
        <f>'Final Avoided costs'!B23</f>
        <v>2028</v>
      </c>
      <c r="C51" s="125">
        <f t="shared" si="14"/>
        <v>6.1030049892151261</v>
      </c>
      <c r="D51" s="129">
        <f t="shared" si="15"/>
        <v>0.22190983282023727</v>
      </c>
      <c r="E51" s="132">
        <f t="shared" si="16"/>
        <v>6.4598935056206327E-2</v>
      </c>
      <c r="F51" s="162">
        <f t="shared" si="2"/>
        <v>2.7124537650147795E-3</v>
      </c>
      <c r="G51" s="118"/>
      <c r="H51" s="176">
        <f t="shared" si="19"/>
        <v>0.2306901859693124</v>
      </c>
      <c r="I51" s="131">
        <f t="shared" si="3"/>
        <v>6.4598935056206327E-2</v>
      </c>
      <c r="J51" s="127">
        <v>0</v>
      </c>
      <c r="K51" s="130">
        <f t="shared" si="4"/>
        <v>4.5179235516904366E-4</v>
      </c>
      <c r="L51" s="131">
        <f t="shared" si="5"/>
        <v>5.9148182676137563E-3</v>
      </c>
      <c r="M51" s="175">
        <f t="shared" si="6"/>
        <v>0.30165573164830156</v>
      </c>
      <c r="N51" s="192"/>
      <c r="O51" s="176">
        <f t="shared" si="17"/>
        <v>0.23557630958267547</v>
      </c>
      <c r="P51" s="131">
        <f t="shared" si="7"/>
        <v>6.4598935056206327E-2</v>
      </c>
      <c r="Q51" s="127">
        <f t="shared" si="8"/>
        <v>2.7124537650147795E-3</v>
      </c>
      <c r="R51" s="130">
        <f t="shared" si="0"/>
        <v>4.5926812429748911E-4</v>
      </c>
      <c r="S51" s="131">
        <f t="shared" si="9"/>
        <v>6.0669393305638813E-3</v>
      </c>
      <c r="T51" s="175">
        <f t="shared" si="10"/>
        <v>0.30941390585875794</v>
      </c>
      <c r="U51" s="192"/>
      <c r="V51" s="176">
        <f t="shared" si="18"/>
        <v>0.23278555599066469</v>
      </c>
      <c r="W51" s="131">
        <f t="shared" si="11"/>
        <v>6.4598935056206327E-2</v>
      </c>
      <c r="X51" s="127">
        <v>0</v>
      </c>
      <c r="Y51" s="130">
        <f t="shared" si="1"/>
        <v>4.5499827130171267E-4</v>
      </c>
      <c r="Z51" s="131">
        <f t="shared" si="12"/>
        <v>5.9567897863634549E-3</v>
      </c>
      <c r="AA51" s="175">
        <f t="shared" si="13"/>
        <v>0.30379627910453616</v>
      </c>
      <c r="AB51" s="192"/>
      <c r="AC51" s="118"/>
    </row>
    <row r="52" spans="1:29">
      <c r="A52" s="118"/>
      <c r="B52" s="161">
        <f>'Final Avoided costs'!B24</f>
        <v>2029</v>
      </c>
      <c r="C52" s="125">
        <f t="shared" si="14"/>
        <v>6.4980640840246373</v>
      </c>
      <c r="D52" s="129">
        <f t="shared" si="15"/>
        <v>0.23627447742370944</v>
      </c>
      <c r="E52" s="132">
        <f t="shared" si="16"/>
        <v>8.3227902977183632E-2</v>
      </c>
      <c r="F52" s="162">
        <f t="shared" si="2"/>
        <v>2.7580229882670278E-3</v>
      </c>
      <c r="G52" s="118"/>
      <c r="H52" s="176">
        <f t="shared" si="19"/>
        <v>0.23456578109359683</v>
      </c>
      <c r="I52" s="131">
        <f t="shared" si="3"/>
        <v>8.3227902977183632E-2</v>
      </c>
      <c r="J52" s="127">
        <v>0</v>
      </c>
      <c r="K52" s="130">
        <f t="shared" si="4"/>
        <v>4.8622433662829409E-4</v>
      </c>
      <c r="L52" s="131">
        <f t="shared" si="5"/>
        <v>6.365598168148176E-3</v>
      </c>
      <c r="M52" s="175">
        <f t="shared" si="6"/>
        <v>0.32464550657555696</v>
      </c>
      <c r="N52" s="192"/>
      <c r="O52" s="176">
        <f t="shared" si="17"/>
        <v>0.2395339915836644</v>
      </c>
      <c r="P52" s="131">
        <f t="shared" si="7"/>
        <v>8.3227902977183632E-2</v>
      </c>
      <c r="Q52" s="127">
        <f t="shared" si="8"/>
        <v>2.7580229882670278E-3</v>
      </c>
      <c r="R52" s="130">
        <f t="shared" si="0"/>
        <v>4.938256986780974E-4</v>
      </c>
      <c r="S52" s="131">
        <f t="shared" si="9"/>
        <v>6.5202748649558643E-3</v>
      </c>
      <c r="T52" s="175">
        <f t="shared" si="10"/>
        <v>0.33253401811274907</v>
      </c>
      <c r="U52" s="192"/>
      <c r="V52" s="176">
        <f t="shared" si="18"/>
        <v>0.23669635333130784</v>
      </c>
      <c r="W52" s="131">
        <f t="shared" si="11"/>
        <v>8.3227902977183632E-2</v>
      </c>
      <c r="X52" s="127">
        <v>0</v>
      </c>
      <c r="Y52" s="130">
        <f t="shared" si="1"/>
        <v>4.8948411215199189E-4</v>
      </c>
      <c r="Z52" s="131">
        <f t="shared" si="12"/>
        <v>6.4082748084128699E-3</v>
      </c>
      <c r="AA52" s="175">
        <f t="shared" si="13"/>
        <v>0.32682201522905635</v>
      </c>
      <c r="AB52" s="192"/>
      <c r="AC52" s="118"/>
    </row>
    <row r="53" spans="1:29">
      <c r="A53" s="118"/>
      <c r="B53" s="161">
        <f>'Final Avoided costs'!B25</f>
        <v>2030</v>
      </c>
      <c r="C53" s="125">
        <f t="shared" si="14"/>
        <v>6.4401273577505282</v>
      </c>
      <c r="D53" s="129">
        <f t="shared" si="15"/>
        <v>0.23416785465929107</v>
      </c>
      <c r="E53" s="132">
        <f t="shared" si="16"/>
        <v>8.2010065358519388E-2</v>
      </c>
      <c r="F53" s="162">
        <f t="shared" si="2"/>
        <v>2.8043577744699135E-3</v>
      </c>
      <c r="G53" s="118"/>
      <c r="H53" s="176">
        <f t="shared" si="19"/>
        <v>0.23850648621596923</v>
      </c>
      <c r="I53" s="131">
        <f t="shared" si="3"/>
        <v>8.2010065358519388E-2</v>
      </c>
      <c r="J53" s="127">
        <v>0</v>
      </c>
      <c r="K53" s="130">
        <f t="shared" si="4"/>
        <v>4.9039032390896752E-4</v>
      </c>
      <c r="L53" s="131">
        <f t="shared" si="5"/>
        <v>6.4201388379679517E-3</v>
      </c>
      <c r="M53" s="175">
        <f t="shared" si="6"/>
        <v>0.32742708073636551</v>
      </c>
      <c r="N53" s="192"/>
      <c r="O53" s="176">
        <f t="shared" si="17"/>
        <v>0.24355816264226995</v>
      </c>
      <c r="P53" s="131">
        <f t="shared" si="7"/>
        <v>8.2010065358519388E-2</v>
      </c>
      <c r="Q53" s="127">
        <f t="shared" si="8"/>
        <v>2.8043577744699135E-3</v>
      </c>
      <c r="R53" s="130">
        <f t="shared" si="0"/>
        <v>4.981193888412076E-4</v>
      </c>
      <c r="S53" s="131">
        <f t="shared" si="9"/>
        <v>6.577414103282009E-3</v>
      </c>
      <c r="T53" s="175">
        <f t="shared" si="10"/>
        <v>0.33544811926738244</v>
      </c>
      <c r="U53" s="192"/>
      <c r="V53" s="176">
        <f t="shared" si="18"/>
        <v>0.24067285206727379</v>
      </c>
      <c r="W53" s="131">
        <f t="shared" si="11"/>
        <v>8.2010065358519388E-2</v>
      </c>
      <c r="X53" s="127">
        <v>0</v>
      </c>
      <c r="Y53" s="130">
        <f t="shared" si="1"/>
        <v>4.937048636614635E-4</v>
      </c>
      <c r="Z53" s="131">
        <f t="shared" si="12"/>
        <v>6.4635324457890933E-3</v>
      </c>
      <c r="AA53" s="175">
        <f t="shared" si="13"/>
        <v>0.32964015473524372</v>
      </c>
      <c r="AB53" s="192"/>
      <c r="AC53" s="118"/>
    </row>
    <row r="54" spans="1:29">
      <c r="A54" s="118"/>
      <c r="B54" s="161">
        <f>'Final Avoided costs'!B26</f>
        <v>2031</v>
      </c>
      <c r="C54" s="125">
        <f t="shared" si="14"/>
        <v>6.4324327296466128</v>
      </c>
      <c r="D54" s="129">
        <f t="shared" si="15"/>
        <v>0.23388807221782643</v>
      </c>
      <c r="E54" s="132">
        <f t="shared" si="16"/>
        <v>8.3034555327292522E-2</v>
      </c>
      <c r="F54" s="162">
        <f t="shared" si="2"/>
        <v>2.8514709850810081E-3</v>
      </c>
      <c r="G54" s="118"/>
      <c r="H54" s="176">
        <f t="shared" si="19"/>
        <v>0.24251339518439749</v>
      </c>
      <c r="I54" s="131">
        <f t="shared" si="3"/>
        <v>8.3034555327292522E-2</v>
      </c>
      <c r="J54" s="127">
        <v>0</v>
      </c>
      <c r="K54" s="130">
        <f t="shared" si="4"/>
        <v>4.980883642828857E-4</v>
      </c>
      <c r="L54" s="131">
        <f t="shared" si="5"/>
        <v>6.520920777519458E-3</v>
      </c>
      <c r="M54" s="175">
        <f t="shared" si="6"/>
        <v>0.33256695965349237</v>
      </c>
      <c r="N54" s="192"/>
      <c r="O54" s="176">
        <f t="shared" si="17"/>
        <v>0.24764993977466007</v>
      </c>
      <c r="P54" s="131">
        <f t="shared" si="7"/>
        <v>8.3034555327292522E-2</v>
      </c>
      <c r="Q54" s="127">
        <f t="shared" si="8"/>
        <v>2.8514709850810081E-3</v>
      </c>
      <c r="R54" s="130">
        <f t="shared" si="0"/>
        <v>5.0594727750598745E-4</v>
      </c>
      <c r="S54" s="131">
        <f t="shared" si="9"/>
        <v>6.6808382672907908E-3</v>
      </c>
      <c r="T54" s="175">
        <f t="shared" si="10"/>
        <v>0.3407227516318303</v>
      </c>
      <c r="U54" s="192"/>
      <c r="V54" s="176">
        <f t="shared" si="18"/>
        <v>0.24471615598200397</v>
      </c>
      <c r="W54" s="131">
        <f t="shared" si="11"/>
        <v>8.3034555327292522E-2</v>
      </c>
      <c r="X54" s="127">
        <v>0</v>
      </c>
      <c r="Y54" s="130">
        <f t="shared" si="1"/>
        <v>5.0145858830322361E-4</v>
      </c>
      <c r="Z54" s="131">
        <f t="shared" si="12"/>
        <v>6.5650433979519956E-3</v>
      </c>
      <c r="AA54" s="175">
        <f t="shared" si="13"/>
        <v>0.33481721329555175</v>
      </c>
      <c r="AB54" s="192"/>
      <c r="AC54" s="118"/>
    </row>
    <row r="55" spans="1:29">
      <c r="A55" s="118"/>
      <c r="B55" s="161">
        <f>'Final Avoided costs'!B27</f>
        <v>2032</v>
      </c>
      <c r="C55" s="125">
        <f t="shared" si="14"/>
        <v>6.4555013263151579</v>
      </c>
      <c r="D55" s="129">
        <f t="shared" si="15"/>
        <v>0.23472686367206258</v>
      </c>
      <c r="E55" s="132">
        <f t="shared" si="16"/>
        <v>8.5506464827895881E-2</v>
      </c>
      <c r="F55" s="162">
        <f t="shared" si="2"/>
        <v>2.8993756976303689E-3</v>
      </c>
      <c r="G55" s="118"/>
      <c r="H55" s="176">
        <f t="shared" si="19"/>
        <v>0.24658762022349534</v>
      </c>
      <c r="I55" s="131">
        <f t="shared" si="3"/>
        <v>8.5506464827895881E-2</v>
      </c>
      <c r="J55" s="127">
        <v>0</v>
      </c>
      <c r="K55" s="130">
        <f t="shared" si="4"/>
        <v>5.0810395012862854E-4</v>
      </c>
      <c r="L55" s="131">
        <f t="shared" si="5"/>
        <v>6.6520437800303969E-3</v>
      </c>
      <c r="M55" s="175">
        <f t="shared" si="6"/>
        <v>0.3392542327815502</v>
      </c>
      <c r="N55" s="192"/>
      <c r="O55" s="176">
        <f t="shared" si="17"/>
        <v>0.25181045876287433</v>
      </c>
      <c r="P55" s="131">
        <f t="shared" si="7"/>
        <v>8.5506464827895881E-2</v>
      </c>
      <c r="Q55" s="127">
        <f t="shared" si="8"/>
        <v>2.8993756976303689E-3</v>
      </c>
      <c r="R55" s="130">
        <f t="shared" si="0"/>
        <v>5.160948930938784E-4</v>
      </c>
      <c r="S55" s="131">
        <f t="shared" si="9"/>
        <v>6.8146478836298898E-3</v>
      </c>
      <c r="T55" s="175">
        <f t="shared" si="10"/>
        <v>0.34754704206512438</v>
      </c>
      <c r="U55" s="192"/>
      <c r="V55" s="176">
        <f t="shared" si="18"/>
        <v>0.24882738740250163</v>
      </c>
      <c r="W55" s="131">
        <f t="shared" si="11"/>
        <v>8.5506464827895881E-2</v>
      </c>
      <c r="X55" s="127">
        <v>0</v>
      </c>
      <c r="Y55" s="130">
        <f t="shared" si="1"/>
        <v>5.1153079391250817E-4</v>
      </c>
      <c r="Z55" s="131">
        <f t="shared" si="12"/>
        <v>6.6969076604862015E-3</v>
      </c>
      <c r="AA55" s="175">
        <f t="shared" si="13"/>
        <v>0.34154229068479625</v>
      </c>
      <c r="AB55" s="192"/>
      <c r="AC55" s="118"/>
    </row>
    <row r="56" spans="1:29">
      <c r="A56" s="118"/>
      <c r="B56" s="161">
        <f>'Final Avoided costs'!B28</f>
        <v>2033</v>
      </c>
      <c r="C56" s="125">
        <f t="shared" si="14"/>
        <v>6.6228769872390867</v>
      </c>
      <c r="D56" s="129">
        <f t="shared" si="15"/>
        <v>0.24081276807480215</v>
      </c>
      <c r="E56" s="132">
        <f t="shared" si="16"/>
        <v>9.4887970242478595E-2</v>
      </c>
      <c r="F56" s="162">
        <f t="shared" si="2"/>
        <v>2.9480852093505591E-3</v>
      </c>
      <c r="G56" s="118"/>
      <c r="H56" s="176">
        <f t="shared" si="19"/>
        <v>0.25073029224325005</v>
      </c>
      <c r="I56" s="131">
        <f t="shared" si="3"/>
        <v>9.4887970242478595E-2</v>
      </c>
      <c r="J56" s="127">
        <v>0</v>
      </c>
      <c r="K56" s="130">
        <f t="shared" si="4"/>
        <v>5.2879594160316478E-4</v>
      </c>
      <c r="L56" s="131">
        <f t="shared" si="5"/>
        <v>6.922941168546636E-3</v>
      </c>
      <c r="M56" s="175">
        <f t="shared" si="6"/>
        <v>0.35306999959587843</v>
      </c>
      <c r="N56" s="192"/>
      <c r="O56" s="176">
        <f t="shared" si="17"/>
        <v>0.25604087447009061</v>
      </c>
      <c r="P56" s="131">
        <f t="shared" si="7"/>
        <v>9.4887970242478595E-2</v>
      </c>
      <c r="Q56" s="127">
        <f t="shared" si="8"/>
        <v>2.9480852093505591E-3</v>
      </c>
      <c r="R56" s="130">
        <f t="shared" si="0"/>
        <v>5.3692113241023077E-4</v>
      </c>
      <c r="S56" s="131">
        <f t="shared" si="9"/>
        <v>7.0882770210865999E-3</v>
      </c>
      <c r="T56" s="175">
        <f t="shared" si="10"/>
        <v>0.3615021280754166</v>
      </c>
      <c r="U56" s="192"/>
      <c r="V56" s="176">
        <f t="shared" si="18"/>
        <v>0.25300768751086361</v>
      </c>
      <c r="W56" s="131">
        <f t="shared" si="11"/>
        <v>9.4887970242478595E-2</v>
      </c>
      <c r="X56" s="127">
        <v>0</v>
      </c>
      <c r="Y56" s="130">
        <f t="shared" si="1"/>
        <v>5.3228035636261356E-4</v>
      </c>
      <c r="Z56" s="131">
        <f t="shared" si="12"/>
        <v>6.9685587621940957E-3</v>
      </c>
      <c r="AA56" s="175">
        <f t="shared" si="13"/>
        <v>0.35539649687189889</v>
      </c>
      <c r="AB56" s="192"/>
      <c r="AC56" s="118"/>
    </row>
    <row r="57" spans="1:29">
      <c r="A57" s="118"/>
      <c r="B57" s="161">
        <f>'Final Avoided costs'!B29</f>
        <v>2034</v>
      </c>
      <c r="C57" s="125">
        <f t="shared" si="14"/>
        <v>6.6967297934694967</v>
      </c>
      <c r="D57" s="129">
        <f t="shared" si="15"/>
        <v>0.24349811142825778</v>
      </c>
      <c r="E57" s="132">
        <f t="shared" si="16"/>
        <v>0.1000466319924966</v>
      </c>
      <c r="F57" s="162">
        <f t="shared" si="2"/>
        <v>2.9976130408676475E-3</v>
      </c>
      <c r="G57" s="118"/>
      <c r="H57" s="176">
        <f t="shared" si="19"/>
        <v>0.25494256115293662</v>
      </c>
      <c r="I57" s="131">
        <f t="shared" si="3"/>
        <v>0.1000466319924966</v>
      </c>
      <c r="J57" s="127">
        <v>0</v>
      </c>
      <c r="K57" s="130">
        <f t="shared" si="4"/>
        <v>5.4313346551251277E-4</v>
      </c>
      <c r="L57" s="131">
        <f t="shared" si="5"/>
        <v>7.1106465322189139E-3</v>
      </c>
      <c r="M57" s="175">
        <f t="shared" si="6"/>
        <v>0.36264297314316463</v>
      </c>
      <c r="N57" s="192"/>
      <c r="O57" s="176">
        <f t="shared" si="17"/>
        <v>0.26034236116118809</v>
      </c>
      <c r="P57" s="131">
        <f t="shared" si="7"/>
        <v>0.1000466319924966</v>
      </c>
      <c r="Q57" s="127">
        <f t="shared" si="8"/>
        <v>2.9976130408676475E-3</v>
      </c>
      <c r="R57" s="130">
        <f t="shared" si="0"/>
        <v>5.5139515952513755E-4</v>
      </c>
      <c r="S57" s="131">
        <f t="shared" si="9"/>
        <v>7.2787600270815492E-3</v>
      </c>
      <c r="T57" s="175">
        <f t="shared" si="10"/>
        <v>0.371216761381159</v>
      </c>
      <c r="U57" s="192"/>
      <c r="V57" s="176">
        <f t="shared" si="18"/>
        <v>0.25725821666104609</v>
      </c>
      <c r="W57" s="131">
        <f t="shared" si="11"/>
        <v>0.1000466319924966</v>
      </c>
      <c r="X57" s="127">
        <v>0</v>
      </c>
      <c r="Y57" s="130">
        <f t="shared" si="1"/>
        <v>5.4667641843992025E-4</v>
      </c>
      <c r="Z57" s="131">
        <f t="shared" si="12"/>
        <v>7.1570305014396519E-3</v>
      </c>
      <c r="AA57" s="175">
        <f t="shared" si="13"/>
        <v>0.36500855557342227</v>
      </c>
      <c r="AB57" s="192"/>
      <c r="AC57" s="118"/>
    </row>
    <row r="58" spans="1:29">
      <c r="A58" s="118"/>
      <c r="B58" s="161">
        <f>'Final Avoided costs'!B30</f>
        <v>2035</v>
      </c>
      <c r="C58" s="125">
        <f t="shared" si="14"/>
        <v>6.8731227802792088</v>
      </c>
      <c r="D58" s="133">
        <f t="shared" si="15"/>
        <v>0.24991189255456811</v>
      </c>
      <c r="E58" s="132">
        <f t="shared" si="16"/>
        <v>0.11038414419182933</v>
      </c>
      <c r="F58" s="162">
        <f t="shared" si="2"/>
        <v>3.0479729399542242E-3</v>
      </c>
      <c r="G58" s="118"/>
      <c r="H58" s="176">
        <f t="shared" si="19"/>
        <v>0.25922559618030594</v>
      </c>
      <c r="I58" s="131">
        <f t="shared" si="3"/>
        <v>0.11038414419182933</v>
      </c>
      <c r="J58" s="127">
        <v>0</v>
      </c>
      <c r="K58" s="130">
        <f t="shared" si="4"/>
        <v>5.6550290276936692E-4</v>
      </c>
      <c r="L58" s="131">
        <f t="shared" si="5"/>
        <v>7.4035048654980933E-3</v>
      </c>
      <c r="M58" s="175">
        <f t="shared" si="6"/>
        <v>0.37757874814040271</v>
      </c>
      <c r="N58" s="192"/>
      <c r="O58" s="176">
        <f t="shared" si="17"/>
        <v>0.264716112828696</v>
      </c>
      <c r="P58" s="131">
        <f t="shared" si="7"/>
        <v>0.11038414419182933</v>
      </c>
      <c r="Q58" s="127">
        <f t="shared" si="8"/>
        <v>3.0479729399542242E-3</v>
      </c>
      <c r="R58" s="130">
        <f t="shared" si="0"/>
        <v>5.739033932414037E-4</v>
      </c>
      <c r="S58" s="131">
        <f t="shared" si="9"/>
        <v>7.5744426670744207E-3</v>
      </c>
      <c r="T58" s="175">
        <f t="shared" si="10"/>
        <v>0.38629657602079542</v>
      </c>
      <c r="U58" s="192"/>
      <c r="V58" s="176">
        <f t="shared" si="18"/>
        <v>0.26158015470095164</v>
      </c>
      <c r="W58" s="131">
        <f t="shared" si="11"/>
        <v>0.11038414419182933</v>
      </c>
      <c r="X58" s="127">
        <v>0</v>
      </c>
      <c r="Y58" s="130">
        <f t="shared" si="1"/>
        <v>5.6910537730595491E-4</v>
      </c>
      <c r="Z58" s="131">
        <f t="shared" si="12"/>
        <v>7.4506680854017392E-3</v>
      </c>
      <c r="AA58" s="175">
        <f t="shared" si="13"/>
        <v>0.3799840723554887</v>
      </c>
      <c r="AB58" s="192"/>
      <c r="AC58" s="118"/>
    </row>
    <row r="59" spans="1:29">
      <c r="A59" s="118"/>
      <c r="B59" s="161">
        <f>'Final Avoided costs'!B31</f>
        <v>2036</v>
      </c>
      <c r="C59" s="183">
        <f>C58*$C$19</f>
        <v>6.9631544981335178</v>
      </c>
      <c r="D59" s="133">
        <f t="shared" si="15"/>
        <v>0.25318551325336713</v>
      </c>
      <c r="E59" s="132">
        <f t="shared" si="16"/>
        <v>0.11673125800616055</v>
      </c>
      <c r="F59" s="162">
        <f t="shared" si="2"/>
        <v>3.0991788853454551E-3</v>
      </c>
      <c r="G59" s="118"/>
      <c r="H59" s="176">
        <f t="shared" si="19"/>
        <v>0.26358058619613506</v>
      </c>
      <c r="I59" s="131">
        <f t="shared" si="3"/>
        <v>0.11673125800616055</v>
      </c>
      <c r="J59" s="127">
        <v>0</v>
      </c>
      <c r="K59" s="130">
        <f t="shared" si="4"/>
        <v>5.8187712162951219E-4</v>
      </c>
      <c r="L59" s="131">
        <f t="shared" si="5"/>
        <v>7.617874426478502E-3</v>
      </c>
      <c r="M59" s="175">
        <f t="shared" si="6"/>
        <v>0.38851159575040356</v>
      </c>
      <c r="N59" s="192"/>
      <c r="O59" s="176">
        <f t="shared" si="17"/>
        <v>0.26916334352421806</v>
      </c>
      <c r="P59" s="131">
        <f t="shared" si="7"/>
        <v>0.11673125800616055</v>
      </c>
      <c r="Q59" s="127">
        <f t="shared" si="8"/>
        <v>3.0991788853454551E-3</v>
      </c>
      <c r="R59" s="130">
        <f t="shared" si="0"/>
        <v>5.904187403414792E-4</v>
      </c>
      <c r="S59" s="131">
        <f t="shared" si="9"/>
        <v>7.7916839831213107E-3</v>
      </c>
      <c r="T59" s="175">
        <f t="shared" si="10"/>
        <v>0.39737588313918681</v>
      </c>
      <c r="U59" s="192"/>
      <c r="V59" s="176">
        <f t="shared" si="18"/>
        <v>0.26597470129992762</v>
      </c>
      <c r="W59" s="131">
        <f t="shared" si="11"/>
        <v>0.11673125800616055</v>
      </c>
      <c r="X59" s="127">
        <v>0</v>
      </c>
      <c r="Y59" s="130">
        <f t="shared" si="1"/>
        <v>5.8554011773831493E-4</v>
      </c>
      <c r="Z59" s="131">
        <f t="shared" si="12"/>
        <v>7.6658299884765305E-3</v>
      </c>
      <c r="AA59" s="175">
        <f t="shared" si="13"/>
        <v>0.39095732941230305</v>
      </c>
      <c r="AB59" s="192"/>
      <c r="AC59" s="118"/>
    </row>
    <row r="60" spans="1:29">
      <c r="A60" s="118"/>
      <c r="B60" s="161">
        <f>'Final Avoided costs'!B32</f>
        <v>2037</v>
      </c>
      <c r="C60" s="183">
        <f t="shared" ref="C60:C67" si="20">C59*$C$19</f>
        <v>7.0543655504008616</v>
      </c>
      <c r="D60" s="133">
        <f>C60*$C$11/$C$10*$C$18</f>
        <v>0.25650201543479617</v>
      </c>
      <c r="E60" s="132">
        <f t="shared" si="16"/>
        <v>0.1233203185024809</v>
      </c>
      <c r="F60" s="162">
        <f t="shared" si="2"/>
        <v>3.1512450906192586E-3</v>
      </c>
      <c r="G60" s="118"/>
      <c r="H60" s="176">
        <f t="shared" si="19"/>
        <v>0.26800874004423009</v>
      </c>
      <c r="I60" s="131">
        <f t="shared" si="3"/>
        <v>0.1233203185024809</v>
      </c>
      <c r="J60" s="127">
        <v>0</v>
      </c>
      <c r="K60" s="130">
        <f t="shared" si="4"/>
        <v>5.9873345957646776E-4</v>
      </c>
      <c r="L60" s="131">
        <f t="shared" si="5"/>
        <v>7.838555840125749E-3</v>
      </c>
      <c r="M60" s="175">
        <f t="shared" si="6"/>
        <v>0.39976634784641318</v>
      </c>
      <c r="N60" s="192"/>
      <c r="O60" s="176">
        <f t="shared" si="17"/>
        <v>0.27368528769542488</v>
      </c>
      <c r="P60" s="131">
        <f t="shared" si="7"/>
        <v>0.1233203185024809</v>
      </c>
      <c r="Q60" s="127">
        <f t="shared" si="8"/>
        <v>3.1512450906192586E-3</v>
      </c>
      <c r="R60" s="130">
        <f t="shared" si="0"/>
        <v>6.0741857748279583E-4</v>
      </c>
      <c r="S60" s="131">
        <f t="shared" si="9"/>
        <v>8.0152853973201581E-3</v>
      </c>
      <c r="T60" s="175">
        <f t="shared" si="10"/>
        <v>0.40877955526332804</v>
      </c>
      <c r="U60" s="192"/>
      <c r="V60" s="176">
        <f t="shared" si="18"/>
        <v>0.27044307628176639</v>
      </c>
      <c r="W60" s="131">
        <f t="shared" si="11"/>
        <v>0.1233203185024809</v>
      </c>
      <c r="X60" s="127">
        <v>0</v>
      </c>
      <c r="Y60" s="130">
        <f t="shared" si="1"/>
        <v>6.0245799401989833E-4</v>
      </c>
      <c r="Z60" s="131">
        <f t="shared" si="12"/>
        <v>7.8873170555653436E-3</v>
      </c>
      <c r="AA60" s="175">
        <f t="shared" si="13"/>
        <v>0.40225316983383252</v>
      </c>
      <c r="AB60" s="192"/>
      <c r="AC60" s="118"/>
    </row>
    <row r="61" spans="1:29">
      <c r="A61" s="118"/>
      <c r="B61" s="161">
        <f>'Final Avoided costs'!B33</f>
        <v>2038</v>
      </c>
      <c r="C61" s="183">
        <f>C60*$C$19</f>
        <v>7.146771385299834</v>
      </c>
      <c r="D61" s="133">
        <f t="shared" si="15"/>
        <v>0.25986196080765467</v>
      </c>
      <c r="E61" s="132">
        <f t="shared" si="16"/>
        <v>0.13015946596486583</v>
      </c>
      <c r="F61" s="162">
        <f t="shared" si="2"/>
        <v>3.2041860081416618E-3</v>
      </c>
      <c r="G61" s="118"/>
      <c r="H61" s="176">
        <f t="shared" si="19"/>
        <v>0.27251128687697312</v>
      </c>
      <c r="I61" s="131">
        <f t="shared" si="3"/>
        <v>0.13015946596486583</v>
      </c>
      <c r="J61" s="127">
        <v>0</v>
      </c>
      <c r="K61" s="130">
        <f t="shared" si="4"/>
        <v>6.1608625184801354E-4</v>
      </c>
      <c r="L61" s="131">
        <f t="shared" si="5"/>
        <v>8.0657367818737398E-3</v>
      </c>
      <c r="M61" s="175">
        <f t="shared" si="6"/>
        <v>0.41135257587556068</v>
      </c>
      <c r="N61" s="192"/>
      <c r="O61" s="176">
        <f t="shared" si="17"/>
        <v>0.27828320052870797</v>
      </c>
      <c r="P61" s="131">
        <f t="shared" si="7"/>
        <v>0.13015946596486583</v>
      </c>
      <c r="Q61" s="127">
        <f t="shared" si="8"/>
        <v>3.2041860081416618E-3</v>
      </c>
      <c r="R61" s="130">
        <f t="shared" si="0"/>
        <v>6.2491727973516787E-4</v>
      </c>
      <c r="S61" s="131">
        <f t="shared" si="9"/>
        <v>8.2454353956290128E-3</v>
      </c>
      <c r="T61" s="175">
        <f t="shared" si="10"/>
        <v>0.42051720517707963</v>
      </c>
      <c r="U61" s="192"/>
      <c r="V61" s="176">
        <f t="shared" si="18"/>
        <v>0.27498651996330004</v>
      </c>
      <c r="W61" s="131">
        <f t="shared" si="11"/>
        <v>0.13015946596486583</v>
      </c>
      <c r="X61" s="127">
        <v>0</v>
      </c>
      <c r="Y61" s="130">
        <f t="shared" si="1"/>
        <v>6.1987335847009373E-4</v>
      </c>
      <c r="Z61" s="131">
        <f t="shared" si="12"/>
        <v>8.1153171857327195E-3</v>
      </c>
      <c r="AA61" s="175">
        <f t="shared" si="13"/>
        <v>0.41388117647236866</v>
      </c>
      <c r="AB61" s="192"/>
      <c r="AC61" s="118"/>
    </row>
    <row r="62" spans="1:29">
      <c r="A62" s="118"/>
      <c r="B62" s="161">
        <f>'Final Avoided costs'!B34</f>
        <v>2039</v>
      </c>
      <c r="C62" s="183">
        <f t="shared" si="20"/>
        <v>7.2403876534067777</v>
      </c>
      <c r="D62" s="133">
        <f t="shared" si="15"/>
        <v>0.26326591843862129</v>
      </c>
      <c r="E62" s="132">
        <f t="shared" si="16"/>
        <v>0.13725710018722068</v>
      </c>
      <c r="F62" s="162">
        <f t="shared" si="2"/>
        <v>3.2580163330784419E-3</v>
      </c>
      <c r="G62" s="118"/>
      <c r="H62" s="176">
        <f t="shared" si="19"/>
        <v>0.27708947649650623</v>
      </c>
      <c r="I62" s="131">
        <f t="shared" si="3"/>
        <v>0.13725710018722068</v>
      </c>
      <c r="J62" s="127">
        <v>0</v>
      </c>
      <c r="K62" s="130">
        <f t="shared" si="4"/>
        <v>6.3395026232610212E-4</v>
      </c>
      <c r="L62" s="131">
        <f t="shared" si="5"/>
        <v>8.2996105389210595E-3</v>
      </c>
      <c r="M62" s="175">
        <f t="shared" si="6"/>
        <v>0.42328013748497406</v>
      </c>
      <c r="N62" s="192"/>
      <c r="O62" s="176">
        <f t="shared" si="17"/>
        <v>0.28295835829759025</v>
      </c>
      <c r="P62" s="131">
        <f t="shared" si="7"/>
        <v>0.13725710018722068</v>
      </c>
      <c r="Q62" s="127">
        <f t="shared" si="8"/>
        <v>3.2580163330784419E-3</v>
      </c>
      <c r="R62" s="130">
        <f t="shared" si="0"/>
        <v>6.4292965148176067E-4</v>
      </c>
      <c r="S62" s="131">
        <f t="shared" si="9"/>
        <v>8.4823280893874219E-3</v>
      </c>
      <c r="T62" s="175">
        <f t="shared" si="10"/>
        <v>0.43259873255875853</v>
      </c>
      <c r="U62" s="192"/>
      <c r="V62" s="176">
        <f t="shared" si="18"/>
        <v>0.27960629349868343</v>
      </c>
      <c r="W62" s="131">
        <f t="shared" si="11"/>
        <v>0.13725710018722068</v>
      </c>
      <c r="X62" s="127">
        <v>0</v>
      </c>
      <c r="Y62" s="130">
        <f t="shared" si="1"/>
        <v>6.3780099233943317E-4</v>
      </c>
      <c r="Z62" s="131">
        <f t="shared" si="12"/>
        <v>8.3500238935648712E-3</v>
      </c>
      <c r="AA62" s="175">
        <f t="shared" si="13"/>
        <v>0.42585121857180841</v>
      </c>
      <c r="AB62" s="192"/>
      <c r="AC62" s="118"/>
    </row>
    <row r="63" spans="1:29">
      <c r="A63" s="118"/>
      <c r="B63" s="161">
        <f>'Final Avoided costs'!B35</f>
        <v>2040</v>
      </c>
      <c r="C63" s="183">
        <f t="shared" si="20"/>
        <v>7.3352302103064906</v>
      </c>
      <c r="D63" s="133">
        <f t="shared" si="15"/>
        <v>0.26671446484863592</v>
      </c>
      <c r="E63" s="132">
        <f t="shared" si="16"/>
        <v>0.144621888530266</v>
      </c>
      <c r="F63" s="162">
        <f t="shared" si="2"/>
        <v>3.3127510074741589E-3</v>
      </c>
      <c r="G63" s="118"/>
      <c r="H63" s="176">
        <f t="shared" si="19"/>
        <v>0.28174457970164751</v>
      </c>
      <c r="I63" s="131">
        <f t="shared" si="3"/>
        <v>0.144621888530266</v>
      </c>
      <c r="J63" s="127">
        <v>0</v>
      </c>
      <c r="K63" s="130">
        <f t="shared" si="4"/>
        <v>6.5234069639482761E-4</v>
      </c>
      <c r="L63" s="131">
        <f t="shared" si="5"/>
        <v>8.5403761785661659E-3</v>
      </c>
      <c r="M63" s="175">
        <f t="shared" si="6"/>
        <v>0.43555918510687447</v>
      </c>
      <c r="N63" s="192"/>
      <c r="O63" s="176">
        <f t="shared" si="17"/>
        <v>0.28771205871698974</v>
      </c>
      <c r="P63" s="131">
        <f t="shared" si="7"/>
        <v>0.144621888530266</v>
      </c>
      <c r="Q63" s="127">
        <f t="shared" si="8"/>
        <v>3.3127510074741589E-3</v>
      </c>
      <c r="R63" s="130">
        <f t="shared" si="0"/>
        <v>6.6147093928830116E-4</v>
      </c>
      <c r="S63" s="131">
        <f t="shared" si="9"/>
        <v>8.7261633838803636E-3</v>
      </c>
      <c r="T63" s="175">
        <f t="shared" si="10"/>
        <v>0.44503433257789854</v>
      </c>
      <c r="U63" s="192"/>
      <c r="V63" s="176">
        <f t="shared" si="18"/>
        <v>0.28430367922946131</v>
      </c>
      <c r="W63" s="131">
        <f t="shared" si="11"/>
        <v>0.144621888530266</v>
      </c>
      <c r="X63" s="127">
        <v>0</v>
      </c>
      <c r="Y63" s="130">
        <f t="shared" si="1"/>
        <v>6.5625611867238282E-4</v>
      </c>
      <c r="Z63" s="131">
        <f t="shared" si="12"/>
        <v>8.5916364775679953E-3</v>
      </c>
      <c r="AA63" s="175">
        <f t="shared" si="13"/>
        <v>0.43817346035596771</v>
      </c>
      <c r="AB63" s="192"/>
      <c r="AC63" s="118"/>
    </row>
    <row r="64" spans="1:29">
      <c r="A64" s="118"/>
      <c r="B64" s="161">
        <f>'Final Avoided costs'!B36</f>
        <v>2041</v>
      </c>
      <c r="C64" s="183">
        <f t="shared" si="20"/>
        <v>7.4313151192776479</v>
      </c>
      <c r="D64" s="133">
        <f t="shared" si="15"/>
        <v>0.2702081841105432</v>
      </c>
      <c r="E64" s="132">
        <f t="shared" si="16"/>
        <v>0.15226277422523585</v>
      </c>
      <c r="F64" s="162">
        <f t="shared" si="2"/>
        <v>3.368405224399725E-3</v>
      </c>
      <c r="G64" s="118"/>
      <c r="H64" s="176">
        <f t="shared" si="19"/>
        <v>0.28647788864063517</v>
      </c>
      <c r="I64" s="131">
        <f t="shared" si="3"/>
        <v>0.15226277422523585</v>
      </c>
      <c r="J64" s="127">
        <v>0</v>
      </c>
      <c r="K64" s="130">
        <f t="shared" si="4"/>
        <v>6.7127321418478255E-4</v>
      </c>
      <c r="L64" s="131">
        <f t="shared" si="5"/>
        <v>8.788238721601116E-3</v>
      </c>
      <c r="M64" s="175">
        <f t="shared" si="6"/>
        <v>0.44820017480165691</v>
      </c>
      <c r="N64" s="192"/>
      <c r="O64" s="176">
        <f t="shared" si="17"/>
        <v>0.29254562130343514</v>
      </c>
      <c r="P64" s="131">
        <f t="shared" si="7"/>
        <v>0.15226277422523585</v>
      </c>
      <c r="Q64" s="127">
        <f t="shared" si="8"/>
        <v>3.368405224399725E-3</v>
      </c>
      <c r="R64" s="130">
        <f t="shared" si="0"/>
        <v>6.8055684515886663E-4</v>
      </c>
      <c r="S64" s="131">
        <f t="shared" si="9"/>
        <v>8.9771471519645932E-3</v>
      </c>
      <c r="T64" s="175">
        <f t="shared" si="10"/>
        <v>0.45783450475019422</v>
      </c>
      <c r="U64" s="192"/>
      <c r="V64" s="176">
        <f t="shared" si="18"/>
        <v>0.28907998104051624</v>
      </c>
      <c r="W64" s="131">
        <f t="shared" si="11"/>
        <v>0.15226277422523585</v>
      </c>
      <c r="X64" s="127">
        <v>0</v>
      </c>
      <c r="Y64" s="130">
        <f t="shared" si="1"/>
        <v>6.7525441555660066E-4</v>
      </c>
      <c r="Z64" s="131">
        <f t="shared" si="12"/>
        <v>8.8403601936261744E-3</v>
      </c>
      <c r="AA64" s="175">
        <f t="shared" si="13"/>
        <v>0.45085836987493483</v>
      </c>
      <c r="AB64" s="192"/>
      <c r="AC64" s="118"/>
    </row>
    <row r="65" spans="1:29">
      <c r="A65" s="118"/>
      <c r="B65" s="161">
        <f>'Final Avoided costs'!B37</f>
        <v>2042</v>
      </c>
      <c r="C65" s="183">
        <f t="shared" si="20"/>
        <v>7.5286586540134097</v>
      </c>
      <c r="D65" s="133">
        <f t="shared" si="15"/>
        <v>0.27374766794801614</v>
      </c>
      <c r="E65" s="132">
        <f t="shared" si="16"/>
        <v>0.16018898493179079</v>
      </c>
      <c r="F65" s="162">
        <f t="shared" si="2"/>
        <v>3.4249944321696393E-3</v>
      </c>
      <c r="G65" s="118"/>
      <c r="H65" s="176">
        <f t="shared" si="19"/>
        <v>0.29129071716979782</v>
      </c>
      <c r="I65" s="131">
        <f t="shared" si="3"/>
        <v>0.16018898493179079</v>
      </c>
      <c r="J65" s="127">
        <v>0</v>
      </c>
      <c r="K65" s="130">
        <f t="shared" si="4"/>
        <v>6.9076394421543051E-4</v>
      </c>
      <c r="L65" s="131">
        <f t="shared" si="5"/>
        <v>9.0434093209160807E-3</v>
      </c>
      <c r="M65" s="175">
        <f t="shared" si="6"/>
        <v>0.46121387536672009</v>
      </c>
      <c r="N65" s="192"/>
      <c r="O65" s="176">
        <f t="shared" si="17"/>
        <v>0.29746038774133282</v>
      </c>
      <c r="P65" s="131">
        <f t="shared" si="7"/>
        <v>0.16018898493179079</v>
      </c>
      <c r="Q65" s="127">
        <f t="shared" si="8"/>
        <v>3.4249944321696393E-3</v>
      </c>
      <c r="R65" s="130">
        <f t="shared" si="0"/>
        <v>7.0020354018987909E-4</v>
      </c>
      <c r="S65" s="131">
        <f t="shared" si="9"/>
        <v>9.2354914129096632E-3</v>
      </c>
      <c r="T65" s="175">
        <f t="shared" si="10"/>
        <v>0.4710100620583928</v>
      </c>
      <c r="U65" s="192"/>
      <c r="V65" s="176">
        <f t="shared" si="18"/>
        <v>0.29393652472199688</v>
      </c>
      <c r="W65" s="131">
        <f t="shared" si="11"/>
        <v>0.16018898493179079</v>
      </c>
      <c r="X65" s="127">
        <v>0</v>
      </c>
      <c r="Y65" s="130">
        <f t="shared" si="1"/>
        <v>6.9481202977029512E-4</v>
      </c>
      <c r="Z65" s="131">
        <f t="shared" si="12"/>
        <v>9.0964064336711593E-3</v>
      </c>
      <c r="AA65" s="175">
        <f t="shared" si="13"/>
        <v>0.46391672811722912</v>
      </c>
      <c r="AB65" s="192"/>
      <c r="AC65" s="118"/>
    </row>
    <row r="66" spans="1:29">
      <c r="A66" s="118"/>
      <c r="B66" s="161">
        <f>'Final Avoided costs'!B38</f>
        <v>2043</v>
      </c>
      <c r="C66" s="183">
        <f t="shared" si="20"/>
        <v>7.6272773013776582</v>
      </c>
      <c r="D66" s="133">
        <f t="shared" si="15"/>
        <v>0.27733351583577492</v>
      </c>
      <c r="E66" s="132">
        <f t="shared" si="16"/>
        <v>0.16841004155786943</v>
      </c>
      <c r="F66" s="162">
        <f t="shared" si="2"/>
        <v>3.4825343386300895E-3</v>
      </c>
      <c r="G66" s="118"/>
      <c r="H66" s="176">
        <f t="shared" si="19"/>
        <v>0.2961844012182504</v>
      </c>
      <c r="I66" s="131">
        <f t="shared" si="3"/>
        <v>0.16841004155786943</v>
      </c>
      <c r="J66" s="127">
        <v>0</v>
      </c>
      <c r="K66" s="130">
        <f t="shared" si="4"/>
        <v>7.1082949744746327E-4</v>
      </c>
      <c r="L66" s="131">
        <f t="shared" si="5"/>
        <v>9.3061054454713459E-3</v>
      </c>
      <c r="M66" s="175">
        <f t="shared" si="6"/>
        <v>0.47461137771903861</v>
      </c>
      <c r="N66" s="192"/>
      <c r="O66" s="176">
        <f t="shared" si="17"/>
        <v>0.3024577222553872</v>
      </c>
      <c r="P66" s="131">
        <f t="shared" si="7"/>
        <v>0.16841004155786943</v>
      </c>
      <c r="Q66" s="127">
        <f t="shared" si="8"/>
        <v>3.4825343386300895E-3</v>
      </c>
      <c r="R66" s="130">
        <f t="shared" si="0"/>
        <v>7.204276786342826E-4</v>
      </c>
      <c r="S66" s="131">
        <f t="shared" si="9"/>
        <v>9.5014145166104208E-3</v>
      </c>
      <c r="T66" s="175">
        <f t="shared" si="10"/>
        <v>0.48457214034713142</v>
      </c>
      <c r="U66" s="192"/>
      <c r="V66" s="176">
        <f t="shared" si="18"/>
        <v>0.2988746583373264</v>
      </c>
      <c r="W66" s="131">
        <f t="shared" si="11"/>
        <v>0.16841004155786943</v>
      </c>
      <c r="X66" s="127">
        <v>0</v>
      </c>
      <c r="Y66" s="130">
        <f t="shared" si="1"/>
        <v>7.1494559083964959E-4</v>
      </c>
      <c r="Z66" s="131">
        <f t="shared" si="12"/>
        <v>9.3599929097207095E-3</v>
      </c>
      <c r="AA66" s="175">
        <f t="shared" si="13"/>
        <v>0.47735963839575618</v>
      </c>
      <c r="AB66" s="192"/>
      <c r="AC66" s="118"/>
    </row>
    <row r="67" spans="1:29" ht="15.75" thickBot="1">
      <c r="A67" s="118"/>
      <c r="B67" s="163">
        <f>'Final Avoided costs'!B39</f>
        <v>2044</v>
      </c>
      <c r="C67" s="184">
        <f t="shared" si="20"/>
        <v>7.7271877641973425</v>
      </c>
      <c r="D67" s="164">
        <f t="shared" si="15"/>
        <v>0.28096633510111851</v>
      </c>
      <c r="E67" s="165">
        <f t="shared" si="16"/>
        <v>0.17693576734943808</v>
      </c>
      <c r="F67" s="166">
        <f t="shared" si="2"/>
        <v>3.5410409155190751E-3</v>
      </c>
      <c r="G67" s="118"/>
      <c r="H67" s="177">
        <f t="shared" si="19"/>
        <v>0.301160299158717</v>
      </c>
      <c r="I67" s="178">
        <f t="shared" si="3"/>
        <v>0.17693576734943808</v>
      </c>
      <c r="J67" s="179">
        <v>0</v>
      </c>
      <c r="K67" s="180">
        <f t="shared" si="4"/>
        <v>7.3148698175747723E-4</v>
      </c>
      <c r="L67" s="178">
        <f t="shared" si="5"/>
        <v>9.5765510697982514E-3</v>
      </c>
      <c r="M67" s="181">
        <f t="shared" si="6"/>
        <v>0.48840410455971078</v>
      </c>
      <c r="N67" s="192"/>
      <c r="O67" s="177">
        <f t="shared" si="17"/>
        <v>0.30753901198927769</v>
      </c>
      <c r="P67" s="178">
        <f t="shared" si="7"/>
        <v>0.17693576734943808</v>
      </c>
      <c r="Q67" s="179">
        <f t="shared" si="8"/>
        <v>3.5410409155190751E-3</v>
      </c>
      <c r="R67" s="180">
        <f t="shared" si="0"/>
        <v>7.4124641238823509E-4</v>
      </c>
      <c r="S67" s="178">
        <f t="shared" si="9"/>
        <v>9.7751413333324617E-3</v>
      </c>
      <c r="T67" s="181">
        <f t="shared" si="10"/>
        <v>0.49853220799995551</v>
      </c>
      <c r="U67" s="192"/>
      <c r="V67" s="177">
        <f t="shared" si="18"/>
        <v>0.30389575259739349</v>
      </c>
      <c r="W67" s="178">
        <f t="shared" si="11"/>
        <v>0.17693576734943808</v>
      </c>
      <c r="X67" s="179">
        <v>0</v>
      </c>
      <c r="Y67" s="180">
        <f t="shared" si="1"/>
        <v>7.356722255186523E-4</v>
      </c>
      <c r="Z67" s="178">
        <f t="shared" si="12"/>
        <v>9.6313438434470055E-3</v>
      </c>
      <c r="AA67" s="181">
        <f t="shared" si="13"/>
        <v>0.49119853601579727</v>
      </c>
      <c r="AB67" s="192"/>
      <c r="AC67" s="118"/>
    </row>
    <row r="68" spans="1:29">
      <c r="A68" s="118"/>
      <c r="B68" s="118"/>
      <c r="C68" s="118"/>
      <c r="D68" s="118"/>
      <c r="E68" s="118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</row>
    <row r="69" spans="1:29">
      <c r="A69" s="118"/>
      <c r="B69" s="118"/>
      <c r="C69" s="118"/>
      <c r="D69" s="118"/>
      <c r="E69" s="118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18"/>
      <c r="X69" s="118"/>
      <c r="Y69" s="118"/>
      <c r="Z69" s="118"/>
      <c r="AA69" s="118"/>
      <c r="AB69" s="118"/>
      <c r="AC69" s="118"/>
    </row>
    <row r="70" spans="1:29">
      <c r="A70" s="118"/>
      <c r="B70" s="118"/>
      <c r="C70" s="118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8"/>
      <c r="Z70" s="118"/>
      <c r="AA70" s="118"/>
      <c r="AB70" s="118"/>
      <c r="AC70" s="118"/>
    </row>
    <row r="71" spans="1:29">
      <c r="A71" s="118"/>
      <c r="B71" s="118"/>
      <c r="C71" s="118"/>
      <c r="D71" s="118"/>
      <c r="E71" s="118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8"/>
      <c r="Z71" s="118"/>
      <c r="AA71" s="118"/>
      <c r="AB71" s="118"/>
      <c r="AC71" s="118"/>
    </row>
    <row r="72" spans="1:29">
      <c r="A72" s="118"/>
      <c r="B72" s="118"/>
      <c r="C72" s="118"/>
      <c r="D72" s="118"/>
      <c r="E72" s="118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8"/>
      <c r="Z72" s="118"/>
      <c r="AA72" s="118"/>
      <c r="AB72" s="118"/>
      <c r="AC72" s="118"/>
    </row>
    <row r="73" spans="1:29">
      <c r="A73" s="118"/>
      <c r="B73" s="118"/>
      <c r="C73" s="118"/>
      <c r="D73" s="118"/>
      <c r="E73" s="118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118"/>
      <c r="Y73" s="118"/>
      <c r="Z73" s="118"/>
      <c r="AA73" s="118"/>
      <c r="AB73" s="118"/>
      <c r="AC73" s="118"/>
    </row>
    <row r="74" spans="1:29">
      <c r="A74" s="118"/>
      <c r="B74" s="118"/>
      <c r="C74" s="118"/>
      <c r="D74" s="118"/>
      <c r="E74" s="118"/>
      <c r="F74" s="118"/>
      <c r="G74" s="118"/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  <c r="Y74" s="118"/>
      <c r="Z74" s="118"/>
      <c r="AA74" s="118"/>
      <c r="AB74" s="118"/>
      <c r="AC74" s="118"/>
    </row>
    <row r="75" spans="1:29">
      <c r="A75" s="118"/>
      <c r="B75" s="118"/>
      <c r="C75" s="118"/>
      <c r="D75" s="118"/>
      <c r="E75" s="118"/>
      <c r="F75" s="118"/>
      <c r="G75" s="118"/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118"/>
      <c r="X75" s="118"/>
      <c r="Y75" s="118"/>
      <c r="Z75" s="118"/>
      <c r="AA75" s="118"/>
      <c r="AB75" s="118"/>
      <c r="AC75" s="118"/>
    </row>
  </sheetData>
  <sheetProtection sheet="1" objects="1" scenarios="1"/>
  <mergeCells count="7">
    <mergeCell ref="F2:J3"/>
    <mergeCell ref="O36:T36"/>
    <mergeCell ref="H36:M36"/>
    <mergeCell ref="V36:AA36"/>
    <mergeCell ref="C36:F36"/>
    <mergeCell ref="F4:G4"/>
    <mergeCell ref="F5:G5"/>
  </mergeCells>
  <pageMargins left="0.70866141732283472" right="0.70866141732283472" top="0.74803149606299213" bottom="0.74803149606299213" header="0.31496062992125984" footer="0.31496062992125984"/>
  <pageSetup scale="31" fitToWidth="2" fitToHeight="3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2:P39"/>
  <sheetViews>
    <sheetView tabSelected="1" workbookViewId="0"/>
  </sheetViews>
  <sheetFormatPr defaultRowHeight="12.75"/>
  <cols>
    <col min="11" max="11" width="11.140625" bestFit="1" customWidth="1"/>
    <col min="14" max="16" width="14.28515625" customWidth="1"/>
  </cols>
  <sheetData>
    <row r="2" spans="1:16">
      <c r="B2" s="358" t="s">
        <v>132</v>
      </c>
      <c r="C2" s="358"/>
      <c r="D2" s="358"/>
      <c r="E2" s="358"/>
      <c r="F2" s="358"/>
      <c r="G2" s="358"/>
      <c r="H2" s="358"/>
      <c r="I2" s="358"/>
      <c r="J2" s="7"/>
      <c r="K2" s="7"/>
      <c r="L2" s="7"/>
      <c r="M2" s="7"/>
      <c r="N2" s="7"/>
      <c r="O2" s="7"/>
      <c r="P2" s="7"/>
    </row>
    <row r="3" spans="1:16">
      <c r="A3" s="7"/>
      <c r="B3" s="7"/>
      <c r="C3" s="359" t="s">
        <v>45</v>
      </c>
      <c r="D3" s="360"/>
      <c r="E3" s="300">
        <f>'Step 6'!C7</f>
        <v>1.6799999999999999E-2</v>
      </c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>
      <c r="A4" s="7"/>
      <c r="B4" s="7"/>
      <c r="C4" s="361" t="s">
        <v>46</v>
      </c>
      <c r="D4" s="362"/>
      <c r="E4" s="301">
        <f>'Step 6'!C8</f>
        <v>0.04</v>
      </c>
      <c r="F4" s="18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1:16">
      <c r="A6" s="7"/>
      <c r="B6" s="355" t="s">
        <v>47</v>
      </c>
      <c r="C6" s="356"/>
      <c r="D6" s="356"/>
      <c r="E6" s="356"/>
      <c r="F6" s="356"/>
      <c r="G6" s="356"/>
      <c r="H6" s="357"/>
      <c r="I6" s="7"/>
      <c r="J6" s="355" t="s">
        <v>48</v>
      </c>
      <c r="K6" s="356"/>
      <c r="L6" s="357"/>
      <c r="M6" s="7"/>
      <c r="N6" s="355" t="s">
        <v>49</v>
      </c>
      <c r="O6" s="356"/>
      <c r="P6" s="357"/>
    </row>
    <row r="7" spans="1:16" ht="12.75" customHeight="1">
      <c r="A7" s="7"/>
      <c r="B7" s="363"/>
      <c r="C7" s="364" t="s">
        <v>133</v>
      </c>
      <c r="D7" s="364"/>
      <c r="E7" s="364"/>
      <c r="F7" s="364"/>
      <c r="G7" s="368" t="s">
        <v>0</v>
      </c>
      <c r="H7" s="365"/>
      <c r="I7" s="7"/>
      <c r="J7" s="363"/>
      <c r="K7" s="364" t="s">
        <v>130</v>
      </c>
      <c r="L7" s="365"/>
      <c r="M7" s="7"/>
      <c r="N7" s="363"/>
      <c r="O7" s="364" t="s">
        <v>131</v>
      </c>
      <c r="P7" s="365"/>
    </row>
    <row r="8" spans="1:16" ht="12.75" customHeight="1">
      <c r="A8" s="7"/>
      <c r="B8" s="363"/>
      <c r="C8" s="366" t="s">
        <v>50</v>
      </c>
      <c r="D8" s="366"/>
      <c r="E8" s="366" t="s">
        <v>51</v>
      </c>
      <c r="F8" s="366"/>
      <c r="G8" s="366" t="s">
        <v>50</v>
      </c>
      <c r="H8" s="367"/>
      <c r="I8" s="7"/>
      <c r="J8" s="363"/>
      <c r="K8" s="366"/>
      <c r="L8" s="367"/>
      <c r="M8" s="7"/>
      <c r="N8" s="363"/>
      <c r="O8" s="366"/>
      <c r="P8" s="367"/>
    </row>
    <row r="9" spans="1:16">
      <c r="A9" s="7"/>
      <c r="B9" s="209"/>
      <c r="C9" s="8" t="s">
        <v>52</v>
      </c>
      <c r="D9" s="9" t="s">
        <v>53</v>
      </c>
      <c r="E9" s="8" t="s">
        <v>52</v>
      </c>
      <c r="F9" s="9" t="s">
        <v>53</v>
      </c>
      <c r="G9" s="8" t="s">
        <v>52</v>
      </c>
      <c r="H9" s="10" t="s">
        <v>53</v>
      </c>
      <c r="I9" s="7"/>
      <c r="J9" s="188"/>
      <c r="K9" s="8" t="s">
        <v>52</v>
      </c>
      <c r="L9" s="10" t="s">
        <v>53</v>
      </c>
      <c r="M9" s="7"/>
      <c r="N9" s="188"/>
      <c r="O9" s="8" t="s">
        <v>52</v>
      </c>
      <c r="P9" s="10" t="s">
        <v>53</v>
      </c>
    </row>
    <row r="10" spans="1:16">
      <c r="A10" s="7"/>
      <c r="B10" s="302">
        <f>'Step 1'!C4</f>
        <v>2015</v>
      </c>
      <c r="C10" s="303">
        <f>'Step 6'!M38</f>
        <v>0.21377549431525861</v>
      </c>
      <c r="D10" s="303">
        <f>C10</f>
        <v>0.21377549431525861</v>
      </c>
      <c r="E10" s="11">
        <f>'Step 6'!T38</f>
        <v>0.22071491338279309</v>
      </c>
      <c r="F10" s="303">
        <f>E10</f>
        <v>0.22071491338279309</v>
      </c>
      <c r="G10" s="11">
        <f>'Step 6'!AA38</f>
        <v>0.20537173195895411</v>
      </c>
      <c r="H10" s="307">
        <f>G10</f>
        <v>0.20537173195895411</v>
      </c>
      <c r="I10" s="7"/>
      <c r="J10" s="189">
        <v>1</v>
      </c>
      <c r="K10" s="12">
        <f>'Step 5'!K36*(1+E3)</f>
        <v>2.2729438693968098</v>
      </c>
      <c r="L10" s="306">
        <f>K10</f>
        <v>2.2729438693968098</v>
      </c>
      <c r="M10" s="7"/>
      <c r="N10" s="189">
        <v>1</v>
      </c>
      <c r="O10" s="11">
        <f>0.11094*(1+$E$3)</f>
        <v>0.11280379199999999</v>
      </c>
      <c r="P10" s="307">
        <f>O10</f>
        <v>0.11280379199999999</v>
      </c>
    </row>
    <row r="11" spans="1:16">
      <c r="A11" s="7"/>
      <c r="B11" s="304">
        <f>B10+1</f>
        <v>2016</v>
      </c>
      <c r="C11" s="303">
        <f>'Step 6'!M39</f>
        <v>0.19683931516118441</v>
      </c>
      <c r="D11" s="303">
        <f>NPV($E$4,C$11:C11)+D$10</f>
        <v>0.40304406658562819</v>
      </c>
      <c r="E11" s="11">
        <f>'Step 6'!T39</f>
        <v>0.2044927566399716</v>
      </c>
      <c r="F11" s="303">
        <f>NPV($E$4,E$11:E11)+F$10</f>
        <v>0.4173425639981504</v>
      </c>
      <c r="G11" s="11">
        <f>'Step 6'!AA39</f>
        <v>0.20114166327689995</v>
      </c>
      <c r="H11" s="307">
        <f>NPV($E$4,G$11:G11)+H$10</f>
        <v>0.39877717741751173</v>
      </c>
      <c r="I11" s="7"/>
      <c r="J11" s="189">
        <v>2</v>
      </c>
      <c r="K11" s="11">
        <f>K10*(1+$E$3)</f>
        <v>2.3111293264026762</v>
      </c>
      <c r="L11" s="307">
        <f>NPV($E$4,K$11:K11)+L$10</f>
        <v>4.4951836063224597</v>
      </c>
      <c r="M11" s="7"/>
      <c r="N11" s="189">
        <v>2</v>
      </c>
      <c r="O11" s="11">
        <f>O10*(1+$E$3)</f>
        <v>0.11469889570559998</v>
      </c>
      <c r="P11" s="307">
        <f>NPV($E$4,O$11:O11)+P$10</f>
        <v>0.22309119171692304</v>
      </c>
    </row>
    <row r="12" spans="1:16">
      <c r="A12" s="7"/>
      <c r="B12" s="304">
        <f t="shared" ref="B12:B39" si="0">B11+1</f>
        <v>2017</v>
      </c>
      <c r="C12" s="303">
        <f>'Step 6'!M40</f>
        <v>0.19620150782823995</v>
      </c>
      <c r="D12" s="303">
        <f>NPV($E$4,C$11:C12)+D$10</f>
        <v>0.58444338965167852</v>
      </c>
      <c r="E12" s="11">
        <f>'Step 6'!T40</f>
        <v>0.20266055735268146</v>
      </c>
      <c r="F12" s="303">
        <f>NPV($E$4,E$11:E12)+F$10</f>
        <v>0.60471364143221229</v>
      </c>
      <c r="G12" s="11">
        <f>'Step 6'!AA40</f>
        <v>0.19798361553221525</v>
      </c>
      <c r="H12" s="307">
        <f>NPV($E$4,G$11:G12)+H$10</f>
        <v>0.58182415923353914</v>
      </c>
      <c r="I12" s="7"/>
      <c r="J12" s="189">
        <v>3</v>
      </c>
      <c r="K12" s="11">
        <f t="shared" ref="K12:K39" si="1">K11*(1+$E$3)</f>
        <v>2.3499562990862408</v>
      </c>
      <c r="L12" s="307">
        <f>NPV($E$4,K$11:K12)+L$10</f>
        <v>6.6678503029628455</v>
      </c>
      <c r="M12" s="7"/>
      <c r="N12" s="189">
        <v>3</v>
      </c>
      <c r="O12" s="11">
        <f t="shared" ref="O12:O39" si="2">O11*(1+$E$3)</f>
        <v>0.11662583715345405</v>
      </c>
      <c r="P12" s="307">
        <f>NPV($E$4,O$11:O12)+P$10</f>
        <v>0.33091833405554549</v>
      </c>
    </row>
    <row r="13" spans="1:16">
      <c r="A13" s="7"/>
      <c r="B13" s="304">
        <f t="shared" si="0"/>
        <v>2018</v>
      </c>
      <c r="C13" s="303">
        <f>'Step 6'!M41</f>
        <v>0.20729895622853756</v>
      </c>
      <c r="D13" s="303">
        <f>NPV($E$4,C$11:C13)+D$10</f>
        <v>0.76873140689512964</v>
      </c>
      <c r="E13" s="11">
        <f>'Step 6'!T41</f>
        <v>0.21386651778498972</v>
      </c>
      <c r="F13" s="303">
        <f>NPV($E$4,E$11:E13)+F$10</f>
        <v>0.79484019698469677</v>
      </c>
      <c r="G13" s="11">
        <f>'Step 6'!AA41</f>
        <v>0.20911100334193969</v>
      </c>
      <c r="H13" s="307">
        <f>NPV($E$4,G$11:G13)+H$10</f>
        <v>0.76772307976254495</v>
      </c>
      <c r="I13" s="7"/>
      <c r="J13" s="189">
        <v>4</v>
      </c>
      <c r="K13" s="11">
        <f t="shared" si="1"/>
        <v>2.3894355649108894</v>
      </c>
      <c r="L13" s="307">
        <f>NPV($E$4,K$11:K13)+L$10</f>
        <v>8.7920498194474046</v>
      </c>
      <c r="M13" s="7"/>
      <c r="N13" s="189">
        <v>4</v>
      </c>
      <c r="O13" s="11">
        <f t="shared" si="2"/>
        <v>0.11858515121763206</v>
      </c>
      <c r="P13" s="307">
        <f>NPV($E$4,O$11:O13)+P$10</f>
        <v>0.43634010168046011</v>
      </c>
    </row>
    <row r="14" spans="1:16">
      <c r="A14" s="7"/>
      <c r="B14" s="304">
        <f t="shared" si="0"/>
        <v>2019</v>
      </c>
      <c r="C14" s="303">
        <f>'Step 6'!M42</f>
        <v>0.23173582906045248</v>
      </c>
      <c r="D14" s="303">
        <f>NPV($E$4,C$11:C14)+D$10</f>
        <v>0.96682016478775257</v>
      </c>
      <c r="E14" s="11">
        <f>'Step 6'!T42</f>
        <v>0.23841372565105307</v>
      </c>
      <c r="F14" s="303">
        <f>NPV($E$4,E$11:E14)+F$10</f>
        <v>0.99863724887022798</v>
      </c>
      <c r="G14" s="11">
        <f>'Step 6'!AA42</f>
        <v>0.23357831856535977</v>
      </c>
      <c r="H14" s="307">
        <f>NPV($E$4,G$11:G14)+H$10</f>
        <v>0.96738680540589095</v>
      </c>
      <c r="I14" s="7"/>
      <c r="J14" s="189">
        <v>5</v>
      </c>
      <c r="K14" s="11">
        <f t="shared" si="1"/>
        <v>2.4295780824013922</v>
      </c>
      <c r="L14" s="307">
        <f>NPV($E$4,K$11:K14)+L$10</f>
        <v>10.868863346718081</v>
      </c>
      <c r="M14" s="7"/>
      <c r="N14" s="189">
        <v>5</v>
      </c>
      <c r="O14" s="11">
        <f t="shared" si="2"/>
        <v>0.12057738175808827</v>
      </c>
      <c r="P14" s="307">
        <f>NPV($E$4,O$11:O14)+P$10</f>
        <v>0.53941015295066519</v>
      </c>
    </row>
    <row r="15" spans="1:16">
      <c r="A15" s="7"/>
      <c r="B15" s="304">
        <f t="shared" si="0"/>
        <v>2020</v>
      </c>
      <c r="C15" s="303">
        <f>'Step 6'!M43</f>
        <v>0.25034877300962471</v>
      </c>
      <c r="D15" s="303">
        <f>NPV($E$4,C$11:C15)+D$10</f>
        <v>1.1725886074683072</v>
      </c>
      <c r="E15" s="11">
        <f>'Step 6'!T43</f>
        <v>0.25713885826294736</v>
      </c>
      <c r="F15" s="303">
        <f>NPV($E$4,E$11:E15)+F$10</f>
        <v>1.2099866466776954</v>
      </c>
      <c r="G15" s="11">
        <f>'Step 6'!AA43</f>
        <v>0.25222221633821446</v>
      </c>
      <c r="H15" s="307">
        <f>NPV($E$4,G$11:G15)+H$10</f>
        <v>1.1746950819411908</v>
      </c>
      <c r="I15" s="7"/>
      <c r="J15" s="189">
        <v>6</v>
      </c>
      <c r="K15" s="11">
        <f t="shared" si="1"/>
        <v>2.4703949941857353</v>
      </c>
      <c r="L15" s="307">
        <f>NPV($E$4,K$11:K15)+L$10</f>
        <v>12.899347956841947</v>
      </c>
      <c r="M15" s="7"/>
      <c r="N15" s="189">
        <v>6</v>
      </c>
      <c r="O15" s="11">
        <f t="shared" si="2"/>
        <v>0.12260308177162414</v>
      </c>
      <c r="P15" s="307">
        <f>NPV($E$4,O$11:O15)+P$10</f>
        <v>0.64018094923099644</v>
      </c>
    </row>
    <row r="16" spans="1:16">
      <c r="A16" s="7"/>
      <c r="B16" s="304">
        <f t="shared" si="0"/>
        <v>2021</v>
      </c>
      <c r="C16" s="303">
        <f>'Step 6'!M44</f>
        <v>0.2486292986638122</v>
      </c>
      <c r="D16" s="303">
        <f>NPV($E$4,C$11:C16)+D$10</f>
        <v>1.3690839537244164</v>
      </c>
      <c r="E16" s="11">
        <f>'Step 6'!T44</f>
        <v>0.2555334573493907</v>
      </c>
      <c r="F16" s="303">
        <f>NPV($E$4,E$11:E16)+F$10</f>
        <v>1.4119384498309633</v>
      </c>
      <c r="G16" s="11">
        <f>'Step 6'!AA44</f>
        <v>0.25053421584032221</v>
      </c>
      <c r="H16" s="307">
        <f>NPV($E$4,G$11:G16)+H$10</f>
        <v>1.3726959119122091</v>
      </c>
      <c r="I16" s="7"/>
      <c r="J16" s="189">
        <v>7</v>
      </c>
      <c r="K16" s="11">
        <f t="shared" si="1"/>
        <v>2.5118976300880553</v>
      </c>
      <c r="L16" s="307">
        <f>NPV($E$4,K$11:K16)+L$10</f>
        <v>14.884537141047666</v>
      </c>
      <c r="M16" s="7"/>
      <c r="N16" s="189">
        <v>7</v>
      </c>
      <c r="O16" s="11">
        <f t="shared" si="2"/>
        <v>0.12466281354538741</v>
      </c>
      <c r="P16" s="307">
        <f>NPV($E$4,O$11:O16)+P$10</f>
        <v>0.73870378159430483</v>
      </c>
    </row>
    <row r="17" spans="1:16">
      <c r="A17" s="7"/>
      <c r="B17" s="304">
        <f t="shared" si="0"/>
        <v>2022</v>
      </c>
      <c r="C17" s="303">
        <f>'Step 6'!M45</f>
        <v>0.25156556265568519</v>
      </c>
      <c r="D17" s="303">
        <f>NPV($E$4,C$11:C17)+D$10</f>
        <v>1.5602531059746714</v>
      </c>
      <c r="E17" s="11">
        <f>'Step 6'!T45</f>
        <v>0.25858571120718132</v>
      </c>
      <c r="F17" s="303">
        <f>NPV($E$4,E$11:E17)+F$10</f>
        <v>1.6084423380168247</v>
      </c>
      <c r="G17" s="11">
        <f>'Step 6'!AA45</f>
        <v>0.25350248244076057</v>
      </c>
      <c r="H17" s="307">
        <f>NPV($E$4,G$11:G17)+H$10</f>
        <v>1.5653369640098862</v>
      </c>
      <c r="I17" s="7"/>
      <c r="J17" s="189">
        <v>8</v>
      </c>
      <c r="K17" s="11">
        <f t="shared" si="1"/>
        <v>2.5540975102735346</v>
      </c>
      <c r="L17" s="307">
        <f>NPV($E$4,K$11:K17)+L$10</f>
        <v>16.825441335759564</v>
      </c>
      <c r="M17" s="7"/>
      <c r="N17" s="189">
        <v>8</v>
      </c>
      <c r="O17" s="11">
        <f t="shared" si="2"/>
        <v>0.12675714881294992</v>
      </c>
      <c r="P17" s="307">
        <f>NPV($E$4,O$11:O17)+P$10</f>
        <v>0.83502879692797027</v>
      </c>
    </row>
    <row r="18" spans="1:16">
      <c r="A18" s="7"/>
      <c r="B18" s="304">
        <f t="shared" si="0"/>
        <v>2023</v>
      </c>
      <c r="C18" s="303">
        <f>'Step 6'!M46</f>
        <v>0.26924939441727602</v>
      </c>
      <c r="D18" s="303">
        <f>NPV($E$4,C$11:C18)+D$10</f>
        <v>1.7569910011780907</v>
      </c>
      <c r="E18" s="11">
        <f>'Step 6'!T46</f>
        <v>0.27638748146443742</v>
      </c>
      <c r="F18" s="303">
        <f>NPV($E$4,E$11:E18)+F$10</f>
        <v>1.8103959635080564</v>
      </c>
      <c r="G18" s="11">
        <f>'Step 6'!AA46</f>
        <v>0.2712188544547407</v>
      </c>
      <c r="H18" s="307">
        <f>NPV($E$4,G$11:G18)+H$10</f>
        <v>1.7635139243718241</v>
      </c>
      <c r="I18" s="7"/>
      <c r="J18" s="189">
        <v>9</v>
      </c>
      <c r="K18" s="11">
        <f t="shared" si="1"/>
        <v>2.5970063484461297</v>
      </c>
      <c r="L18" s="307">
        <f>NPV($E$4,K$11:K18)+L$10</f>
        <v>18.72304843689712</v>
      </c>
      <c r="M18" s="7"/>
      <c r="N18" s="189">
        <v>9</v>
      </c>
      <c r="O18" s="11">
        <f t="shared" si="2"/>
        <v>0.12888666891300746</v>
      </c>
      <c r="P18" s="307">
        <f>NPV($E$4,O$11:O18)+P$10</f>
        <v>0.92920502345803846</v>
      </c>
    </row>
    <row r="19" spans="1:16">
      <c r="A19" s="7"/>
      <c r="B19" s="304">
        <f t="shared" si="0"/>
        <v>2024</v>
      </c>
      <c r="C19" s="303">
        <f>'Step 6'!M47</f>
        <v>0.25862362039605752</v>
      </c>
      <c r="D19" s="303">
        <f>NPV($E$4,C$11:C19)+D$10</f>
        <v>1.9386965263757354</v>
      </c>
      <c r="E19" s="11">
        <f>'Step 6'!T47</f>
        <v>0.26588162730561121</v>
      </c>
      <c r="F19" s="303">
        <f>NPV($E$4,E$11:E19)+F$10</f>
        <v>1.997200868087093</v>
      </c>
      <c r="G19" s="11">
        <f>'Step 6'!AA47</f>
        <v>0.26062616736215166</v>
      </c>
      <c r="H19" s="307">
        <f>NPV($E$4,G$11:G19)+H$10</f>
        <v>1.9466264125052202</v>
      </c>
      <c r="I19" s="7"/>
      <c r="J19" s="189">
        <v>10</v>
      </c>
      <c r="K19" s="11">
        <f t="shared" si="1"/>
        <v>2.6406360551000243</v>
      </c>
      <c r="L19" s="307">
        <f>NPV($E$4,K$11:K19)+L$10</f>
        <v>20.578324302701603</v>
      </c>
      <c r="M19" s="7"/>
      <c r="N19" s="189">
        <v>10</v>
      </c>
      <c r="O19" s="11">
        <f t="shared" si="2"/>
        <v>0.13105196495074597</v>
      </c>
      <c r="P19" s="307">
        <f>NPV($E$4,O$11:O19)+P$10</f>
        <v>1.0212803957039742</v>
      </c>
    </row>
    <row r="20" spans="1:16">
      <c r="A20" s="7"/>
      <c r="B20" s="304">
        <f t="shared" si="0"/>
        <v>2025</v>
      </c>
      <c r="C20" s="303">
        <f>'Step 6'!M48</f>
        <v>0.27434931373993193</v>
      </c>
      <c r="D20" s="303">
        <f>NPV($E$4,C$11:C20)+D$10</f>
        <v>2.1240370924803806</v>
      </c>
      <c r="E20" s="11">
        <f>'Step 6'!T48</f>
        <v>0.28172925516556613</v>
      </c>
      <c r="F20" s="303">
        <f>NPV($E$4,E$11:E20)+F$10</f>
        <v>2.1875270581869302</v>
      </c>
      <c r="G20" s="11">
        <f>'Step 6'!AA48</f>
        <v>0.27638550349505642</v>
      </c>
      <c r="H20" s="307">
        <f>NPV($E$4,G$11:G20)+H$10</f>
        <v>2.1333425554493579</v>
      </c>
      <c r="I20" s="7"/>
      <c r="J20" s="189">
        <v>11</v>
      </c>
      <c r="K20" s="11">
        <f t="shared" si="1"/>
        <v>2.6849987408257046</v>
      </c>
      <c r="L20" s="307">
        <f>NPV($E$4,K$11:K20)+L$10</f>
        <v>22.392213245345836</v>
      </c>
      <c r="M20" s="7"/>
      <c r="N20" s="189">
        <v>11</v>
      </c>
      <c r="O20" s="11">
        <f t="shared" si="2"/>
        <v>0.1332536379619185</v>
      </c>
      <c r="P20" s="307">
        <f>NPV($E$4,O$11:O20)+P$10</f>
        <v>1.1113017788767316</v>
      </c>
    </row>
    <row r="21" spans="1:16">
      <c r="A21" s="7"/>
      <c r="B21" s="304">
        <f t="shared" si="0"/>
        <v>2026</v>
      </c>
      <c r="C21" s="303">
        <f>'Step 6'!M49</f>
        <v>0.27612349207616566</v>
      </c>
      <c r="D21" s="303">
        <f>NPV($E$4,C$11:C21)+D$10</f>
        <v>2.3034016476897192</v>
      </c>
      <c r="E21" s="11">
        <f>'Step 6'!T49</f>
        <v>0.28362741651775047</v>
      </c>
      <c r="F21" s="303">
        <f>NPV($E$4,E$11:E21)+F$10</f>
        <v>2.3717660196254133</v>
      </c>
      <c r="G21" s="11">
        <f>'Step 6'!AA49</f>
        <v>0.2781938898191762</v>
      </c>
      <c r="H21" s="307">
        <f>NPV($E$4,G$11:G21)+H$10</f>
        <v>2.3140520015533075</v>
      </c>
      <c r="I21" s="7"/>
      <c r="J21" s="189">
        <v>12</v>
      </c>
      <c r="K21" s="11">
        <f t="shared" si="1"/>
        <v>2.7301067196715763</v>
      </c>
      <c r="L21" s="307">
        <f>NPV($E$4,K$11:K21)+L$10</f>
        <v>24.165638511577235</v>
      </c>
      <c r="M21" s="7"/>
      <c r="N21" s="189">
        <v>12</v>
      </c>
      <c r="O21" s="11">
        <f t="shared" si="2"/>
        <v>0.13549229907967872</v>
      </c>
      <c r="P21" s="307">
        <f>NPV($E$4,O$11:O21)+P$10</f>
        <v>1.1993149927325584</v>
      </c>
    </row>
    <row r="22" spans="1:16">
      <c r="A22" s="7"/>
      <c r="B22" s="304">
        <f t="shared" si="0"/>
        <v>2027</v>
      </c>
      <c r="C22" s="303">
        <f>'Step 6'!M50</f>
        <v>0.29854680733959293</v>
      </c>
      <c r="D22" s="303">
        <f>NPV($E$4,C$11:C22)+D$10</f>
        <v>2.4898731027155772</v>
      </c>
      <c r="E22" s="11">
        <f>'Step 6'!T50</f>
        <v>0.30617679771179629</v>
      </c>
      <c r="F22" s="303">
        <f>NPV($E$4,E$11:E22)+F$10</f>
        <v>2.5630031441260734</v>
      </c>
      <c r="G22" s="11">
        <f>'Step 6'!AA50</f>
        <v>0.30065198776468605</v>
      </c>
      <c r="H22" s="307">
        <f>NPV($E$4,G$11:G22)+H$10</f>
        <v>2.5018383460615126</v>
      </c>
      <c r="I22" s="7"/>
      <c r="J22" s="189">
        <v>13</v>
      </c>
      <c r="K22" s="11">
        <f t="shared" si="1"/>
        <v>2.7759725125620585</v>
      </c>
      <c r="L22" s="307">
        <f>NPV($E$4,K$11:K22)+L$10</f>
        <v>25.89950275263886</v>
      </c>
      <c r="M22" s="7"/>
      <c r="N22" s="189">
        <v>13</v>
      </c>
      <c r="O22" s="11">
        <f t="shared" si="2"/>
        <v>0.1377685697042173</v>
      </c>
      <c r="P22" s="307">
        <f>NPV($E$4,O$11:O22)+P$10</f>
        <v>1.2853648348946782</v>
      </c>
    </row>
    <row r="23" spans="1:16">
      <c r="A23" s="7"/>
      <c r="B23" s="304">
        <f t="shared" si="0"/>
        <v>2028</v>
      </c>
      <c r="C23" s="303">
        <f>'Step 6'!M51</f>
        <v>0.30165573164830156</v>
      </c>
      <c r="D23" s="303">
        <f>NPV($E$4,C$11:C23)+D$10</f>
        <v>2.6710397180775431</v>
      </c>
      <c r="E23" s="11">
        <f>'Step 6'!T51</f>
        <v>0.30941390585875794</v>
      </c>
      <c r="F23" s="303">
        <f>NPV($E$4,E$11:E23)+F$10</f>
        <v>2.7488291178745583</v>
      </c>
      <c r="G23" s="11">
        <f>'Step 6'!AA51</f>
        <v>0.30379627910453616</v>
      </c>
      <c r="H23" s="307">
        <f>NPV($E$4,G$11:G23)+H$10</f>
        <v>2.684290518755835</v>
      </c>
      <c r="I23" s="7"/>
      <c r="J23" s="189">
        <v>14</v>
      </c>
      <c r="K23" s="11">
        <f t="shared" si="1"/>
        <v>2.8226088507731006</v>
      </c>
      <c r="L23" s="307">
        <f>NPV($E$4,K$11:K23)+L$10</f>
        <v>27.594688483707568</v>
      </c>
      <c r="M23" s="7"/>
      <c r="N23" s="189">
        <v>14</v>
      </c>
      <c r="O23" s="11">
        <f t="shared" si="2"/>
        <v>0.14008308167524813</v>
      </c>
      <c r="P23" s="307">
        <f>NPV($E$4,O$11:O23)+P$10</f>
        <v>1.3694951036547196</v>
      </c>
    </row>
    <row r="24" spans="1:16">
      <c r="A24" s="7"/>
      <c r="B24" s="304">
        <f t="shared" si="0"/>
        <v>2029</v>
      </c>
      <c r="C24" s="303">
        <f>'Step 6'!M52</f>
        <v>0.32464550657555696</v>
      </c>
      <c r="D24" s="303">
        <f>NPV($E$4,C$11:C24)+D$10</f>
        <v>2.8585144088749903</v>
      </c>
      <c r="E24" s="11">
        <f>'Step 6'!T52</f>
        <v>0.33253401811274907</v>
      </c>
      <c r="F24" s="303">
        <f>NPV($E$4,E$11:E24)+F$10</f>
        <v>2.9408592275252863</v>
      </c>
      <c r="G24" s="11">
        <f>'Step 6'!AA52</f>
        <v>0.32682201522905635</v>
      </c>
      <c r="H24" s="307">
        <f>NPV($E$4,G$11:G24)+H$10</f>
        <v>2.8730220890682237</v>
      </c>
      <c r="I24" s="7"/>
      <c r="J24" s="189">
        <v>15</v>
      </c>
      <c r="K24" s="11">
        <f t="shared" si="1"/>
        <v>2.8700286794660883</v>
      </c>
      <c r="L24" s="307">
        <f>NPV($E$4,K$11:K24)+L$10</f>
        <v>29.252058533083204</v>
      </c>
      <c r="M24" s="7"/>
      <c r="N24" s="189">
        <v>15</v>
      </c>
      <c r="O24" s="11">
        <f t="shared" si="2"/>
        <v>0.1424364774473923</v>
      </c>
      <c r="P24" s="307">
        <f>NPV($E$4,O$11:O24)+P$10</f>
        <v>1.451748620265499</v>
      </c>
    </row>
    <row r="25" spans="1:16">
      <c r="A25" s="7"/>
      <c r="B25" s="304">
        <f t="shared" si="0"/>
        <v>2030</v>
      </c>
      <c r="C25" s="303">
        <f>'Step 6'!M53</f>
        <v>0.32742708073636551</v>
      </c>
      <c r="D25" s="303">
        <f>NPV($E$4,C$11:C25)+D$10</f>
        <v>3.0403230440349276</v>
      </c>
      <c r="E25" s="11">
        <f>'Step 6'!T53</f>
        <v>0.33544811926738244</v>
      </c>
      <c r="F25" s="303">
        <f>NPV($E$4,E$11:E25)+F$10</f>
        <v>3.1271216606563925</v>
      </c>
      <c r="G25" s="11">
        <f>'Step 6'!AA53</f>
        <v>0.32964015473524372</v>
      </c>
      <c r="H25" s="307">
        <f>NPV($E$4,G$11:G25)+H$10</f>
        <v>3.0560595656616161</v>
      </c>
      <c r="I25" s="7"/>
      <c r="J25" s="189">
        <v>16</v>
      </c>
      <c r="K25" s="11">
        <f t="shared" si="1"/>
        <v>2.9182451612811184</v>
      </c>
      <c r="L25" s="307">
        <f>NPV($E$4,K$11:K25)+L$10</f>
        <v>30.872456481357386</v>
      </c>
      <c r="M25" s="7"/>
      <c r="N25" s="189">
        <v>16</v>
      </c>
      <c r="O25" s="11">
        <f t="shared" si="2"/>
        <v>0.14482941026850848</v>
      </c>
      <c r="P25" s="307">
        <f>NPV($E$4,O$11:O25)+P$10</f>
        <v>1.5321672507364992</v>
      </c>
    </row>
    <row r="26" spans="1:16">
      <c r="A26" s="7"/>
      <c r="B26" s="304">
        <f t="shared" si="0"/>
        <v>2031</v>
      </c>
      <c r="C26" s="303">
        <f>'Step 6'!M54</f>
        <v>0.33256695965349237</v>
      </c>
      <c r="D26" s="303">
        <f>NPV($E$4,C$11:C26)+D$10</f>
        <v>3.2178832627569105</v>
      </c>
      <c r="E26" s="11">
        <f>'Step 6'!T54</f>
        <v>0.3407227516318303</v>
      </c>
      <c r="F26" s="303">
        <f>NPV($E$4,E$11:E26)+F$10</f>
        <v>3.3090363233948028</v>
      </c>
      <c r="G26" s="11">
        <f>'Step 6'!AA54</f>
        <v>0.33481721329555175</v>
      </c>
      <c r="H26" s="307">
        <f>NPV($E$4,G$11:G26)+H$10</f>
        <v>3.234821213200461</v>
      </c>
      <c r="I26" s="7"/>
      <c r="J26" s="189">
        <v>17</v>
      </c>
      <c r="K26" s="11">
        <f t="shared" si="1"/>
        <v>2.9672716799906409</v>
      </c>
      <c r="L26" s="307">
        <f>NPV($E$4,K$11:K26)+L$10</f>
        <v>32.45670709078545</v>
      </c>
      <c r="M26" s="7"/>
      <c r="N26" s="189">
        <v>17</v>
      </c>
      <c r="O26" s="11">
        <f t="shared" si="2"/>
        <v>0.1472625443610194</v>
      </c>
      <c r="P26" s="307">
        <f>NPV($E$4,O$11:O26)+P$10</f>
        <v>1.6107919271431463</v>
      </c>
    </row>
    <row r="27" spans="1:16">
      <c r="A27" s="7"/>
      <c r="B27" s="304">
        <f t="shared" si="0"/>
        <v>2032</v>
      </c>
      <c r="C27" s="303">
        <f>'Step 6'!M55</f>
        <v>0.3392542327815502</v>
      </c>
      <c r="D27" s="303">
        <f>NPV($E$4,C$11:C27)+D$10</f>
        <v>3.3920473094089272</v>
      </c>
      <c r="E27" s="11">
        <f>'Step 6'!T55</f>
        <v>0.34754704206512438</v>
      </c>
      <c r="F27" s="303">
        <f>NPV($E$4,E$11:E27)+F$10</f>
        <v>3.4874576764659579</v>
      </c>
      <c r="G27" s="11">
        <f>'Step 6'!AA55</f>
        <v>0.34154229068479625</v>
      </c>
      <c r="H27" s="307">
        <f>NPV($E$4,G$11:G27)+H$10</f>
        <v>3.4101598875649639</v>
      </c>
      <c r="I27" s="7"/>
      <c r="J27" s="189">
        <v>18</v>
      </c>
      <c r="K27" s="11">
        <f t="shared" si="1"/>
        <v>3.0171218442144836</v>
      </c>
      <c r="L27" s="307">
        <f>NPV($E$4,K$11:K27)+L$10</f>
        <v>34.005616725080117</v>
      </c>
      <c r="M27" s="7"/>
      <c r="N27" s="189">
        <v>18</v>
      </c>
      <c r="O27" s="11">
        <f t="shared" si="2"/>
        <v>0.14973655510628453</v>
      </c>
      <c r="P27" s="307">
        <f>NPV($E$4,O$11:O27)+P$10</f>
        <v>1.6876626684607221</v>
      </c>
    </row>
    <row r="28" spans="1:16">
      <c r="A28" s="7"/>
      <c r="B28" s="304">
        <f t="shared" si="0"/>
        <v>2033</v>
      </c>
      <c r="C28" s="303">
        <f>'Step 6'!M56</f>
        <v>0.35306999959587843</v>
      </c>
      <c r="D28" s="303">
        <f>NPV($E$4,C$11:C28)+D$10</f>
        <v>3.5663325898949072</v>
      </c>
      <c r="E28" s="11">
        <f>'Step 6'!T56</f>
        <v>0.3615021280754166</v>
      </c>
      <c r="F28" s="303">
        <f>NPV($E$4,E$11:E28)+F$10</f>
        <v>3.6659052926894184</v>
      </c>
      <c r="G28" s="11">
        <f>'Step 6'!AA56</f>
        <v>0.35539649687189889</v>
      </c>
      <c r="H28" s="307">
        <f>NPV($E$4,G$11:G28)+H$10</f>
        <v>3.5855935925298437</v>
      </c>
      <c r="I28" s="7"/>
      <c r="J28" s="189">
        <v>19</v>
      </c>
      <c r="K28" s="11">
        <f t="shared" si="1"/>
        <v>3.0678094911972869</v>
      </c>
      <c r="L28" s="307">
        <f>NPV($E$4,K$11:K28)+L$10</f>
        <v>35.519973759840518</v>
      </c>
      <c r="M28" s="7"/>
      <c r="N28" s="189">
        <v>19</v>
      </c>
      <c r="O28" s="11">
        <f t="shared" si="2"/>
        <v>0.1522521292320701</v>
      </c>
      <c r="P28" s="307">
        <f>NPV($E$4,O$11:O28)+P$10</f>
        <v>1.7628186009335212</v>
      </c>
    </row>
    <row r="29" spans="1:16">
      <c r="A29" s="7"/>
      <c r="B29" s="304">
        <f t="shared" si="0"/>
        <v>2034</v>
      </c>
      <c r="C29" s="303">
        <f>'Step 6'!M57</f>
        <v>0.36264297314316463</v>
      </c>
      <c r="D29" s="303">
        <f>NPV($E$4,C$11:C29)+D$10</f>
        <v>3.7384583297320404</v>
      </c>
      <c r="E29" s="11">
        <f>'Step 6'!T57</f>
        <v>0.371216761381159</v>
      </c>
      <c r="F29" s="303">
        <f>NPV($E$4,E$11:E29)+F$10</f>
        <v>3.8421005161591184</v>
      </c>
      <c r="G29" s="11">
        <f>'Step 6'!AA57</f>
        <v>0.36500855557342227</v>
      </c>
      <c r="H29" s="307">
        <f>NPV($E$4,G$11:G29)+H$10</f>
        <v>3.7588421381459627</v>
      </c>
      <c r="I29" s="7"/>
      <c r="J29" s="189">
        <v>20</v>
      </c>
      <c r="K29" s="11">
        <f t="shared" si="1"/>
        <v>3.1193486906494012</v>
      </c>
      <c r="L29" s="307">
        <f>NPV($E$4,K$11:K29)+L$10</f>
        <v>37.000548983825496</v>
      </c>
      <c r="M29" s="7"/>
      <c r="N29" s="189">
        <v>20</v>
      </c>
      <c r="O29" s="11">
        <f t="shared" si="2"/>
        <v>0.15480996500316888</v>
      </c>
      <c r="P29" s="307">
        <f>NPV($E$4,O$11:O29)+P$10</f>
        <v>1.8362979779896191</v>
      </c>
    </row>
    <row r="30" spans="1:16">
      <c r="A30" s="7"/>
      <c r="B30" s="304">
        <f t="shared" si="0"/>
        <v>2035</v>
      </c>
      <c r="C30" s="303">
        <f>'Step 6'!M58</f>
        <v>0.37757874814040271</v>
      </c>
      <c r="D30" s="303">
        <f>NPV($E$4,C$11:C30)+D$10</f>
        <v>3.9107803415463454</v>
      </c>
      <c r="E30" s="11">
        <f>'Step 6'!T58</f>
        <v>0.38629657602079542</v>
      </c>
      <c r="F30" s="303">
        <f>NPV($E$4,E$11:E30)+F$10</f>
        <v>4.0184012308172647</v>
      </c>
      <c r="G30" s="11">
        <f>'Step 6'!AA58</f>
        <v>0.3799840723554887</v>
      </c>
      <c r="H30" s="307">
        <f>NPV($E$4,G$11:G30)+H$10</f>
        <v>3.9322619085334152</v>
      </c>
      <c r="I30" s="7"/>
      <c r="J30" s="189">
        <v>21</v>
      </c>
      <c r="K30" s="11">
        <f t="shared" si="1"/>
        <v>3.1717537486523111</v>
      </c>
      <c r="L30" s="307">
        <f>NPV($E$4,K$11:K30)+L$10</f>
        <v>38.448095991275423</v>
      </c>
      <c r="M30" s="7"/>
      <c r="N30" s="189">
        <v>21</v>
      </c>
      <c r="O30" s="11">
        <f t="shared" si="2"/>
        <v>0.15741077241522211</v>
      </c>
      <c r="P30" s="307">
        <f>NPV($E$4,O$11:O30)+P$10</f>
        <v>1.9081381997113889</v>
      </c>
    </row>
    <row r="31" spans="1:16">
      <c r="A31" s="7"/>
      <c r="B31" s="304">
        <f t="shared" si="0"/>
        <v>2036</v>
      </c>
      <c r="C31" s="303">
        <f>'Step 6'!M59</f>
        <v>0.38851159575040356</v>
      </c>
      <c r="D31" s="303">
        <f>NPV($E$4,C$11:C31)+D$10</f>
        <v>4.0812722845735738</v>
      </c>
      <c r="E31" s="11">
        <f>'Step 6'!T59</f>
        <v>0.39737588313918681</v>
      </c>
      <c r="F31" s="303">
        <f>NPV($E$4,E$11:E31)+F$10</f>
        <v>4.1927831210095103</v>
      </c>
      <c r="G31" s="11">
        <f>'Step 6'!AA59</f>
        <v>0.39095732941230305</v>
      </c>
      <c r="H31" s="307">
        <f>NPV($E$4,G$11:G31)+H$10</f>
        <v>4.1038271216733131</v>
      </c>
      <c r="I31" s="7"/>
      <c r="J31" s="189">
        <v>22</v>
      </c>
      <c r="K31" s="11">
        <f t="shared" si="1"/>
        <v>3.2250392116296696</v>
      </c>
      <c r="L31" s="307">
        <f>NPV($E$4,K$11:K31)+L$10</f>
        <v>39.86335156548224</v>
      </c>
      <c r="M31" s="7"/>
      <c r="N31" s="189">
        <v>22</v>
      </c>
      <c r="O31" s="11">
        <f t="shared" si="2"/>
        <v>0.16005527339179784</v>
      </c>
      <c r="P31" s="307">
        <f>NPV($E$4,O$11:O31)+P$10</f>
        <v>1.9783758318716729</v>
      </c>
    </row>
    <row r="32" spans="1:16">
      <c r="A32" s="7"/>
      <c r="B32" s="304">
        <f t="shared" si="0"/>
        <v>2037</v>
      </c>
      <c r="C32" s="303">
        <f>'Step 6'!M60</f>
        <v>0.39976634784641318</v>
      </c>
      <c r="D32" s="303">
        <f>NPV($E$4,C$11:C32)+D$10</f>
        <v>4.249955848449007</v>
      </c>
      <c r="E32" s="11">
        <f>'Step 6'!T60</f>
        <v>0.40877955526332804</v>
      </c>
      <c r="F32" s="303">
        <f>NPV($E$4,E$11:E32)+F$10</f>
        <v>4.3652698563055097</v>
      </c>
      <c r="G32" s="11">
        <f>'Step 6'!AA60</f>
        <v>0.40225316983383252</v>
      </c>
      <c r="H32" s="307">
        <f>NPV($E$4,G$11:G32)+H$10</f>
        <v>4.2735600134819789</v>
      </c>
      <c r="I32" s="7"/>
      <c r="J32" s="189">
        <v>23</v>
      </c>
      <c r="K32" s="11">
        <f t="shared" si="1"/>
        <v>3.2792198703850479</v>
      </c>
      <c r="L32" s="307">
        <f>NPV($E$4,K$11:K32)+L$10</f>
        <v>41.247036053802901</v>
      </c>
      <c r="M32" s="7"/>
      <c r="N32" s="189">
        <v>23</v>
      </c>
      <c r="O32" s="11">
        <f t="shared" si="2"/>
        <v>0.16274420198478004</v>
      </c>
      <c r="P32" s="307">
        <f>NPV($E$4,O$11:O32)+P$10</f>
        <v>2.0470466245453043</v>
      </c>
    </row>
    <row r="33" spans="1:16">
      <c r="A33" s="7"/>
      <c r="B33" s="304">
        <f t="shared" si="0"/>
        <v>2038</v>
      </c>
      <c r="C33" s="303">
        <f>'Step 6'!M61</f>
        <v>0.41135257587556068</v>
      </c>
      <c r="D33" s="303">
        <f>NPV($E$4,C$11:C33)+D$10</f>
        <v>4.4168524207598665</v>
      </c>
      <c r="E33" s="11">
        <f>'Step 6'!T61</f>
        <v>0.42051720517707963</v>
      </c>
      <c r="F33" s="303">
        <f>NPV($E$4,E$11:E33)+F$10</f>
        <v>4.5358847600590915</v>
      </c>
      <c r="G33" s="11">
        <f>'Step 6'!AA61</f>
        <v>0.41388117647236866</v>
      </c>
      <c r="H33" s="307">
        <f>NPV($E$4,G$11:G33)+H$10</f>
        <v>4.4414825056414058</v>
      </c>
      <c r="I33" s="7"/>
      <c r="J33" s="189">
        <v>24</v>
      </c>
      <c r="K33" s="11">
        <f t="shared" si="1"/>
        <v>3.3343107642075163</v>
      </c>
      <c r="L33" s="307">
        <f>NPV($E$4,K$11:K33)+L$10</f>
        <v>42.599853734307175</v>
      </c>
      <c r="M33" s="7"/>
      <c r="N33" s="189">
        <v>24</v>
      </c>
      <c r="O33" s="11">
        <f t="shared" si="2"/>
        <v>0.16547830457812435</v>
      </c>
      <c r="P33" s="307">
        <f>NPV($E$4,O$11:O33)+P$10</f>
        <v>2.1141855303054471</v>
      </c>
    </row>
    <row r="34" spans="1:16">
      <c r="A34" s="7"/>
      <c r="B34" s="304">
        <f t="shared" si="0"/>
        <v>2039</v>
      </c>
      <c r="C34" s="303">
        <f>'Step 6'!M62</f>
        <v>0.42328013748497406</v>
      </c>
      <c r="D34" s="303">
        <f>NPV($E$4,C$11:C34)+D$10</f>
        <v>4.5819830920560873</v>
      </c>
      <c r="E34" s="11">
        <f>'Step 6'!T62</f>
        <v>0.43259873255875853</v>
      </c>
      <c r="F34" s="303">
        <f>NPV($E$4,E$11:E34)+F$10</f>
        <v>4.704650815404313</v>
      </c>
      <c r="G34" s="11">
        <f>'Step 6'!AA62</f>
        <v>0.42585121857180841</v>
      </c>
      <c r="H34" s="307">
        <f>NPV($E$4,G$11:G34)+H$10</f>
        <v>4.6076162108818819</v>
      </c>
      <c r="I34" s="7"/>
      <c r="J34" s="189">
        <v>25</v>
      </c>
      <c r="K34" s="11">
        <f t="shared" si="1"/>
        <v>3.3903271850462025</v>
      </c>
      <c r="L34" s="307">
        <f>NPV($E$4,K$11:K34)+L$10</f>
        <v>43.922493174246362</v>
      </c>
      <c r="M34" s="7"/>
      <c r="N34" s="189">
        <v>25</v>
      </c>
      <c r="O34" s="11">
        <f t="shared" si="2"/>
        <v>0.16825834009503682</v>
      </c>
      <c r="P34" s="307">
        <f>NPV($E$4,O$11:O34)+P$10</f>
        <v>2.1798267220140177</v>
      </c>
    </row>
    <row r="35" spans="1:16">
      <c r="A35" s="7"/>
      <c r="B35" s="304">
        <f t="shared" si="0"/>
        <v>2040</v>
      </c>
      <c r="C35" s="303">
        <f>'Step 6'!M63</f>
        <v>0.43555918510687447</v>
      </c>
      <c r="D35" s="303">
        <f>NPV($E$4,C$11:C35)+D$10</f>
        <v>4.7453686607657204</v>
      </c>
      <c r="E35" s="11">
        <f>'Step 6'!T63</f>
        <v>0.44503433257789854</v>
      </c>
      <c r="F35" s="303">
        <f>NPV($E$4,E$11:E35)+F$10</f>
        <v>4.871590671134161</v>
      </c>
      <c r="G35" s="11">
        <f>'Step 6'!AA63</f>
        <v>0.43817346035596771</v>
      </c>
      <c r="H35" s="307">
        <f>NPV($E$4,G$11:G35)+H$10</f>
        <v>4.7719824381631666</v>
      </c>
      <c r="I35" s="7"/>
      <c r="J35" s="189">
        <v>26</v>
      </c>
      <c r="K35" s="11">
        <f t="shared" si="1"/>
        <v>3.4472846817549785</v>
      </c>
      <c r="L35" s="307">
        <f>NPV($E$4,K$11:K35)+L$10</f>
        <v>45.215627580525364</v>
      </c>
      <c r="M35" s="7"/>
      <c r="N35" s="189">
        <v>26</v>
      </c>
      <c r="O35" s="11">
        <f t="shared" si="2"/>
        <v>0.17108508020863342</v>
      </c>
      <c r="P35" s="307">
        <f>NPV($E$4,O$11:O35)+P$10</f>
        <v>2.244003610215243</v>
      </c>
    </row>
    <row r="36" spans="1:16">
      <c r="A36" s="7"/>
      <c r="B36" s="304">
        <f t="shared" si="0"/>
        <v>2041</v>
      </c>
      <c r="C36" s="303">
        <f>'Step 6'!M64</f>
        <v>0.44820017480165691</v>
      </c>
      <c r="D36" s="303">
        <f>NPV($E$4,C$11:C36)+D$10</f>
        <v>4.9070296380169376</v>
      </c>
      <c r="E36" s="11">
        <f>'Step 6'!T64</f>
        <v>0.45783450475019422</v>
      </c>
      <c r="F36" s="303">
        <f>NPV($E$4,E$11:E36)+F$10</f>
        <v>5.0367266474643726</v>
      </c>
      <c r="G36" s="11">
        <f>'Step 6'!AA64</f>
        <v>0.45085836987493483</v>
      </c>
      <c r="H36" s="307">
        <f>NPV($E$4,G$11:G36)+H$10</f>
        <v>4.9346021977563588</v>
      </c>
      <c r="I36" s="7"/>
      <c r="J36" s="189">
        <v>27</v>
      </c>
      <c r="K36" s="11">
        <f t="shared" si="1"/>
        <v>3.5051990644084619</v>
      </c>
      <c r="L36" s="307">
        <f>NPV($E$4,K$11:K36)+L$10</f>
        <v>46.479915142356603</v>
      </c>
      <c r="M36" s="7"/>
      <c r="N36" s="189">
        <v>27</v>
      </c>
      <c r="O36" s="11">
        <f t="shared" si="2"/>
        <v>0.17395930955613845</v>
      </c>
      <c r="P36" s="307">
        <f>NPV($E$4,O$11:O36)+P$10</f>
        <v>2.3067488601412105</v>
      </c>
    </row>
    <row r="37" spans="1:16">
      <c r="A37" s="7"/>
      <c r="B37" s="304">
        <f t="shared" si="0"/>
        <v>2042</v>
      </c>
      <c r="C37" s="303">
        <f>'Step 6'!M65</f>
        <v>0.46121387536672009</v>
      </c>
      <c r="D37" s="303">
        <f>NPV($E$4,C$11:C37)+D$10</f>
        <v>5.066986252368566</v>
      </c>
      <c r="E37" s="11">
        <f>'Step 6'!T65</f>
        <v>0.4710100620583928</v>
      </c>
      <c r="F37" s="303">
        <f>NPV($E$4,E$11:E37)+F$10</f>
        <v>5.2000807416847739</v>
      </c>
      <c r="G37" s="11">
        <f>'Step 6'!AA65</f>
        <v>0.46391672811722912</v>
      </c>
      <c r="H37" s="307">
        <f>NPV($E$4,G$11:G37)+H$10</f>
        <v>5.0954962062284901</v>
      </c>
      <c r="I37" s="7"/>
      <c r="J37" s="189">
        <v>28</v>
      </c>
      <c r="K37" s="11">
        <f t="shared" si="1"/>
        <v>3.5640864086905237</v>
      </c>
      <c r="L37" s="307">
        <f>NPV($E$4,K$11:K37)+L$10</f>
        <v>47.715999366270069</v>
      </c>
      <c r="M37" s="7"/>
      <c r="N37" s="189">
        <v>28</v>
      </c>
      <c r="O37" s="11">
        <f t="shared" si="2"/>
        <v>0.17688182595668156</v>
      </c>
      <c r="P37" s="307">
        <f>NPV($E$4,O$11:O37)+P$10</f>
        <v>2.3680944083380604</v>
      </c>
    </row>
    <row r="38" spans="1:16">
      <c r="A38" s="7"/>
      <c r="B38" s="304">
        <f t="shared" si="0"/>
        <v>2043</v>
      </c>
      <c r="C38" s="303">
        <f>'Step 6'!M66</f>
        <v>0.47461137771903861</v>
      </c>
      <c r="D38" s="303">
        <f>NPV($E$4,C$11:C38)+D$10</f>
        <v>5.2252584544510521</v>
      </c>
      <c r="E38" s="11">
        <f>'Step 6'!T66</f>
        <v>0.48457214034713142</v>
      </c>
      <c r="F38" s="303">
        <f>NPV($E$4,E$11:E38)+F$10</f>
        <v>5.3616746337004972</v>
      </c>
      <c r="G38" s="11">
        <f>'Step 6'!AA66</f>
        <v>0.47735963839575618</v>
      </c>
      <c r="H38" s="307">
        <f>NPV($E$4,G$11:G38)+H$10</f>
        <v>5.2546848913318662</v>
      </c>
      <c r="I38" s="7"/>
      <c r="J38" s="189">
        <v>29</v>
      </c>
      <c r="K38" s="11">
        <f t="shared" si="1"/>
        <v>3.623963060356524</v>
      </c>
      <c r="L38" s="307">
        <f>NPV($E$4,K$11:K38)+L$10</f>
        <v>48.924509403650077</v>
      </c>
      <c r="M38" s="7"/>
      <c r="N38" s="189">
        <v>29</v>
      </c>
      <c r="O38" s="11">
        <f t="shared" si="2"/>
        <v>0.1798534406327538</v>
      </c>
      <c r="P38" s="307">
        <f>NPV($E$4,O$11:O38)+P$10</f>
        <v>2.4280714789212881</v>
      </c>
    </row>
    <row r="39" spans="1:16">
      <c r="A39" s="7"/>
      <c r="B39" s="310">
        <f t="shared" si="0"/>
        <v>2044</v>
      </c>
      <c r="C39" s="305">
        <f>'Step 6'!M67</f>
        <v>0.48840410455971078</v>
      </c>
      <c r="D39" s="305">
        <f>NPV($E$4,C$11:C39)+D$10</f>
        <v>5.3818659215196769</v>
      </c>
      <c r="E39" s="308">
        <f>'Step 6'!T67</f>
        <v>0.49853220799995551</v>
      </c>
      <c r="F39" s="305">
        <f>NPV($E$4,E$11:E39)+F$10</f>
        <v>5.5215296914653882</v>
      </c>
      <c r="G39" s="308">
        <f>'Step 6'!AA67</f>
        <v>0.49119853601579727</v>
      </c>
      <c r="H39" s="309">
        <f>NPV($E$4,G$11:G39)+H$10</f>
        <v>5.4121883968001461</v>
      </c>
      <c r="I39" s="7"/>
      <c r="J39" s="190">
        <v>30</v>
      </c>
      <c r="K39" s="308">
        <f t="shared" si="1"/>
        <v>3.6848456397705136</v>
      </c>
      <c r="L39" s="309">
        <f>NPV($E$4,K$11:K39)+L$10</f>
        <v>50.106060370965459</v>
      </c>
      <c r="M39" s="7"/>
      <c r="N39" s="190">
        <v>30</v>
      </c>
      <c r="O39" s="308">
        <f t="shared" si="2"/>
        <v>0.18287497843538406</v>
      </c>
      <c r="P39" s="309">
        <f>NPV($E$4,O$11:O39)+P$10</f>
        <v>2.4867105994684282</v>
      </c>
    </row>
  </sheetData>
  <sheetProtection sheet="1" objects="1" scenarios="1"/>
  <mergeCells count="18">
    <mergeCell ref="N7:N8"/>
    <mergeCell ref="O7:P7"/>
    <mergeCell ref="O8:P8"/>
    <mergeCell ref="B7:B8"/>
    <mergeCell ref="C7:F7"/>
    <mergeCell ref="G7:H7"/>
    <mergeCell ref="J7:J8"/>
    <mergeCell ref="G8:H8"/>
    <mergeCell ref="K7:L7"/>
    <mergeCell ref="C8:D8"/>
    <mergeCell ref="E8:F8"/>
    <mergeCell ref="K8:L8"/>
    <mergeCell ref="N6:P6"/>
    <mergeCell ref="B2:I2"/>
    <mergeCell ref="C3:D3"/>
    <mergeCell ref="C4:D4"/>
    <mergeCell ref="B6:H6"/>
    <mergeCell ref="J6:L6"/>
  </mergeCells>
  <pageMargins left="0.70866141732283472" right="0.70866141732283472" top="0.74803149606299213" bottom="0.74803149606299213" header="0.31496062992125984" footer="0.31496062992125984"/>
  <pageSetup scale="76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Step 1</vt:lpstr>
      <vt:lpstr>Step 2</vt:lpstr>
      <vt:lpstr>Step 3</vt:lpstr>
      <vt:lpstr>Step 4</vt:lpstr>
      <vt:lpstr>Step 5</vt:lpstr>
      <vt:lpstr>Step 6</vt:lpstr>
      <vt:lpstr>Final Avoided costs</vt:lpstr>
      <vt:lpstr>'Step 6'!ToNode</vt:lpstr>
    </vt:vector>
  </TitlesOfParts>
  <Company>DEGT-Canada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Lynch, Tracy</dc:creator>
  <cp:lastModifiedBy>Shaw, Carly</cp:lastModifiedBy>
  <cp:lastPrinted>2015-06-12T15:01:32Z</cp:lastPrinted>
  <dcterms:created xsi:type="dcterms:W3CDTF">2007-09-17T20:36:11Z</dcterms:created>
  <dcterms:modified xsi:type="dcterms:W3CDTF">2015-06-12T15:01:45Z</dcterms:modified>
</cp:coreProperties>
</file>