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20" activeTab="0"/>
  </bookViews>
  <sheets>
    <sheet name="21 Day Strip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Brunner, Nicole</author>
    <author>Organ, Ryan</author>
  </authors>
  <commentList>
    <comment ref="G5" authorId="0">
      <text>
        <r>
          <rPr>
            <b/>
            <sz val="8"/>
            <rFont val="Tahoma"/>
            <family val="2"/>
          </rPr>
          <t>Brunner, Nicole:</t>
        </r>
        <r>
          <rPr>
            <sz val="8"/>
            <rFont val="Tahoma"/>
            <family val="2"/>
          </rPr>
          <t xml:space="preserve">
No actuals as pipe was left empty, used basis at time of fill no fill for AMA. </t>
        </r>
      </text>
    </comment>
    <comment ref="H5" authorId="0">
      <text>
        <r>
          <rPr>
            <b/>
            <sz val="8"/>
            <rFont val="Tahoma"/>
            <family val="2"/>
          </rPr>
          <t>Brunner, Nicole:</t>
        </r>
        <r>
          <rPr>
            <sz val="8"/>
            <rFont val="Tahoma"/>
            <family val="2"/>
          </rPr>
          <t xml:space="preserve">
No actuals as pipe was left empty, used basis at time of fill no fill for AMA.</t>
        </r>
      </text>
    </comment>
    <comment ref="H7" authorId="0">
      <text>
        <r>
          <rPr>
            <b/>
            <sz val="8"/>
            <rFont val="Tahoma"/>
            <family val="2"/>
          </rPr>
          <t>Brunner, Nicole:</t>
        </r>
        <r>
          <rPr>
            <sz val="8"/>
            <rFont val="Tahoma"/>
            <family val="2"/>
          </rPr>
          <t xml:space="preserve">
Actual not known yet, used May 31st Niagara basis</t>
        </r>
      </text>
    </comment>
    <comment ref="F6" authorId="0">
      <text>
        <r>
          <rPr>
            <b/>
            <sz val="8"/>
            <rFont val="Tahoma"/>
            <family val="2"/>
          </rPr>
          <t>Brunner, Nicole:</t>
        </r>
        <r>
          <rPr>
            <sz val="8"/>
            <rFont val="Tahoma"/>
            <family val="2"/>
          </rPr>
          <t xml:space="preserve">
No actuals due to mitigation used basis at time of AMA fill no fill. </t>
        </r>
      </text>
    </comment>
    <comment ref="H4" authorId="0">
      <text>
        <r>
          <rPr>
            <b/>
            <sz val="8"/>
            <rFont val="Tahoma"/>
            <family val="2"/>
          </rPr>
          <t>Brunner, Nicole:</t>
        </r>
        <r>
          <rPr>
            <sz val="8"/>
            <rFont val="Tahoma"/>
            <family val="2"/>
          </rPr>
          <t xml:space="preserve">
Actual not available yet, used forecast</t>
        </r>
      </text>
    </comment>
    <comment ref="H12" authorId="0">
      <text>
        <r>
          <rPr>
            <b/>
            <sz val="8"/>
            <rFont val="Tahoma"/>
            <family val="2"/>
          </rPr>
          <t>Brunner, Nicole:</t>
        </r>
        <r>
          <rPr>
            <sz val="8"/>
            <rFont val="Tahoma"/>
            <family val="2"/>
          </rPr>
          <t xml:space="preserve">
Not available yet, used noon rate May 31</t>
        </r>
      </text>
    </comment>
    <comment ref="K5" authorId="0">
      <text>
        <r>
          <rPr>
            <b/>
            <sz val="9"/>
            <rFont val="Tahoma"/>
            <family val="2"/>
          </rPr>
          <t>Brunner, Nicole:</t>
        </r>
        <r>
          <rPr>
            <sz val="9"/>
            <rFont val="Tahoma"/>
            <family val="2"/>
          </rPr>
          <t xml:space="preserve">
Used forecast as actual, not doing any trunkline purchases july-sept</t>
        </r>
      </text>
    </comment>
    <comment ref="J6" authorId="0">
      <text>
        <r>
          <rPr>
            <b/>
            <sz val="9"/>
            <rFont val="Tahoma"/>
            <family val="2"/>
          </rPr>
          <t>Brunner, Nicole:</t>
        </r>
        <r>
          <rPr>
            <sz val="9"/>
            <rFont val="Tahoma"/>
            <family val="2"/>
          </rPr>
          <t xml:space="preserve">
no actuals because no purchases for July+Aug, used forecast as actuals</t>
        </r>
      </text>
    </comment>
    <comment ref="K6" authorId="0">
      <text>
        <r>
          <rPr>
            <b/>
            <sz val="9"/>
            <rFont val="Tahoma"/>
            <family val="2"/>
          </rPr>
          <t>Brunner, Nicole:</t>
        </r>
        <r>
          <rPr>
            <sz val="9"/>
            <rFont val="Tahoma"/>
            <family val="2"/>
          </rPr>
          <t xml:space="preserve">
Actuals not available yet, used Nymex+dawn basis + purchase premium</t>
        </r>
      </text>
    </comment>
    <comment ref="K7" authorId="0">
      <text>
        <r>
          <rPr>
            <b/>
            <sz val="9"/>
            <rFont val="Tahoma"/>
            <family val="2"/>
          </rPr>
          <t>Brunner, Nicole:</t>
        </r>
        <r>
          <rPr>
            <sz val="9"/>
            <rFont val="Tahoma"/>
            <family val="2"/>
          </rPr>
          <t xml:space="preserve">
Actuals not available yet, used Nymex+Niagara basis -.24</t>
        </r>
      </text>
    </comment>
    <comment ref="L6" authorId="0">
      <text>
        <r>
          <rPr>
            <b/>
            <sz val="9"/>
            <rFont val="Tahoma"/>
            <family val="2"/>
          </rPr>
          <t>Brunner, Nicole:</t>
        </r>
        <r>
          <rPr>
            <sz val="9"/>
            <rFont val="Tahoma"/>
            <family val="2"/>
          </rPr>
          <t xml:space="preserve">
no dawn purchases for oct, no actuals, used forecast. </t>
        </r>
      </text>
    </comment>
    <comment ref="M7" authorId="0">
      <text>
        <r>
          <rPr>
            <b/>
            <sz val="9"/>
            <rFont val="Tahoma"/>
            <family val="2"/>
          </rPr>
          <t>Brunner, Nicole:</t>
        </r>
        <r>
          <rPr>
            <sz val="9"/>
            <rFont val="Tahoma"/>
            <family val="2"/>
          </rPr>
          <t xml:space="preserve">
Actuals not available yet, used Nymex+Niagara basis -.24</t>
        </r>
      </text>
    </comment>
    <comment ref="M12" authorId="0">
      <text>
        <r>
          <rPr>
            <b/>
            <sz val="9"/>
            <rFont val="Tahoma"/>
            <family val="2"/>
          </rPr>
          <t>Brunner, Nicole:</t>
        </r>
        <r>
          <rPr>
            <sz val="9"/>
            <rFont val="Tahoma"/>
            <family val="2"/>
          </rPr>
          <t xml:space="preserve">
noon rate oct 31</t>
        </r>
      </text>
    </comment>
    <comment ref="N12" authorId="0">
      <text>
        <r>
          <rPr>
            <b/>
            <sz val="9"/>
            <rFont val="Tahoma"/>
            <family val="2"/>
          </rPr>
          <t>Brunner, Nicole:</t>
        </r>
        <r>
          <rPr>
            <sz val="9"/>
            <rFont val="Tahoma"/>
            <family val="2"/>
          </rPr>
          <t xml:space="preserve">
noon rate nov 30</t>
        </r>
      </text>
    </comment>
    <comment ref="O7" authorId="1">
      <text>
        <r>
          <rPr>
            <b/>
            <sz val="9"/>
            <rFont val="Tahoma"/>
            <family val="2"/>
          </rPr>
          <t>Organ, Ryan:</t>
        </r>
        <r>
          <rPr>
            <sz val="9"/>
            <rFont val="Tahoma"/>
            <family val="2"/>
          </rPr>
          <t xml:space="preserve">
Nymex+Basis-.24</t>
        </r>
      </text>
    </comment>
    <comment ref="P7" authorId="1">
      <text>
        <r>
          <rPr>
            <b/>
            <sz val="9"/>
            <rFont val="Tahoma"/>
            <family val="2"/>
          </rPr>
          <t>Organ, Ryan:</t>
        </r>
        <r>
          <rPr>
            <sz val="9"/>
            <rFont val="Tahoma"/>
            <family val="2"/>
          </rPr>
          <t xml:space="preserve">
Nymex+Basis-.24</t>
        </r>
      </text>
    </comment>
    <comment ref="Q7" authorId="1">
      <text>
        <r>
          <rPr>
            <b/>
            <sz val="9"/>
            <rFont val="Tahoma"/>
            <family val="2"/>
          </rPr>
          <t>Organ, Ryan:</t>
        </r>
        <r>
          <rPr>
            <sz val="9"/>
            <rFont val="Tahoma"/>
            <family val="2"/>
          </rPr>
          <t xml:space="preserve">
Nymex+Basis-.24</t>
        </r>
      </text>
    </comment>
    <comment ref="T1" authorId="1">
      <text>
        <r>
          <rPr>
            <b/>
            <sz val="9"/>
            <rFont val="Tahoma"/>
            <family val="2"/>
          </rPr>
          <t>Organ, Ryan:</t>
        </r>
        <r>
          <rPr>
            <sz val="9"/>
            <rFont val="Tahoma"/>
            <family val="2"/>
          </rPr>
          <t xml:space="preserve">
The crystal report isn't pulling information on our actual deals correctly, I would suggest using the NYMEX + Basis for June.</t>
        </r>
      </text>
    </comment>
  </commentList>
</comments>
</file>

<file path=xl/sharedStrings.xml><?xml version="1.0" encoding="utf-8"?>
<sst xmlns="http://schemas.openxmlformats.org/spreadsheetml/2006/main" count="29" uniqueCount="29">
  <si>
    <t>Date</t>
  </si>
  <si>
    <t>Nymex USD/MMBtu</t>
  </si>
  <si>
    <t>Forward FX</t>
  </si>
  <si>
    <t>Empress Basis USD/MMBtu</t>
  </si>
  <si>
    <t>Actual Jan 12</t>
  </si>
  <si>
    <t>Actual Dec 11</t>
  </si>
  <si>
    <t>Actual Feb 12</t>
  </si>
  <si>
    <t>Actual Mar 12</t>
  </si>
  <si>
    <t>Actual April 12</t>
  </si>
  <si>
    <t>Actual May 12</t>
  </si>
  <si>
    <t>Actual June 12</t>
  </si>
  <si>
    <t>Empress C/GJ</t>
  </si>
  <si>
    <t>Michcon C/GJ</t>
  </si>
  <si>
    <t>Niagara C/GJ</t>
  </si>
  <si>
    <t>Trunkline C/GJ</t>
  </si>
  <si>
    <t>Dawn C/GJ</t>
  </si>
  <si>
    <t>Ont Producers C/GJ</t>
  </si>
  <si>
    <t>Alliance C/GJ</t>
  </si>
  <si>
    <t>Chicago C/GJ</t>
  </si>
  <si>
    <t>PEPL  C/GJ</t>
  </si>
  <si>
    <t>Actual July 12</t>
  </si>
  <si>
    <t>Actual Aug 12</t>
  </si>
  <si>
    <t>Actual Sept 12</t>
  </si>
  <si>
    <t>Actual Oct 12</t>
  </si>
  <si>
    <t>Actual Nov 12</t>
  </si>
  <si>
    <t>Actual Dec 12</t>
  </si>
  <si>
    <t>Actual Jan 13</t>
  </si>
  <si>
    <t>Actual Feb 13</t>
  </si>
  <si>
    <t>Actual Mar 13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</si>
</sst>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/mmm/yy;@"/>
    <numFmt numFmtId="173" formatCode="0.0000"/>
    <numFmt numFmtId="174" formatCode="0.000"/>
    <numFmt numFmtId="175" formatCode="_(* #,##0_);_(* \(#,##0\);_(* &quot;-&quot;??_);_(@_)"/>
    <numFmt numFmtId="176" formatCode="_(* #,##0.000_);_(* \(#,##0.000\);_(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[$-F800]dddd\,\ mmmm\ dd\,\ yyyy"/>
    <numFmt numFmtId="180" formatCode="mmmm\,\ yyyy"/>
    <numFmt numFmtId="181" formatCode="mmmm\ yyyy"/>
    <numFmt numFmtId="182" formatCode="0.000%"/>
    <numFmt numFmtId="183" formatCode="[$-1009]mmmm\ d\,\ yyyy;@"/>
    <numFmt numFmtId="184" formatCode="0.00000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_);_(@_)"/>
    <numFmt numFmtId="187" formatCode="_-* #,##0.000_-;\-* #,##0.000_-;_-* &quot;-&quot;??_-;_-@_-"/>
    <numFmt numFmtId="188" formatCode="0.000000"/>
    <numFmt numFmtId="189" formatCode="#,##0.0"/>
    <numFmt numFmtId="190" formatCode="0.0%"/>
    <numFmt numFmtId="191" formatCode="_(&quot;$&quot;* #,##0.0000000_);_(&quot;$&quot;* \(#,##0.0000000\);_(&quot;$&quot;* &quot;-&quot;??_);_(@_)"/>
    <numFmt numFmtId="192" formatCode="_-&quot;$&quot;* #,##0.000_-;\-&quot;$&quot;* #,##0.000_-;_-&quot;$&quot;* &quot;-&quot;??_-;_-@_-"/>
    <numFmt numFmtId="193" formatCode="mmm\-yyyy"/>
    <numFmt numFmtId="194" formatCode="[$-1009]mmmm\ d\,\ yyyy"/>
    <numFmt numFmtId="195" formatCode="0.0000%"/>
    <numFmt numFmtId="196" formatCode="0.0000000000"/>
    <numFmt numFmtId="197" formatCode="0.000000000"/>
    <numFmt numFmtId="198" formatCode="0.00000000"/>
    <numFmt numFmtId="199" formatCode="0.0000000"/>
    <numFmt numFmtId="200" formatCode="[$-409]dddd\,\ mmmm\ dd\,\ yyyy"/>
    <numFmt numFmtId="201" formatCode="#,##0.00000"/>
    <numFmt numFmtId="202" formatCode="[$-1009]mmmm\-dd\-yy"/>
    <numFmt numFmtId="203" formatCode="#,##0.000"/>
    <numFmt numFmtId="204" formatCode="#,##0.0000_);\(#,##0.0000\)"/>
    <numFmt numFmtId="205" formatCode="0.00000000000"/>
    <numFmt numFmtId="206" formatCode="0.000000000000"/>
    <numFmt numFmtId="207" formatCode="0.00000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3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5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3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21" borderId="0" applyNumberFormat="0" applyBorder="0" applyAlignment="0" applyProtection="0"/>
    <xf numFmtId="0" fontId="6" fillId="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7" fillId="15" borderId="0" applyNumberFormat="0" applyBorder="0" applyAlignment="0" applyProtection="0"/>
    <xf numFmtId="0" fontId="34" fillId="25" borderId="0" applyNumberFormat="0" applyBorder="0" applyAlignment="0" applyProtection="0"/>
    <xf numFmtId="0" fontId="7" fillId="17" borderId="0" applyNumberFormat="0" applyBorder="0" applyAlignment="0" applyProtection="0"/>
    <xf numFmtId="0" fontId="34" fillId="26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7" fillId="23" borderId="0" applyNumberFormat="0" applyBorder="0" applyAlignment="0" applyProtection="0"/>
    <xf numFmtId="0" fontId="34" fillId="29" borderId="0" applyNumberFormat="0" applyBorder="0" applyAlignment="0" applyProtection="0"/>
    <xf numFmtId="0" fontId="7" fillId="5" borderId="0" applyNumberFormat="0" applyBorder="0" applyAlignment="0" applyProtection="0"/>
    <xf numFmtId="0" fontId="34" fillId="30" borderId="0" applyNumberFormat="0" applyBorder="0" applyAlignment="0" applyProtection="0"/>
    <xf numFmtId="0" fontId="7" fillId="23" borderId="0" applyNumberFormat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34" borderId="0" applyNumberFormat="0" applyBorder="0" applyAlignment="0" applyProtection="0"/>
    <xf numFmtId="0" fontId="34" fillId="35" borderId="0" applyNumberFormat="0" applyBorder="0" applyAlignment="0" applyProtection="0"/>
    <xf numFmtId="0" fontId="7" fillId="36" borderId="0" applyNumberFormat="0" applyBorder="0" applyAlignment="0" applyProtection="0"/>
    <xf numFmtId="0" fontId="34" fillId="37" borderId="0" applyNumberFormat="0" applyBorder="0" applyAlignment="0" applyProtection="0"/>
    <xf numFmtId="0" fontId="7" fillId="23" borderId="0" applyNumberFormat="0" applyBorder="0" applyAlignment="0" applyProtection="0"/>
    <xf numFmtId="0" fontId="34" fillId="38" borderId="0" applyNumberFormat="0" applyBorder="0" applyAlignment="0" applyProtection="0"/>
    <xf numFmtId="0" fontId="7" fillId="32" borderId="0" applyNumberFormat="0" applyBorder="0" applyAlignment="0" applyProtection="0"/>
    <xf numFmtId="0" fontId="35" fillId="39" borderId="0" applyNumberFormat="0" applyBorder="0" applyAlignment="0" applyProtection="0"/>
    <xf numFmtId="0" fontId="8" fillId="40" borderId="0" applyNumberFormat="0" applyBorder="0" applyAlignment="0" applyProtection="0"/>
    <xf numFmtId="0" fontId="36" fillId="41" borderId="1" applyNumberFormat="0" applyAlignment="0" applyProtection="0"/>
    <xf numFmtId="0" fontId="9" fillId="3" borderId="2" applyNumberFormat="0" applyAlignment="0" applyProtection="0"/>
    <xf numFmtId="0" fontId="37" fillId="42" borderId="3" applyNumberFormat="0" applyAlignment="0" applyProtection="0"/>
    <xf numFmtId="0" fontId="10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12" fillId="45" borderId="0" applyNumberFormat="0" applyBorder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0" borderId="7" applyNumberFormat="0" applyFill="0" applyAlignment="0" applyProtection="0"/>
    <xf numFmtId="0" fontId="14" fillId="0" borderId="8" applyNumberFormat="0" applyFill="0" applyAlignment="0" applyProtection="0"/>
    <xf numFmtId="0" fontId="43" fillId="0" borderId="9" applyNumberFormat="0" applyFill="0" applyAlignment="0" applyProtection="0"/>
    <xf numFmtId="0" fontId="1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46" borderId="1" applyNumberFormat="0" applyAlignment="0" applyProtection="0"/>
    <xf numFmtId="0" fontId="16" fillId="5" borderId="2" applyNumberFormat="0" applyAlignment="0" applyProtection="0"/>
    <xf numFmtId="0" fontId="45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47" borderId="0" applyNumberFormat="0" applyBorder="0" applyAlignment="0" applyProtection="0"/>
    <xf numFmtId="0" fontId="18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3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48" borderId="13" applyNumberFormat="0" applyFont="0" applyAlignment="0" applyProtection="0"/>
    <xf numFmtId="0" fontId="2" fillId="7" borderId="14" applyNumberFormat="0" applyFont="0" applyAlignment="0" applyProtection="0"/>
    <xf numFmtId="0" fontId="47" fillId="41" borderId="15" applyNumberFormat="0" applyAlignment="0" applyProtection="0"/>
    <xf numFmtId="0" fontId="19" fillId="3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173" fontId="0" fillId="0" borderId="19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9" xfId="0" applyNumberFormat="1" applyFill="1" applyBorder="1" applyAlignment="1">
      <alignment/>
    </xf>
    <xf numFmtId="173" fontId="0" fillId="0" borderId="20" xfId="0" applyNumberFormat="1" applyBorder="1" applyAlignment="1">
      <alignment/>
    </xf>
    <xf numFmtId="179" fontId="49" fillId="0" borderId="0" xfId="0" applyNumberFormat="1" applyFont="1" applyFill="1" applyAlignment="1">
      <alignment/>
    </xf>
    <xf numFmtId="173" fontId="0" fillId="0" borderId="21" xfId="0" applyNumberFormat="1" applyBorder="1" applyAlignment="1">
      <alignment/>
    </xf>
    <xf numFmtId="173" fontId="0" fillId="0" borderId="21" xfId="0" applyNumberFormat="1" applyFill="1" applyBorder="1" applyAlignment="1">
      <alignment/>
    </xf>
    <xf numFmtId="173" fontId="0" fillId="0" borderId="22" xfId="0" applyNumberFormat="1" applyBorder="1" applyAlignment="1">
      <alignment/>
    </xf>
    <xf numFmtId="179" fontId="49" fillId="18" borderId="23" xfId="0" applyNumberFormat="1" applyFont="1" applyFill="1" applyBorder="1" applyAlignment="1">
      <alignment/>
    </xf>
    <xf numFmtId="179" fontId="49" fillId="18" borderId="24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84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173" fontId="0" fillId="0" borderId="26" xfId="0" applyNumberFormat="1" applyFill="1" applyBorder="1" applyAlignment="1">
      <alignment/>
    </xf>
    <xf numFmtId="173" fontId="0" fillId="0" borderId="27" xfId="0" applyNumberFormat="1" applyFill="1" applyBorder="1" applyAlignment="1">
      <alignment/>
    </xf>
    <xf numFmtId="179" fontId="49" fillId="18" borderId="28" xfId="0" applyNumberFormat="1" applyFont="1" applyFill="1" applyBorder="1" applyAlignment="1">
      <alignment/>
    </xf>
    <xf numFmtId="179" fontId="49" fillId="18" borderId="29" xfId="0" applyNumberFormat="1" applyFont="1" applyFill="1" applyBorder="1" applyAlignment="1">
      <alignment/>
    </xf>
    <xf numFmtId="173" fontId="0" fillId="0" borderId="20" xfId="0" applyNumberFormat="1" applyFill="1" applyBorder="1" applyAlignment="1">
      <alignment/>
    </xf>
    <xf numFmtId="173" fontId="0" fillId="0" borderId="22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173" fontId="0" fillId="0" borderId="30" xfId="0" applyNumberFormat="1" applyBorder="1" applyAlignment="1">
      <alignment/>
    </xf>
    <xf numFmtId="173" fontId="0" fillId="0" borderId="25" xfId="0" applyNumberFormat="1" applyBorder="1" applyAlignment="1">
      <alignment/>
    </xf>
    <xf numFmtId="173" fontId="0" fillId="0" borderId="31" xfId="0" applyNumberFormat="1" applyBorder="1" applyAlignment="1">
      <alignment/>
    </xf>
    <xf numFmtId="179" fontId="49" fillId="18" borderId="32" xfId="0" applyNumberFormat="1" applyFont="1" applyFill="1" applyBorder="1" applyAlignment="1">
      <alignment/>
    </xf>
    <xf numFmtId="173" fontId="49" fillId="8" borderId="19" xfId="0" applyNumberFormat="1" applyFont="1" applyFill="1" applyBorder="1" applyAlignment="1">
      <alignment wrapText="1"/>
    </xf>
    <xf numFmtId="173" fontId="0" fillId="0" borderId="25" xfId="0" applyNumberFormat="1" applyFill="1" applyBorder="1" applyAlignment="1">
      <alignment/>
    </xf>
    <xf numFmtId="179" fontId="49" fillId="19" borderId="33" xfId="0" applyNumberFormat="1" applyFont="1" applyFill="1" applyBorder="1" applyAlignment="1">
      <alignment/>
    </xf>
    <xf numFmtId="179" fontId="49" fillId="19" borderId="34" xfId="0" applyNumberFormat="1" applyFont="1" applyFill="1" applyBorder="1" applyAlignment="1">
      <alignment/>
    </xf>
    <xf numFmtId="173" fontId="0" fillId="0" borderId="26" xfId="0" applyNumberFormat="1" applyBorder="1" applyAlignment="1">
      <alignment/>
    </xf>
    <xf numFmtId="173" fontId="0" fillId="0" borderId="27" xfId="0" applyNumberFormat="1" applyBorder="1" applyAlignment="1">
      <alignment/>
    </xf>
    <xf numFmtId="179" fontId="49" fillId="18" borderId="34" xfId="0" applyNumberFormat="1" applyFont="1" applyFill="1" applyBorder="1" applyAlignment="1">
      <alignment/>
    </xf>
    <xf numFmtId="173" fontId="0" fillId="0" borderId="19" xfId="69" applyNumberFormat="1" applyFont="1" applyBorder="1" applyAlignment="1">
      <alignment/>
    </xf>
    <xf numFmtId="204" fontId="0" fillId="0" borderId="19" xfId="69" applyNumberFormat="1" applyFont="1" applyBorder="1" applyAlignment="1">
      <alignment/>
    </xf>
    <xf numFmtId="188" fontId="0" fillId="0" borderId="19" xfId="0" applyNumberFormat="1" applyBorder="1" applyAlignment="1">
      <alignment/>
    </xf>
    <xf numFmtId="188" fontId="0" fillId="0" borderId="27" xfId="0" applyNumberFormat="1" applyBorder="1" applyAlignment="1">
      <alignment/>
    </xf>
    <xf numFmtId="0" fontId="51" fillId="0" borderId="35" xfId="0" applyFont="1" applyBorder="1" applyAlignment="1">
      <alignment horizontal="right"/>
    </xf>
    <xf numFmtId="0" fontId="51" fillId="0" borderId="36" xfId="0" applyFont="1" applyBorder="1" applyAlignment="1">
      <alignment horizontal="right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 2" xfId="71"/>
    <cellStyle name="Comma 5" xfId="72"/>
    <cellStyle name="Comma 6" xfId="73"/>
    <cellStyle name="Currency" xfId="74"/>
    <cellStyle name="Currency [0]" xfId="75"/>
    <cellStyle name="Currency 2 2" xfId="76"/>
    <cellStyle name="Currency 3 2" xfId="77"/>
    <cellStyle name="Explanatory Text" xfId="78"/>
    <cellStyle name="Explanatory Text 2" xfId="79"/>
    <cellStyle name="Followed Hyperlink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yperlink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10" xfId="98"/>
    <cellStyle name="Normal 11" xfId="99"/>
    <cellStyle name="Normal 2" xfId="100"/>
    <cellStyle name="Normal 2 2" xfId="101"/>
    <cellStyle name="Normal 3" xfId="102"/>
    <cellStyle name="Normal 3 2" xfId="103"/>
    <cellStyle name="Normal 4" xfId="104"/>
    <cellStyle name="Normal 4 2" xfId="105"/>
    <cellStyle name="Normal 5" xfId="106"/>
    <cellStyle name="Normal 6" xfId="107"/>
    <cellStyle name="Normal 7" xfId="108"/>
    <cellStyle name="Normal 8" xfId="109"/>
    <cellStyle name="Normal 9" xfId="110"/>
    <cellStyle name="Note" xfId="111"/>
    <cellStyle name="Note 2" xfId="112"/>
    <cellStyle name="Output" xfId="113"/>
    <cellStyle name="Output 2" xfId="114"/>
    <cellStyle name="Percent" xfId="115"/>
    <cellStyle name="Percent 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PageLayoutView="0" workbookViewId="0" topLeftCell="AR1">
      <selection activeCell="AX4" sqref="AX4"/>
    </sheetView>
  </sheetViews>
  <sheetFormatPr defaultColWidth="9.140625" defaultRowHeight="15"/>
  <cols>
    <col min="1" max="1" width="18.421875" style="3" bestFit="1" customWidth="1"/>
    <col min="2" max="2" width="12.7109375" style="3" hidden="1" customWidth="1"/>
    <col min="3" max="3" width="12.28125" style="3" hidden="1" customWidth="1"/>
    <col min="4" max="4" width="12.7109375" style="3" hidden="1" customWidth="1"/>
    <col min="5" max="5" width="13.140625" style="3" hidden="1" customWidth="1"/>
    <col min="6" max="6" width="13.8515625" style="3" hidden="1" customWidth="1"/>
    <col min="7" max="7" width="13.421875" style="3" hidden="1" customWidth="1"/>
    <col min="8" max="8" width="13.7109375" style="3" hidden="1" customWidth="1"/>
    <col min="9" max="10" width="12.8515625" style="3" hidden="1" customWidth="1"/>
    <col min="11" max="14" width="13.57421875" style="3" hidden="1" customWidth="1"/>
    <col min="15" max="15" width="12.28125" style="3" hidden="1" customWidth="1"/>
    <col min="16" max="16" width="12.7109375" style="3" hidden="1" customWidth="1"/>
    <col min="17" max="17" width="13.140625" style="3" hidden="1" customWidth="1"/>
    <col min="18" max="18" width="21.421875" style="3" hidden="1" customWidth="1"/>
    <col min="19" max="19" width="24.28125" style="3" hidden="1" customWidth="1"/>
    <col min="20" max="20" width="21.7109375" style="3" hidden="1" customWidth="1"/>
    <col min="21" max="21" width="20.421875" style="3" hidden="1" customWidth="1"/>
    <col min="22" max="22" width="24.00390625" style="3" hidden="1" customWidth="1"/>
    <col min="23" max="23" width="26.28125" style="3" hidden="1" customWidth="1"/>
    <col min="24" max="25" width="24.00390625" style="3" hidden="1" customWidth="1"/>
    <col min="26" max="26" width="25.57421875" style="3" hidden="1" customWidth="1"/>
    <col min="27" max="27" width="27.28125" style="3" bestFit="1" customWidth="1"/>
    <col min="28" max="28" width="25.57421875" style="3" bestFit="1" customWidth="1"/>
    <col min="29" max="29" width="23.140625" style="3" bestFit="1" customWidth="1"/>
    <col min="30" max="30" width="21.421875" style="3" bestFit="1" customWidth="1"/>
    <col min="31" max="31" width="21.7109375" style="3" bestFit="1" customWidth="1"/>
    <col min="32" max="32" width="20.28125" style="3" bestFit="1" customWidth="1"/>
    <col min="33" max="33" width="20.421875" style="3" bestFit="1" customWidth="1"/>
    <col min="34" max="34" width="21.421875" style="3" bestFit="1" customWidth="1"/>
    <col min="35" max="35" width="27.140625" style="3" bestFit="1" customWidth="1"/>
    <col min="36" max="36" width="27.7109375" style="3" bestFit="1" customWidth="1"/>
    <col min="37" max="37" width="27.140625" style="3" bestFit="1" customWidth="1"/>
    <col min="38" max="38" width="26.421875" style="3" bestFit="1" customWidth="1"/>
    <col min="39" max="39" width="24.57421875" style="3" bestFit="1" customWidth="1"/>
    <col min="40" max="40" width="24.140625" style="3" bestFit="1" customWidth="1"/>
    <col min="41" max="41" width="21.8515625" style="3" bestFit="1" customWidth="1"/>
    <col min="42" max="45" width="24.7109375" style="3" bestFit="1" customWidth="1"/>
    <col min="46" max="50" width="20.28125" style="3" customWidth="1"/>
    <col min="51" max="16384" width="9.140625" style="3" customWidth="1"/>
  </cols>
  <sheetData>
    <row r="1" spans="1:50" s="6" customFormat="1" ht="15.75" thickBot="1">
      <c r="A1" s="28" t="s">
        <v>0</v>
      </c>
      <c r="B1" s="11" t="s">
        <v>5</v>
      </c>
      <c r="C1" s="11" t="s">
        <v>4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20</v>
      </c>
      <c r="J1" s="11" t="s">
        <v>21</v>
      </c>
      <c r="K1" s="19" t="s">
        <v>22</v>
      </c>
      <c r="L1" s="10" t="s">
        <v>23</v>
      </c>
      <c r="M1" s="11" t="s">
        <v>24</v>
      </c>
      <c r="N1" s="20" t="s">
        <v>25</v>
      </c>
      <c r="O1" s="10" t="s">
        <v>26</v>
      </c>
      <c r="P1" s="11" t="s">
        <v>27</v>
      </c>
      <c r="Q1" s="20" t="s">
        <v>28</v>
      </c>
      <c r="R1" s="20">
        <v>41365</v>
      </c>
      <c r="S1" s="20">
        <v>41395</v>
      </c>
      <c r="T1" s="20">
        <v>41426</v>
      </c>
      <c r="U1" s="11">
        <v>41456</v>
      </c>
      <c r="V1" s="11">
        <v>41487</v>
      </c>
      <c r="W1" s="11">
        <v>41518</v>
      </c>
      <c r="X1" s="11">
        <v>41548</v>
      </c>
      <c r="Y1" s="11">
        <v>41579</v>
      </c>
      <c r="Z1" s="35">
        <v>41609</v>
      </c>
      <c r="AA1" s="31">
        <v>41640</v>
      </c>
      <c r="AB1" s="31">
        <v>41671</v>
      </c>
      <c r="AC1" s="31">
        <v>41699</v>
      </c>
      <c r="AD1" s="31">
        <v>41730</v>
      </c>
      <c r="AE1" s="32">
        <v>41760</v>
      </c>
      <c r="AF1" s="31">
        <v>41791</v>
      </c>
      <c r="AG1" s="32">
        <v>41821</v>
      </c>
      <c r="AH1" s="31">
        <v>41852</v>
      </c>
      <c r="AI1" s="32">
        <v>41883</v>
      </c>
      <c r="AJ1" s="31">
        <v>41913</v>
      </c>
      <c r="AK1" s="31">
        <v>41944</v>
      </c>
      <c r="AL1" s="31">
        <v>41974</v>
      </c>
      <c r="AM1" s="31">
        <v>42005</v>
      </c>
      <c r="AN1" s="31">
        <v>42036</v>
      </c>
      <c r="AO1" s="31">
        <v>42064</v>
      </c>
      <c r="AP1" s="31">
        <v>42095</v>
      </c>
      <c r="AQ1" s="31">
        <v>42125</v>
      </c>
      <c r="AR1" s="31">
        <v>42156</v>
      </c>
      <c r="AS1" s="31">
        <v>42186</v>
      </c>
      <c r="AT1" s="31">
        <v>42217</v>
      </c>
      <c r="AU1" s="31">
        <v>42248</v>
      </c>
      <c r="AV1" s="31">
        <v>42278</v>
      </c>
      <c r="AW1" s="31">
        <v>42309</v>
      </c>
      <c r="AX1" s="31">
        <v>42339</v>
      </c>
    </row>
    <row r="2" spans="1:50" ht="15.75" thickBot="1">
      <c r="A2" s="29" t="s">
        <v>11</v>
      </c>
      <c r="B2" s="25">
        <v>2.9776</v>
      </c>
      <c r="C2" s="7">
        <v>2.575</v>
      </c>
      <c r="D2" s="7">
        <v>2.11</v>
      </c>
      <c r="E2" s="7">
        <v>1.8399</v>
      </c>
      <c r="F2" s="8">
        <v>1.391</v>
      </c>
      <c r="G2" s="8">
        <f>((1.447*2781354)+(1.4615*1379500))/(2781354+1379500)</f>
        <v>1.4518073664685183</v>
      </c>
      <c r="H2" s="8">
        <f>((3165000*1.8867)+(1.7662*960000))/(3165000+960000)</f>
        <v>1.8586563636363636</v>
      </c>
      <c r="I2" s="8">
        <v>1.89</v>
      </c>
      <c r="J2" s="8">
        <v>2.0483470588235293</v>
      </c>
      <c r="K2" s="8">
        <v>1.9063872180451127</v>
      </c>
      <c r="L2" s="8">
        <f>((775000*2.2846)+(1860000*2.2433))/(1860000+775000)</f>
        <v>2.2554470588235294</v>
      </c>
      <c r="M2" s="8">
        <f>((1688258*3.0423)+(3780000*3.0565))/(1688258+3780000)</f>
        <v>3.0521159230965327</v>
      </c>
      <c r="N2" s="17">
        <f>((3968000*3.1425)+(1744534*3.1309))/(3968000+1744534)</f>
        <v>3.1389575100296994</v>
      </c>
      <c r="O2" s="8">
        <f>((2.8071*3968000)+(2.7703*1581000))/(1581000+3968000)</f>
        <v>2.796615083798883</v>
      </c>
      <c r="P2" s="8">
        <f>((2974827*2.7441)+(980000*2.7122))/(2974827+980000)</f>
        <v>2.736195229449986</v>
      </c>
      <c r="Q2" s="17">
        <f>((3906000*2.8626)+(1581000*2.8545))/(3906000+1581000)</f>
        <v>2.8602661016949154</v>
      </c>
      <c r="R2" s="17">
        <f>((3855000*2.8464)+(1695000*2.8683))/(3855000+1695000)</f>
        <v>2.8530883783783785</v>
      </c>
      <c r="S2" s="17">
        <f>((3952500*3.544)+(1627500*3.5323))/(3952500+1627500)</f>
        <v>3.5405875</v>
      </c>
      <c r="T2" s="17">
        <v>3.5157690410114095</v>
      </c>
      <c r="U2" s="7">
        <v>2.8897</v>
      </c>
      <c r="V2" s="13">
        <f>((3983500*2.7155)+(1596500*2.6705))/(3983500+1596500)</f>
        <v>2.702625</v>
      </c>
      <c r="W2" s="13">
        <v>2.24709</v>
      </c>
      <c r="X2" s="13">
        <v>2.400592328007358</v>
      </c>
      <c r="Y2" s="13">
        <v>3.2587377745336137</v>
      </c>
      <c r="Z2" s="13">
        <v>3.19728</v>
      </c>
      <c r="AA2" s="40">
        <v>3.21753</v>
      </c>
      <c r="AB2" s="40">
        <v>3.2079</v>
      </c>
      <c r="AC2" s="40">
        <v>3.2017</v>
      </c>
      <c r="AD2" s="13">
        <v>4.53967</v>
      </c>
      <c r="AE2" s="13">
        <v>4.43361</v>
      </c>
      <c r="AF2" s="13">
        <v>4.42359</v>
      </c>
      <c r="AG2" s="13">
        <v>4.43094</v>
      </c>
      <c r="AH2" s="13">
        <v>4.42432</v>
      </c>
      <c r="AI2" s="13">
        <v>4.41191</v>
      </c>
      <c r="AJ2" s="13">
        <v>4.46964</v>
      </c>
      <c r="AK2" s="13">
        <v>4.49191</v>
      </c>
      <c r="AL2" s="7">
        <v>4.56186</v>
      </c>
      <c r="AM2" s="7">
        <v>4.62434</v>
      </c>
      <c r="AN2" s="7">
        <v>4.59425</v>
      </c>
      <c r="AO2" s="7">
        <v>4.49729</v>
      </c>
      <c r="AP2" s="33">
        <v>3.63981</v>
      </c>
      <c r="AQ2" s="33">
        <v>3.56246</v>
      </c>
      <c r="AR2" s="33">
        <v>3.54157</v>
      </c>
      <c r="AS2" s="33">
        <v>3.53541</v>
      </c>
      <c r="AT2" s="33">
        <v>3.55644</v>
      </c>
      <c r="AU2" s="33">
        <v>3.54657</v>
      </c>
      <c r="AV2" s="33">
        <v>3.62719</v>
      </c>
      <c r="AW2" s="33">
        <v>3.72576</v>
      </c>
      <c r="AX2" s="33">
        <v>3.83055</v>
      </c>
    </row>
    <row r="3" spans="1:50" ht="15.75" thickBot="1">
      <c r="A3" s="29" t="s">
        <v>12</v>
      </c>
      <c r="B3" s="26">
        <v>3.68</v>
      </c>
      <c r="C3" s="2">
        <v>3.1375</v>
      </c>
      <c r="D3" s="2">
        <f>2.86/1.055056*D12</f>
        <v>2.7026243156761347</v>
      </c>
      <c r="E3" s="2">
        <v>2.5276</v>
      </c>
      <c r="F3" s="4">
        <v>2.31</v>
      </c>
      <c r="G3" s="4">
        <v>1.9722</v>
      </c>
      <c r="H3" s="4">
        <v>2.3475</v>
      </c>
      <c r="I3" s="4">
        <v>2.87</v>
      </c>
      <c r="J3" s="4">
        <v>2.8643</v>
      </c>
      <c r="K3" s="4">
        <v>2.4706</v>
      </c>
      <c r="L3" s="4">
        <v>2.8114</v>
      </c>
      <c r="M3" s="4">
        <v>3.293</v>
      </c>
      <c r="N3" s="18">
        <v>3.4802</v>
      </c>
      <c r="O3" s="4">
        <v>3.1629</v>
      </c>
      <c r="P3" s="4">
        <v>3.1874</v>
      </c>
      <c r="Q3" s="18">
        <v>3.2776</v>
      </c>
      <c r="R3" s="16">
        <v>3.2165</v>
      </c>
      <c r="S3" s="12">
        <v>4.0483</v>
      </c>
      <c r="T3" s="2">
        <v>4.35576904101141</v>
      </c>
      <c r="U3" s="2">
        <f>(3.8773*U12)/1.055056</f>
        <v>3.8685241697123183</v>
      </c>
      <c r="V3" s="12">
        <v>3.3566</v>
      </c>
      <c r="W3" s="12">
        <v>3.5415</v>
      </c>
      <c r="X3" s="12">
        <v>3.2976033973552115</v>
      </c>
      <c r="Y3" s="12">
        <v>3.2685397741920807</v>
      </c>
      <c r="Z3" s="12">
        <v>3.67372</v>
      </c>
      <c r="AA3" s="41">
        <v>3.74704</v>
      </c>
      <c r="AB3" s="41">
        <v>3.75159</v>
      </c>
      <c r="AC3" s="41">
        <v>3.75229</v>
      </c>
      <c r="AD3" s="12">
        <v>5.35639</v>
      </c>
      <c r="AE3" s="12">
        <v>4.98138</v>
      </c>
      <c r="AF3" s="12">
        <v>4.91869</v>
      </c>
      <c r="AG3" s="12">
        <v>4.90892</v>
      </c>
      <c r="AH3" s="12">
        <v>4.89899</v>
      </c>
      <c r="AI3" s="12">
        <v>4.88043</v>
      </c>
      <c r="AJ3" s="12">
        <v>4.92602</v>
      </c>
      <c r="AK3" s="12">
        <v>5.07808</v>
      </c>
      <c r="AL3" s="2">
        <v>5.22516</v>
      </c>
      <c r="AM3" s="2">
        <v>5.29191</v>
      </c>
      <c r="AN3" s="2">
        <v>5.10899</v>
      </c>
      <c r="AO3" s="2">
        <v>5.02058</v>
      </c>
      <c r="AP3" s="34">
        <v>4.20102</v>
      </c>
      <c r="AQ3" s="34">
        <v>4.13601</v>
      </c>
      <c r="AR3" s="34">
        <v>4.15358</v>
      </c>
      <c r="AS3" s="34">
        <v>4.1897</v>
      </c>
      <c r="AT3" s="34">
        <v>4.19891</v>
      </c>
      <c r="AU3" s="34">
        <v>4.17261</v>
      </c>
      <c r="AV3" s="34">
        <v>4.19131</v>
      </c>
      <c r="AW3" s="34">
        <v>4.27766</v>
      </c>
      <c r="AX3" s="34">
        <v>4.45595</v>
      </c>
    </row>
    <row r="4" spans="1:50" ht="15.75" thickBot="1">
      <c r="A4" s="29" t="s">
        <v>13</v>
      </c>
      <c r="B4" s="26">
        <v>4.05</v>
      </c>
      <c r="C4" s="2">
        <v>3.496</v>
      </c>
      <c r="D4" s="2">
        <v>3.061</v>
      </c>
      <c r="E4" s="2">
        <v>2.84</v>
      </c>
      <c r="F4" s="4">
        <v>2.309</v>
      </c>
      <c r="G4" s="4">
        <v>2.159</v>
      </c>
      <c r="H4" s="4">
        <f>(0.02+H11)/1.055056*H12</f>
        <v>2.2566743376654883</v>
      </c>
      <c r="I4" s="4">
        <v>2.813</v>
      </c>
      <c r="J4" s="4">
        <v>3.072</v>
      </c>
      <c r="K4" s="4">
        <v>2.841251990415675</v>
      </c>
      <c r="L4" s="4">
        <v>2.94432</v>
      </c>
      <c r="M4" s="4">
        <v>3.782</v>
      </c>
      <c r="N4" s="18">
        <f>(((10000*4.076)+(10000*4.146))/(20000))*N12/1.055056</f>
        <v>3.9229716716458647</v>
      </c>
      <c r="O4" s="4">
        <f>(O11+0.295)*O12/1.055056</f>
        <v>3.477260543516174</v>
      </c>
      <c r="P4" s="4">
        <f>(P11+0.2)*P12/1.055056</f>
        <v>3.2378040596897226</v>
      </c>
      <c r="Q4" s="18">
        <f>(Q11+0.22)*Q12/1.055056</f>
        <v>3.3626666262264755</v>
      </c>
      <c r="R4" s="30">
        <v>4.17448</v>
      </c>
      <c r="S4" s="18">
        <f>(S11+0.238)*S12/1.055056</f>
        <v>4.354711266510972</v>
      </c>
      <c r="T4" s="18">
        <v>4.404769041011409</v>
      </c>
      <c r="U4" s="2">
        <f>(3.851*U12)/1.055056</f>
        <v>3.8422836967895537</v>
      </c>
      <c r="V4" s="24">
        <v>3.617</v>
      </c>
      <c r="W4" s="24">
        <v>3.72983</v>
      </c>
      <c r="X4" s="24">
        <v>3.1191974643999942</v>
      </c>
      <c r="Y4" s="24">
        <v>3.203852089074402</v>
      </c>
      <c r="Z4" s="12">
        <v>3.66616</v>
      </c>
      <c r="AA4" s="41">
        <v>3.71143</v>
      </c>
      <c r="AB4" s="41">
        <v>3.72647</v>
      </c>
      <c r="AC4" s="41">
        <v>3.72988</v>
      </c>
      <c r="AD4" s="12">
        <v>5.362</v>
      </c>
      <c r="AE4" s="12">
        <v>4.91702</v>
      </c>
      <c r="AF4" s="12">
        <v>4.84808</v>
      </c>
      <c r="AG4" s="12">
        <v>4.83398</v>
      </c>
      <c r="AH4" s="12">
        <v>4.82835</v>
      </c>
      <c r="AI4" s="12">
        <v>4.82161</v>
      </c>
      <c r="AJ4" s="12">
        <v>4.89245</v>
      </c>
      <c r="AK4" s="12">
        <v>5.10282</v>
      </c>
      <c r="AL4" s="2">
        <v>5.20688</v>
      </c>
      <c r="AM4" s="2">
        <v>5.25385</v>
      </c>
      <c r="AN4" s="2">
        <v>5.20897</v>
      </c>
      <c r="AO4" s="2">
        <v>5.09686</v>
      </c>
      <c r="AP4" s="34">
        <v>4.20001</v>
      </c>
      <c r="AQ4" s="34">
        <v>4.15086</v>
      </c>
      <c r="AR4" s="34">
        <v>4.18488</v>
      </c>
      <c r="AS4" s="34">
        <v>4.20799</v>
      </c>
      <c r="AT4" s="34">
        <v>4.21421</v>
      </c>
      <c r="AU4" s="34">
        <v>4.13453</v>
      </c>
      <c r="AV4" s="34">
        <v>4.09717</v>
      </c>
      <c r="AW4" s="34">
        <v>4.24203</v>
      </c>
      <c r="AX4" s="34">
        <v>4.41094</v>
      </c>
    </row>
    <row r="5" spans="1:50" ht="15.75" thickBot="1">
      <c r="A5" s="29" t="s">
        <v>14</v>
      </c>
      <c r="B5" s="26">
        <v>3.0475</v>
      </c>
      <c r="C5" s="4">
        <v>2.9061</v>
      </c>
      <c r="D5" s="2">
        <v>2.476</v>
      </c>
      <c r="E5" s="2">
        <v>2.2807</v>
      </c>
      <c r="F5" s="4">
        <v>2.118</v>
      </c>
      <c r="G5" s="4">
        <f>(G11-0.04)/1.055056*G12</f>
        <v>1.8899697835944251</v>
      </c>
      <c r="H5" s="4">
        <f>(H11-0.035)/1.055056*H12</f>
        <v>2.205993615504769</v>
      </c>
      <c r="I5" s="4">
        <v>2.42577</v>
      </c>
      <c r="J5" s="4">
        <v>2.4793</v>
      </c>
      <c r="K5" s="4">
        <v>2.51756</v>
      </c>
      <c r="L5" s="4">
        <v>2.737</v>
      </c>
      <c r="M5" s="4">
        <v>3.2431</v>
      </c>
      <c r="N5" s="18">
        <v>3.438</v>
      </c>
      <c r="O5" s="4">
        <v>3.1194</v>
      </c>
      <c r="P5" s="4">
        <v>3.1417</v>
      </c>
      <c r="Q5" s="18">
        <v>3.233</v>
      </c>
      <c r="R5" s="26">
        <v>3.175</v>
      </c>
      <c r="S5" s="12">
        <v>4.0058</v>
      </c>
      <c r="T5" s="2">
        <v>4.100769041011409</v>
      </c>
      <c r="U5" s="2">
        <f>(3.6595*U12)/1.055056</f>
        <v>3.651217135393761</v>
      </c>
      <c r="V5" s="12">
        <v>3.313</v>
      </c>
      <c r="W5" s="12">
        <v>3.30765</v>
      </c>
      <c r="X5" s="12">
        <v>3.0879511976001064</v>
      </c>
      <c r="Y5" s="12">
        <v>3.0905277282347194</v>
      </c>
      <c r="Z5" s="12">
        <v>3.54546</v>
      </c>
      <c r="AA5" s="41">
        <v>3.63748</v>
      </c>
      <c r="AB5" s="41">
        <v>3.66616</v>
      </c>
      <c r="AC5" s="41">
        <v>3.67773</v>
      </c>
      <c r="AD5" s="12">
        <v>4.81352</v>
      </c>
      <c r="AE5" s="12">
        <v>4.72617</v>
      </c>
      <c r="AF5" s="12">
        <v>4.74207</v>
      </c>
      <c r="AG5" s="12">
        <v>4.77544</v>
      </c>
      <c r="AH5" s="12">
        <v>4.76687</v>
      </c>
      <c r="AI5" s="12">
        <v>4.73953</v>
      </c>
      <c r="AJ5" s="12">
        <v>4.75815</v>
      </c>
      <c r="AK5" s="12">
        <v>4.74092</v>
      </c>
      <c r="AL5" s="2">
        <v>4.88844</v>
      </c>
      <c r="AM5" s="2">
        <v>5.00944</v>
      </c>
      <c r="AN5" s="2">
        <v>4.96999</v>
      </c>
      <c r="AO5" s="2">
        <v>4.87384</v>
      </c>
      <c r="AP5" s="34">
        <v>4.22853</v>
      </c>
      <c r="AQ5" s="34">
        <v>4.14363</v>
      </c>
      <c r="AR5" s="34">
        <v>4.14101</v>
      </c>
      <c r="AS5" s="34">
        <v>4.1476</v>
      </c>
      <c r="AT5" s="34">
        <v>4.14111</v>
      </c>
      <c r="AU5" s="34">
        <v>4.1168</v>
      </c>
      <c r="AV5" s="34">
        <v>4.12867</v>
      </c>
      <c r="AW5" s="34">
        <v>4.20484</v>
      </c>
      <c r="AX5" s="34">
        <v>4.40121</v>
      </c>
    </row>
    <row r="6" spans="1:50" ht="15.75" thickBot="1">
      <c r="A6" s="29" t="s">
        <v>15</v>
      </c>
      <c r="B6" s="26">
        <v>3.399</v>
      </c>
      <c r="C6" s="4">
        <v>3.3428</v>
      </c>
      <c r="D6" s="2">
        <v>2.892</v>
      </c>
      <c r="E6" s="2">
        <v>2.6617</v>
      </c>
      <c r="F6" s="4">
        <f>(F11+0.328)/1.055056*F12</f>
        <v>2.370599380506816</v>
      </c>
      <c r="G6" s="4">
        <v>2.2042</v>
      </c>
      <c r="H6" s="4">
        <v>2.7872</v>
      </c>
      <c r="I6" s="4">
        <v>2.62687</v>
      </c>
      <c r="J6" s="4">
        <v>2.6696</v>
      </c>
      <c r="K6" s="4">
        <v>2.8612519904156746</v>
      </c>
      <c r="L6" s="4">
        <v>2.93502</v>
      </c>
      <c r="M6" s="4">
        <v>3.6895</v>
      </c>
      <c r="N6" s="18">
        <v>3.7769</v>
      </c>
      <c r="O6" s="4">
        <v>3.4455</v>
      </c>
      <c r="P6" s="4">
        <v>3.385</v>
      </c>
      <c r="Q6" s="18">
        <v>3.5572</v>
      </c>
      <c r="R6" s="16">
        <v>4.1019</v>
      </c>
      <c r="S6" s="12">
        <v>4.0616</v>
      </c>
      <c r="T6" s="2">
        <v>4.5037690410114095</v>
      </c>
      <c r="U6" s="2">
        <f>(4.173*U12)/1.055056</f>
        <v>4.1635548861861365</v>
      </c>
      <c r="V6" s="12">
        <v>3.7918</v>
      </c>
      <c r="W6" s="12">
        <v>3.83551</v>
      </c>
      <c r="X6" s="12">
        <v>3.474220799654236</v>
      </c>
      <c r="Y6" s="12">
        <v>3.4122424640569173</v>
      </c>
      <c r="Z6" s="12">
        <v>3.76556</v>
      </c>
      <c r="AA6" s="41">
        <v>3.81098</v>
      </c>
      <c r="AB6" s="41">
        <v>3.82611</v>
      </c>
      <c r="AC6" s="41">
        <v>3.82958</v>
      </c>
      <c r="AD6" s="12">
        <v>5.46694</v>
      </c>
      <c r="AE6" s="12">
        <v>5.02204</v>
      </c>
      <c r="AF6" s="12">
        <v>4.95318</v>
      </c>
      <c r="AG6" s="12">
        <v>4.93915</v>
      </c>
      <c r="AH6" s="12">
        <v>4.9336</v>
      </c>
      <c r="AI6" s="12">
        <v>4.92693</v>
      </c>
      <c r="AJ6" s="12">
        <v>4.99784</v>
      </c>
      <c r="AK6" s="12">
        <v>5.20829</v>
      </c>
      <c r="AL6" s="2">
        <v>5.31243</v>
      </c>
      <c r="AM6" s="2">
        <v>5.35946</v>
      </c>
      <c r="AN6" s="2">
        <v>5.31466</v>
      </c>
      <c r="AO6" s="2">
        <v>5.20262</v>
      </c>
      <c r="AP6" s="34">
        <v>4.31191</v>
      </c>
      <c r="AQ6" s="34">
        <v>4.2391</v>
      </c>
      <c r="AR6" s="34">
        <v>4.25136</v>
      </c>
      <c r="AS6" s="34">
        <v>4.27658</v>
      </c>
      <c r="AT6" s="34">
        <v>4.28158</v>
      </c>
      <c r="AU6" s="34">
        <v>4.27137</v>
      </c>
      <c r="AV6" s="34">
        <v>4.30004</v>
      </c>
      <c r="AW6" s="34">
        <v>4.34176</v>
      </c>
      <c r="AX6" s="34">
        <v>4.51427</v>
      </c>
    </row>
    <row r="7" spans="1:50" ht="26.25" customHeight="1" thickBot="1">
      <c r="A7" s="29" t="s">
        <v>16</v>
      </c>
      <c r="B7" s="26">
        <v>3.709</v>
      </c>
      <c r="C7" s="2">
        <v>3.256</v>
      </c>
      <c r="D7" s="2">
        <v>2.821</v>
      </c>
      <c r="E7" s="2">
        <v>2.6</v>
      </c>
      <c r="F7" s="4">
        <v>2.069</v>
      </c>
      <c r="G7" s="4">
        <f>2.159-0.24</f>
        <v>1.9189999999999998</v>
      </c>
      <c r="H7" s="4">
        <f>(H11*H12/1.055056)+0.02-0.24</f>
        <v>2.0182449841525</v>
      </c>
      <c r="I7" s="4">
        <v>2.573</v>
      </c>
      <c r="J7" s="4">
        <v>2.832</v>
      </c>
      <c r="K7" s="4">
        <v>2.6012519904156752</v>
      </c>
      <c r="L7" s="4">
        <v>2.894</v>
      </c>
      <c r="M7" s="4">
        <f>(M11*M12/1.055056)+0.592-0.24</f>
        <v>3.6431887141535615</v>
      </c>
      <c r="N7" s="18">
        <f>(N11*N12/1.055056)+0.497-0.24</f>
        <v>3.7839528821218966</v>
      </c>
      <c r="O7" s="4">
        <f>(O11*O12/1.055056)+0.448-0.24</f>
        <v>3.4041446596199636</v>
      </c>
      <c r="P7" s="4">
        <f>(P11*P12/1.055056)+0.32-0.24</f>
        <v>3.1287903959600243</v>
      </c>
      <c r="Q7" s="18">
        <f>(Q11*Q12/1.055056)+0.425-0.24</f>
        <v>3.344818625741193</v>
      </c>
      <c r="R7" s="18">
        <f>(R11*R12/1.055056)+0.325-0.24</f>
        <v>4.026118575696456</v>
      </c>
      <c r="S7" s="18">
        <f>(S11*S12/1.055056)+0.238-0.24</f>
        <v>4.116624414249102</v>
      </c>
      <c r="T7" s="18">
        <f>(T11*T12/1.055056)+0.425-0.293</f>
        <v>4.249769041011409</v>
      </c>
      <c r="U7" s="2">
        <f>U4-0.24</f>
        <v>3.602283696789554</v>
      </c>
      <c r="V7" s="24">
        <f>V4-0.24</f>
        <v>3.377</v>
      </c>
      <c r="W7" s="24">
        <v>3.48983</v>
      </c>
      <c r="X7" s="24">
        <f>3.619-0.24</f>
        <v>3.3790000000000004</v>
      </c>
      <c r="Y7" s="24">
        <f>3.649-0.24</f>
        <v>3.409</v>
      </c>
      <c r="Z7" s="12">
        <v>3.42616</v>
      </c>
      <c r="AA7" s="41">
        <v>3.47143</v>
      </c>
      <c r="AB7" s="41">
        <v>3.48647</v>
      </c>
      <c r="AC7" s="41">
        <v>3.48988</v>
      </c>
      <c r="AD7" s="12">
        <v>5.122</v>
      </c>
      <c r="AE7" s="12">
        <v>4.67702</v>
      </c>
      <c r="AF7" s="12">
        <v>4.60808</v>
      </c>
      <c r="AG7" s="12">
        <v>4.59398</v>
      </c>
      <c r="AH7" s="12">
        <v>4.58835</v>
      </c>
      <c r="AI7" s="12">
        <v>4.58161</v>
      </c>
      <c r="AJ7" s="12">
        <v>4.65245</v>
      </c>
      <c r="AK7" s="12">
        <v>4.86282</v>
      </c>
      <c r="AL7" s="2">
        <v>4.96688</v>
      </c>
      <c r="AM7" s="2">
        <v>5.01385</v>
      </c>
      <c r="AN7" s="2">
        <v>4.96897</v>
      </c>
      <c r="AO7" s="2">
        <v>4.85686</v>
      </c>
      <c r="AP7" s="34">
        <v>3.96001</v>
      </c>
      <c r="AQ7" s="34">
        <v>3.91086</v>
      </c>
      <c r="AR7" s="34">
        <v>3.94488</v>
      </c>
      <c r="AS7" s="34">
        <v>3.96799</v>
      </c>
      <c r="AT7" s="34">
        <v>3.97421</v>
      </c>
      <c r="AU7" s="34">
        <v>3.89453</v>
      </c>
      <c r="AV7" s="34">
        <v>3.85717</v>
      </c>
      <c r="AW7" s="34">
        <v>4.00203</v>
      </c>
      <c r="AX7" s="34">
        <v>4.17094</v>
      </c>
    </row>
    <row r="8" spans="1:50" ht="15.75" thickBot="1">
      <c r="A8" s="29" t="s">
        <v>17</v>
      </c>
      <c r="B8" s="26">
        <v>2.9816</v>
      </c>
      <c r="C8" s="2">
        <v>2.54</v>
      </c>
      <c r="D8" s="2">
        <v>2.068</v>
      </c>
      <c r="E8" s="2">
        <v>1.8046</v>
      </c>
      <c r="F8" s="4">
        <v>1.4998</v>
      </c>
      <c r="G8" s="4">
        <v>1.4354</v>
      </c>
      <c r="H8" s="4">
        <v>1.7488</v>
      </c>
      <c r="I8" s="4">
        <v>1.78</v>
      </c>
      <c r="J8" s="4">
        <v>2.0804</v>
      </c>
      <c r="K8" s="4">
        <v>1.8227</v>
      </c>
      <c r="L8" s="4">
        <v>2.2875</v>
      </c>
      <c r="M8" s="4">
        <v>3.1939</v>
      </c>
      <c r="N8" s="18">
        <v>3.2642</v>
      </c>
      <c r="O8" s="4">
        <v>2.9302</v>
      </c>
      <c r="P8" s="4">
        <v>2.8362</v>
      </c>
      <c r="Q8" s="18">
        <v>2.9317</v>
      </c>
      <c r="R8" s="26">
        <v>2.8365</v>
      </c>
      <c r="S8" s="2">
        <v>3.639</v>
      </c>
      <c r="T8" s="2">
        <v>3.574</v>
      </c>
      <c r="U8" s="2">
        <v>3.0171</v>
      </c>
      <c r="V8" s="15">
        <v>2.9019</v>
      </c>
      <c r="W8" s="15">
        <f>3.05152-0.116</f>
        <v>2.93552</v>
      </c>
      <c r="X8" s="15">
        <v>2.5625290507543985</v>
      </c>
      <c r="Y8" s="15">
        <v>3.1952789225480105</v>
      </c>
      <c r="Z8" s="15">
        <v>3.24948</v>
      </c>
      <c r="AA8" s="41">
        <v>3.12849</v>
      </c>
      <c r="AB8" s="41">
        <v>3.11715</v>
      </c>
      <c r="AC8" s="41">
        <v>3.11062</v>
      </c>
      <c r="AD8" s="38">
        <v>4.3247245765695315</v>
      </c>
      <c r="AE8" s="38">
        <v>4.220205862239043</v>
      </c>
      <c r="AF8" s="38">
        <v>4.210006520980876</v>
      </c>
      <c r="AG8" s="38">
        <v>4.21672586009427</v>
      </c>
      <c r="AH8" s="38">
        <v>4.210359287631584</v>
      </c>
      <c r="AI8" s="38">
        <v>4.1983509717561365</v>
      </c>
      <c r="AJ8" s="38">
        <v>4.2560151201181995</v>
      </c>
      <c r="AK8" s="38">
        <v>4.250491348326534</v>
      </c>
      <c r="AL8" s="38">
        <v>4.32091186583822</v>
      </c>
      <c r="AM8" s="38">
        <v>4.383901539688076</v>
      </c>
      <c r="AN8" s="38">
        <v>4.354026254350028</v>
      </c>
      <c r="AO8" s="38">
        <v>4.258019352256454</v>
      </c>
      <c r="AP8" s="39">
        <v>3.451468465496934</v>
      </c>
      <c r="AQ8" s="39">
        <v>3.3754118215164928</v>
      </c>
      <c r="AR8" s="39">
        <v>3.3546304556345823</v>
      </c>
      <c r="AS8" s="39">
        <v>3.3487262477062827</v>
      </c>
      <c r="AT8" s="39">
        <v>3.3321613734247286</v>
      </c>
      <c r="AU8" s="39">
        <v>3.321467157058149</v>
      </c>
      <c r="AV8" s="39">
        <v>3.4025732933336506</v>
      </c>
      <c r="AW8" s="34">
        <v>3.6926</v>
      </c>
      <c r="AX8" s="34">
        <v>3.84872</v>
      </c>
    </row>
    <row r="9" spans="1:50" ht="15.75" thickBot="1">
      <c r="A9" s="29" t="s">
        <v>18</v>
      </c>
      <c r="B9" s="26">
        <v>3.2389</v>
      </c>
      <c r="C9" s="2">
        <v>3.0797</v>
      </c>
      <c r="D9" s="2">
        <v>2.6404</v>
      </c>
      <c r="E9" s="2">
        <v>2.3905</v>
      </c>
      <c r="F9" s="4">
        <v>2.201</v>
      </c>
      <c r="G9" s="4">
        <v>2.2031</v>
      </c>
      <c r="H9" s="4">
        <v>2.4026</v>
      </c>
      <c r="I9" s="4">
        <v>2.97</v>
      </c>
      <c r="J9" s="4">
        <v>2.9169</v>
      </c>
      <c r="K9" s="4">
        <v>2.552</v>
      </c>
      <c r="L9" s="4">
        <v>2.9012</v>
      </c>
      <c r="M9" s="4">
        <v>3.398</v>
      </c>
      <c r="N9" s="18">
        <v>3.5843</v>
      </c>
      <c r="O9" s="4">
        <v>3.2554</v>
      </c>
      <c r="P9" s="4">
        <v>3.2793</v>
      </c>
      <c r="Q9" s="18">
        <v>3.3687</v>
      </c>
      <c r="R9" s="16">
        <v>3.3125</v>
      </c>
      <c r="S9" s="12">
        <v>4.1322</v>
      </c>
      <c r="T9" s="2">
        <v>4.225769041011409</v>
      </c>
      <c r="U9" s="2">
        <f>(3.768*U12)*1.055056</f>
        <v>4.184830061689343</v>
      </c>
      <c r="V9" s="12">
        <v>3.374</v>
      </c>
      <c r="W9" s="12">
        <v>3.43123</v>
      </c>
      <c r="X9" s="12">
        <v>3.2584064098285217</v>
      </c>
      <c r="Y9" s="12">
        <v>3.234197869390672</v>
      </c>
      <c r="Z9" s="12">
        <v>3.67615</v>
      </c>
      <c r="AA9" s="41">
        <v>3.76201</v>
      </c>
      <c r="AB9" s="41">
        <v>3.77536</v>
      </c>
      <c r="AC9" s="41">
        <v>3.74949</v>
      </c>
      <c r="AD9" s="12">
        <v>5.21668</v>
      </c>
      <c r="AE9" s="12">
        <v>4.86619</v>
      </c>
      <c r="AF9" s="12">
        <v>4.81986</v>
      </c>
      <c r="AG9" s="12">
        <v>4.82292</v>
      </c>
      <c r="AH9" s="12">
        <v>4.814</v>
      </c>
      <c r="AI9" s="12">
        <v>4.7833</v>
      </c>
      <c r="AJ9" s="12">
        <v>4.85451</v>
      </c>
      <c r="AK9" s="12">
        <v>5.02995</v>
      </c>
      <c r="AL9" s="2">
        <v>5.10513</v>
      </c>
      <c r="AM9" s="2">
        <v>5.27358</v>
      </c>
      <c r="AN9" s="2">
        <v>5.22169</v>
      </c>
      <c r="AO9" s="2">
        <v>5.16357</v>
      </c>
      <c r="AP9" s="34">
        <v>4.13783</v>
      </c>
      <c r="AQ9" s="34">
        <v>4.03503</v>
      </c>
      <c r="AR9" s="34">
        <v>4.05957</v>
      </c>
      <c r="AS9" s="34">
        <v>4.08522</v>
      </c>
      <c r="AT9" s="34">
        <v>4.0852</v>
      </c>
      <c r="AU9" s="34">
        <v>4.07056</v>
      </c>
      <c r="AV9" s="34">
        <v>4.08772</v>
      </c>
      <c r="AW9" s="34">
        <v>4.29813</v>
      </c>
      <c r="AX9" s="34">
        <v>4.48465</v>
      </c>
    </row>
    <row r="10" spans="1:50" ht="15.75" thickBot="1">
      <c r="A10" s="29" t="s">
        <v>19</v>
      </c>
      <c r="B10" s="26">
        <v>3.0151</v>
      </c>
      <c r="C10" s="2">
        <v>2.8198</v>
      </c>
      <c r="D10" s="2">
        <v>2.4001</v>
      </c>
      <c r="E10" s="2">
        <v>2.1806</v>
      </c>
      <c r="F10" s="4">
        <v>1.982</v>
      </c>
      <c r="G10" s="4">
        <v>1.817</v>
      </c>
      <c r="H10" s="4">
        <v>2.195</v>
      </c>
      <c r="I10" s="4">
        <v>2.66</v>
      </c>
      <c r="J10" s="4">
        <v>2.7075</v>
      </c>
      <c r="K10" s="4">
        <v>2.317</v>
      </c>
      <c r="L10" s="4">
        <v>2.6592</v>
      </c>
      <c r="M10" s="4">
        <v>3.1734</v>
      </c>
      <c r="N10" s="18">
        <v>3.3648</v>
      </c>
      <c r="O10" s="4">
        <v>3.0436</v>
      </c>
      <c r="P10" s="4">
        <v>3.0738</v>
      </c>
      <c r="Q10" s="18">
        <v>3.1587</v>
      </c>
      <c r="R10" s="16">
        <v>3.0809</v>
      </c>
      <c r="S10" s="12">
        <v>3.8988</v>
      </c>
      <c r="T10" s="2">
        <v>3.9157690410114094</v>
      </c>
      <c r="U10" s="2">
        <f>(3.4976*U12)/1.055056</f>
        <v>3.4896835777437403</v>
      </c>
      <c r="V10" s="12">
        <v>3.218</v>
      </c>
      <c r="W10" s="12">
        <v>3.13749</v>
      </c>
      <c r="X10" s="12">
        <v>2.95509922203746</v>
      </c>
      <c r="Y10" s="12">
        <v>2.943997355849397</v>
      </c>
      <c r="Z10" s="12">
        <v>3.33839</v>
      </c>
      <c r="AA10" s="41">
        <v>3.46947</v>
      </c>
      <c r="AB10" s="41">
        <v>3.47666</v>
      </c>
      <c r="AC10" s="41">
        <v>3.39062</v>
      </c>
      <c r="AD10" s="12">
        <v>4.59592</v>
      </c>
      <c r="AE10" s="12">
        <v>4.40693</v>
      </c>
      <c r="AF10" s="12">
        <v>4.37598</v>
      </c>
      <c r="AG10" s="12">
        <v>4.41405</v>
      </c>
      <c r="AH10" s="12">
        <v>4.40268</v>
      </c>
      <c r="AI10" s="12">
        <v>4.36288</v>
      </c>
      <c r="AJ10" s="12">
        <v>4.40249</v>
      </c>
      <c r="AK10" s="12">
        <v>4.58044</v>
      </c>
      <c r="AL10" s="2">
        <v>4.70556</v>
      </c>
      <c r="AM10" s="2">
        <v>4.81715</v>
      </c>
      <c r="AN10" s="2">
        <v>4.73538</v>
      </c>
      <c r="AO10" s="2">
        <v>4.64128</v>
      </c>
      <c r="AP10" s="34">
        <v>3.83144</v>
      </c>
      <c r="AQ10" s="34">
        <v>3.69864</v>
      </c>
      <c r="AR10" s="34">
        <v>3.68861</v>
      </c>
      <c r="AS10" s="34">
        <v>3.67416</v>
      </c>
      <c r="AT10" s="34">
        <v>3.57873</v>
      </c>
      <c r="AU10" s="34">
        <v>3.55744</v>
      </c>
      <c r="AV10" s="34">
        <v>3.58449</v>
      </c>
      <c r="AW10" s="34">
        <v>3.84761</v>
      </c>
      <c r="AX10" s="34">
        <v>4.05797</v>
      </c>
    </row>
    <row r="11" spans="1:50" ht="30.75" thickBot="1">
      <c r="A11" s="29" t="s">
        <v>1</v>
      </c>
      <c r="B11" s="26">
        <v>3.364</v>
      </c>
      <c r="C11" s="2">
        <v>3.084</v>
      </c>
      <c r="D11" s="2">
        <v>2.678</v>
      </c>
      <c r="E11" s="2">
        <v>2.446</v>
      </c>
      <c r="F11" s="4">
        <v>2.191</v>
      </c>
      <c r="G11" s="4">
        <v>2.036</v>
      </c>
      <c r="H11" s="4">
        <v>2.429</v>
      </c>
      <c r="I11" s="4">
        <v>2.774</v>
      </c>
      <c r="J11" s="4">
        <v>3.01</v>
      </c>
      <c r="K11" s="4">
        <v>2.634</v>
      </c>
      <c r="L11" s="4">
        <v>3.023</v>
      </c>
      <c r="M11" s="4">
        <v>3.471</v>
      </c>
      <c r="N11" s="18">
        <v>3.696</v>
      </c>
      <c r="O11" s="4">
        <v>3.354</v>
      </c>
      <c r="P11" s="4">
        <v>3.226</v>
      </c>
      <c r="Q11" s="18">
        <v>3.427</v>
      </c>
      <c r="R11" s="26">
        <v>3.976</v>
      </c>
      <c r="S11" s="2">
        <v>4.152</v>
      </c>
      <c r="T11" s="2">
        <v>4.148</v>
      </c>
      <c r="U11" s="2">
        <v>3.707</v>
      </c>
      <c r="V11" s="12">
        <v>3.459</v>
      </c>
      <c r="W11" s="12">
        <v>3.567</v>
      </c>
      <c r="X11" s="12">
        <v>3.498</v>
      </c>
      <c r="Y11" s="12">
        <v>3.496</v>
      </c>
      <c r="Z11" s="12">
        <v>3.60838</v>
      </c>
      <c r="AA11" s="41">
        <v>3.699</v>
      </c>
      <c r="AB11" s="41">
        <v>3.70495</v>
      </c>
      <c r="AC11" s="41">
        <v>3.69652</v>
      </c>
      <c r="AD11" s="12">
        <v>4.62419</v>
      </c>
      <c r="AE11" s="12">
        <v>4.54443</v>
      </c>
      <c r="AF11" s="12">
        <v>4.56214</v>
      </c>
      <c r="AG11" s="12">
        <v>4.59233</v>
      </c>
      <c r="AH11" s="12">
        <v>4.58143</v>
      </c>
      <c r="AI11" s="12">
        <v>4.55395</v>
      </c>
      <c r="AJ11" s="12">
        <v>4.56605</v>
      </c>
      <c r="AK11" s="12">
        <v>4.60986</v>
      </c>
      <c r="AL11" s="2">
        <v>4.72505</v>
      </c>
      <c r="AM11" s="2">
        <v>4.8211</v>
      </c>
      <c r="AN11" s="2">
        <v>4.76524</v>
      </c>
      <c r="AO11" s="2">
        <v>4.65562</v>
      </c>
      <c r="AP11" s="34">
        <v>4.0401</v>
      </c>
      <c r="AQ11" s="34">
        <v>3.98229</v>
      </c>
      <c r="AR11" s="34">
        <v>3.99471</v>
      </c>
      <c r="AS11" s="34">
        <v>4.01348</v>
      </c>
      <c r="AT11" s="34">
        <v>4.02062</v>
      </c>
      <c r="AU11" s="34">
        <v>4.00562</v>
      </c>
      <c r="AV11" s="34">
        <v>4.02886</v>
      </c>
      <c r="AW11" s="34">
        <v>4.0759</v>
      </c>
      <c r="AX11" s="34">
        <v>4.24062</v>
      </c>
    </row>
    <row r="12" spans="1:50" ht="15.75" thickBot="1">
      <c r="A12" s="29" t="s">
        <v>2</v>
      </c>
      <c r="B12" s="26">
        <v>1.0213</v>
      </c>
      <c r="C12" s="2">
        <v>1.0131</v>
      </c>
      <c r="D12" s="2">
        <v>0.997</v>
      </c>
      <c r="E12" s="2">
        <v>1.0136</v>
      </c>
      <c r="F12" s="4">
        <v>0.9929</v>
      </c>
      <c r="G12" s="4">
        <v>0.99901</v>
      </c>
      <c r="H12" s="4">
        <v>0.9722</v>
      </c>
      <c r="I12" s="4">
        <v>1.0138</v>
      </c>
      <c r="J12" s="4">
        <v>1.01291</v>
      </c>
      <c r="K12" s="4">
        <v>1.0139</v>
      </c>
      <c r="L12" s="4">
        <v>0.9871</v>
      </c>
      <c r="M12" s="4">
        <v>1.0004</v>
      </c>
      <c r="N12" s="18">
        <v>1.0068</v>
      </c>
      <c r="O12" s="4">
        <v>1.0054</v>
      </c>
      <c r="P12" s="4">
        <v>0.9971</v>
      </c>
      <c r="Q12" s="18">
        <v>0.9728</v>
      </c>
      <c r="R12" s="23">
        <v>1.0458</v>
      </c>
      <c r="S12" s="24">
        <v>1.046575</v>
      </c>
      <c r="T12" s="4">
        <v>1.0473666666666668</v>
      </c>
      <c r="U12" s="36">
        <v>1.052668</v>
      </c>
      <c r="V12" s="37">
        <v>1.028506</v>
      </c>
      <c r="W12" s="37">
        <v>1.04063</v>
      </c>
      <c r="X12" s="37">
        <v>1.031672</v>
      </c>
      <c r="Y12" s="37">
        <v>1.043914</v>
      </c>
      <c r="Z12" s="12">
        <v>1.062213</v>
      </c>
      <c r="AA12" s="41">
        <v>1.05039</v>
      </c>
      <c r="AB12" s="41">
        <v>1.05119</v>
      </c>
      <c r="AC12" s="41">
        <v>1.05194</v>
      </c>
      <c r="AD12" s="12">
        <v>1.10721</v>
      </c>
      <c r="AE12" s="12">
        <v>1.108</v>
      </c>
      <c r="AF12" s="12">
        <v>1.1088</v>
      </c>
      <c r="AG12" s="12">
        <v>1.10959</v>
      </c>
      <c r="AH12" s="12">
        <v>1.11039</v>
      </c>
      <c r="AI12" s="12">
        <v>1.1112</v>
      </c>
      <c r="AJ12" s="12">
        <v>1.11198</v>
      </c>
      <c r="AK12" s="12">
        <v>1.11276</v>
      </c>
      <c r="AL12" s="2">
        <v>1.11355</v>
      </c>
      <c r="AM12" s="2">
        <v>1.11432</v>
      </c>
      <c r="AN12" s="2">
        <v>1.11508</v>
      </c>
      <c r="AO12" s="2">
        <v>1.1159</v>
      </c>
      <c r="AP12" s="34">
        <v>1.11839</v>
      </c>
      <c r="AQ12" s="34">
        <v>1.11715</v>
      </c>
      <c r="AR12" s="34">
        <v>1.11811</v>
      </c>
      <c r="AS12" s="34">
        <v>1.12014</v>
      </c>
      <c r="AT12" s="34">
        <v>1.11916</v>
      </c>
      <c r="AU12" s="34">
        <v>1.1196</v>
      </c>
      <c r="AV12" s="34">
        <v>1.11925</v>
      </c>
      <c r="AW12" s="34">
        <v>1.11963</v>
      </c>
      <c r="AX12" s="34">
        <v>1.11938</v>
      </c>
    </row>
    <row r="13" spans="1:50" ht="30.75" thickBot="1">
      <c r="A13" s="29" t="s">
        <v>3</v>
      </c>
      <c r="B13" s="27">
        <f aca="true" t="shared" si="0" ref="B13:G13">(B2*1.055056/B12)-B11</f>
        <v>-0.2879843869577994</v>
      </c>
      <c r="C13" s="5">
        <f t="shared" si="0"/>
        <v>-0.40236028032770665</v>
      </c>
      <c r="D13" s="5">
        <f t="shared" si="0"/>
        <v>-0.44513323971915764</v>
      </c>
      <c r="E13" s="5">
        <f t="shared" si="0"/>
        <v>-0.5308485256511446</v>
      </c>
      <c r="F13" s="5">
        <f t="shared" si="0"/>
        <v>-0.7129227555645079</v>
      </c>
      <c r="G13" s="5">
        <f t="shared" si="0"/>
        <v>-0.5027440037268804</v>
      </c>
      <c r="H13" s="5">
        <f>(H2*1.055056/H12)-H11</f>
        <v>-0.41193916026257194</v>
      </c>
      <c r="I13" s="5">
        <v>-0.8070875517853622</v>
      </c>
      <c r="J13" s="5">
        <v>-0.8764236166153774</v>
      </c>
      <c r="K13" s="5">
        <v>-0.6502291422015936</v>
      </c>
      <c r="L13" s="5">
        <f aca="true" t="shared" si="1" ref="L13:T13">(L2*1.055056/L12)-L11</f>
        <v>-0.6122787436996076</v>
      </c>
      <c r="M13" s="5">
        <f t="shared" si="1"/>
        <v>-0.2521343289099005</v>
      </c>
      <c r="N13" s="9">
        <f t="shared" si="1"/>
        <v>-0.4065920195650632</v>
      </c>
      <c r="O13" s="21">
        <f t="shared" si="1"/>
        <v>-0.4192620610179887</v>
      </c>
      <c r="P13" s="21">
        <f t="shared" si="1"/>
        <v>-0.3307646234052908</v>
      </c>
      <c r="Q13" s="22">
        <f t="shared" si="1"/>
        <v>-0.3248814636206512</v>
      </c>
      <c r="R13" s="22">
        <f t="shared" si="1"/>
        <v>-1.097659961619451</v>
      </c>
      <c r="S13" s="22">
        <f t="shared" si="1"/>
        <v>-0.5827210802856944</v>
      </c>
      <c r="T13" s="22">
        <f t="shared" si="1"/>
        <v>-0.6064196352757705</v>
      </c>
      <c r="U13" s="14">
        <v>-0.7</v>
      </c>
      <c r="V13" s="14">
        <v>-1.017</v>
      </c>
      <c r="W13" s="14">
        <v>-1.12127</v>
      </c>
      <c r="X13" s="14">
        <v>-0.655</v>
      </c>
      <c r="Y13" s="14">
        <v>-0.221</v>
      </c>
      <c r="Z13" s="14">
        <v>-0.39183</v>
      </c>
      <c r="AA13" s="41">
        <v>-0.46717</v>
      </c>
      <c r="AB13" s="41">
        <v>-0.48524</v>
      </c>
      <c r="AC13" s="41">
        <v>-0.48534</v>
      </c>
      <c r="AD13" s="14">
        <v>-0.29836</v>
      </c>
      <c r="AE13" s="14">
        <v>-0.32269</v>
      </c>
      <c r="AF13" s="14">
        <v>-0.35296</v>
      </c>
      <c r="AG13" s="14">
        <v>-0.37918</v>
      </c>
      <c r="AH13" s="14">
        <v>-0.37759</v>
      </c>
      <c r="AI13" s="14">
        <v>-0.36495</v>
      </c>
      <c r="AJ13" s="14">
        <v>-0.32521</v>
      </c>
      <c r="AK13" s="14">
        <v>-0.3509</v>
      </c>
      <c r="AL13" s="5">
        <v>-0.40281</v>
      </c>
      <c r="AM13" s="5">
        <v>-0.44269</v>
      </c>
      <c r="AN13" s="5">
        <v>-0.4183</v>
      </c>
      <c r="AO13" s="5">
        <v>-0.40354</v>
      </c>
      <c r="AP13" s="9">
        <v>-0.6064</v>
      </c>
      <c r="AQ13" s="9">
        <v>-0.61784</v>
      </c>
      <c r="AR13" s="9">
        <v>-0.65286</v>
      </c>
      <c r="AS13" s="9">
        <v>-0.68347</v>
      </c>
      <c r="AT13" s="9">
        <v>-0.66789</v>
      </c>
      <c r="AU13" s="9">
        <v>-0.6635</v>
      </c>
      <c r="AV13" s="9">
        <v>-0.60971</v>
      </c>
      <c r="AW13" s="9">
        <v>-0.56503</v>
      </c>
      <c r="AX13" s="9">
        <v>-0.63019</v>
      </c>
    </row>
    <row r="14" ht="15"/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Spectra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Brunner, Nicole</dc:creator>
  <cp:keywords/>
  <dc:description/>
  <cp:lastModifiedBy>Kaminski, Greg</cp:lastModifiedBy>
  <dcterms:created xsi:type="dcterms:W3CDTF">2012-03-02T01:48:06Z</dcterms:created>
  <dcterms:modified xsi:type="dcterms:W3CDTF">2014-10-17T14:27:58Z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0x01010099EDFC04B479C242A9AE433B57AB544E</vt:lpwstr>
  </property>
  <property fmtid="{D5CDD505-2E9C-101B-9397-08002B2CF9AE}" pid="3" name="Status">
    <vt:lpwstr>In-Progress</vt:lpwstr>
  </property>
</Properties>
</file>