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6480" yWindow="825" windowWidth="8910" windowHeight="5610" tabRatio="943"/>
  </bookViews>
  <sheets>
    <sheet name="2012 Actuals_Auditor" sheetId="3315" r:id="rId1"/>
    <sheet name="Avoided Costs 2012-2020_EGD" sheetId="4608" r:id="rId2"/>
    <sheet name="Avoided Cost inputs_EGD" sheetId="3079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p">#REF!</definedName>
    <definedName name="_cpi8">#REF!</definedName>
    <definedName name="_cpi9">#REF!</definedName>
    <definedName name="_xlnm._FilterDatabase" localSheetId="0" hidden="1">'2012 Actuals_Auditor'!$A$42:$AG$1265</definedName>
    <definedName name="Actual_Units">#REF!</definedName>
    <definedName name="combo_space_water_heat" localSheetId="1">'Avoided Costs 2012-2020_EGD'!$B$80:$M$110</definedName>
    <definedName name="combo_space_water_heat">#REF!</definedName>
    <definedName name="fac">[1]Prescriptive!$B$21</definedName>
    <definedName name="fifty">#REF!</definedName>
    <definedName name="grosstarget">#REF!</definedName>
    <definedName name="hampton_1">'[2]Full Summary'!$C$15:$M$23</definedName>
    <definedName name="hampton_2">'[2]Full Summary'!$C$30:$M$38</definedName>
    <definedName name="hampton_3">'[2]Full Summary'!$C$45:$M$53</definedName>
    <definedName name="hampton_4">'[2]Full Summary'!$C$60:$M$68</definedName>
    <definedName name="hampton_j_1">'Avoided Cost inputs_EGD'!$N$12:$Q$20</definedName>
    <definedName name="hampton_j_2">'Avoided Cost inputs_EGD'!$N$26:$Q$34</definedName>
    <definedName name="hampton_j_3">'Avoided Cost inputs_EGD'!$N$40:$Q$48</definedName>
    <definedName name="hampton_j_4">'Avoided Cost inputs_EGD'!$N$54:$Q$62</definedName>
    <definedName name="hampton_t_1">'Avoided Cost inputs_EGD'!$K$12:$L$20</definedName>
    <definedName name="hampton_t_2">'Avoided Cost inputs_EGD'!$K$26:$L$34</definedName>
    <definedName name="hampton_t_3">'Avoided Cost inputs_EGD'!$K$40:$L$48</definedName>
    <definedName name="hampton_t_4">'Avoided Cost inputs_EGD'!$K$54:$L$62</definedName>
    <definedName name="Housing_Starts">#REF!</definedName>
    <definedName name="industrial" localSheetId="1">'Avoided Costs 2012-2020_EGD'!$B$117:$M$147</definedName>
    <definedName name="industrial">#REF!</definedName>
    <definedName name="input">#REF!</definedName>
    <definedName name="Low_Income_Section">#REF!</definedName>
    <definedName name="MACROS">#REF!</definedName>
    <definedName name="mil">#REF!</definedName>
    <definedName name="OM_Variable">#REF!</definedName>
    <definedName name="OM_Variance">#REF!</definedName>
    <definedName name="PAGE1">#REF!</definedName>
    <definedName name="PAGE2">#REF!</definedName>
    <definedName name="PAGE3">#REF!</definedName>
    <definedName name="_xlnm.Print_Area" localSheetId="0">'2012 Actuals_Auditor'!$A$1:$AE$1266</definedName>
    <definedName name="Print_Area_MI">#REF!</definedName>
    <definedName name="_xlnm.Print_Titles" localSheetId="0">'2012 Actuals_Auditor'!$B:$B,'2012 Actuals_Auditor'!$2:$3</definedName>
    <definedName name="res_comm_space_heat" localSheetId="1">'Avoided Costs 2012-2020_EGD'!$B$43:$M$73</definedName>
    <definedName name="res_comm_space_heat">#REF!</definedName>
    <definedName name="res_comm_water_heat" localSheetId="1">'Avoided Costs 2012-2020_EGD'!$B$6:$N$36</definedName>
    <definedName name="res_comm_water_heat">#REF!</definedName>
    <definedName name="seventyfive">#REF!</definedName>
    <definedName name="SSM">#REF!</definedName>
    <definedName name="SSM_Builders">#REF!</definedName>
    <definedName name="SSM_Units_Installed">#REF!</definedName>
    <definedName name="ssmtarget">#REF!</definedName>
    <definedName name="target">#REF!</definedName>
    <definedName name="Target100">#REF!</definedName>
    <definedName name="Target150">#REF!</definedName>
    <definedName name="Target50">#REF!</definedName>
    <definedName name="Total_YTD_SSM">#REF!</definedName>
    <definedName name="YTDTRC">#REF!</definedName>
    <definedName name="Z_D3618886_EC92_4244_941D_CAF99D049731_.wvu.FilterData" localSheetId="0" hidden="1">'2012 Actuals_Auditor'!$A$1:$AG$1263</definedName>
    <definedName name="Z_D3618886_EC92_4244_941D_CAF99D049731_.wvu.PrintArea" localSheetId="0" hidden="1">'2012 Actuals_Auditor'!$A$1:$AE$1266</definedName>
    <definedName name="Z_D3618886_EC92_4244_941D_CAF99D049731_.wvu.PrintTitles" localSheetId="0" hidden="1">'2012 Actuals_Auditor'!$B:$B,'2012 Actuals_Auditor'!$2:$3</definedName>
  </definedNames>
  <calcPr calcId="145621"/>
  <customWorkbookViews>
    <customWorkbookView name="Program Level" guid="{D3618886-EC92-4244-941D-CAF99D049731}" maximized="1" windowWidth="1020" windowHeight="539" tabRatio="537" activeSheetId="4631"/>
  </customWorkbookViews>
</workbook>
</file>

<file path=xl/calcChain.xml><?xml version="1.0" encoding="utf-8"?>
<calcChain xmlns="http://schemas.openxmlformats.org/spreadsheetml/2006/main">
  <c r="AD1264" i="3315" l="1"/>
  <c r="AD1265" i="3315" s="1"/>
  <c r="AE1264" i="3315" l="1"/>
  <c r="AE1265" i="3315" s="1"/>
  <c r="AC1175" i="3315"/>
  <c r="AC1174" i="3315"/>
  <c r="AC1173" i="3315"/>
  <c r="AA1176" i="3315"/>
  <c r="AC1176" i="3315" l="1"/>
  <c r="AB1176" i="3315"/>
  <c r="AB1253" i="3315" s="1"/>
  <c r="Z1175" i="3315"/>
  <c r="N1175" i="3315"/>
  <c r="L1175" i="3315"/>
  <c r="M1175" i="3315" s="1"/>
  <c r="Z1174" i="3315"/>
  <c r="AD1174" i="3315" s="1"/>
  <c r="N1174" i="3315"/>
  <c r="L1174" i="3315"/>
  <c r="M1174" i="3315" s="1"/>
  <c r="Z1173" i="3315"/>
  <c r="R1173" i="3315"/>
  <c r="P1173" i="3315"/>
  <c r="Q1173" i="3315" s="1"/>
  <c r="N1173" i="3315"/>
  <c r="L1173" i="3315"/>
  <c r="M1173" i="3315" s="1"/>
  <c r="H1175" i="3315"/>
  <c r="I1175" i="3315" s="1"/>
  <c r="AG1175" i="3315" s="1"/>
  <c r="H1174" i="3315"/>
  <c r="I1174" i="3315" s="1"/>
  <c r="H1173" i="3315"/>
  <c r="D1176" i="3315"/>
  <c r="AG1174" i="3315" l="1"/>
  <c r="J1174" i="3315"/>
  <c r="J1175" i="3315"/>
  <c r="H1176" i="3315"/>
  <c r="AD1173" i="3315"/>
  <c r="L1176" i="3315"/>
  <c r="N1176" i="3315"/>
  <c r="Z1176" i="3315"/>
  <c r="M1176" i="3315"/>
  <c r="AD1175" i="3315"/>
  <c r="AF1175" i="3315" l="1"/>
  <c r="AF1174" i="3315"/>
  <c r="AD1176" i="3315"/>
  <c r="D13" i="3315" l="1"/>
  <c r="L13" i="3315" s="1"/>
  <c r="D9" i="3315" l="1"/>
  <c r="D10" i="3315"/>
  <c r="D11" i="3315"/>
  <c r="H11" i="3315" s="1"/>
  <c r="J5" i="3315" l="1"/>
  <c r="AF5" i="3315" s="1"/>
  <c r="AA1049" i="3315" l="1"/>
  <c r="AD1260" i="3315"/>
  <c r="AE1260" i="3315"/>
  <c r="AF1260" i="3315"/>
  <c r="AG1260" i="3315"/>
  <c r="AB1251" i="3315"/>
  <c r="AA1251" i="3315"/>
  <c r="Y1251" i="3315"/>
  <c r="T1251" i="3315"/>
  <c r="S1251" i="3315"/>
  <c r="O1251" i="3315"/>
  <c r="K1251" i="3315"/>
  <c r="G1251" i="3315"/>
  <c r="F1251" i="3315"/>
  <c r="E1251" i="3315"/>
  <c r="AB1163" i="3315"/>
  <c r="AA1163" i="3315"/>
  <c r="Y1163" i="3315"/>
  <c r="T1163" i="3315"/>
  <c r="S1163" i="3315"/>
  <c r="O1163" i="3315"/>
  <c r="K1163" i="3315"/>
  <c r="G1163" i="3315"/>
  <c r="F1163" i="3315"/>
  <c r="E1163" i="3315"/>
  <c r="AB1156" i="3315"/>
  <c r="AA1156" i="3315"/>
  <c r="Y1156" i="3315"/>
  <c r="T1156" i="3315"/>
  <c r="S1156" i="3315"/>
  <c r="O1156" i="3315"/>
  <c r="K1156" i="3315"/>
  <c r="G1156" i="3315"/>
  <c r="F1156" i="3315"/>
  <c r="E1156" i="3315"/>
  <c r="AB1148" i="3315"/>
  <c r="AA1148" i="3315"/>
  <c r="Y1148" i="3315"/>
  <c r="T1148" i="3315"/>
  <c r="S1148" i="3315"/>
  <c r="O1148" i="3315"/>
  <c r="K1148" i="3315"/>
  <c r="G1148" i="3315"/>
  <c r="F1148" i="3315"/>
  <c r="E1148" i="3315"/>
  <c r="E1049" i="3315"/>
  <c r="F1049" i="3315"/>
  <c r="G1049" i="3315"/>
  <c r="K1049" i="3315"/>
  <c r="O1049" i="3315"/>
  <c r="S1049" i="3315"/>
  <c r="T1049" i="3315"/>
  <c r="Y1049" i="3315"/>
  <c r="AB1049" i="3315"/>
  <c r="F15" i="3315"/>
  <c r="AA590" i="3315"/>
  <c r="Y1165" i="3315" l="1"/>
  <c r="K1165" i="3315"/>
  <c r="S1165" i="3315"/>
  <c r="F1165" i="3315"/>
  <c r="AB1165" i="3315"/>
  <c r="T1165" i="3315"/>
  <c r="G1165" i="3315"/>
  <c r="O1165" i="3315"/>
  <c r="E1165" i="3315"/>
  <c r="AA1165" i="3315"/>
  <c r="L585" i="3315"/>
  <c r="P585" i="3315"/>
  <c r="AC585" i="3315"/>
  <c r="G1167" i="3315" l="1"/>
  <c r="T1167" i="3315"/>
  <c r="S1167" i="3315"/>
  <c r="F1167" i="3315"/>
  <c r="E21" i="3315"/>
  <c r="Y22" i="3315"/>
  <c r="Y21" i="3315"/>
  <c r="E22" i="3315"/>
  <c r="R5" i="3315" l="1"/>
  <c r="AD1252" i="3315" l="1"/>
  <c r="AD1168" i="3315"/>
  <c r="AE1168" i="3315" l="1"/>
  <c r="AE1252" i="3315"/>
  <c r="Z1249" i="3315" l="1"/>
  <c r="R1249" i="3315"/>
  <c r="P1249" i="3315"/>
  <c r="N1249" i="3315"/>
  <c r="L1249" i="3315"/>
  <c r="J1249" i="3315"/>
  <c r="AF1249" i="3315" s="1"/>
  <c r="H1249" i="3315"/>
  <c r="Z1248" i="3315"/>
  <c r="R1248" i="3315"/>
  <c r="P1248" i="3315"/>
  <c r="N1248" i="3315"/>
  <c r="L1248" i="3315"/>
  <c r="J1248" i="3315"/>
  <c r="AF1248" i="3315" s="1"/>
  <c r="H1248" i="3315"/>
  <c r="Y27" i="3315"/>
  <c r="Q27" i="3315"/>
  <c r="O27" i="3315"/>
  <c r="M27" i="3315"/>
  <c r="K27" i="3315"/>
  <c r="I27" i="3315"/>
  <c r="E27" i="3315"/>
  <c r="N27" i="3315" l="1"/>
  <c r="J27" i="3315"/>
  <c r="AF27" i="3315" s="1"/>
  <c r="R27" i="3315"/>
  <c r="O1167" i="3315"/>
  <c r="Z27" i="3315"/>
  <c r="AD27" i="3315" s="1"/>
  <c r="I1248" i="3315"/>
  <c r="Q1248" i="3315"/>
  <c r="M1249" i="3315"/>
  <c r="AD1249" i="3315"/>
  <c r="M1248" i="3315"/>
  <c r="AD1248" i="3315"/>
  <c r="I1249" i="3315"/>
  <c r="Q1249" i="3315"/>
  <c r="AG1249" i="3315" l="1"/>
  <c r="AG1248" i="3315"/>
  <c r="AG27" i="3315"/>
  <c r="AA1167" i="3315" l="1"/>
  <c r="AG588" i="3315"/>
  <c r="AG38" i="3315"/>
  <c r="AA1253" i="3315" l="1"/>
  <c r="Y29" i="3315"/>
  <c r="Y26" i="3315"/>
  <c r="AB1262" i="3315" l="1"/>
  <c r="AA1262" i="3315"/>
  <c r="AA1259" i="3315"/>
  <c r="AA1260" i="3315" s="1"/>
  <c r="AB1259" i="3315"/>
  <c r="AB1260" i="3315" s="1"/>
  <c r="AC1261" i="3315"/>
  <c r="AC1262" i="3315" s="1"/>
  <c r="AC1258" i="3315"/>
  <c r="AC1257" i="3315"/>
  <c r="AC1256" i="3315"/>
  <c r="Z1016" i="3315"/>
  <c r="Z1017" i="3315"/>
  <c r="Z1018" i="3315"/>
  <c r="Z1019" i="3315"/>
  <c r="Z1020" i="3315"/>
  <c r="Z1021" i="3315"/>
  <c r="Z1022" i="3315"/>
  <c r="Z1023" i="3315"/>
  <c r="Z1024" i="3315"/>
  <c r="Z1025" i="3315"/>
  <c r="Z1026" i="3315"/>
  <c r="Z1027" i="3315"/>
  <c r="Z1028" i="3315"/>
  <c r="Z1029" i="3315"/>
  <c r="AB9" i="3315"/>
  <c r="AA9" i="3315"/>
  <c r="AD1028" i="3315" l="1"/>
  <c r="AD1024" i="3315"/>
  <c r="AD1022" i="3315"/>
  <c r="AD1018" i="3315"/>
  <c r="AD1029" i="3315"/>
  <c r="AD1027" i="3315"/>
  <c r="AD1025" i="3315"/>
  <c r="AD1023" i="3315"/>
  <c r="AD1021" i="3315"/>
  <c r="AD1019" i="3315"/>
  <c r="AD1017" i="3315"/>
  <c r="AD1026" i="3315"/>
  <c r="AD1020" i="3315"/>
  <c r="AD1016" i="3315"/>
  <c r="AB1265" i="3315"/>
  <c r="AA1265" i="3315"/>
  <c r="AC1259" i="3315"/>
  <c r="Q563" i="3315"/>
  <c r="Q561" i="3315"/>
  <c r="Q559" i="3315"/>
  <c r="Q537" i="3315"/>
  <c r="Q532" i="3315"/>
  <c r="Q520" i="3315"/>
  <c r="Q518" i="3315"/>
  <c r="Q517" i="3315"/>
  <c r="Q516" i="3315"/>
  <c r="Q515" i="3315"/>
  <c r="Q514" i="3315"/>
  <c r="Q513" i="3315"/>
  <c r="Q510" i="3315"/>
  <c r="Q509" i="3315"/>
  <c r="Q508" i="3315"/>
  <c r="Q507" i="3315"/>
  <c r="Q506" i="3315"/>
  <c r="Q505" i="3315"/>
  <c r="Q504" i="3315"/>
  <c r="Q503" i="3315"/>
  <c r="Q502" i="3315"/>
  <c r="Q501" i="3315"/>
  <c r="Q486" i="3315"/>
  <c r="Q485" i="3315"/>
  <c r="Q484" i="3315"/>
  <c r="Q483" i="3315"/>
  <c r="Q482" i="3315"/>
  <c r="Q481" i="3315"/>
  <c r="Q480" i="3315"/>
  <c r="Q479" i="3315"/>
  <c r="Q464" i="3315"/>
  <c r="M563" i="3315"/>
  <c r="M561" i="3315"/>
  <c r="M559" i="3315"/>
  <c r="M537" i="3315"/>
  <c r="M532" i="3315"/>
  <c r="M520" i="3315"/>
  <c r="M518" i="3315"/>
  <c r="M517" i="3315"/>
  <c r="M516" i="3315"/>
  <c r="M515" i="3315"/>
  <c r="M514" i="3315"/>
  <c r="M513" i="3315"/>
  <c r="M510" i="3315"/>
  <c r="M509" i="3315"/>
  <c r="M508" i="3315"/>
  <c r="M507" i="3315"/>
  <c r="M506" i="3315"/>
  <c r="M505" i="3315"/>
  <c r="M504" i="3315"/>
  <c r="M503" i="3315"/>
  <c r="M502" i="3315"/>
  <c r="M501" i="3315"/>
  <c r="M486" i="3315"/>
  <c r="M485" i="3315"/>
  <c r="M484" i="3315"/>
  <c r="M483" i="3315"/>
  <c r="M482" i="3315"/>
  <c r="M481" i="3315"/>
  <c r="M480" i="3315"/>
  <c r="M479" i="3315"/>
  <c r="M464" i="3315"/>
  <c r="I563" i="3315"/>
  <c r="I561" i="3315"/>
  <c r="I559" i="3315"/>
  <c r="I537" i="3315"/>
  <c r="I532" i="3315"/>
  <c r="I520" i="3315"/>
  <c r="I518" i="3315"/>
  <c r="I517" i="3315"/>
  <c r="I516" i="3315"/>
  <c r="I515" i="3315"/>
  <c r="I514" i="3315"/>
  <c r="I513" i="3315"/>
  <c r="I510" i="3315"/>
  <c r="I509" i="3315"/>
  <c r="I508" i="3315"/>
  <c r="I507" i="3315"/>
  <c r="I506" i="3315"/>
  <c r="I505" i="3315"/>
  <c r="I504" i="3315"/>
  <c r="I503" i="3315"/>
  <c r="I502" i="3315"/>
  <c r="I501" i="3315"/>
  <c r="I486" i="3315"/>
  <c r="I485" i="3315"/>
  <c r="I484" i="3315"/>
  <c r="I483" i="3315"/>
  <c r="I482" i="3315"/>
  <c r="I481" i="3315"/>
  <c r="I480" i="3315"/>
  <c r="I479" i="3315"/>
  <c r="I464" i="3315"/>
  <c r="Q1209" i="3315"/>
  <c r="Q1208" i="3315"/>
  <c r="Q1207" i="3315"/>
  <c r="Q1202" i="3315"/>
  <c r="Q1201" i="3315"/>
  <c r="Q1200" i="3315"/>
  <c r="Q1199" i="3315"/>
  <c r="Q1198" i="3315"/>
  <c r="Q1197" i="3315"/>
  <c r="Q1196" i="3315"/>
  <c r="Q1195" i="3315"/>
  <c r="Q994" i="3315"/>
  <c r="Q978" i="3315"/>
  <c r="Q965" i="3315"/>
  <c r="Q964" i="3315"/>
  <c r="Q963" i="3315"/>
  <c r="Q962" i="3315"/>
  <c r="Q961" i="3315"/>
  <c r="Q960" i="3315"/>
  <c r="Q959" i="3315"/>
  <c r="Q958" i="3315"/>
  <c r="Q953" i="3315"/>
  <c r="Q952" i="3315"/>
  <c r="Q951" i="3315"/>
  <c r="Q949" i="3315"/>
  <c r="Q867" i="3315"/>
  <c r="Q861" i="3315"/>
  <c r="Q856" i="3315"/>
  <c r="Q834" i="3315"/>
  <c r="Q773" i="3315"/>
  <c r="Q753" i="3315"/>
  <c r="Q752" i="3315"/>
  <c r="Q670" i="3315"/>
  <c r="Q634" i="3315"/>
  <c r="Q633" i="3315"/>
  <c r="Q632" i="3315"/>
  <c r="Q631" i="3315"/>
  <c r="Q573" i="3315"/>
  <c r="Q566" i="3315"/>
  <c r="Q512" i="3315"/>
  <c r="Q511" i="3315"/>
  <c r="Q455" i="3315"/>
  <c r="Q395" i="3315"/>
  <c r="Q394" i="3315"/>
  <c r="Q393" i="3315"/>
  <c r="Q391" i="3315"/>
  <c r="Q388" i="3315"/>
  <c r="Q352" i="3315"/>
  <c r="Q351" i="3315"/>
  <c r="Q348" i="3315"/>
  <c r="Q344" i="3315"/>
  <c r="Q341" i="3315"/>
  <c r="Q339" i="3315"/>
  <c r="Q336" i="3315"/>
  <c r="Q335" i="3315"/>
  <c r="Q330" i="3315"/>
  <c r="Q308" i="3315"/>
  <c r="Q141" i="3315"/>
  <c r="Q140" i="3315"/>
  <c r="Q138" i="3315"/>
  <c r="Q131" i="3315"/>
  <c r="Q130" i="3315"/>
  <c r="Q105" i="3315"/>
  <c r="Q80" i="3315"/>
  <c r="M1209" i="3315"/>
  <c r="M1208" i="3315"/>
  <c r="M1207" i="3315"/>
  <c r="M1202" i="3315"/>
  <c r="M1201" i="3315"/>
  <c r="M1200" i="3315"/>
  <c r="M1199" i="3315"/>
  <c r="M1198" i="3315"/>
  <c r="M1197" i="3315"/>
  <c r="M1196" i="3315"/>
  <c r="M1195" i="3315"/>
  <c r="M994" i="3315"/>
  <c r="M978" i="3315"/>
  <c r="M965" i="3315"/>
  <c r="M964" i="3315"/>
  <c r="M963" i="3315"/>
  <c r="M962" i="3315"/>
  <c r="M961" i="3315"/>
  <c r="M960" i="3315"/>
  <c r="M959" i="3315"/>
  <c r="M958" i="3315"/>
  <c r="M953" i="3315"/>
  <c r="M952" i="3315"/>
  <c r="M951" i="3315"/>
  <c r="M949" i="3315"/>
  <c r="M867" i="3315"/>
  <c r="M861" i="3315"/>
  <c r="M856" i="3315"/>
  <c r="M834" i="3315"/>
  <c r="M773" i="3315"/>
  <c r="M753" i="3315"/>
  <c r="M752" i="3315"/>
  <c r="M670" i="3315"/>
  <c r="M634" i="3315"/>
  <c r="M633" i="3315"/>
  <c r="M632" i="3315"/>
  <c r="M631" i="3315"/>
  <c r="M573" i="3315"/>
  <c r="M566" i="3315"/>
  <c r="M512" i="3315"/>
  <c r="M511" i="3315"/>
  <c r="M455" i="3315"/>
  <c r="M395" i="3315"/>
  <c r="M394" i="3315"/>
  <c r="M393" i="3315"/>
  <c r="M391" i="3315"/>
  <c r="M388" i="3315"/>
  <c r="M352" i="3315"/>
  <c r="M351" i="3315"/>
  <c r="M348" i="3315"/>
  <c r="M344" i="3315"/>
  <c r="M341" i="3315"/>
  <c r="M339" i="3315"/>
  <c r="M336" i="3315"/>
  <c r="M335" i="3315"/>
  <c r="M330" i="3315"/>
  <c r="M308" i="3315"/>
  <c r="M141" i="3315"/>
  <c r="M140" i="3315"/>
  <c r="M138" i="3315"/>
  <c r="M131" i="3315"/>
  <c r="M130" i="3315"/>
  <c r="M105" i="3315"/>
  <c r="M80" i="3315"/>
  <c r="I1209" i="3315"/>
  <c r="I1208" i="3315"/>
  <c r="I1207" i="3315"/>
  <c r="I1202" i="3315"/>
  <c r="I1201" i="3315"/>
  <c r="I1200" i="3315"/>
  <c r="I1199" i="3315"/>
  <c r="I1198" i="3315"/>
  <c r="I1197" i="3315"/>
  <c r="I1196" i="3315"/>
  <c r="I1195" i="3315"/>
  <c r="I994" i="3315"/>
  <c r="I978" i="3315"/>
  <c r="I965" i="3315"/>
  <c r="I964" i="3315"/>
  <c r="I963" i="3315"/>
  <c r="I962" i="3315"/>
  <c r="I961" i="3315"/>
  <c r="I960" i="3315"/>
  <c r="I959" i="3315"/>
  <c r="I958" i="3315"/>
  <c r="I953" i="3315"/>
  <c r="I952" i="3315"/>
  <c r="I951" i="3315"/>
  <c r="I949" i="3315"/>
  <c r="I867" i="3315"/>
  <c r="I861" i="3315"/>
  <c r="I856" i="3315"/>
  <c r="I834" i="3315"/>
  <c r="I773" i="3315"/>
  <c r="I753" i="3315"/>
  <c r="I752" i="3315"/>
  <c r="I670" i="3315"/>
  <c r="I634" i="3315"/>
  <c r="I633" i="3315"/>
  <c r="I632" i="3315"/>
  <c r="I631" i="3315"/>
  <c r="I573" i="3315"/>
  <c r="I566" i="3315"/>
  <c r="I512" i="3315"/>
  <c r="I511" i="3315"/>
  <c r="I455" i="3315"/>
  <c r="I395" i="3315"/>
  <c r="I394" i="3315"/>
  <c r="I393" i="3315"/>
  <c r="I391" i="3315"/>
  <c r="I388" i="3315"/>
  <c r="I352" i="3315"/>
  <c r="I351" i="3315"/>
  <c r="I348" i="3315"/>
  <c r="I344" i="3315"/>
  <c r="I341" i="3315"/>
  <c r="I339" i="3315"/>
  <c r="I336" i="3315"/>
  <c r="I335" i="3315"/>
  <c r="I330" i="3315"/>
  <c r="I308" i="3315"/>
  <c r="I141" i="3315"/>
  <c r="I140" i="3315"/>
  <c r="I138" i="3315"/>
  <c r="I131" i="3315"/>
  <c r="I130" i="3315"/>
  <c r="I105" i="3315"/>
  <c r="I80" i="3315"/>
  <c r="AC1265" i="3315" l="1"/>
  <c r="AC1260" i="3315"/>
  <c r="AG631" i="3315"/>
  <c r="AG834" i="3315"/>
  <c r="AG962" i="3315"/>
  <c r="AG632" i="3315"/>
  <c r="AG856" i="3315"/>
  <c r="AG959" i="3315"/>
  <c r="AG634" i="3315"/>
  <c r="AG773" i="3315"/>
  <c r="AG867" i="3315"/>
  <c r="AG953" i="3315"/>
  <c r="AG961" i="3315"/>
  <c r="AG965" i="3315"/>
  <c r="AG670" i="3315"/>
  <c r="AG949" i="3315"/>
  <c r="AG958" i="3315"/>
  <c r="AG752" i="3315"/>
  <c r="AG951" i="3315"/>
  <c r="AG963" i="3315"/>
  <c r="AG633" i="3315"/>
  <c r="AG753" i="3315"/>
  <c r="AG861" i="3315"/>
  <c r="AG952" i="3315"/>
  <c r="AG960" i="3315"/>
  <c r="AG964" i="3315"/>
  <c r="AG573" i="3315"/>
  <c r="AG484" i="3315"/>
  <c r="AG506" i="3315"/>
  <c r="AG532" i="3315"/>
  <c r="AG481" i="3315"/>
  <c r="AG503" i="3315"/>
  <c r="AG517" i="3315"/>
  <c r="AG512" i="3315"/>
  <c r="AG464" i="3315"/>
  <c r="AG482" i="3315"/>
  <c r="AG486" i="3315"/>
  <c r="AG504" i="3315"/>
  <c r="AG508" i="3315"/>
  <c r="AG514" i="3315"/>
  <c r="AG518" i="3315"/>
  <c r="AG559" i="3315"/>
  <c r="AG480" i="3315"/>
  <c r="AG502" i="3315"/>
  <c r="AG510" i="3315"/>
  <c r="AG516" i="3315"/>
  <c r="AG563" i="3315"/>
  <c r="AG511" i="3315"/>
  <c r="AG485" i="3315"/>
  <c r="AG507" i="3315"/>
  <c r="AG513" i="3315"/>
  <c r="AG537" i="3315"/>
  <c r="AG566" i="3315"/>
  <c r="AG479" i="3315"/>
  <c r="AG483" i="3315"/>
  <c r="AG501" i="3315"/>
  <c r="AG505" i="3315"/>
  <c r="AG509" i="3315"/>
  <c r="AG515" i="3315"/>
  <c r="AG520" i="3315"/>
  <c r="AG561" i="3315"/>
  <c r="AG455" i="3315"/>
  <c r="AG391" i="3315"/>
  <c r="AG394" i="3315"/>
  <c r="AG393" i="3315"/>
  <c r="AG388" i="3315"/>
  <c r="AG395" i="3315"/>
  <c r="AG330" i="3315"/>
  <c r="AG348" i="3315"/>
  <c r="AG351" i="3315"/>
  <c r="AG341" i="3315"/>
  <c r="AG352" i="3315"/>
  <c r="AG336" i="3315"/>
  <c r="AG339" i="3315"/>
  <c r="AG335" i="3315"/>
  <c r="AG344" i="3315"/>
  <c r="AG138" i="3315"/>
  <c r="AG141" i="3315"/>
  <c r="AG308" i="3315"/>
  <c r="AG140" i="3315"/>
  <c r="AG80" i="3315"/>
  <c r="AG130" i="3315"/>
  <c r="AG131" i="3315"/>
  <c r="AG105" i="3315"/>
  <c r="AG1197" i="3315"/>
  <c r="AG1201" i="3315"/>
  <c r="AG1209" i="3315"/>
  <c r="AG1198" i="3315"/>
  <c r="AG1202" i="3315"/>
  <c r="AG1196" i="3315"/>
  <c r="AG1200" i="3315"/>
  <c r="AG1208" i="3315"/>
  <c r="AG1195" i="3315"/>
  <c r="AG1199" i="3315"/>
  <c r="AG1207" i="3315"/>
  <c r="AG994" i="3315"/>
  <c r="AG978" i="3315"/>
  <c r="AB39" i="3315" l="1"/>
  <c r="D39" i="3315"/>
  <c r="AF38" i="3315"/>
  <c r="AD38" i="3315"/>
  <c r="AC38" i="3315"/>
  <c r="Z31" i="3315"/>
  <c r="R31" i="3315"/>
  <c r="P31" i="3315"/>
  <c r="N31" i="3315"/>
  <c r="L31" i="3315"/>
  <c r="J31" i="3315"/>
  <c r="H31" i="3315"/>
  <c r="I31" i="3315" s="1"/>
  <c r="Y30" i="3315"/>
  <c r="K30" i="3315"/>
  <c r="E30" i="3315"/>
  <c r="E29" i="3315"/>
  <c r="Y28" i="3315"/>
  <c r="E28" i="3315"/>
  <c r="E26" i="3315"/>
  <c r="Z22" i="3315"/>
  <c r="AE38" i="3315" l="1"/>
  <c r="Z28" i="3315"/>
  <c r="Y1167" i="3315"/>
  <c r="K1167" i="3315"/>
  <c r="M31" i="3315"/>
  <c r="AD31" i="3315"/>
  <c r="AF31" i="3315"/>
  <c r="E1167" i="3315"/>
  <c r="AG31" i="3315"/>
  <c r="Q31" i="3315"/>
  <c r="AB1167" i="3315"/>
  <c r="Z21" i="3315" l="1"/>
  <c r="H16" i="3315"/>
  <c r="H17" i="3315"/>
  <c r="H18" i="3315"/>
  <c r="H19" i="3315"/>
  <c r="H20" i="3315"/>
  <c r="H23" i="3315"/>
  <c r="H24" i="3315"/>
  <c r="H25" i="3315"/>
  <c r="H6" i="3315"/>
  <c r="H7" i="3315"/>
  <c r="H8" i="3315"/>
  <c r="H9" i="3315"/>
  <c r="H10" i="3315"/>
  <c r="H12" i="3315"/>
  <c r="H5" i="3315"/>
  <c r="I17" i="3315" l="1"/>
  <c r="I18" i="3315"/>
  <c r="I19" i="3315"/>
  <c r="I20" i="3315"/>
  <c r="I16" i="3315"/>
  <c r="Z18" i="3315"/>
  <c r="AC18" i="3315"/>
  <c r="R18" i="3315"/>
  <c r="P18" i="3315"/>
  <c r="N18" i="3315"/>
  <c r="N19" i="3315"/>
  <c r="L17" i="3315"/>
  <c r="L18" i="3315"/>
  <c r="L19" i="3315"/>
  <c r="L20" i="3315"/>
  <c r="J17" i="3315"/>
  <c r="J18" i="3315"/>
  <c r="J19" i="3315"/>
  <c r="J20" i="3315"/>
  <c r="AG20" i="3315" l="1"/>
  <c r="AG19" i="3315"/>
  <c r="M17" i="3315"/>
  <c r="M19" i="3315"/>
  <c r="AD18" i="3315"/>
  <c r="AG18" i="3315"/>
  <c r="M20" i="3315"/>
  <c r="AF18" i="3315"/>
  <c r="M18" i="3315"/>
  <c r="Q18" i="3315"/>
  <c r="AG16" i="3315"/>
  <c r="AG17" i="3315"/>
  <c r="M13" i="3315"/>
  <c r="N13" i="3315"/>
  <c r="Q6" i="3315"/>
  <c r="Q7" i="3315"/>
  <c r="Q8" i="3315"/>
  <c r="Q9" i="3315"/>
  <c r="Q10" i="3315"/>
  <c r="Q11" i="3315"/>
  <c r="Q12" i="3315"/>
  <c r="Q5" i="3315"/>
  <c r="M6" i="3315"/>
  <c r="N6" i="3315" s="1"/>
  <c r="M7" i="3315"/>
  <c r="N7" i="3315" s="1"/>
  <c r="M8" i="3315"/>
  <c r="N8" i="3315" s="1"/>
  <c r="M9" i="3315"/>
  <c r="N9" i="3315" s="1"/>
  <c r="M10" i="3315"/>
  <c r="N10" i="3315" s="1"/>
  <c r="M11" i="3315"/>
  <c r="N11" i="3315" s="1"/>
  <c r="M12" i="3315"/>
  <c r="N12" i="3315" s="1"/>
  <c r="M5" i="3315"/>
  <c r="N5" i="3315" s="1"/>
  <c r="AC9" i="3315" l="1"/>
  <c r="I6" i="3315"/>
  <c r="I7" i="3315"/>
  <c r="I8" i="3315"/>
  <c r="I9" i="3315"/>
  <c r="I10" i="3315"/>
  <c r="I11" i="3315"/>
  <c r="AG11" i="3315" s="1"/>
  <c r="I12" i="3315"/>
  <c r="I5" i="3315"/>
  <c r="J9" i="3315"/>
  <c r="Z9" i="3315"/>
  <c r="AG12" i="3315" l="1"/>
  <c r="AG8" i="3315"/>
  <c r="AD9" i="3315"/>
  <c r="AG7" i="3315"/>
  <c r="AF9" i="3315"/>
  <c r="AG10" i="3315"/>
  <c r="AG5" i="3315"/>
  <c r="AG9" i="3315"/>
  <c r="AG6" i="3315"/>
  <c r="R9" i="3315"/>
  <c r="AB1164" i="3315" l="1"/>
  <c r="AA1164" i="3315"/>
  <c r="P1155" i="3315"/>
  <c r="P1156" i="3315" s="1"/>
  <c r="L1155" i="3315"/>
  <c r="L1156" i="3315" s="1"/>
  <c r="H1155" i="3315"/>
  <c r="D1155" i="3315"/>
  <c r="D1156" i="3315" s="1"/>
  <c r="Z1154" i="3315"/>
  <c r="Z1153" i="3315"/>
  <c r="Z1152" i="3315"/>
  <c r="Z1151" i="3315"/>
  <c r="Z1150" i="3315"/>
  <c r="P1147" i="3315"/>
  <c r="P1148" i="3315" s="1"/>
  <c r="L1147" i="3315"/>
  <c r="L1148" i="3315" s="1"/>
  <c r="H1147" i="3315"/>
  <c r="D1147" i="3315"/>
  <c r="D1148" i="3315" s="1"/>
  <c r="Z1146" i="3315"/>
  <c r="Z1145" i="3315"/>
  <c r="Z1144" i="3315"/>
  <c r="Z1143" i="3315"/>
  <c r="Z1142" i="3315"/>
  <c r="Z1141" i="3315"/>
  <c r="P1138" i="3315"/>
  <c r="L1138" i="3315"/>
  <c r="H1138" i="3315"/>
  <c r="D1138" i="3315"/>
  <c r="Z1137" i="3315"/>
  <c r="Z1136" i="3315"/>
  <c r="Z1135" i="3315"/>
  <c r="Z1134" i="3315"/>
  <c r="Z1133" i="3315"/>
  <c r="Z1132" i="3315"/>
  <c r="Z1131" i="3315"/>
  <c r="Z1130" i="3315"/>
  <c r="Z1129" i="3315"/>
  <c r="Z1128" i="3315"/>
  <c r="Z1127" i="3315"/>
  <c r="Z1126" i="3315"/>
  <c r="Z1125" i="3315"/>
  <c r="Z1124" i="3315"/>
  <c r="Z1123" i="3315"/>
  <c r="Z1122" i="3315"/>
  <c r="Z1121" i="3315"/>
  <c r="Z1120" i="3315"/>
  <c r="Z1119" i="3315"/>
  <c r="Z1118" i="3315"/>
  <c r="Z1117" i="3315"/>
  <c r="Z1116" i="3315"/>
  <c r="Z1115" i="3315"/>
  <c r="Z1114" i="3315"/>
  <c r="Z1113" i="3315"/>
  <c r="Z1112" i="3315"/>
  <c r="Z1111" i="3315"/>
  <c r="Z1110" i="3315"/>
  <c r="Z1109" i="3315"/>
  <c r="Z1108" i="3315"/>
  <c r="Z1107" i="3315"/>
  <c r="Z1106" i="3315"/>
  <c r="Z1105" i="3315"/>
  <c r="Z1104" i="3315"/>
  <c r="Z1103" i="3315"/>
  <c r="Z1102" i="3315"/>
  <c r="Z1101" i="3315"/>
  <c r="Z1100" i="3315"/>
  <c r="Z1099" i="3315"/>
  <c r="Z1098" i="3315"/>
  <c r="Z1097" i="3315"/>
  <c r="Z1096" i="3315"/>
  <c r="Z1095" i="3315"/>
  <c r="Z1094" i="3315"/>
  <c r="Z270" i="3315"/>
  <c r="Z269" i="3315"/>
  <c r="Z268" i="3315"/>
  <c r="Z267" i="3315"/>
  <c r="Z266" i="3315"/>
  <c r="Z265" i="3315"/>
  <c r="Z264" i="3315"/>
  <c r="Z263" i="3315"/>
  <c r="Z262" i="3315"/>
  <c r="Z261" i="3315"/>
  <c r="Z260" i="3315"/>
  <c r="Z259" i="3315"/>
  <c r="Z258" i="3315"/>
  <c r="Z257" i="3315"/>
  <c r="Z256" i="3315"/>
  <c r="Z255" i="3315"/>
  <c r="Z254" i="3315"/>
  <c r="Z253" i="3315"/>
  <c r="Z252" i="3315"/>
  <c r="Z251" i="3315"/>
  <c r="Z250" i="3315"/>
  <c r="Z249" i="3315"/>
  <c r="Z248" i="3315"/>
  <c r="Z247" i="3315"/>
  <c r="Z246" i="3315"/>
  <c r="Z245" i="3315"/>
  <c r="Z244" i="3315"/>
  <c r="Z243" i="3315"/>
  <c r="Z242" i="3315"/>
  <c r="Z241" i="3315"/>
  <c r="Z240" i="3315"/>
  <c r="Z239" i="3315"/>
  <c r="Z238" i="3315"/>
  <c r="Z237" i="3315"/>
  <c r="Z236" i="3315"/>
  <c r="Z235" i="3315"/>
  <c r="Z234" i="3315"/>
  <c r="Z233" i="3315"/>
  <c r="Z232" i="3315"/>
  <c r="Z231" i="3315"/>
  <c r="Z230" i="3315"/>
  <c r="Z229" i="3315"/>
  <c r="Z228" i="3315"/>
  <c r="Z227" i="3315"/>
  <c r="Z226" i="3315"/>
  <c r="Z225" i="3315"/>
  <c r="Z224" i="3315"/>
  <c r="Z223" i="3315"/>
  <c r="Z222" i="3315"/>
  <c r="Z221" i="3315"/>
  <c r="Z220" i="3315"/>
  <c r="Z219" i="3315"/>
  <c r="Z218" i="3315"/>
  <c r="Z217" i="3315"/>
  <c r="Z216" i="3315"/>
  <c r="Z203" i="3315"/>
  <c r="Z202" i="3315"/>
  <c r="Z201" i="3315"/>
  <c r="Z200" i="3315"/>
  <c r="Z199" i="3315"/>
  <c r="Z198" i="3315"/>
  <c r="Z197" i="3315"/>
  <c r="Z196" i="3315"/>
  <c r="Z195" i="3315"/>
  <c r="Z194" i="3315"/>
  <c r="Z193" i="3315"/>
  <c r="Z192" i="3315"/>
  <c r="Z191" i="3315"/>
  <c r="Z190" i="3315"/>
  <c r="Z189" i="3315"/>
  <c r="Z188" i="3315"/>
  <c r="Z187" i="3315"/>
  <c r="Z186" i="3315"/>
  <c r="Z185" i="3315"/>
  <c r="Z184" i="3315"/>
  <c r="Z183" i="3315"/>
  <c r="Z182" i="3315"/>
  <c r="Z181" i="3315"/>
  <c r="Z180" i="3315"/>
  <c r="Z179" i="3315"/>
  <c r="Z178" i="3315"/>
  <c r="Z177" i="3315"/>
  <c r="Z176" i="3315"/>
  <c r="Z175" i="3315"/>
  <c r="Z174" i="3315"/>
  <c r="Z173" i="3315"/>
  <c r="Z172" i="3315"/>
  <c r="Z171" i="3315"/>
  <c r="Z170" i="3315"/>
  <c r="Z169" i="3315"/>
  <c r="Z168" i="3315"/>
  <c r="Z167" i="3315"/>
  <c r="Z166" i="3315"/>
  <c r="Z165" i="3315"/>
  <c r="Z164" i="3315"/>
  <c r="Z163" i="3315"/>
  <c r="Z162" i="3315"/>
  <c r="Z161" i="3315"/>
  <c r="Z160" i="3315"/>
  <c r="Z159" i="3315"/>
  <c r="Z158" i="3315"/>
  <c r="Z157" i="3315"/>
  <c r="Z156" i="3315"/>
  <c r="Z155" i="3315"/>
  <c r="Z154" i="3315"/>
  <c r="Z153" i="3315"/>
  <c r="Z152" i="3315"/>
  <c r="Z151" i="3315"/>
  <c r="Z150" i="3315"/>
  <c r="Z149" i="3315"/>
  <c r="Z148" i="3315"/>
  <c r="Z147" i="3315"/>
  <c r="Z146" i="3315"/>
  <c r="Z145" i="3315"/>
  <c r="Z144" i="3315"/>
  <c r="Z143" i="3315"/>
  <c r="Z142" i="3315"/>
  <c r="Z141" i="3315"/>
  <c r="R141" i="3315"/>
  <c r="N141" i="3315"/>
  <c r="J141" i="3315"/>
  <c r="Z140" i="3315"/>
  <c r="R140" i="3315"/>
  <c r="N140" i="3315"/>
  <c r="J140" i="3315"/>
  <c r="Z139" i="3315"/>
  <c r="Z138" i="3315"/>
  <c r="R138" i="3315"/>
  <c r="N138" i="3315"/>
  <c r="J138" i="3315"/>
  <c r="Z137" i="3315"/>
  <c r="Z136" i="3315"/>
  <c r="Z275" i="3315"/>
  <c r="Z274" i="3315"/>
  <c r="Z273" i="3315"/>
  <c r="Z272" i="3315"/>
  <c r="Z271" i="3315"/>
  <c r="Z215" i="3315"/>
  <c r="Z214" i="3315"/>
  <c r="Z213" i="3315"/>
  <c r="Z212" i="3315"/>
  <c r="Z211" i="3315"/>
  <c r="Z210" i="3315"/>
  <c r="Z209" i="3315"/>
  <c r="Z208" i="3315"/>
  <c r="Z207" i="3315"/>
  <c r="Z206" i="3315"/>
  <c r="Z205" i="3315"/>
  <c r="Z204" i="3315"/>
  <c r="Z292" i="3315"/>
  <c r="Z291" i="3315"/>
  <c r="Z290" i="3315"/>
  <c r="Z289" i="3315"/>
  <c r="Z288" i="3315"/>
  <c r="Z287" i="3315"/>
  <c r="Z286" i="3315"/>
  <c r="Z285" i="3315"/>
  <c r="Z284" i="3315"/>
  <c r="Z283" i="3315"/>
  <c r="Z282" i="3315"/>
  <c r="Z281" i="3315"/>
  <c r="Z280" i="3315"/>
  <c r="Z279" i="3315"/>
  <c r="Z278" i="3315"/>
  <c r="Z277" i="3315"/>
  <c r="Z276" i="3315"/>
  <c r="Z308" i="3315"/>
  <c r="R308" i="3315"/>
  <c r="N308" i="3315"/>
  <c r="J308" i="3315"/>
  <c r="Z307" i="3315"/>
  <c r="Z306" i="3315"/>
  <c r="Z305" i="3315"/>
  <c r="Z304" i="3315"/>
  <c r="Z303" i="3315"/>
  <c r="Z302" i="3315"/>
  <c r="Z301" i="3315"/>
  <c r="Z300" i="3315"/>
  <c r="Z299" i="3315"/>
  <c r="Z298" i="3315"/>
  <c r="Z297" i="3315"/>
  <c r="Z296" i="3315"/>
  <c r="Z295" i="3315"/>
  <c r="Z294" i="3315"/>
  <c r="Z293" i="3315"/>
  <c r="P439" i="3315"/>
  <c r="L439" i="3315"/>
  <c r="H439" i="3315"/>
  <c r="D439" i="3315"/>
  <c r="Z428" i="3315"/>
  <c r="Z427" i="3315"/>
  <c r="Z426" i="3315"/>
  <c r="Z425" i="3315"/>
  <c r="Z424" i="3315"/>
  <c r="Z423" i="3315"/>
  <c r="Z422" i="3315"/>
  <c r="Z421" i="3315"/>
  <c r="Z411" i="3315"/>
  <c r="Z410" i="3315"/>
  <c r="Z409" i="3315"/>
  <c r="Z408" i="3315"/>
  <c r="Z407" i="3315"/>
  <c r="Z406" i="3315"/>
  <c r="Z405" i="3315"/>
  <c r="Z404" i="3315"/>
  <c r="Z403" i="3315"/>
  <c r="Z402" i="3315"/>
  <c r="Z401" i="3315"/>
  <c r="Z400" i="3315"/>
  <c r="Z399" i="3315"/>
  <c r="Z398" i="3315"/>
  <c r="Z397" i="3315"/>
  <c r="Z396" i="3315"/>
  <c r="Z395" i="3315"/>
  <c r="R395" i="3315"/>
  <c r="N395" i="3315"/>
  <c r="J395" i="3315"/>
  <c r="Z394" i="3315"/>
  <c r="R394" i="3315"/>
  <c r="N394" i="3315"/>
  <c r="J394" i="3315"/>
  <c r="Z393" i="3315"/>
  <c r="R393" i="3315"/>
  <c r="N393" i="3315"/>
  <c r="J393" i="3315"/>
  <c r="Z392" i="3315"/>
  <c r="Z391" i="3315"/>
  <c r="R391" i="3315"/>
  <c r="N391" i="3315"/>
  <c r="J391" i="3315"/>
  <c r="Z390" i="3315"/>
  <c r="Z389" i="3315"/>
  <c r="Z388" i="3315"/>
  <c r="R388" i="3315"/>
  <c r="N388" i="3315"/>
  <c r="Z431" i="3315"/>
  <c r="Z430" i="3315"/>
  <c r="Z429" i="3315"/>
  <c r="Z420" i="3315"/>
  <c r="Z419" i="3315"/>
  <c r="Z418" i="3315"/>
  <c r="Z417" i="3315"/>
  <c r="Z416" i="3315"/>
  <c r="Z415" i="3315"/>
  <c r="Z414" i="3315"/>
  <c r="Z413" i="3315"/>
  <c r="Z412" i="3315"/>
  <c r="Z437" i="3315"/>
  <c r="Z436" i="3315"/>
  <c r="Z435" i="3315"/>
  <c r="Z434" i="3315"/>
  <c r="Z433" i="3315"/>
  <c r="Z432" i="3315"/>
  <c r="Z438" i="3315"/>
  <c r="D353" i="3315"/>
  <c r="H353" i="3315"/>
  <c r="Z128" i="3315"/>
  <c r="Z127" i="3315"/>
  <c r="Z126" i="3315"/>
  <c r="Z125" i="3315"/>
  <c r="Z124" i="3315"/>
  <c r="Z123" i="3315"/>
  <c r="Z122" i="3315"/>
  <c r="D132" i="3315"/>
  <c r="H132" i="3315"/>
  <c r="Z116" i="3315"/>
  <c r="Z115" i="3315"/>
  <c r="Z103" i="3315"/>
  <c r="Z102" i="3315"/>
  <c r="Z101" i="3315"/>
  <c r="Z100" i="3315"/>
  <c r="Z99" i="3315"/>
  <c r="Z98" i="3315"/>
  <c r="Z97" i="3315"/>
  <c r="Z96" i="3315"/>
  <c r="Z95" i="3315"/>
  <c r="H1148" i="3315" l="1"/>
  <c r="H1156" i="3315"/>
  <c r="AD433" i="3315"/>
  <c r="AD437" i="3315"/>
  <c r="AD438" i="3315"/>
  <c r="AD435" i="3315"/>
  <c r="AD413" i="3315"/>
  <c r="AD417" i="3315"/>
  <c r="AD429" i="3315"/>
  <c r="AD390" i="3315"/>
  <c r="AF393" i="3315"/>
  <c r="AD394" i="3315"/>
  <c r="AD398" i="3315"/>
  <c r="AD402" i="3315"/>
  <c r="AD406" i="3315"/>
  <c r="AD410" i="3315"/>
  <c r="AD423" i="3315"/>
  <c r="AD427" i="3315"/>
  <c r="AD432" i="3315"/>
  <c r="AD436" i="3315"/>
  <c r="AD414" i="3315"/>
  <c r="AD418" i="3315"/>
  <c r="AD430" i="3315"/>
  <c r="AD391" i="3315"/>
  <c r="AD395" i="3315"/>
  <c r="AD399" i="3315"/>
  <c r="AD403" i="3315"/>
  <c r="AD407" i="3315"/>
  <c r="AD411" i="3315"/>
  <c r="AD424" i="3315"/>
  <c r="AD428" i="3315"/>
  <c r="AD415" i="3315"/>
  <c r="AD419" i="3315"/>
  <c r="AD431" i="3315"/>
  <c r="AD388" i="3315"/>
  <c r="AD392" i="3315"/>
  <c r="AD396" i="3315"/>
  <c r="AD400" i="3315"/>
  <c r="AD404" i="3315"/>
  <c r="AD408" i="3315"/>
  <c r="AD421" i="3315"/>
  <c r="AD425" i="3315"/>
  <c r="AD434" i="3315"/>
  <c r="AD412" i="3315"/>
  <c r="AD416" i="3315"/>
  <c r="AD420" i="3315"/>
  <c r="AD389" i="3315"/>
  <c r="AD393" i="3315"/>
  <c r="AD397" i="3315"/>
  <c r="AD401" i="3315"/>
  <c r="AD405" i="3315"/>
  <c r="AD409" i="3315"/>
  <c r="AD422" i="3315"/>
  <c r="AD426" i="3315"/>
  <c r="AD137" i="3315"/>
  <c r="AD299" i="3315"/>
  <c r="AD278" i="3315"/>
  <c r="AD290" i="3315"/>
  <c r="AD209" i="3315"/>
  <c r="AD136" i="3315"/>
  <c r="AD144" i="3315"/>
  <c r="AD160" i="3315"/>
  <c r="AD180" i="3315"/>
  <c r="AD192" i="3315"/>
  <c r="AD196" i="3315"/>
  <c r="AD240" i="3315"/>
  <c r="AD244" i="3315"/>
  <c r="AD248" i="3315"/>
  <c r="AD252" i="3315"/>
  <c r="AD256" i="3315"/>
  <c r="AD260" i="3315"/>
  <c r="AD264" i="3315"/>
  <c r="AD268" i="3315"/>
  <c r="AD296" i="3315"/>
  <c r="AD300" i="3315"/>
  <c r="AD304" i="3315"/>
  <c r="AD308" i="3315"/>
  <c r="AD279" i="3315"/>
  <c r="AD283" i="3315"/>
  <c r="AD287" i="3315"/>
  <c r="AD291" i="3315"/>
  <c r="AD206" i="3315"/>
  <c r="AD210" i="3315"/>
  <c r="AD214" i="3315"/>
  <c r="AD273" i="3315"/>
  <c r="AD141" i="3315"/>
  <c r="AD149" i="3315"/>
  <c r="AD157" i="3315"/>
  <c r="AD169" i="3315"/>
  <c r="AD173" i="3315"/>
  <c r="AD177" i="3315"/>
  <c r="AD185" i="3315"/>
  <c r="AD193" i="3315"/>
  <c r="AD201" i="3315"/>
  <c r="AD221" i="3315"/>
  <c r="AD229" i="3315"/>
  <c r="AD233" i="3315"/>
  <c r="AD237" i="3315"/>
  <c r="AD241" i="3315"/>
  <c r="AD257" i="3315"/>
  <c r="AD265" i="3315"/>
  <c r="AD269" i="3315"/>
  <c r="AD293" i="3315"/>
  <c r="AD297" i="3315"/>
  <c r="AD301" i="3315"/>
  <c r="AD305" i="3315"/>
  <c r="AD276" i="3315"/>
  <c r="AD280" i="3315"/>
  <c r="AD284" i="3315"/>
  <c r="AD288" i="3315"/>
  <c r="AD292" i="3315"/>
  <c r="AD207" i="3315"/>
  <c r="AD211" i="3315"/>
  <c r="AD215" i="3315"/>
  <c r="AD274" i="3315"/>
  <c r="AD138" i="3315"/>
  <c r="AD142" i="3315"/>
  <c r="AD146" i="3315"/>
  <c r="AD150" i="3315"/>
  <c r="AD154" i="3315"/>
  <c r="AD158" i="3315"/>
  <c r="AD162" i="3315"/>
  <c r="AD166" i="3315"/>
  <c r="AD170" i="3315"/>
  <c r="AD174" i="3315"/>
  <c r="AD178" i="3315"/>
  <c r="AD182" i="3315"/>
  <c r="AD186" i="3315"/>
  <c r="AD190" i="3315"/>
  <c r="AD194" i="3315"/>
  <c r="AD198" i="3315"/>
  <c r="AD202" i="3315"/>
  <c r="AD218" i="3315"/>
  <c r="AD222" i="3315"/>
  <c r="AD226" i="3315"/>
  <c r="AD230" i="3315"/>
  <c r="AD234" i="3315"/>
  <c r="AD238" i="3315"/>
  <c r="AD242" i="3315"/>
  <c r="AD246" i="3315"/>
  <c r="AD250" i="3315"/>
  <c r="AD254" i="3315"/>
  <c r="AD258" i="3315"/>
  <c r="AD262" i="3315"/>
  <c r="AD266" i="3315"/>
  <c r="AD270" i="3315"/>
  <c r="AD295" i="3315"/>
  <c r="AD303" i="3315"/>
  <c r="AD307" i="3315"/>
  <c r="AD282" i="3315"/>
  <c r="AD286" i="3315"/>
  <c r="AD205" i="3315"/>
  <c r="AD213" i="3315"/>
  <c r="AD272" i="3315"/>
  <c r="AD140" i="3315"/>
  <c r="AD148" i="3315"/>
  <c r="AD152" i="3315"/>
  <c r="AD156" i="3315"/>
  <c r="AD164" i="3315"/>
  <c r="AD168" i="3315"/>
  <c r="AD172" i="3315"/>
  <c r="AD176" i="3315"/>
  <c r="AD184" i="3315"/>
  <c r="AD188" i="3315"/>
  <c r="AD200" i="3315"/>
  <c r="AD216" i="3315"/>
  <c r="AD220" i="3315"/>
  <c r="AD224" i="3315"/>
  <c r="AD228" i="3315"/>
  <c r="AD232" i="3315"/>
  <c r="AD236" i="3315"/>
  <c r="AD145" i="3315"/>
  <c r="AD153" i="3315"/>
  <c r="AD161" i="3315"/>
  <c r="AD165" i="3315"/>
  <c r="AD181" i="3315"/>
  <c r="AD189" i="3315"/>
  <c r="AD197" i="3315"/>
  <c r="AD217" i="3315"/>
  <c r="AD225" i="3315"/>
  <c r="AD245" i="3315"/>
  <c r="AD249" i="3315"/>
  <c r="AD253" i="3315"/>
  <c r="AD261" i="3315"/>
  <c r="AD294" i="3315"/>
  <c r="AD298" i="3315"/>
  <c r="AD302" i="3315"/>
  <c r="AD306" i="3315"/>
  <c r="AD277" i="3315"/>
  <c r="AD281" i="3315"/>
  <c r="AD285" i="3315"/>
  <c r="AD289" i="3315"/>
  <c r="AD204" i="3315"/>
  <c r="AD208" i="3315"/>
  <c r="AD212" i="3315"/>
  <c r="AD271" i="3315"/>
  <c r="AD275" i="3315"/>
  <c r="AD139" i="3315"/>
  <c r="AD143" i="3315"/>
  <c r="AD147" i="3315"/>
  <c r="AD151" i="3315"/>
  <c r="AD155" i="3315"/>
  <c r="AD159" i="3315"/>
  <c r="AD163" i="3315"/>
  <c r="AD167" i="3315"/>
  <c r="AD171" i="3315"/>
  <c r="AD175" i="3315"/>
  <c r="AD179" i="3315"/>
  <c r="AD183" i="3315"/>
  <c r="AD187" i="3315"/>
  <c r="AD191" i="3315"/>
  <c r="AD195" i="3315"/>
  <c r="AD199" i="3315"/>
  <c r="AD203" i="3315"/>
  <c r="AD219" i="3315"/>
  <c r="AD223" i="3315"/>
  <c r="AD227" i="3315"/>
  <c r="AD231" i="3315"/>
  <c r="AD235" i="3315"/>
  <c r="AD239" i="3315"/>
  <c r="AD243" i="3315"/>
  <c r="AD247" i="3315"/>
  <c r="AD251" i="3315"/>
  <c r="AD255" i="3315"/>
  <c r="AD259" i="3315"/>
  <c r="AD263" i="3315"/>
  <c r="AD267" i="3315"/>
  <c r="AD95" i="3315"/>
  <c r="AD96" i="3315"/>
  <c r="AD97" i="3315"/>
  <c r="AD98" i="3315"/>
  <c r="AD99" i="3315"/>
  <c r="AD100" i="3315"/>
  <c r="AD101" i="3315"/>
  <c r="AD102" i="3315"/>
  <c r="AD103" i="3315"/>
  <c r="AD115" i="3315"/>
  <c r="AD116" i="3315"/>
  <c r="AD122" i="3315"/>
  <c r="AD123" i="3315"/>
  <c r="AD124" i="3315"/>
  <c r="AD125" i="3315"/>
  <c r="AD126" i="3315"/>
  <c r="AD127" i="3315"/>
  <c r="AD128" i="3315"/>
  <c r="AD1152" i="3315"/>
  <c r="AD1151" i="3315"/>
  <c r="AD1153" i="3315"/>
  <c r="AD1154" i="3315"/>
  <c r="AD1144" i="3315"/>
  <c r="AD1141" i="3315"/>
  <c r="AD1145" i="3315"/>
  <c r="AD1143" i="3315"/>
  <c r="AD1146" i="3315"/>
  <c r="AD1095" i="3315"/>
  <c r="AD1111" i="3315"/>
  <c r="AD1119" i="3315"/>
  <c r="AD1123" i="3315"/>
  <c r="AD1131" i="3315"/>
  <c r="AD1100" i="3315"/>
  <c r="AD1104" i="3315"/>
  <c r="AD1112" i="3315"/>
  <c r="AD1120" i="3315"/>
  <c r="AD1128" i="3315"/>
  <c r="AD1136" i="3315"/>
  <c r="AD1097" i="3315"/>
  <c r="AD1101" i="3315"/>
  <c r="AD1105" i="3315"/>
  <c r="AD1109" i="3315"/>
  <c r="AD1113" i="3315"/>
  <c r="AD1117" i="3315"/>
  <c r="AD1121" i="3315"/>
  <c r="AD1125" i="3315"/>
  <c r="AD1129" i="3315"/>
  <c r="AD1133" i="3315"/>
  <c r="AD1137" i="3315"/>
  <c r="AD1099" i="3315"/>
  <c r="AD1107" i="3315"/>
  <c r="AD1115" i="3315"/>
  <c r="AD1127" i="3315"/>
  <c r="AD1135" i="3315"/>
  <c r="AD1096" i="3315"/>
  <c r="AD1108" i="3315"/>
  <c r="AD1116" i="3315"/>
  <c r="AD1124" i="3315"/>
  <c r="AD1132" i="3315"/>
  <c r="AD1094" i="3315"/>
  <c r="AD1098" i="3315"/>
  <c r="AD1102" i="3315"/>
  <c r="AD1106" i="3315"/>
  <c r="AD1110" i="3315"/>
  <c r="AD1114" i="3315"/>
  <c r="AD1118" i="3315"/>
  <c r="AD1122" i="3315"/>
  <c r="AD1126" i="3315"/>
  <c r="AD1130" i="3315"/>
  <c r="AD1134" i="3315"/>
  <c r="AD1103" i="3315"/>
  <c r="AC1147" i="3315"/>
  <c r="AC1148" i="3315" s="1"/>
  <c r="AC1138" i="3315"/>
  <c r="AC1155" i="3315"/>
  <c r="AC1156" i="3315" s="1"/>
  <c r="AD1150" i="3315"/>
  <c r="Z1155" i="3315"/>
  <c r="AD1155" i="3315" s="1"/>
  <c r="AD1142" i="3315"/>
  <c r="Z1147" i="3315"/>
  <c r="AD1147" i="3315" s="1"/>
  <c r="Z1138" i="3315"/>
  <c r="AD1138" i="3315" s="1"/>
  <c r="AF138" i="3315"/>
  <c r="AF141" i="3315"/>
  <c r="AF140" i="3315"/>
  <c r="AF308" i="3315"/>
  <c r="AF394" i="3315"/>
  <c r="J388" i="3315"/>
  <c r="AF395" i="3315"/>
  <c r="Z439" i="3315"/>
  <c r="AF391" i="3315"/>
  <c r="AD1156" i="3315" l="1"/>
  <c r="AD1148" i="3315"/>
  <c r="Z1148" i="3315"/>
  <c r="Z1156" i="3315"/>
  <c r="AF388" i="3315"/>
  <c r="I1173" i="3315" l="1"/>
  <c r="Z1247" i="3315"/>
  <c r="Z594" i="3315"/>
  <c r="Z595" i="3315"/>
  <c r="I1176" i="3315" l="1"/>
  <c r="AG1173" i="3315"/>
  <c r="AG1176" i="3315" s="1"/>
  <c r="AD595" i="3315"/>
  <c r="AD594" i="3315"/>
  <c r="AD1247" i="3315"/>
  <c r="J1173" i="3315"/>
  <c r="P1250" i="3315"/>
  <c r="P1251" i="3315" s="1"/>
  <c r="L1250" i="3315"/>
  <c r="L1251" i="3315" s="1"/>
  <c r="H1250" i="3315"/>
  <c r="H1251" i="3315" s="1"/>
  <c r="D1250" i="3315"/>
  <c r="D1251" i="3315" s="1"/>
  <c r="Z1246" i="3315"/>
  <c r="Z1245" i="3315"/>
  <c r="Z1244" i="3315"/>
  <c r="Z1243" i="3315"/>
  <c r="Z1242" i="3315"/>
  <c r="Z1241" i="3315"/>
  <c r="Z1240" i="3315"/>
  <c r="Z1239" i="3315"/>
  <c r="Z1238" i="3315"/>
  <c r="Z1237" i="3315"/>
  <c r="Z1236" i="3315"/>
  <c r="Z1235" i="3315"/>
  <c r="Z1234" i="3315"/>
  <c r="Z1233" i="3315"/>
  <c r="Z1232" i="3315"/>
  <c r="Z1231" i="3315"/>
  <c r="Z1230" i="3315"/>
  <c r="Z1229" i="3315"/>
  <c r="Z1228" i="3315"/>
  <c r="Z1227" i="3315"/>
  <c r="Z1226" i="3315"/>
  <c r="Z1225" i="3315"/>
  <c r="Z1224" i="3315"/>
  <c r="Z1223" i="3315"/>
  <c r="Z1222" i="3315"/>
  <c r="Z1221" i="3315"/>
  <c r="Z1220" i="3315"/>
  <c r="Z1219" i="3315"/>
  <c r="Z1218" i="3315"/>
  <c r="Z1217" i="3315"/>
  <c r="Z1216" i="3315"/>
  <c r="Z1215" i="3315"/>
  <c r="Z1214" i="3315"/>
  <c r="Z1213" i="3315"/>
  <c r="Z1212" i="3315"/>
  <c r="Z1211" i="3315"/>
  <c r="Z1210" i="3315"/>
  <c r="Z1209" i="3315"/>
  <c r="R1209" i="3315"/>
  <c r="N1209" i="3315"/>
  <c r="J1209" i="3315"/>
  <c r="Z1208" i="3315"/>
  <c r="R1208" i="3315"/>
  <c r="N1208" i="3315"/>
  <c r="J1208" i="3315"/>
  <c r="Z1207" i="3315"/>
  <c r="R1207" i="3315"/>
  <c r="N1207" i="3315"/>
  <c r="J1207" i="3315"/>
  <c r="Z1206" i="3315"/>
  <c r="Z1205" i="3315"/>
  <c r="Z1204" i="3315"/>
  <c r="Z1203" i="3315"/>
  <c r="Z1202" i="3315"/>
  <c r="R1202" i="3315"/>
  <c r="N1202" i="3315"/>
  <c r="J1202" i="3315"/>
  <c r="Z1201" i="3315"/>
  <c r="R1201" i="3315"/>
  <c r="N1201" i="3315"/>
  <c r="J1201" i="3315"/>
  <c r="Z1200" i="3315"/>
  <c r="R1200" i="3315"/>
  <c r="N1200" i="3315"/>
  <c r="J1200" i="3315"/>
  <c r="Z1199" i="3315"/>
  <c r="R1199" i="3315"/>
  <c r="N1199" i="3315"/>
  <c r="J1199" i="3315"/>
  <c r="Z1198" i="3315"/>
  <c r="R1198" i="3315"/>
  <c r="N1198" i="3315"/>
  <c r="J1198" i="3315"/>
  <c r="Z1197" i="3315"/>
  <c r="R1197" i="3315"/>
  <c r="N1197" i="3315"/>
  <c r="J1197" i="3315"/>
  <c r="Z1196" i="3315"/>
  <c r="R1196" i="3315"/>
  <c r="N1196" i="3315"/>
  <c r="J1196" i="3315"/>
  <c r="Z1195" i="3315"/>
  <c r="R1195" i="3315"/>
  <c r="N1195" i="3315"/>
  <c r="J1195" i="3315"/>
  <c r="Z1194" i="3315"/>
  <c r="Z1193" i="3315"/>
  <c r="Z1192" i="3315"/>
  <c r="Z1191" i="3315"/>
  <c r="Z1190" i="3315"/>
  <c r="Z1189" i="3315"/>
  <c r="Z1188" i="3315"/>
  <c r="Z1187" i="3315"/>
  <c r="Z1186" i="3315"/>
  <c r="Z1185" i="3315"/>
  <c r="Z1184" i="3315"/>
  <c r="Z1183" i="3315"/>
  <c r="Z1182" i="3315"/>
  <c r="Z1181" i="3315"/>
  <c r="Z1180" i="3315"/>
  <c r="Z1179" i="3315"/>
  <c r="J1176" i="3315" l="1"/>
  <c r="AF1173" i="3315"/>
  <c r="AD1194" i="3315"/>
  <c r="AD1206" i="3315"/>
  <c r="AD1214" i="3315"/>
  <c r="AD1218" i="3315"/>
  <c r="AD1222" i="3315"/>
  <c r="AD1230" i="3315"/>
  <c r="AD1238" i="3315"/>
  <c r="L1253" i="3315"/>
  <c r="AD1180" i="3315"/>
  <c r="AD1187" i="3315"/>
  <c r="AD1195" i="3315"/>
  <c r="AD1207" i="3315"/>
  <c r="AD1223" i="3315"/>
  <c r="AD1231" i="3315"/>
  <c r="AD1239" i="3315"/>
  <c r="AD1243" i="3315"/>
  <c r="AD1181" i="3315"/>
  <c r="AD1188" i="3315"/>
  <c r="AD1192" i="3315"/>
  <c r="AD1196" i="3315"/>
  <c r="AD1200" i="3315"/>
  <c r="AD1204" i="3315"/>
  <c r="AD1208" i="3315"/>
  <c r="AD1212" i="3315"/>
  <c r="AD1216" i="3315"/>
  <c r="AD1220" i="3315"/>
  <c r="AD1224" i="3315"/>
  <c r="AD1228" i="3315"/>
  <c r="AD1232" i="3315"/>
  <c r="AD1236" i="3315"/>
  <c r="AD1240" i="3315"/>
  <c r="AD1244" i="3315"/>
  <c r="AD1186" i="3315"/>
  <c r="AD1190" i="3315"/>
  <c r="AD1198" i="3315"/>
  <c r="AD1202" i="3315"/>
  <c r="AD1210" i="3315"/>
  <c r="AD1226" i="3315"/>
  <c r="AD1234" i="3315"/>
  <c r="AD1242" i="3315"/>
  <c r="AD1246" i="3315"/>
  <c r="AD1191" i="3315"/>
  <c r="AD1199" i="3315"/>
  <c r="AD1203" i="3315"/>
  <c r="AD1211" i="3315"/>
  <c r="AD1215" i="3315"/>
  <c r="AD1219" i="3315"/>
  <c r="AD1227" i="3315"/>
  <c r="AD1235" i="3315"/>
  <c r="AD1184" i="3315"/>
  <c r="AD1182" i="3315"/>
  <c r="AD1185" i="3315"/>
  <c r="AD1189" i="3315"/>
  <c r="AD1193" i="3315"/>
  <c r="AF1196" i="3315"/>
  <c r="AD1197" i="3315"/>
  <c r="AD1201" i="3315"/>
  <c r="AD1205" i="3315"/>
  <c r="AD1209" i="3315"/>
  <c r="AD1213" i="3315"/>
  <c r="AD1217" i="3315"/>
  <c r="AD1221" i="3315"/>
  <c r="AD1225" i="3315"/>
  <c r="AD1229" i="3315"/>
  <c r="AD1233" i="3315"/>
  <c r="AD1237" i="3315"/>
  <c r="AD1241" i="3315"/>
  <c r="AD1245" i="3315"/>
  <c r="H1253" i="3315"/>
  <c r="D1253" i="3315"/>
  <c r="AD1183" i="3315"/>
  <c r="AF1195" i="3315"/>
  <c r="AF1199" i="3315"/>
  <c r="AF1198" i="3315"/>
  <c r="AF1208" i="3315"/>
  <c r="Z1250" i="3315"/>
  <c r="Z1253" i="3315" s="1"/>
  <c r="AD1179" i="3315"/>
  <c r="AF1197" i="3315"/>
  <c r="AF1202" i="3315"/>
  <c r="AF1207" i="3315"/>
  <c r="AF1201" i="3315"/>
  <c r="AF1209" i="3315"/>
  <c r="AF1200" i="3315"/>
  <c r="AC1250" i="3315"/>
  <c r="AF1176" i="3315" l="1"/>
  <c r="AC1253" i="3315"/>
  <c r="AC1251" i="3315"/>
  <c r="Z1251" i="3315"/>
  <c r="AD1250" i="3315"/>
  <c r="AD1253" i="3315" s="1"/>
  <c r="AD1251" i="3315" l="1"/>
  <c r="Z44" i="3315" l="1"/>
  <c r="Z45" i="3315"/>
  <c r="Z46" i="3315"/>
  <c r="Z47" i="3315"/>
  <c r="Z48" i="3315"/>
  <c r="Z49" i="3315"/>
  <c r="Z50" i="3315"/>
  <c r="Z51" i="3315"/>
  <c r="Z52" i="3315"/>
  <c r="Z53" i="3315"/>
  <c r="Z54" i="3315"/>
  <c r="Z55" i="3315"/>
  <c r="Z56" i="3315"/>
  <c r="L385" i="3315"/>
  <c r="AD55" i="3315" l="1"/>
  <c r="AD49" i="3315"/>
  <c r="AD53" i="3315"/>
  <c r="AD51" i="3315"/>
  <c r="AD47" i="3315"/>
  <c r="AD45" i="3315"/>
  <c r="AD56" i="3315"/>
  <c r="AD54" i="3315"/>
  <c r="AD52" i="3315"/>
  <c r="AD50" i="3315"/>
  <c r="AD48" i="3315"/>
  <c r="AD46" i="3315"/>
  <c r="AD44" i="3315"/>
  <c r="AC461" i="3315"/>
  <c r="AF588" i="3315"/>
  <c r="Z571" i="3315"/>
  <c r="Z572" i="3315"/>
  <c r="Z573" i="3315"/>
  <c r="Z574" i="3315"/>
  <c r="Z575" i="3315"/>
  <c r="Z576" i="3315"/>
  <c r="Z577" i="3315"/>
  <c r="Z578" i="3315"/>
  <c r="Z579" i="3315"/>
  <c r="Z580" i="3315"/>
  <c r="Z581" i="3315"/>
  <c r="Z582" i="3315"/>
  <c r="Z583" i="3315"/>
  <c r="Z584" i="3315"/>
  <c r="N573" i="3315"/>
  <c r="N575" i="3315"/>
  <c r="J573" i="3315"/>
  <c r="R573" i="3315"/>
  <c r="D585" i="3315"/>
  <c r="H585" i="3315"/>
  <c r="D126" i="4608"/>
  <c r="D122" i="4608"/>
  <c r="D87" i="4608"/>
  <c r="D83" i="4608"/>
  <c r="D53" i="4608"/>
  <c r="D52" i="4608"/>
  <c r="D49" i="4608"/>
  <c r="D48" i="4608"/>
  <c r="D45" i="4608"/>
  <c r="D44" i="4608"/>
  <c r="D16" i="4608"/>
  <c r="D13" i="4608"/>
  <c r="D12" i="4608"/>
  <c r="D9" i="4608"/>
  <c r="D8" i="4608"/>
  <c r="L7" i="4608"/>
  <c r="J7" i="4608"/>
  <c r="A147" i="4608"/>
  <c r="A146" i="4608"/>
  <c r="A145" i="4608"/>
  <c r="A144" i="4608"/>
  <c r="A143" i="4608"/>
  <c r="A142" i="4608"/>
  <c r="A141" i="4608"/>
  <c r="A140" i="4608"/>
  <c r="A139" i="4608"/>
  <c r="A138" i="4608"/>
  <c r="A137" i="4608"/>
  <c r="A136" i="4608"/>
  <c r="A135" i="4608"/>
  <c r="A134" i="4608"/>
  <c r="A133" i="4608"/>
  <c r="A132" i="4608"/>
  <c r="A131" i="4608"/>
  <c r="A130" i="4608"/>
  <c r="A129" i="4608"/>
  <c r="A128" i="4608"/>
  <c r="A127" i="4608"/>
  <c r="A126" i="4608"/>
  <c r="A125" i="4608"/>
  <c r="A124" i="4608"/>
  <c r="A123" i="4608"/>
  <c r="A122" i="4608"/>
  <c r="A121" i="4608"/>
  <c r="A120" i="4608"/>
  <c r="C119" i="4608"/>
  <c r="C120" i="4608" s="1"/>
  <c r="C121" i="4608" s="1"/>
  <c r="C122" i="4608" s="1"/>
  <c r="C123" i="4608" s="1"/>
  <c r="C124" i="4608" s="1"/>
  <c r="C125" i="4608" s="1"/>
  <c r="C126" i="4608" s="1"/>
  <c r="C127" i="4608" s="1"/>
  <c r="C128" i="4608" s="1"/>
  <c r="C129" i="4608" s="1"/>
  <c r="C130" i="4608" s="1"/>
  <c r="C131" i="4608" s="1"/>
  <c r="C132" i="4608" s="1"/>
  <c r="C133" i="4608" s="1"/>
  <c r="C134" i="4608" s="1"/>
  <c r="C135" i="4608" s="1"/>
  <c r="C136" i="4608" s="1"/>
  <c r="C137" i="4608" s="1"/>
  <c r="C138" i="4608" s="1"/>
  <c r="C139" i="4608" s="1"/>
  <c r="C140" i="4608" s="1"/>
  <c r="C141" i="4608" s="1"/>
  <c r="C142" i="4608" s="1"/>
  <c r="C143" i="4608" s="1"/>
  <c r="C144" i="4608" s="1"/>
  <c r="C145" i="4608" s="1"/>
  <c r="C146" i="4608" s="1"/>
  <c r="C147" i="4608" s="1"/>
  <c r="A119" i="4608"/>
  <c r="A118" i="4608"/>
  <c r="J117" i="4608"/>
  <c r="A110" i="4608"/>
  <c r="A109" i="4608"/>
  <c r="A108" i="4608"/>
  <c r="A107" i="4608"/>
  <c r="A106" i="4608"/>
  <c r="A105" i="4608"/>
  <c r="A104" i="4608"/>
  <c r="A103" i="4608"/>
  <c r="A102" i="4608"/>
  <c r="A101" i="4608"/>
  <c r="A100" i="4608"/>
  <c r="A99" i="4608"/>
  <c r="A98" i="4608"/>
  <c r="A97" i="4608"/>
  <c r="A96" i="4608"/>
  <c r="A95" i="4608"/>
  <c r="A94" i="4608"/>
  <c r="A93" i="4608"/>
  <c r="A92" i="4608"/>
  <c r="A91" i="4608"/>
  <c r="A90" i="4608"/>
  <c r="A89" i="4608"/>
  <c r="A88" i="4608"/>
  <c r="A87" i="4608"/>
  <c r="A86" i="4608"/>
  <c r="A85" i="4608"/>
  <c r="A84" i="4608"/>
  <c r="A83" i="4608"/>
  <c r="C82" i="4608"/>
  <c r="C83" i="4608" s="1"/>
  <c r="C84" i="4608" s="1"/>
  <c r="C85" i="4608" s="1"/>
  <c r="C86" i="4608" s="1"/>
  <c r="C87" i="4608" s="1"/>
  <c r="C88" i="4608" s="1"/>
  <c r="C89" i="4608" s="1"/>
  <c r="C90" i="4608" s="1"/>
  <c r="C91" i="4608" s="1"/>
  <c r="C92" i="4608" s="1"/>
  <c r="C93" i="4608" s="1"/>
  <c r="C94" i="4608" s="1"/>
  <c r="C95" i="4608" s="1"/>
  <c r="C96" i="4608" s="1"/>
  <c r="C97" i="4608" s="1"/>
  <c r="C98" i="4608" s="1"/>
  <c r="C99" i="4608" s="1"/>
  <c r="C100" i="4608" s="1"/>
  <c r="C101" i="4608" s="1"/>
  <c r="C102" i="4608" s="1"/>
  <c r="C103" i="4608" s="1"/>
  <c r="C104" i="4608" s="1"/>
  <c r="C105" i="4608" s="1"/>
  <c r="C106" i="4608" s="1"/>
  <c r="C107" i="4608" s="1"/>
  <c r="C108" i="4608" s="1"/>
  <c r="C109" i="4608" s="1"/>
  <c r="C110" i="4608" s="1"/>
  <c r="A82" i="4608"/>
  <c r="A81" i="4608"/>
  <c r="J80" i="4608"/>
  <c r="A73" i="4608"/>
  <c r="A72" i="4608"/>
  <c r="A71" i="4608"/>
  <c r="A70" i="4608"/>
  <c r="A69" i="4608"/>
  <c r="A68" i="4608"/>
  <c r="A67" i="4608"/>
  <c r="A66" i="4608"/>
  <c r="A65" i="4608"/>
  <c r="A64" i="4608"/>
  <c r="A63" i="4608"/>
  <c r="A62" i="4608"/>
  <c r="A61" i="4608"/>
  <c r="A60" i="4608"/>
  <c r="A59" i="4608"/>
  <c r="A58" i="4608"/>
  <c r="A57" i="4608"/>
  <c r="A56" i="4608"/>
  <c r="A55" i="4608"/>
  <c r="A54" i="4608"/>
  <c r="A53" i="4608"/>
  <c r="A52" i="4608"/>
  <c r="A51" i="4608"/>
  <c r="A50" i="4608"/>
  <c r="A49" i="4608"/>
  <c r="A48" i="4608"/>
  <c r="A47" i="4608"/>
  <c r="A46" i="4608"/>
  <c r="C45" i="4608"/>
  <c r="C46" i="4608" s="1"/>
  <c r="C47" i="4608" s="1"/>
  <c r="C48" i="4608" s="1"/>
  <c r="C49" i="4608" s="1"/>
  <c r="C50" i="4608" s="1"/>
  <c r="C51" i="4608" s="1"/>
  <c r="C52" i="4608" s="1"/>
  <c r="C53" i="4608" s="1"/>
  <c r="C54" i="4608" s="1"/>
  <c r="C55" i="4608" s="1"/>
  <c r="C56" i="4608" s="1"/>
  <c r="C57" i="4608" s="1"/>
  <c r="C58" i="4608" s="1"/>
  <c r="C59" i="4608" s="1"/>
  <c r="C60" i="4608" s="1"/>
  <c r="C61" i="4608" s="1"/>
  <c r="C62" i="4608" s="1"/>
  <c r="C63" i="4608" s="1"/>
  <c r="C64" i="4608" s="1"/>
  <c r="C65" i="4608" s="1"/>
  <c r="C66" i="4608" s="1"/>
  <c r="C67" i="4608" s="1"/>
  <c r="C68" i="4608" s="1"/>
  <c r="C69" i="4608" s="1"/>
  <c r="C70" i="4608" s="1"/>
  <c r="C71" i="4608" s="1"/>
  <c r="C72" i="4608" s="1"/>
  <c r="C73" i="4608" s="1"/>
  <c r="A45" i="4608"/>
  <c r="A44" i="4608"/>
  <c r="J43" i="4608"/>
  <c r="A36" i="4608"/>
  <c r="A35" i="4608"/>
  <c r="A34" i="4608"/>
  <c r="A33" i="4608"/>
  <c r="A32" i="4608"/>
  <c r="A31" i="4608"/>
  <c r="A30" i="4608"/>
  <c r="A29" i="4608"/>
  <c r="A28" i="4608"/>
  <c r="A27" i="4608"/>
  <c r="A26" i="4608"/>
  <c r="A25" i="4608"/>
  <c r="A24" i="4608"/>
  <c r="A23" i="4608"/>
  <c r="A22" i="4608"/>
  <c r="A21" i="4608"/>
  <c r="A20" i="4608"/>
  <c r="A19" i="4608"/>
  <c r="A18" i="4608"/>
  <c r="A17" i="4608"/>
  <c r="A16" i="4608"/>
  <c r="A15" i="4608"/>
  <c r="A14" i="4608"/>
  <c r="A13" i="4608"/>
  <c r="A12" i="4608"/>
  <c r="A11" i="4608"/>
  <c r="A10" i="4608"/>
  <c r="A9" i="4608"/>
  <c r="C8" i="4608"/>
  <c r="C9" i="4608" s="1"/>
  <c r="C10" i="4608" s="1"/>
  <c r="C11" i="4608" s="1"/>
  <c r="C12" i="4608" s="1"/>
  <c r="C13" i="4608" s="1"/>
  <c r="C14" i="4608" s="1"/>
  <c r="C15" i="4608" s="1"/>
  <c r="C16" i="4608" s="1"/>
  <c r="C17" i="4608" s="1"/>
  <c r="C18" i="4608" s="1"/>
  <c r="C19" i="4608" s="1"/>
  <c r="C20" i="4608" s="1"/>
  <c r="C21" i="4608" s="1"/>
  <c r="C22" i="4608" s="1"/>
  <c r="C23" i="4608" s="1"/>
  <c r="C24" i="4608" s="1"/>
  <c r="C25" i="4608" s="1"/>
  <c r="C26" i="4608" s="1"/>
  <c r="C27" i="4608" s="1"/>
  <c r="C28" i="4608" s="1"/>
  <c r="C29" i="4608" s="1"/>
  <c r="C30" i="4608" s="1"/>
  <c r="C31" i="4608" s="1"/>
  <c r="C32" i="4608" s="1"/>
  <c r="C33" i="4608" s="1"/>
  <c r="C34" i="4608" s="1"/>
  <c r="C35" i="4608" s="1"/>
  <c r="C36" i="4608" s="1"/>
  <c r="A8" i="4608"/>
  <c r="A7" i="4608"/>
  <c r="F88" i="3079"/>
  <c r="E88" i="3079"/>
  <c r="D51" i="4608"/>
  <c r="D50" i="4608"/>
  <c r="D47" i="4608"/>
  <c r="D88" i="3079"/>
  <c r="C75" i="3079"/>
  <c r="C76" i="3079" s="1"/>
  <c r="C77" i="3079" s="1"/>
  <c r="C78" i="3079" s="1"/>
  <c r="C79" i="3079" s="1"/>
  <c r="C80" i="3079" s="1"/>
  <c r="C81" i="3079" s="1"/>
  <c r="C82" i="3079" s="1"/>
  <c r="C83" i="3079" s="1"/>
  <c r="C84" i="3079" s="1"/>
  <c r="C85" i="3079" s="1"/>
  <c r="C86" i="3079" s="1"/>
  <c r="C87" i="3079" s="1"/>
  <c r="F68" i="3079"/>
  <c r="E68" i="3079"/>
  <c r="D127" i="4608"/>
  <c r="D125" i="4608"/>
  <c r="D124" i="4608"/>
  <c r="D123" i="4608"/>
  <c r="D121" i="4608"/>
  <c r="D120" i="4608"/>
  <c r="D119" i="4608"/>
  <c r="D118" i="4608"/>
  <c r="C55" i="3079"/>
  <c r="C56" i="3079" s="1"/>
  <c r="C57" i="3079" s="1"/>
  <c r="C58" i="3079" s="1"/>
  <c r="C59" i="3079" s="1"/>
  <c r="C60" i="3079" s="1"/>
  <c r="C61" i="3079" s="1"/>
  <c r="C62" i="3079" s="1"/>
  <c r="C63" i="3079" s="1"/>
  <c r="C64" i="3079" s="1"/>
  <c r="C65" i="3079" s="1"/>
  <c r="C66" i="3079" s="1"/>
  <c r="C67" i="3079" s="1"/>
  <c r="F48" i="3079"/>
  <c r="E48" i="3079"/>
  <c r="D90" i="4608"/>
  <c r="D89" i="4608"/>
  <c r="D88" i="4608"/>
  <c r="D86" i="4608"/>
  <c r="D85" i="4608"/>
  <c r="D84" i="4608"/>
  <c r="D48" i="3079"/>
  <c r="D82" i="4608"/>
  <c r="D81" i="4608"/>
  <c r="C35" i="3079"/>
  <c r="C36" i="3079" s="1"/>
  <c r="C37" i="3079" s="1"/>
  <c r="C38" i="3079" s="1"/>
  <c r="C39" i="3079" s="1"/>
  <c r="C40" i="3079" s="1"/>
  <c r="C41" i="3079" s="1"/>
  <c r="C42" i="3079" s="1"/>
  <c r="C43" i="3079" s="1"/>
  <c r="C44" i="3079" s="1"/>
  <c r="C45" i="3079" s="1"/>
  <c r="C46" i="3079" s="1"/>
  <c r="C47" i="3079" s="1"/>
  <c r="F27" i="3079"/>
  <c r="E27" i="3079"/>
  <c r="D15" i="4608"/>
  <c r="D14" i="4608"/>
  <c r="D11" i="4608"/>
  <c r="D10" i="4608"/>
  <c r="D7" i="4608"/>
  <c r="C14" i="3079"/>
  <c r="C15" i="3079" s="1"/>
  <c r="C16" i="3079" s="1"/>
  <c r="C17" i="3079" s="1"/>
  <c r="C18" i="3079" s="1"/>
  <c r="C19" i="3079" s="1"/>
  <c r="C20" i="3079" s="1"/>
  <c r="C21" i="3079" s="1"/>
  <c r="C22" i="3079" s="1"/>
  <c r="C23" i="3079" s="1"/>
  <c r="C24" i="3079" s="1"/>
  <c r="C25" i="3079" s="1"/>
  <c r="C26" i="3079" s="1"/>
  <c r="P9" i="3079"/>
  <c r="P10" i="3079" s="1"/>
  <c r="P11" i="3079" s="1"/>
  <c r="P12" i="3079" s="1"/>
  <c r="P13" i="3079" s="1"/>
  <c r="P14" i="3079" s="1"/>
  <c r="P15" i="3079" s="1"/>
  <c r="P16" i="3079" s="1"/>
  <c r="P17" i="3079" s="1"/>
  <c r="P18" i="3079" s="1"/>
  <c r="P19" i="3079" s="1"/>
  <c r="P20" i="3079" s="1"/>
  <c r="P21" i="3079" s="1"/>
  <c r="P22" i="3079" s="1"/>
  <c r="P23" i="3079" s="1"/>
  <c r="P24" i="3079" s="1"/>
  <c r="P25" i="3079" s="1"/>
  <c r="P26" i="3079" s="1"/>
  <c r="P27" i="3079" s="1"/>
  <c r="P28" i="3079" s="1"/>
  <c r="P29" i="3079" s="1"/>
  <c r="P30" i="3079" s="1"/>
  <c r="P31" i="3079" s="1"/>
  <c r="P32" i="3079" s="1"/>
  <c r="P33" i="3079" s="1"/>
  <c r="P34" i="3079" s="1"/>
  <c r="P35" i="3079" s="1"/>
  <c r="P36" i="3079" s="1"/>
  <c r="J36" i="4608" s="1"/>
  <c r="J110" i="4608" s="1"/>
  <c r="Q8" i="3079"/>
  <c r="L8" i="4608" s="1"/>
  <c r="P8" i="3079"/>
  <c r="J8" i="4608" s="1"/>
  <c r="N8" i="3079"/>
  <c r="N9" i="3079" s="1"/>
  <c r="N10" i="3079" s="1"/>
  <c r="N11" i="3079" s="1"/>
  <c r="N12" i="3079" s="1"/>
  <c r="N13" i="3079" s="1"/>
  <c r="N14" i="3079" s="1"/>
  <c r="N15" i="3079" s="1"/>
  <c r="N16" i="3079" s="1"/>
  <c r="N17" i="3079" s="1"/>
  <c r="N18" i="3079" s="1"/>
  <c r="N19" i="3079" s="1"/>
  <c r="N20" i="3079" s="1"/>
  <c r="N21" i="3079" s="1"/>
  <c r="N22" i="3079" s="1"/>
  <c r="N23" i="3079" s="1"/>
  <c r="N24" i="3079" s="1"/>
  <c r="N25" i="3079" s="1"/>
  <c r="N26" i="3079" s="1"/>
  <c r="N27" i="3079" s="1"/>
  <c r="N28" i="3079" s="1"/>
  <c r="N29" i="3079" s="1"/>
  <c r="N30" i="3079" s="1"/>
  <c r="N31" i="3079" s="1"/>
  <c r="N32" i="3079" s="1"/>
  <c r="N33" i="3079" s="1"/>
  <c r="N34" i="3079" s="1"/>
  <c r="N35" i="3079" s="1"/>
  <c r="N36" i="3079" s="1"/>
  <c r="Q9" i="3079" l="1"/>
  <c r="Q10" i="3079" s="1"/>
  <c r="Q11" i="3079" s="1"/>
  <c r="Q12" i="3079" s="1"/>
  <c r="Q13" i="3079" s="1"/>
  <c r="Q14" i="3079" s="1"/>
  <c r="Q15" i="3079" s="1"/>
  <c r="Q16" i="3079" s="1"/>
  <c r="J82" i="4608"/>
  <c r="F82" i="4608"/>
  <c r="L45" i="4608"/>
  <c r="J10" i="4608"/>
  <c r="J84" i="4608" s="1"/>
  <c r="F88" i="4608"/>
  <c r="F123" i="4608"/>
  <c r="J12" i="4608"/>
  <c r="J49" i="4608" s="1"/>
  <c r="J19" i="4608"/>
  <c r="J56" i="4608" s="1"/>
  <c r="J23" i="4608"/>
  <c r="J134" i="4608" s="1"/>
  <c r="J27" i="4608"/>
  <c r="J31" i="4608"/>
  <c r="J142" i="4608" s="1"/>
  <c r="J33" i="4608"/>
  <c r="J107" i="4608" s="1"/>
  <c r="F52" i="4608"/>
  <c r="F122" i="4608"/>
  <c r="F89" i="4608"/>
  <c r="F119" i="4608"/>
  <c r="F124" i="4608"/>
  <c r="F50" i="4608"/>
  <c r="E44" i="4608"/>
  <c r="J9" i="4608"/>
  <c r="K9" i="4608" s="1"/>
  <c r="J11" i="4608"/>
  <c r="J48" i="4608" s="1"/>
  <c r="J14" i="4608"/>
  <c r="D17" i="4608"/>
  <c r="F53" i="4608"/>
  <c r="F126" i="4608"/>
  <c r="F86" i="4608"/>
  <c r="F121" i="4608"/>
  <c r="J81" i="4608"/>
  <c r="J13" i="4608"/>
  <c r="J124" i="4608" s="1"/>
  <c r="J15" i="4608"/>
  <c r="F49" i="4608"/>
  <c r="F87" i="4608"/>
  <c r="F47" i="4608"/>
  <c r="L44" i="4608"/>
  <c r="J17" i="4608"/>
  <c r="J21" i="4608"/>
  <c r="J25" i="4608"/>
  <c r="J99" i="4608" s="1"/>
  <c r="J29" i="4608"/>
  <c r="J103" i="4608" s="1"/>
  <c r="J35" i="4608"/>
  <c r="F7" i="4608"/>
  <c r="F85" i="4608"/>
  <c r="D91" i="4608"/>
  <c r="F120" i="4608"/>
  <c r="F125" i="4608"/>
  <c r="F51" i="4608"/>
  <c r="J16" i="4608"/>
  <c r="J53" i="4608" s="1"/>
  <c r="J18" i="4608"/>
  <c r="J20" i="4608"/>
  <c r="J131" i="4608" s="1"/>
  <c r="J22" i="4608"/>
  <c r="J133" i="4608" s="1"/>
  <c r="J24" i="4608"/>
  <c r="J26" i="4608"/>
  <c r="J28" i="4608"/>
  <c r="J30" i="4608"/>
  <c r="J141" i="4608" s="1"/>
  <c r="J32" i="4608"/>
  <c r="J34" i="4608"/>
  <c r="J108" i="4608" s="1"/>
  <c r="F48" i="4608"/>
  <c r="F83" i="4608"/>
  <c r="AD583" i="3315"/>
  <c r="AD579" i="3315"/>
  <c r="AD575" i="3315"/>
  <c r="AD571" i="3315"/>
  <c r="AD581" i="3315"/>
  <c r="AD577" i="3315"/>
  <c r="AD573" i="3315"/>
  <c r="AD584" i="3315"/>
  <c r="AD582" i="3315"/>
  <c r="AD580" i="3315"/>
  <c r="AD578" i="3315"/>
  <c r="AD576" i="3315"/>
  <c r="AD574" i="3315"/>
  <c r="AD572" i="3315"/>
  <c r="J100" i="4608"/>
  <c r="J118" i="4608"/>
  <c r="E12" i="4608"/>
  <c r="E81" i="4608"/>
  <c r="E85" i="4608"/>
  <c r="D128" i="4608"/>
  <c r="E128" i="4608" s="1"/>
  <c r="F127" i="4608"/>
  <c r="D27" i="3079"/>
  <c r="D46" i="4608"/>
  <c r="D54" i="4608"/>
  <c r="F54" i="4608" s="1"/>
  <c r="D68" i="3079"/>
  <c r="F44" i="4608"/>
  <c r="AF573" i="3315"/>
  <c r="E7" i="4608"/>
  <c r="D129" i="4608"/>
  <c r="J45" i="4608"/>
  <c r="J123" i="4608"/>
  <c r="J119" i="4608"/>
  <c r="K8" i="4608"/>
  <c r="J44" i="4608"/>
  <c r="J96" i="4608"/>
  <c r="L81" i="4608"/>
  <c r="J129" i="4608"/>
  <c r="J121" i="4608"/>
  <c r="E17" i="4608"/>
  <c r="E13" i="4608"/>
  <c r="E9" i="4608"/>
  <c r="E11" i="4608"/>
  <c r="K34" i="4608"/>
  <c r="F84" i="4608"/>
  <c r="F90" i="4608"/>
  <c r="M7" i="4608"/>
  <c r="E8" i="4608"/>
  <c r="J51" i="4608"/>
  <c r="E16" i="4608"/>
  <c r="J136" i="4608"/>
  <c r="F45" i="4608"/>
  <c r="E45" i="4608"/>
  <c r="J83" i="4608"/>
  <c r="E84" i="4608"/>
  <c r="K118" i="4608"/>
  <c r="E123" i="4608"/>
  <c r="J125" i="4608"/>
  <c r="E15" i="4608"/>
  <c r="J101" i="4608"/>
  <c r="J64" i="4608"/>
  <c r="J138" i="4608"/>
  <c r="M8" i="4608"/>
  <c r="E121" i="4608"/>
  <c r="K10" i="4608"/>
  <c r="E83" i="4608"/>
  <c r="E88" i="4608"/>
  <c r="E89" i="4608"/>
  <c r="E120" i="4608"/>
  <c r="K7" i="4608"/>
  <c r="E10" i="4608"/>
  <c r="E14" i="4608"/>
  <c r="J139" i="4608"/>
  <c r="J65" i="4608"/>
  <c r="J147" i="4608"/>
  <c r="J73" i="4608"/>
  <c r="J52" i="4608"/>
  <c r="J68" i="4608"/>
  <c r="E90" i="4608"/>
  <c r="E86" i="4608"/>
  <c r="E82" i="4608"/>
  <c r="E87" i="4608"/>
  <c r="J89" i="4608"/>
  <c r="E127" i="4608"/>
  <c r="E126" i="4608"/>
  <c r="E122" i="4608"/>
  <c r="E118" i="4608"/>
  <c r="E119" i="4608"/>
  <c r="E124" i="4608"/>
  <c r="E125" i="4608"/>
  <c r="J46" i="4608" l="1"/>
  <c r="J57" i="4608"/>
  <c r="K22" i="4608"/>
  <c r="Q17" i="3079"/>
  <c r="L16" i="4608"/>
  <c r="J69" i="4608"/>
  <c r="L13" i="4608"/>
  <c r="L50" i="4608" s="1"/>
  <c r="L15" i="4608"/>
  <c r="K25" i="4608"/>
  <c r="J106" i="4608"/>
  <c r="J59" i="4608"/>
  <c r="J120" i="4608"/>
  <c r="K81" i="4608"/>
  <c r="K13" i="4608"/>
  <c r="J143" i="4608"/>
  <c r="L11" i="4608"/>
  <c r="L10" i="4608"/>
  <c r="J85" i="4608"/>
  <c r="J70" i="4608"/>
  <c r="J135" i="4608"/>
  <c r="J144" i="4608"/>
  <c r="L14" i="4608"/>
  <c r="K11" i="4608"/>
  <c r="K12" i="4608"/>
  <c r="J146" i="4608"/>
  <c r="J91" i="4608"/>
  <c r="J47" i="4608"/>
  <c r="K68" i="4608" s="1"/>
  <c r="M44" i="4608"/>
  <c r="L9" i="4608"/>
  <c r="M10" i="4608" s="1"/>
  <c r="L12" i="4608"/>
  <c r="U1174" i="3315"/>
  <c r="J63" i="4608"/>
  <c r="J137" i="4608"/>
  <c r="L46" i="4608"/>
  <c r="M46" i="4608" s="1"/>
  <c r="J50" i="4608"/>
  <c r="J97" i="4608"/>
  <c r="K21" i="4608"/>
  <c r="M45" i="4608"/>
  <c r="J90" i="4608"/>
  <c r="J122" i="4608"/>
  <c r="J93" i="4608"/>
  <c r="J130" i="4608"/>
  <c r="J60" i="4608"/>
  <c r="K30" i="4608"/>
  <c r="J127" i="4608"/>
  <c r="K32" i="4608"/>
  <c r="K14" i="4608"/>
  <c r="K33" i="4608"/>
  <c r="K27" i="4608"/>
  <c r="J54" i="4608"/>
  <c r="K28" i="4608"/>
  <c r="J88" i="4608"/>
  <c r="K82" i="4608"/>
  <c r="J72" i="4608"/>
  <c r="J95" i="4608"/>
  <c r="J128" i="4608"/>
  <c r="K16" i="4608"/>
  <c r="K44" i="4608"/>
  <c r="D55" i="4608"/>
  <c r="F128" i="4608"/>
  <c r="J67" i="4608"/>
  <c r="J104" i="4608"/>
  <c r="L51" i="4608"/>
  <c r="J140" i="4608"/>
  <c r="J66" i="4608"/>
  <c r="D18" i="4608"/>
  <c r="J105" i="4608"/>
  <c r="F81" i="4608"/>
  <c r="J145" i="4608"/>
  <c r="J71" i="4608"/>
  <c r="J92" i="4608"/>
  <c r="D92" i="4608"/>
  <c r="F8" i="4608"/>
  <c r="L49" i="4608"/>
  <c r="L82" i="4608"/>
  <c r="M82" i="4608" s="1"/>
  <c r="K31" i="4608"/>
  <c r="K18" i="4608"/>
  <c r="K29" i="4608"/>
  <c r="K36" i="4608"/>
  <c r="J58" i="4608"/>
  <c r="E91" i="4608"/>
  <c r="K23" i="4608"/>
  <c r="K19" i="4608"/>
  <c r="K15" i="4608"/>
  <c r="K24" i="4608"/>
  <c r="V31" i="3315" s="1"/>
  <c r="M9" i="4608"/>
  <c r="K20" i="4608"/>
  <c r="J87" i="4608"/>
  <c r="K35" i="4608"/>
  <c r="K17" i="4608"/>
  <c r="J98" i="4608"/>
  <c r="J55" i="4608"/>
  <c r="J109" i="4608"/>
  <c r="J61" i="4608"/>
  <c r="J132" i="4608"/>
  <c r="M11" i="4608"/>
  <c r="K26" i="4608"/>
  <c r="F46" i="4608"/>
  <c r="J102" i="4608"/>
  <c r="J94" i="4608"/>
  <c r="L48" i="4608"/>
  <c r="J62" i="4608"/>
  <c r="L47" i="4608"/>
  <c r="J126" i="4608"/>
  <c r="J86" i="4608"/>
  <c r="E48" i="4608"/>
  <c r="E50" i="4608"/>
  <c r="E46" i="4608"/>
  <c r="E47" i="4608"/>
  <c r="E52" i="4608"/>
  <c r="U1248" i="3315"/>
  <c r="U1249" i="3315"/>
  <c r="U9" i="3315"/>
  <c r="E54" i="4608"/>
  <c r="E51" i="4608"/>
  <c r="V1195" i="3315"/>
  <c r="E49" i="4608"/>
  <c r="V27" i="3315"/>
  <c r="E53" i="4608"/>
  <c r="V9" i="3315"/>
  <c r="F118" i="4608"/>
  <c r="K119" i="4608"/>
  <c r="K45" i="4608"/>
  <c r="D130" i="4608"/>
  <c r="F129" i="4608"/>
  <c r="E129" i="4608"/>
  <c r="K55" i="4608"/>
  <c r="K124" i="4608"/>
  <c r="K84" i="4608"/>
  <c r="K83" i="4608"/>
  <c r="K88" i="4608"/>
  <c r="F91" i="4608"/>
  <c r="K85" i="4608"/>
  <c r="L118" i="4608"/>
  <c r="M81" i="4608"/>
  <c r="K46" i="4608"/>
  <c r="K146" i="4608"/>
  <c r="K48" i="4608" l="1"/>
  <c r="K53" i="4608"/>
  <c r="K51" i="4608"/>
  <c r="M15" i="4608"/>
  <c r="M50" i="4608"/>
  <c r="Q18" i="3079"/>
  <c r="L17" i="4608"/>
  <c r="K109" i="4608"/>
  <c r="K102" i="4608"/>
  <c r="K73" i="4608"/>
  <c r="K69" i="4608"/>
  <c r="K126" i="4608"/>
  <c r="K56" i="4608"/>
  <c r="K110" i="4608"/>
  <c r="K96" i="4608"/>
  <c r="M16" i="4608"/>
  <c r="L52" i="4608"/>
  <c r="L89" i="4608" s="1"/>
  <c r="K99" i="4608"/>
  <c r="K49" i="4608"/>
  <c r="K50" i="4608"/>
  <c r="K57" i="4608"/>
  <c r="K87" i="4608"/>
  <c r="K61" i="4608"/>
  <c r="K134" i="4608"/>
  <c r="K47" i="4608"/>
  <c r="K52" i="4608"/>
  <c r="M12" i="4608"/>
  <c r="K70" i="4608"/>
  <c r="F130" i="4608"/>
  <c r="K143" i="4608"/>
  <c r="K136" i="4608"/>
  <c r="K65" i="4608"/>
  <c r="K121" i="4608"/>
  <c r="K122" i="4608"/>
  <c r="K120" i="4608"/>
  <c r="M14" i="4608"/>
  <c r="M17" i="4608"/>
  <c r="M13" i="4608"/>
  <c r="L53" i="4608"/>
  <c r="V1174" i="3315"/>
  <c r="K101" i="4608"/>
  <c r="K62" i="4608"/>
  <c r="K145" i="4608"/>
  <c r="K67" i="4608"/>
  <c r="K104" i="4608"/>
  <c r="K139" i="4608"/>
  <c r="K100" i="4608"/>
  <c r="K95" i="4608"/>
  <c r="V1248" i="3315"/>
  <c r="X1248" i="3315" s="1"/>
  <c r="M52" i="4608"/>
  <c r="L119" i="4608"/>
  <c r="L88" i="4608"/>
  <c r="L83" i="4608"/>
  <c r="M47" i="4608"/>
  <c r="M48" i="4608"/>
  <c r="M51" i="4608"/>
  <c r="K91" i="4608"/>
  <c r="K64" i="4608"/>
  <c r="K54" i="4608"/>
  <c r="K144" i="4608"/>
  <c r="K129" i="4608"/>
  <c r="K71" i="4608"/>
  <c r="K106" i="4608"/>
  <c r="K86" i="4608"/>
  <c r="K123" i="4608"/>
  <c r="K140" i="4608"/>
  <c r="K105" i="4608"/>
  <c r="K142" i="4608"/>
  <c r="K66" i="4608"/>
  <c r="K137" i="4608"/>
  <c r="K107" i="4608"/>
  <c r="K89" i="4608"/>
  <c r="K92" i="4608"/>
  <c r="K60" i="4608"/>
  <c r="K132" i="4608"/>
  <c r="V1249" i="3315"/>
  <c r="W9" i="3315"/>
  <c r="X9" i="3315" s="1"/>
  <c r="K131" i="4608"/>
  <c r="D19" i="4608"/>
  <c r="E19" i="4608"/>
  <c r="E18" i="4608"/>
  <c r="L87" i="4608"/>
  <c r="D56" i="4608"/>
  <c r="E56" i="4608" s="1"/>
  <c r="K127" i="4608"/>
  <c r="K94" i="4608"/>
  <c r="K138" i="4608"/>
  <c r="K103" i="4608"/>
  <c r="K133" i="4608"/>
  <c r="K130" i="4608"/>
  <c r="K147" i="4608"/>
  <c r="L84" i="4608"/>
  <c r="L85" i="4608"/>
  <c r="M49" i="4608"/>
  <c r="D93" i="4608"/>
  <c r="K108" i="4608"/>
  <c r="K90" i="4608"/>
  <c r="K128" i="4608"/>
  <c r="E55" i="4608"/>
  <c r="K63" i="4608"/>
  <c r="K98" i="4608"/>
  <c r="K59" i="4608"/>
  <c r="K141" i="4608"/>
  <c r="K125" i="4608"/>
  <c r="K97" i="4608"/>
  <c r="K72" i="4608"/>
  <c r="K58" i="4608"/>
  <c r="F55" i="4608"/>
  <c r="K93" i="4608"/>
  <c r="K135" i="4608"/>
  <c r="W1248" i="3315"/>
  <c r="L86" i="4608"/>
  <c r="F9" i="4608"/>
  <c r="M53" i="4608"/>
  <c r="V18" i="3315"/>
  <c r="V138" i="3315"/>
  <c r="V395" i="3315"/>
  <c r="V308" i="3315"/>
  <c r="V141" i="3315"/>
  <c r="V394" i="3315"/>
  <c r="V140" i="3315"/>
  <c r="V388" i="3315"/>
  <c r="V393" i="3315"/>
  <c r="V391" i="3315"/>
  <c r="V1201" i="3315"/>
  <c r="V1198" i="3315"/>
  <c r="V1200" i="3315"/>
  <c r="V1208" i="3315"/>
  <c r="V1199" i="3315"/>
  <c r="V1207" i="3315"/>
  <c r="V1209" i="3315"/>
  <c r="V1197" i="3315"/>
  <c r="V1196" i="3315"/>
  <c r="V1202" i="3315"/>
  <c r="V573" i="3315"/>
  <c r="D131" i="4608"/>
  <c r="E130" i="4608"/>
  <c r="M118" i="4608"/>
  <c r="F92" i="4608"/>
  <c r="E92" i="4608"/>
  <c r="M85" i="4608" l="1"/>
  <c r="Q19" i="3079"/>
  <c r="L18" i="4608"/>
  <c r="F56" i="4608"/>
  <c r="W1249" i="3315"/>
  <c r="X1249" i="3315" s="1"/>
  <c r="AE1249" i="3315" s="1"/>
  <c r="L54" i="4608"/>
  <c r="L90" i="4608"/>
  <c r="M18" i="4608"/>
  <c r="L123" i="4608"/>
  <c r="V13" i="3315"/>
  <c r="L125" i="4608"/>
  <c r="L122" i="4608"/>
  <c r="L124" i="4608"/>
  <c r="M87" i="4608"/>
  <c r="L120" i="4608"/>
  <c r="M86" i="4608"/>
  <c r="M84" i="4608"/>
  <c r="M89" i="4608"/>
  <c r="D94" i="4608"/>
  <c r="D20" i="4608"/>
  <c r="L126" i="4608"/>
  <c r="V1175" i="3315"/>
  <c r="M88" i="4608"/>
  <c r="M119" i="4608"/>
  <c r="D132" i="4608"/>
  <c r="F132" i="4608" s="1"/>
  <c r="V575" i="3315"/>
  <c r="F10" i="4608"/>
  <c r="L121" i="4608"/>
  <c r="D57" i="4608"/>
  <c r="V1173" i="3315"/>
  <c r="V1176" i="3315" s="1"/>
  <c r="M83" i="4608"/>
  <c r="AE1248" i="3315"/>
  <c r="AE9" i="3315"/>
  <c r="F131" i="4608"/>
  <c r="E131" i="4608"/>
  <c r="F93" i="4608"/>
  <c r="F57" i="4608"/>
  <c r="E57" i="4608"/>
  <c r="E93" i="4608"/>
  <c r="L127" i="4608" l="1"/>
  <c r="L91" i="4608"/>
  <c r="M54" i="4608"/>
  <c r="L55" i="4608"/>
  <c r="M125" i="4608"/>
  <c r="M90" i="4608"/>
  <c r="Q20" i="3079"/>
  <c r="L19" i="4608"/>
  <c r="M19" i="4608" s="1"/>
  <c r="M122" i="4608"/>
  <c r="M124" i="4608"/>
  <c r="M123" i="4608"/>
  <c r="D21" i="4608"/>
  <c r="E21" i="4608"/>
  <c r="E20" i="4608"/>
  <c r="D95" i="4608"/>
  <c r="E95" i="4608" s="1"/>
  <c r="F11" i="4608"/>
  <c r="D133" i="4608"/>
  <c r="F133" i="4608" s="1"/>
  <c r="E132" i="4608"/>
  <c r="M126" i="4608"/>
  <c r="D58" i="4608"/>
  <c r="F58" i="4608" s="1"/>
  <c r="M120" i="4608"/>
  <c r="M121" i="4608"/>
  <c r="F94" i="4608"/>
  <c r="E94" i="4608"/>
  <c r="E133" i="4608" l="1"/>
  <c r="L128" i="4608"/>
  <c r="L56" i="4608"/>
  <c r="M20" i="4608"/>
  <c r="M127" i="4608"/>
  <c r="Q21" i="3079"/>
  <c r="L20" i="4608"/>
  <c r="L92" i="4608"/>
  <c r="M55" i="4608"/>
  <c r="M91" i="4608"/>
  <c r="D134" i="4608"/>
  <c r="D22" i="4608"/>
  <c r="E22" i="4608" s="1"/>
  <c r="D59" i="4608"/>
  <c r="E58" i="4608"/>
  <c r="D96" i="4608"/>
  <c r="U27" i="3315"/>
  <c r="F12" i="4608"/>
  <c r="F95" i="4608"/>
  <c r="L129" i="4608" l="1"/>
  <c r="M92" i="4608"/>
  <c r="L93" i="4608"/>
  <c r="M56" i="4608"/>
  <c r="M128" i="4608"/>
  <c r="M129" i="4608"/>
  <c r="L57" i="4608"/>
  <c r="Q22" i="3079"/>
  <c r="L21" i="4608"/>
  <c r="M93" i="4608"/>
  <c r="U1175" i="3315"/>
  <c r="U18" i="3315"/>
  <c r="D23" i="4608"/>
  <c r="D60" i="4608"/>
  <c r="F60" i="4608" s="1"/>
  <c r="E59" i="4608"/>
  <c r="D135" i="4608"/>
  <c r="E134" i="4608"/>
  <c r="F59" i="4608"/>
  <c r="F13" i="4608"/>
  <c r="D97" i="4608"/>
  <c r="F134" i="4608"/>
  <c r="F96" i="4608"/>
  <c r="E96" i="4608"/>
  <c r="F135" i="4608"/>
  <c r="E135" i="4608"/>
  <c r="M57" i="4608" l="1"/>
  <c r="L58" i="4608"/>
  <c r="M21" i="4608"/>
  <c r="L94" i="4608"/>
  <c r="Q23" i="3079"/>
  <c r="L22" i="4608"/>
  <c r="L130" i="4608"/>
  <c r="E60" i="4608"/>
  <c r="D136" i="4608"/>
  <c r="F136" i="4608" s="1"/>
  <c r="D61" i="4608"/>
  <c r="D24" i="4608"/>
  <c r="F14" i="4608"/>
  <c r="E23" i="4608"/>
  <c r="D98" i="4608"/>
  <c r="F61" i="4608"/>
  <c r="F97" i="4608"/>
  <c r="E97" i="4608"/>
  <c r="E136" i="4608" l="1"/>
  <c r="L59" i="4608"/>
  <c r="L95" i="4608"/>
  <c r="M95" i="4608" s="1"/>
  <c r="M58" i="4608"/>
  <c r="Q24" i="3079"/>
  <c r="L23" i="4608"/>
  <c r="L131" i="4608"/>
  <c r="M94" i="4608"/>
  <c r="M22" i="4608"/>
  <c r="W27" i="3315"/>
  <c r="X27" i="3315" s="1"/>
  <c r="AE27" i="3315" s="1"/>
  <c r="M130" i="4608"/>
  <c r="D99" i="4608"/>
  <c r="D25" i="4608"/>
  <c r="E98" i="4608"/>
  <c r="F15" i="4608"/>
  <c r="E24" i="4608"/>
  <c r="D62" i="4608"/>
  <c r="E61" i="4608"/>
  <c r="D137" i="4608"/>
  <c r="E137" i="4608" s="1"/>
  <c r="F98" i="4608"/>
  <c r="F62" i="4608"/>
  <c r="F137" i="4608" l="1"/>
  <c r="W18" i="3315"/>
  <c r="X18" i="3315" s="1"/>
  <c r="AE18" i="3315" s="1"/>
  <c r="L132" i="4608"/>
  <c r="L60" i="4608"/>
  <c r="M23" i="4608"/>
  <c r="Q25" i="3079"/>
  <c r="L24" i="4608"/>
  <c r="L96" i="4608"/>
  <c r="M59" i="4608"/>
  <c r="M131" i="4608"/>
  <c r="D100" i="4608"/>
  <c r="F16" i="4608"/>
  <c r="D63" i="4608"/>
  <c r="F63" i="4608" s="1"/>
  <c r="D26" i="4608"/>
  <c r="E25" i="4608"/>
  <c r="E62" i="4608"/>
  <c r="D138" i="4608"/>
  <c r="U31" i="3315"/>
  <c r="F138" i="4608"/>
  <c r="E138" i="4608"/>
  <c r="F99" i="4608"/>
  <c r="E99" i="4608"/>
  <c r="E63" i="4608" l="1"/>
  <c r="L97" i="4608"/>
  <c r="M97" i="4608" s="1"/>
  <c r="M60" i="4608"/>
  <c r="L133" i="4608"/>
  <c r="M96" i="4608"/>
  <c r="M133" i="4608"/>
  <c r="M132" i="4608"/>
  <c r="L61" i="4608"/>
  <c r="M24" i="4608"/>
  <c r="Q26" i="3079"/>
  <c r="L25" i="4608"/>
  <c r="D139" i="4608"/>
  <c r="F139" i="4608" s="1"/>
  <c r="D27" i="4608"/>
  <c r="F17" i="4608"/>
  <c r="E26" i="4608"/>
  <c r="D64" i="4608"/>
  <c r="F64" i="4608" s="1"/>
  <c r="D101" i="4608"/>
  <c r="F100" i="4608"/>
  <c r="E100" i="4608"/>
  <c r="L62" i="4608" l="1"/>
  <c r="M25" i="4608"/>
  <c r="Q27" i="3079"/>
  <c r="L26" i="4608"/>
  <c r="L98" i="4608"/>
  <c r="M61" i="4608"/>
  <c r="W31" i="3315"/>
  <c r="X31" i="3315" s="1"/>
  <c r="AE31" i="3315" s="1"/>
  <c r="L134" i="4608"/>
  <c r="M98" i="4608"/>
  <c r="E64" i="4608"/>
  <c r="E139" i="4608"/>
  <c r="D102" i="4608"/>
  <c r="D28" i="4608"/>
  <c r="E27" i="4608"/>
  <c r="D65" i="4608"/>
  <c r="F65" i="4608" s="1"/>
  <c r="D140" i="4608"/>
  <c r="F18" i="4608"/>
  <c r="F101" i="4608"/>
  <c r="E101" i="4608"/>
  <c r="F140" i="4608"/>
  <c r="E140" i="4608"/>
  <c r="Q28" i="3079" l="1"/>
  <c r="L27" i="4608"/>
  <c r="E65" i="4608"/>
  <c r="L135" i="4608"/>
  <c r="M134" i="4608"/>
  <c r="L63" i="4608"/>
  <c r="M26" i="4608"/>
  <c r="L99" i="4608"/>
  <c r="M62" i="4608"/>
  <c r="F19" i="4608"/>
  <c r="D66" i="4608"/>
  <c r="D103" i="4608"/>
  <c r="D29" i="4608"/>
  <c r="E28" i="4608"/>
  <c r="D141" i="4608"/>
  <c r="F102" i="4608"/>
  <c r="E102" i="4608"/>
  <c r="F141" i="4608"/>
  <c r="E141" i="4608"/>
  <c r="E66" i="4608"/>
  <c r="L64" i="4608" l="1"/>
  <c r="M27" i="4608"/>
  <c r="L136" i="4608"/>
  <c r="M99" i="4608"/>
  <c r="L100" i="4608"/>
  <c r="M63" i="4608"/>
  <c r="M135" i="4608"/>
  <c r="M136" i="4608"/>
  <c r="Q29" i="3079"/>
  <c r="L28" i="4608"/>
  <c r="D30" i="4608"/>
  <c r="E29" i="4608"/>
  <c r="D67" i="4608"/>
  <c r="F67" i="4608" s="1"/>
  <c r="F66" i="4608"/>
  <c r="D142" i="4608"/>
  <c r="F20" i="4608"/>
  <c r="U1173" i="3315"/>
  <c r="D104" i="4608"/>
  <c r="F103" i="4608"/>
  <c r="E103" i="4608"/>
  <c r="F142" i="4608"/>
  <c r="E142" i="4608"/>
  <c r="E67" i="4608" l="1"/>
  <c r="L137" i="4608"/>
  <c r="M100" i="4608"/>
  <c r="L65" i="4608"/>
  <c r="M28" i="4608"/>
  <c r="L101" i="4608"/>
  <c r="M64" i="4608"/>
  <c r="Q30" i="3079"/>
  <c r="L29" i="4608"/>
  <c r="U1176" i="3315"/>
  <c r="D68" i="4608"/>
  <c r="F68" i="4608" s="1"/>
  <c r="D143" i="4608"/>
  <c r="F143" i="4608" s="1"/>
  <c r="D105" i="4608"/>
  <c r="F21" i="4608"/>
  <c r="D31" i="4608"/>
  <c r="E30" i="4608"/>
  <c r="F104" i="4608"/>
  <c r="E104" i="4608"/>
  <c r="E143" i="4608"/>
  <c r="E68" i="4608" l="1"/>
  <c r="L102" i="4608"/>
  <c r="M65" i="4608"/>
  <c r="L66" i="4608"/>
  <c r="M29" i="4608"/>
  <c r="L138" i="4608"/>
  <c r="M101" i="4608"/>
  <c r="Q31" i="3079"/>
  <c r="L30" i="4608"/>
  <c r="M137" i="4608"/>
  <c r="D32" i="4608"/>
  <c r="E31" i="4608"/>
  <c r="D106" i="4608"/>
  <c r="D69" i="4608"/>
  <c r="F69" i="4608" s="1"/>
  <c r="F22" i="4608"/>
  <c r="D144" i="4608"/>
  <c r="U395" i="3315"/>
  <c r="U138" i="3315"/>
  <c r="U141" i="3315"/>
  <c r="U394" i="3315"/>
  <c r="U140" i="3315"/>
  <c r="U391" i="3315"/>
  <c r="U393" i="3315"/>
  <c r="U308" i="3315"/>
  <c r="U388" i="3315"/>
  <c r="U1208" i="3315"/>
  <c r="U1201" i="3315"/>
  <c r="U1196" i="3315"/>
  <c r="U1198" i="3315"/>
  <c r="U1199" i="3315"/>
  <c r="U1202" i="3315"/>
  <c r="U1209" i="3315"/>
  <c r="U1197" i="3315"/>
  <c r="U1200" i="3315"/>
  <c r="U1207" i="3315"/>
  <c r="U573" i="3315"/>
  <c r="E69" i="4608"/>
  <c r="F144" i="4608"/>
  <c r="E144" i="4608"/>
  <c r="F105" i="4608"/>
  <c r="E105" i="4608"/>
  <c r="L103" i="4608" l="1"/>
  <c r="M66" i="4608"/>
  <c r="L67" i="4608"/>
  <c r="M30" i="4608"/>
  <c r="M138" i="4608"/>
  <c r="Q32" i="3079"/>
  <c r="L31" i="4608"/>
  <c r="L139" i="4608"/>
  <c r="M102" i="4608"/>
  <c r="F23" i="4608"/>
  <c r="D33" i="4608"/>
  <c r="E32" i="4608"/>
  <c r="D107" i="4608"/>
  <c r="U1195" i="3315"/>
  <c r="D145" i="4608"/>
  <c r="E145" i="4608" s="1"/>
  <c r="D70" i="4608"/>
  <c r="E70" i="4608" s="1"/>
  <c r="F145" i="4608"/>
  <c r="F106" i="4608"/>
  <c r="E106" i="4608"/>
  <c r="F70" i="4608"/>
  <c r="L68" i="4608" l="1"/>
  <c r="M31" i="4608"/>
  <c r="Q33" i="3079"/>
  <c r="L32" i="4608"/>
  <c r="W1173" i="3315"/>
  <c r="X1173" i="3315" s="1"/>
  <c r="AE1173" i="3315" s="1"/>
  <c r="M139" i="4608"/>
  <c r="L104" i="4608"/>
  <c r="M67" i="4608"/>
  <c r="L140" i="4608"/>
  <c r="M103" i="4608"/>
  <c r="F24" i="4608"/>
  <c r="D71" i="4608"/>
  <c r="D34" i="4608"/>
  <c r="E33" i="4608"/>
  <c r="D146" i="4608"/>
  <c r="D108" i="4608"/>
  <c r="F71" i="4608"/>
  <c r="E71" i="4608"/>
  <c r="F107" i="4608"/>
  <c r="E107" i="4608"/>
  <c r="W1195" i="3315" l="1"/>
  <c r="X1195" i="3315" s="1"/>
  <c r="AE1195" i="3315" s="1"/>
  <c r="L141" i="4608"/>
  <c r="M104" i="4608"/>
  <c r="L105" i="4608"/>
  <c r="M68" i="4608"/>
  <c r="M140" i="4608"/>
  <c r="L69" i="4608"/>
  <c r="M32" i="4608"/>
  <c r="Q34" i="3079"/>
  <c r="L33" i="4608"/>
  <c r="D147" i="4608"/>
  <c r="F147" i="4608" s="1"/>
  <c r="E146" i="4608"/>
  <c r="D109" i="4608"/>
  <c r="D72" i="4608"/>
  <c r="F72" i="4608" s="1"/>
  <c r="F146" i="4608"/>
  <c r="D35" i="4608"/>
  <c r="E34" i="4608"/>
  <c r="F25" i="4608"/>
  <c r="E147" i="4608"/>
  <c r="F108" i="4608"/>
  <c r="E108" i="4608"/>
  <c r="E72" i="4608"/>
  <c r="W1199" i="3315" l="1"/>
  <c r="X1199" i="3315" s="1"/>
  <c r="AE1199" i="3315" s="1"/>
  <c r="W308" i="3315"/>
  <c r="X308" i="3315" s="1"/>
  <c r="AE308" i="3315" s="1"/>
  <c r="W1209" i="3315"/>
  <c r="X1209" i="3315" s="1"/>
  <c r="AE1209" i="3315" s="1"/>
  <c r="W1198" i="3315"/>
  <c r="X1198" i="3315" s="1"/>
  <c r="AE1198" i="3315" s="1"/>
  <c r="W1200" i="3315"/>
  <c r="X1200" i="3315" s="1"/>
  <c r="AE1200" i="3315" s="1"/>
  <c r="W388" i="3315"/>
  <c r="X388" i="3315" s="1"/>
  <c r="AE388" i="3315" s="1"/>
  <c r="W391" i="3315"/>
  <c r="X391" i="3315" s="1"/>
  <c r="AE391" i="3315" s="1"/>
  <c r="W138" i="3315"/>
  <c r="X138" i="3315" s="1"/>
  <c r="AE138" i="3315" s="1"/>
  <c r="W573" i="3315"/>
  <c r="X573" i="3315" s="1"/>
  <c r="AE573" i="3315" s="1"/>
  <c r="W1202" i="3315"/>
  <c r="X1202" i="3315" s="1"/>
  <c r="AE1202" i="3315" s="1"/>
  <c r="W1201" i="3315"/>
  <c r="X1201" i="3315" s="1"/>
  <c r="AE1201" i="3315" s="1"/>
  <c r="W1208" i="3315"/>
  <c r="X1208" i="3315" s="1"/>
  <c r="AE1208" i="3315" s="1"/>
  <c r="W1207" i="3315"/>
  <c r="X1207" i="3315" s="1"/>
  <c r="AE1207" i="3315" s="1"/>
  <c r="W395" i="3315"/>
  <c r="X395" i="3315" s="1"/>
  <c r="AE395" i="3315" s="1"/>
  <c r="W1196" i="3315"/>
  <c r="X1196" i="3315" s="1"/>
  <c r="AE1196" i="3315" s="1"/>
  <c r="W393" i="3315"/>
  <c r="X393" i="3315" s="1"/>
  <c r="AE393" i="3315" s="1"/>
  <c r="W141" i="3315"/>
  <c r="X141" i="3315" s="1"/>
  <c r="AE141" i="3315" s="1"/>
  <c r="W394" i="3315"/>
  <c r="X394" i="3315" s="1"/>
  <c r="AE394" i="3315" s="1"/>
  <c r="W140" i="3315"/>
  <c r="X140" i="3315" s="1"/>
  <c r="AE140" i="3315" s="1"/>
  <c r="W1197" i="3315"/>
  <c r="X1197" i="3315" s="1"/>
  <c r="AE1197" i="3315" s="1"/>
  <c r="L70" i="4608"/>
  <c r="M33" i="4608"/>
  <c r="L106" i="4608"/>
  <c r="M69" i="4608"/>
  <c r="M141" i="4608"/>
  <c r="L142" i="4608"/>
  <c r="M105" i="4608"/>
  <c r="Q35" i="3079"/>
  <c r="L34" i="4608"/>
  <c r="F26" i="4608"/>
  <c r="D36" i="4608"/>
  <c r="E36" i="4608" s="1"/>
  <c r="E35" i="4608"/>
  <c r="D110" i="4608"/>
  <c r="D73" i="4608"/>
  <c r="E73" i="4608" s="1"/>
  <c r="F109" i="4608"/>
  <c r="E109" i="4608"/>
  <c r="F73" i="4608" l="1"/>
  <c r="Q36" i="3079"/>
  <c r="L36" i="4608" s="1"/>
  <c r="L35" i="4608"/>
  <c r="M142" i="4608"/>
  <c r="L71" i="4608"/>
  <c r="M34" i="4608"/>
  <c r="L143" i="4608"/>
  <c r="M106" i="4608"/>
  <c r="L107" i="4608"/>
  <c r="M70" i="4608"/>
  <c r="F27" i="4608"/>
  <c r="F110" i="4608"/>
  <c r="E110" i="4608"/>
  <c r="L144" i="4608" l="1"/>
  <c r="M107" i="4608"/>
  <c r="M143" i="4608"/>
  <c r="L72" i="4608"/>
  <c r="M35" i="4608"/>
  <c r="L108" i="4608"/>
  <c r="M71" i="4608"/>
  <c r="L73" i="4608"/>
  <c r="M36" i="4608"/>
  <c r="F28" i="4608"/>
  <c r="L109" i="4608" l="1"/>
  <c r="M72" i="4608"/>
  <c r="M144" i="4608"/>
  <c r="L110" i="4608"/>
  <c r="M73" i="4608"/>
  <c r="L145" i="4608"/>
  <c r="M108" i="4608"/>
  <c r="F29" i="4608"/>
  <c r="M145" i="4608" l="1"/>
  <c r="L147" i="4608"/>
  <c r="M147" i="4608" s="1"/>
  <c r="M110" i="4608"/>
  <c r="L146" i="4608"/>
  <c r="M109" i="4608"/>
  <c r="F30" i="4608"/>
  <c r="AB973" i="3315"/>
  <c r="AA973" i="3315"/>
  <c r="AD588" i="3315"/>
  <c r="M146" i="4608" l="1"/>
  <c r="F31" i="4608"/>
  <c r="AC588" i="3315"/>
  <c r="D1091" i="3315"/>
  <c r="H1091" i="3315"/>
  <c r="Z1038" i="3315"/>
  <c r="Z1037" i="3315"/>
  <c r="Z1036" i="3315"/>
  <c r="Z1035" i="3315"/>
  <c r="Z1034" i="3315"/>
  <c r="Z1033" i="3315"/>
  <c r="Z1032" i="3315"/>
  <c r="Z1031" i="3315"/>
  <c r="Z1030" i="3315"/>
  <c r="Z1015" i="3315"/>
  <c r="Z1014" i="3315"/>
  <c r="Z1013" i="3315"/>
  <c r="Z1012" i="3315"/>
  <c r="Z1011" i="3315"/>
  <c r="Z1010" i="3315"/>
  <c r="Z1009" i="3315"/>
  <c r="Z1008" i="3315"/>
  <c r="Z1007" i="3315"/>
  <c r="Z1006" i="3315"/>
  <c r="Z1005" i="3315"/>
  <c r="Z1004" i="3315"/>
  <c r="Z1003" i="3315"/>
  <c r="Z1002" i="3315"/>
  <c r="Z1001" i="3315"/>
  <c r="Z1000" i="3315"/>
  <c r="Z999" i="3315"/>
  <c r="Z998" i="3315"/>
  <c r="Z997" i="3315"/>
  <c r="Z996" i="3315"/>
  <c r="Z995" i="3315"/>
  <c r="Z994" i="3315"/>
  <c r="R994" i="3315"/>
  <c r="N994" i="3315"/>
  <c r="J994" i="3315"/>
  <c r="Z993" i="3315"/>
  <c r="Z992" i="3315"/>
  <c r="Z991" i="3315"/>
  <c r="Z990" i="3315"/>
  <c r="Z989" i="3315"/>
  <c r="Z988" i="3315"/>
  <c r="Z987" i="3315"/>
  <c r="Z986" i="3315"/>
  <c r="Z985" i="3315"/>
  <c r="Z984" i="3315"/>
  <c r="Z983" i="3315"/>
  <c r="Z982" i="3315"/>
  <c r="Z981" i="3315"/>
  <c r="Z980" i="3315"/>
  <c r="Z979" i="3315"/>
  <c r="Z978" i="3315"/>
  <c r="R978" i="3315"/>
  <c r="N978" i="3315"/>
  <c r="J978" i="3315"/>
  <c r="Z977" i="3315"/>
  <c r="Z607" i="3315"/>
  <c r="Z606" i="3315"/>
  <c r="Z605" i="3315"/>
  <c r="D966" i="3315"/>
  <c r="H966" i="3315"/>
  <c r="Z965" i="3315"/>
  <c r="R965" i="3315"/>
  <c r="N965" i="3315"/>
  <c r="J965" i="3315"/>
  <c r="Z964" i="3315"/>
  <c r="R964" i="3315"/>
  <c r="N964" i="3315"/>
  <c r="J964" i="3315"/>
  <c r="Z963" i="3315"/>
  <c r="R963" i="3315"/>
  <c r="N963" i="3315"/>
  <c r="J963" i="3315"/>
  <c r="Z962" i="3315"/>
  <c r="R962" i="3315"/>
  <c r="N962" i="3315"/>
  <c r="J962" i="3315"/>
  <c r="Z961" i="3315"/>
  <c r="R961" i="3315"/>
  <c r="N961" i="3315"/>
  <c r="J961" i="3315"/>
  <c r="Z960" i="3315"/>
  <c r="R960" i="3315"/>
  <c r="N960" i="3315"/>
  <c r="J960" i="3315"/>
  <c r="Z959" i="3315"/>
  <c r="R959" i="3315"/>
  <c r="N959" i="3315"/>
  <c r="J959" i="3315"/>
  <c r="Z958" i="3315"/>
  <c r="R958" i="3315"/>
  <c r="N958" i="3315"/>
  <c r="J958" i="3315"/>
  <c r="Z957" i="3315"/>
  <c r="Z956" i="3315"/>
  <c r="Z955" i="3315"/>
  <c r="Z954" i="3315"/>
  <c r="Z953" i="3315"/>
  <c r="R953" i="3315"/>
  <c r="N953" i="3315"/>
  <c r="J953" i="3315"/>
  <c r="Z952" i="3315"/>
  <c r="R952" i="3315"/>
  <c r="N952" i="3315"/>
  <c r="J952" i="3315"/>
  <c r="Z951" i="3315"/>
  <c r="R951" i="3315"/>
  <c r="N951" i="3315"/>
  <c r="J951" i="3315"/>
  <c r="Z950" i="3315"/>
  <c r="Z949" i="3315"/>
  <c r="R949" i="3315"/>
  <c r="N949" i="3315"/>
  <c r="J949" i="3315"/>
  <c r="Z948" i="3315"/>
  <c r="Z947" i="3315"/>
  <c r="Z946" i="3315"/>
  <c r="Z945" i="3315"/>
  <c r="Z944" i="3315"/>
  <c r="Z943" i="3315"/>
  <c r="Z942" i="3315"/>
  <c r="Z941" i="3315"/>
  <c r="Z940" i="3315"/>
  <c r="Z939" i="3315"/>
  <c r="Z938" i="3315"/>
  <c r="Z937" i="3315"/>
  <c r="Z936" i="3315"/>
  <c r="Z935" i="3315"/>
  <c r="Z934" i="3315"/>
  <c r="Z933" i="3315"/>
  <c r="Z932" i="3315"/>
  <c r="Z931" i="3315"/>
  <c r="Z930" i="3315"/>
  <c r="Z929" i="3315"/>
  <c r="Z928" i="3315"/>
  <c r="Z927" i="3315"/>
  <c r="Z926" i="3315"/>
  <c r="Z925" i="3315"/>
  <c r="Z566" i="3315"/>
  <c r="R566" i="3315"/>
  <c r="N566" i="3315"/>
  <c r="J566" i="3315"/>
  <c r="Z565" i="3315"/>
  <c r="Z564" i="3315"/>
  <c r="Z563" i="3315"/>
  <c r="R563" i="3315"/>
  <c r="N563" i="3315"/>
  <c r="J563" i="3315"/>
  <c r="Z562" i="3315"/>
  <c r="Z561" i="3315"/>
  <c r="R561" i="3315"/>
  <c r="N561" i="3315"/>
  <c r="J561" i="3315"/>
  <c r="Z560" i="3315"/>
  <c r="Z559" i="3315"/>
  <c r="R559" i="3315"/>
  <c r="N559" i="3315"/>
  <c r="J559" i="3315"/>
  <c r="Z558" i="3315"/>
  <c r="Z557" i="3315"/>
  <c r="Z556" i="3315"/>
  <c r="Z555" i="3315"/>
  <c r="Z554" i="3315"/>
  <c r="Z553" i="3315"/>
  <c r="Z552" i="3315"/>
  <c r="Z551" i="3315"/>
  <c r="Z550" i="3315"/>
  <c r="Z549" i="3315"/>
  <c r="Z548" i="3315"/>
  <c r="Z547" i="3315"/>
  <c r="Z546" i="3315"/>
  <c r="Z545" i="3315"/>
  <c r="Z544" i="3315"/>
  <c r="Z543" i="3315"/>
  <c r="Z542" i="3315"/>
  <c r="Z541" i="3315"/>
  <c r="Z540" i="3315"/>
  <c r="Z539" i="3315"/>
  <c r="Z538" i="3315"/>
  <c r="Z537" i="3315"/>
  <c r="R537" i="3315"/>
  <c r="N537" i="3315"/>
  <c r="J537" i="3315"/>
  <c r="Z536" i="3315"/>
  <c r="Z535" i="3315"/>
  <c r="Z534" i="3315"/>
  <c r="Z533" i="3315"/>
  <c r="Z532" i="3315"/>
  <c r="R532" i="3315"/>
  <c r="N532" i="3315"/>
  <c r="J532" i="3315"/>
  <c r="Z531" i="3315"/>
  <c r="Z530" i="3315"/>
  <c r="Z529" i="3315"/>
  <c r="Z528" i="3315"/>
  <c r="Z527" i="3315"/>
  <c r="Z526" i="3315"/>
  <c r="Z525" i="3315"/>
  <c r="Z524" i="3315"/>
  <c r="Z523" i="3315"/>
  <c r="Z522" i="3315"/>
  <c r="Z521" i="3315"/>
  <c r="Z520" i="3315"/>
  <c r="R520" i="3315"/>
  <c r="N520" i="3315"/>
  <c r="J520" i="3315"/>
  <c r="Z519" i="3315"/>
  <c r="Z518" i="3315"/>
  <c r="R518" i="3315"/>
  <c r="N518" i="3315"/>
  <c r="J518" i="3315"/>
  <c r="Z517" i="3315"/>
  <c r="R517" i="3315"/>
  <c r="N517" i="3315"/>
  <c r="J517" i="3315"/>
  <c r="Z516" i="3315"/>
  <c r="R516" i="3315"/>
  <c r="N516" i="3315"/>
  <c r="J516" i="3315"/>
  <c r="Z515" i="3315"/>
  <c r="R515" i="3315"/>
  <c r="N515" i="3315"/>
  <c r="J515" i="3315"/>
  <c r="Z514" i="3315"/>
  <c r="R514" i="3315"/>
  <c r="N514" i="3315"/>
  <c r="J514" i="3315"/>
  <c r="Z513" i="3315"/>
  <c r="R513" i="3315"/>
  <c r="N513" i="3315"/>
  <c r="J513" i="3315"/>
  <c r="Z512" i="3315"/>
  <c r="R512" i="3315"/>
  <c r="N512" i="3315"/>
  <c r="J512" i="3315"/>
  <c r="Z511" i="3315"/>
  <c r="R511" i="3315"/>
  <c r="N511" i="3315"/>
  <c r="J511" i="3315"/>
  <c r="Z510" i="3315"/>
  <c r="R510" i="3315"/>
  <c r="N510" i="3315"/>
  <c r="J510" i="3315"/>
  <c r="Z509" i="3315"/>
  <c r="R509" i="3315"/>
  <c r="N509" i="3315"/>
  <c r="J509" i="3315"/>
  <c r="Z508" i="3315"/>
  <c r="R508" i="3315"/>
  <c r="N508" i="3315"/>
  <c r="J508" i="3315"/>
  <c r="Z507" i="3315"/>
  <c r="R507" i="3315"/>
  <c r="N507" i="3315"/>
  <c r="J507" i="3315"/>
  <c r="Z506" i="3315"/>
  <c r="R506" i="3315"/>
  <c r="N506" i="3315"/>
  <c r="J506" i="3315"/>
  <c r="Z505" i="3315"/>
  <c r="R505" i="3315"/>
  <c r="N505" i="3315"/>
  <c r="J505" i="3315"/>
  <c r="Z504" i="3315"/>
  <c r="R504" i="3315"/>
  <c r="N504" i="3315"/>
  <c r="J504" i="3315"/>
  <c r="Z503" i="3315"/>
  <c r="R503" i="3315"/>
  <c r="N503" i="3315"/>
  <c r="J503" i="3315"/>
  <c r="Z502" i="3315"/>
  <c r="R502" i="3315"/>
  <c r="N502" i="3315"/>
  <c r="J502" i="3315"/>
  <c r="Z501" i="3315"/>
  <c r="R501" i="3315"/>
  <c r="N501" i="3315"/>
  <c r="J501" i="3315"/>
  <c r="Z500" i="3315"/>
  <c r="Z499" i="3315"/>
  <c r="Z498" i="3315"/>
  <c r="Z497" i="3315"/>
  <c r="Z496" i="3315"/>
  <c r="Z495" i="3315"/>
  <c r="Z494" i="3315"/>
  <c r="Z493" i="3315"/>
  <c r="Z492" i="3315"/>
  <c r="Z491" i="3315"/>
  <c r="Z490" i="3315"/>
  <c r="Z489" i="3315"/>
  <c r="Z488" i="3315"/>
  <c r="Z487" i="3315"/>
  <c r="Z486" i="3315"/>
  <c r="R486" i="3315"/>
  <c r="N486" i="3315"/>
  <c r="J486" i="3315"/>
  <c r="Z485" i="3315"/>
  <c r="R485" i="3315"/>
  <c r="N485" i="3315"/>
  <c r="J485" i="3315"/>
  <c r="Z484" i="3315"/>
  <c r="R484" i="3315"/>
  <c r="N484" i="3315"/>
  <c r="J484" i="3315"/>
  <c r="Z483" i="3315"/>
  <c r="R483" i="3315"/>
  <c r="N483" i="3315"/>
  <c r="J483" i="3315"/>
  <c r="Z482" i="3315"/>
  <c r="R482" i="3315"/>
  <c r="N482" i="3315"/>
  <c r="J482" i="3315"/>
  <c r="Z481" i="3315"/>
  <c r="R481" i="3315"/>
  <c r="N481" i="3315"/>
  <c r="J481" i="3315"/>
  <c r="Z480" i="3315"/>
  <c r="R480" i="3315"/>
  <c r="N480" i="3315"/>
  <c r="J480" i="3315"/>
  <c r="Z479" i="3315"/>
  <c r="R479" i="3315"/>
  <c r="N479" i="3315"/>
  <c r="J479" i="3315"/>
  <c r="Z478" i="3315"/>
  <c r="Z477" i="3315"/>
  <c r="Z476" i="3315"/>
  <c r="Z475" i="3315"/>
  <c r="Z474" i="3315"/>
  <c r="Z473" i="3315"/>
  <c r="Z472" i="3315"/>
  <c r="Z471" i="3315"/>
  <c r="Z470" i="3315"/>
  <c r="Z469" i="3315"/>
  <c r="Z468" i="3315"/>
  <c r="Z467" i="3315"/>
  <c r="Z466" i="3315"/>
  <c r="Z465" i="3315"/>
  <c r="Z370" i="3315"/>
  <c r="Z369" i="3315"/>
  <c r="Z368" i="3315"/>
  <c r="Z367" i="3315"/>
  <c r="Z366" i="3315"/>
  <c r="Z365" i="3315"/>
  <c r="Z364" i="3315"/>
  <c r="Z363" i="3315"/>
  <c r="Z362" i="3315"/>
  <c r="Z361" i="3315"/>
  <c r="Z360" i="3315"/>
  <c r="Z359" i="3315"/>
  <c r="Z348" i="3315"/>
  <c r="R348" i="3315"/>
  <c r="N348" i="3315"/>
  <c r="J348" i="3315"/>
  <c r="Z347" i="3315"/>
  <c r="Z346" i="3315"/>
  <c r="Z345" i="3315"/>
  <c r="Z344" i="3315"/>
  <c r="R344" i="3315"/>
  <c r="N344" i="3315"/>
  <c r="J344" i="3315"/>
  <c r="Z343" i="3315"/>
  <c r="Z342" i="3315"/>
  <c r="L57" i="3315"/>
  <c r="H57" i="3315"/>
  <c r="D309" i="3315"/>
  <c r="H309" i="3315"/>
  <c r="L309" i="3315"/>
  <c r="P309" i="3315"/>
  <c r="F32" i="4608" l="1"/>
  <c r="AD929" i="3315"/>
  <c r="AD942" i="3315"/>
  <c r="AD946" i="3315"/>
  <c r="AF953" i="3315"/>
  <c r="AD954" i="3315"/>
  <c r="AD958" i="3315"/>
  <c r="AF961" i="3315"/>
  <c r="AD962" i="3315"/>
  <c r="AD607" i="3315"/>
  <c r="AD939" i="3315"/>
  <c r="AD943" i="3315"/>
  <c r="AD947" i="3315"/>
  <c r="AD928" i="3315"/>
  <c r="AD932" i="3315"/>
  <c r="AD933" i="3315"/>
  <c r="AD937" i="3315"/>
  <c r="AD941" i="3315"/>
  <c r="AD945" i="3315"/>
  <c r="AD949" i="3315"/>
  <c r="AF952" i="3315"/>
  <c r="AD953" i="3315"/>
  <c r="AD957" i="3315"/>
  <c r="AF960" i="3315"/>
  <c r="AD961" i="3315"/>
  <c r="AF964" i="3315"/>
  <c r="AD965" i="3315"/>
  <c r="AD606" i="3315"/>
  <c r="AD925" i="3315"/>
  <c r="AD934" i="3315"/>
  <c r="AD938" i="3315"/>
  <c r="AF949" i="3315"/>
  <c r="AD950" i="3315"/>
  <c r="AF965" i="3315"/>
  <c r="AD926" i="3315"/>
  <c r="AD930" i="3315"/>
  <c r="AD935" i="3315"/>
  <c r="AD951" i="3315"/>
  <c r="AD955" i="3315"/>
  <c r="AF958" i="3315"/>
  <c r="AD959" i="3315"/>
  <c r="AF962" i="3315"/>
  <c r="AD963" i="3315"/>
  <c r="AD927" i="3315"/>
  <c r="AD931" i="3315"/>
  <c r="AD936" i="3315"/>
  <c r="AD940" i="3315"/>
  <c r="AD944" i="3315"/>
  <c r="AD948" i="3315"/>
  <c r="AF951" i="3315"/>
  <c r="AD952" i="3315"/>
  <c r="AD956" i="3315"/>
  <c r="AF959" i="3315"/>
  <c r="AD960" i="3315"/>
  <c r="AF963" i="3315"/>
  <c r="AD964" i="3315"/>
  <c r="AD605" i="3315"/>
  <c r="AD467" i="3315"/>
  <c r="AD475" i="3315"/>
  <c r="AD479" i="3315"/>
  <c r="AF486" i="3315"/>
  <c r="AD495" i="3315"/>
  <c r="AF502" i="3315"/>
  <c r="AD503" i="3315"/>
  <c r="AF506" i="3315"/>
  <c r="AD507" i="3315"/>
  <c r="AD511" i="3315"/>
  <c r="AF518" i="3315"/>
  <c r="AD523" i="3315"/>
  <c r="AD531" i="3315"/>
  <c r="AD535" i="3315"/>
  <c r="AD543" i="3315"/>
  <c r="AD547" i="3315"/>
  <c r="AD555" i="3315"/>
  <c r="AF566" i="3315"/>
  <c r="AD468" i="3315"/>
  <c r="AD476" i="3315"/>
  <c r="AF483" i="3315"/>
  <c r="AD484" i="3315"/>
  <c r="AD488" i="3315"/>
  <c r="AD500" i="3315"/>
  <c r="AF507" i="3315"/>
  <c r="AD508" i="3315"/>
  <c r="AF511" i="3315"/>
  <c r="AD512" i="3315"/>
  <c r="AD516" i="3315"/>
  <c r="AD532" i="3315"/>
  <c r="AD540" i="3315"/>
  <c r="AD548" i="3315"/>
  <c r="AF559" i="3315"/>
  <c r="AD560" i="3315"/>
  <c r="AD564" i="3315"/>
  <c r="AD466" i="3315"/>
  <c r="AD470" i="3315"/>
  <c r="AD474" i="3315"/>
  <c r="AD478" i="3315"/>
  <c r="AF481" i="3315"/>
  <c r="AD482" i="3315"/>
  <c r="AF485" i="3315"/>
  <c r="AD486" i="3315"/>
  <c r="AD490" i="3315"/>
  <c r="AD494" i="3315"/>
  <c r="AD498" i="3315"/>
  <c r="AF501" i="3315"/>
  <c r="AD502" i="3315"/>
  <c r="AF505" i="3315"/>
  <c r="AD506" i="3315"/>
  <c r="AF509" i="3315"/>
  <c r="AD510" i="3315"/>
  <c r="AF513" i="3315"/>
  <c r="AD514" i="3315"/>
  <c r="AF517" i="3315"/>
  <c r="AD518" i="3315"/>
  <c r="AD522" i="3315"/>
  <c r="AD526" i="3315"/>
  <c r="AD530" i="3315"/>
  <c r="AD534" i="3315"/>
  <c r="AF537" i="3315"/>
  <c r="AD538" i="3315"/>
  <c r="AD542" i="3315"/>
  <c r="AD546" i="3315"/>
  <c r="AD550" i="3315"/>
  <c r="AD554" i="3315"/>
  <c r="AD558" i="3315"/>
  <c r="AF561" i="3315"/>
  <c r="AD562" i="3315"/>
  <c r="AD566" i="3315"/>
  <c r="AD471" i="3315"/>
  <c r="AF482" i="3315"/>
  <c r="AD483" i="3315"/>
  <c r="AD487" i="3315"/>
  <c r="AD491" i="3315"/>
  <c r="AD499" i="3315"/>
  <c r="AF510" i="3315"/>
  <c r="AF514" i="3315"/>
  <c r="AD515" i="3315"/>
  <c r="AD519" i="3315"/>
  <c r="AD527" i="3315"/>
  <c r="AD539" i="3315"/>
  <c r="AD551" i="3315"/>
  <c r="AD559" i="3315"/>
  <c r="AD563" i="3315"/>
  <c r="AD472" i="3315"/>
  <c r="AF479" i="3315"/>
  <c r="AD480" i="3315"/>
  <c r="AD492" i="3315"/>
  <c r="AD496" i="3315"/>
  <c r="AF503" i="3315"/>
  <c r="AD504" i="3315"/>
  <c r="AF515" i="3315"/>
  <c r="AD520" i="3315"/>
  <c r="AD524" i="3315"/>
  <c r="AD528" i="3315"/>
  <c r="AD536" i="3315"/>
  <c r="AD544" i="3315"/>
  <c r="AD552" i="3315"/>
  <c r="AD556" i="3315"/>
  <c r="AF563" i="3315"/>
  <c r="AD465" i="3315"/>
  <c r="AD469" i="3315"/>
  <c r="AD473" i="3315"/>
  <c r="AD477" i="3315"/>
  <c r="AF480" i="3315"/>
  <c r="AD481" i="3315"/>
  <c r="AF484" i="3315"/>
  <c r="AD485" i="3315"/>
  <c r="AD489" i="3315"/>
  <c r="AD493" i="3315"/>
  <c r="AD497" i="3315"/>
  <c r="AD501" i="3315"/>
  <c r="AF504" i="3315"/>
  <c r="AD505" i="3315"/>
  <c r="AF508" i="3315"/>
  <c r="AD509" i="3315"/>
  <c r="AF512" i="3315"/>
  <c r="AD513" i="3315"/>
  <c r="AF516" i="3315"/>
  <c r="AD517" i="3315"/>
  <c r="AF520" i="3315"/>
  <c r="AD521" i="3315"/>
  <c r="AD525" i="3315"/>
  <c r="AD529" i="3315"/>
  <c r="AF532" i="3315"/>
  <c r="AD533" i="3315"/>
  <c r="AD537" i="3315"/>
  <c r="AD541" i="3315"/>
  <c r="AD545" i="3315"/>
  <c r="AD549" i="3315"/>
  <c r="AD553" i="3315"/>
  <c r="AD557" i="3315"/>
  <c r="AD561" i="3315"/>
  <c r="AD565" i="3315"/>
  <c r="AD365" i="3315"/>
  <c r="AD369" i="3315"/>
  <c r="AD360" i="3315"/>
  <c r="AD364" i="3315"/>
  <c r="AD368" i="3315"/>
  <c r="AD361" i="3315"/>
  <c r="AD362" i="3315"/>
  <c r="AD366" i="3315"/>
  <c r="AD370" i="3315"/>
  <c r="AD359" i="3315"/>
  <c r="AD363" i="3315"/>
  <c r="AD367" i="3315"/>
  <c r="AD342" i="3315"/>
  <c r="AD343" i="3315"/>
  <c r="AD347" i="3315"/>
  <c r="AD344" i="3315"/>
  <c r="AD348" i="3315"/>
  <c r="AD346" i="3315"/>
  <c r="AF344" i="3315"/>
  <c r="AD345" i="3315"/>
  <c r="AF348" i="3315"/>
  <c r="AF978" i="3315"/>
  <c r="AD983" i="3315"/>
  <c r="AD991" i="3315"/>
  <c r="AD999" i="3315"/>
  <c r="AD1003" i="3315"/>
  <c r="AD1015" i="3315"/>
  <c r="AD1033" i="3315"/>
  <c r="AD1037" i="3315"/>
  <c r="AD980" i="3315"/>
  <c r="AD988" i="3315"/>
  <c r="AD992" i="3315"/>
  <c r="AD996" i="3315"/>
  <c r="AD1000" i="3315"/>
  <c r="AD1004" i="3315"/>
  <c r="AD1008" i="3315"/>
  <c r="AD1034" i="3315"/>
  <c r="AD1038" i="3315"/>
  <c r="AD978" i="3315"/>
  <c r="AD982" i="3315"/>
  <c r="AD986" i="3315"/>
  <c r="AD990" i="3315"/>
  <c r="AD994" i="3315"/>
  <c r="AD998" i="3315"/>
  <c r="AD1002" i="3315"/>
  <c r="AD1006" i="3315"/>
  <c r="AD1010" i="3315"/>
  <c r="AD1014" i="3315"/>
  <c r="AD1032" i="3315"/>
  <c r="AD1036" i="3315"/>
  <c r="AD979" i="3315"/>
  <c r="AD987" i="3315"/>
  <c r="AF994" i="3315"/>
  <c r="AD995" i="3315"/>
  <c r="AD1007" i="3315"/>
  <c r="AD1011" i="3315"/>
  <c r="AD984" i="3315"/>
  <c r="AD1012" i="3315"/>
  <c r="AD1030" i="3315"/>
  <c r="AD977" i="3315"/>
  <c r="AD981" i="3315"/>
  <c r="AD985" i="3315"/>
  <c r="AD989" i="3315"/>
  <c r="AD993" i="3315"/>
  <c r="AD997" i="3315"/>
  <c r="AD1001" i="3315"/>
  <c r="AD1005" i="3315"/>
  <c r="AD1009" i="3315"/>
  <c r="AD1013" i="3315"/>
  <c r="AD1031" i="3315"/>
  <c r="AD1035" i="3315"/>
  <c r="Z65" i="3315"/>
  <c r="Z66" i="3315"/>
  <c r="Z67" i="3315"/>
  <c r="Z68" i="3315"/>
  <c r="Z69" i="3315"/>
  <c r="Z70" i="3315"/>
  <c r="Z71" i="3315"/>
  <c r="Z72" i="3315"/>
  <c r="Z73" i="3315"/>
  <c r="Z74" i="3315"/>
  <c r="Z75" i="3315"/>
  <c r="Z76" i="3315"/>
  <c r="Z77" i="3315"/>
  <c r="Z78" i="3315"/>
  <c r="Z79" i="3315"/>
  <c r="Z80" i="3315"/>
  <c r="Z81" i="3315"/>
  <c r="Z82" i="3315"/>
  <c r="R80" i="3315"/>
  <c r="N80" i="3315"/>
  <c r="J80" i="3315"/>
  <c r="F33" i="4608" l="1"/>
  <c r="AF80" i="3315"/>
  <c r="AD82" i="3315"/>
  <c r="AD80" i="3315"/>
  <c r="AD78" i="3315"/>
  <c r="AD76" i="3315"/>
  <c r="AD74" i="3315"/>
  <c r="AD72" i="3315"/>
  <c r="AD70" i="3315"/>
  <c r="AD68" i="3315"/>
  <c r="AD66" i="3315"/>
  <c r="AD81" i="3315"/>
  <c r="AD79" i="3315"/>
  <c r="AD77" i="3315"/>
  <c r="AD75" i="3315"/>
  <c r="AD73" i="3315"/>
  <c r="AD71" i="3315"/>
  <c r="AD69" i="3315"/>
  <c r="AD67" i="3315"/>
  <c r="AD65" i="3315"/>
  <c r="AE588" i="3315"/>
  <c r="AB590" i="3315"/>
  <c r="D57" i="3315"/>
  <c r="F34" i="4608" l="1"/>
  <c r="F35" i="4608" l="1"/>
  <c r="H32" i="3315"/>
  <c r="H35" i="3315"/>
  <c r="I35" i="3315" s="1"/>
  <c r="H33" i="3315"/>
  <c r="I33" i="3315" s="1"/>
  <c r="H34" i="3315"/>
  <c r="I34" i="3315" s="1"/>
  <c r="H37" i="3315"/>
  <c r="I37" i="3315" s="1"/>
  <c r="H36" i="3315"/>
  <c r="AD28" i="3315"/>
  <c r="Z37" i="3315"/>
  <c r="J37" i="3315"/>
  <c r="R37" i="3315"/>
  <c r="N37" i="3315"/>
  <c r="L37" i="3315"/>
  <c r="P37" i="3315"/>
  <c r="J34" i="3315"/>
  <c r="L35" i="3315"/>
  <c r="N34" i="3315"/>
  <c r="R34" i="3315"/>
  <c r="Z34" i="3315"/>
  <c r="L34" i="3315"/>
  <c r="J35" i="3315"/>
  <c r="P34" i="3315"/>
  <c r="L33" i="3315"/>
  <c r="N35" i="3315"/>
  <c r="R35" i="3315"/>
  <c r="Z35" i="3315"/>
  <c r="J33" i="3315"/>
  <c r="P35" i="3315"/>
  <c r="N33" i="3315"/>
  <c r="R33" i="3315"/>
  <c r="Z33" i="3315"/>
  <c r="P33" i="3315"/>
  <c r="P28" i="3315"/>
  <c r="I28" i="3315"/>
  <c r="N28" i="3315"/>
  <c r="R28" i="3315"/>
  <c r="J28" i="3315"/>
  <c r="L28" i="3315"/>
  <c r="F36" i="4608" l="1"/>
  <c r="Q33" i="3315"/>
  <c r="Q35" i="3315"/>
  <c r="M35" i="3315"/>
  <c r="Q28" i="3315"/>
  <c r="AG37" i="3315"/>
  <c r="M34" i="3315"/>
  <c r="AD37" i="3315"/>
  <c r="AD33" i="3315"/>
  <c r="M33" i="3315"/>
  <c r="AD34" i="3315"/>
  <c r="AG33" i="3315"/>
  <c r="M37" i="3315"/>
  <c r="AG34" i="3315"/>
  <c r="M28" i="3315"/>
  <c r="AG28" i="3315"/>
  <c r="AD35" i="3315"/>
  <c r="Q34" i="3315"/>
  <c r="Q37" i="3315"/>
  <c r="AG35" i="3315"/>
  <c r="H39" i="3315"/>
  <c r="AF34" i="3315"/>
  <c r="AF35" i="3315"/>
  <c r="AF28" i="3315"/>
  <c r="AF33" i="3315"/>
  <c r="AF37" i="3315"/>
  <c r="L21" i="3315" l="1"/>
  <c r="M21" i="3315" l="1"/>
  <c r="J21" i="3315"/>
  <c r="J22" i="3315"/>
  <c r="AF21" i="3315" l="1"/>
  <c r="AF22" i="3315"/>
  <c r="AC20" i="3315" l="1"/>
  <c r="P17" i="3315"/>
  <c r="P20" i="3315"/>
  <c r="Q17" i="3315" l="1"/>
  <c r="Q20" i="3315"/>
  <c r="AF19" i="3315"/>
  <c r="N17" i="3315"/>
  <c r="Z20" i="3315"/>
  <c r="P19" i="3315"/>
  <c r="N20" i="3315"/>
  <c r="AC17" i="3315"/>
  <c r="R17" i="3315"/>
  <c r="Z17" i="3315"/>
  <c r="AA14" i="3315"/>
  <c r="AB14" i="3315"/>
  <c r="Z19" i="3315"/>
  <c r="R20" i="3315"/>
  <c r="AC19" i="3315"/>
  <c r="R19" i="3315"/>
  <c r="AD19" i="3315" l="1"/>
  <c r="AD17" i="3315"/>
  <c r="Q19" i="3315"/>
  <c r="AD20" i="3315"/>
  <c r="AF20" i="3315"/>
  <c r="AF17" i="3315"/>
  <c r="H969" i="3315" l="1"/>
  <c r="H970" i="3315"/>
  <c r="U994" i="3315" l="1"/>
  <c r="U481" i="3315" l="1"/>
  <c r="U482" i="3315"/>
  <c r="U485" i="3315"/>
  <c r="U532" i="3315"/>
  <c r="U35" i="3315"/>
  <c r="W35" i="3315"/>
  <c r="W34" i="3315"/>
  <c r="U344" i="3315"/>
  <c r="U537" i="3315"/>
  <c r="U479" i="3315"/>
  <c r="U484" i="3315"/>
  <c r="U963" i="3315"/>
  <c r="W958" i="3315"/>
  <c r="W963" i="3315"/>
  <c r="W344" i="3315"/>
  <c r="W961" i="3315"/>
  <c r="W994" i="3315"/>
  <c r="U34" i="3315"/>
  <c r="U483" i="3315"/>
  <c r="U480" i="3315"/>
  <c r="U486" i="3315"/>
  <c r="U958" i="3315"/>
  <c r="U961" i="3315"/>
  <c r="W37" i="3315" l="1"/>
  <c r="W33" i="3315"/>
  <c r="W532" i="3315"/>
  <c r="W481" i="3315"/>
  <c r="W485" i="3315"/>
  <c r="W537" i="3315"/>
  <c r="W482" i="3315"/>
  <c r="W486" i="3315"/>
  <c r="W479" i="3315"/>
  <c r="W483" i="3315"/>
  <c r="W480" i="3315"/>
  <c r="W484" i="3315"/>
  <c r="W504" i="3315"/>
  <c r="W501" i="3315"/>
  <c r="W505" i="3315"/>
  <c r="W517" i="3315"/>
  <c r="W951" i="3315"/>
  <c r="W959" i="3315"/>
  <c r="W502" i="3315"/>
  <c r="W506" i="3315"/>
  <c r="W514" i="3315"/>
  <c r="W566" i="3315"/>
  <c r="W348" i="3315"/>
  <c r="W503" i="3315"/>
  <c r="W515" i="3315"/>
  <c r="W952" i="3315"/>
  <c r="W965" i="3315"/>
  <c r="W964" i="3315"/>
  <c r="W508" i="3315"/>
  <c r="W512" i="3315"/>
  <c r="W516" i="3315"/>
  <c r="W520" i="3315"/>
  <c r="W509" i="3315"/>
  <c r="W513" i="3315"/>
  <c r="W561" i="3315"/>
  <c r="W962" i="3315"/>
  <c r="W510" i="3315"/>
  <c r="W518" i="3315"/>
  <c r="W507" i="3315"/>
  <c r="W511" i="3315"/>
  <c r="W559" i="3315"/>
  <c r="W563" i="3315"/>
  <c r="W960" i="3315"/>
  <c r="W949" i="3315"/>
  <c r="W953" i="3315"/>
  <c r="W80" i="3315"/>
  <c r="W28" i="3315"/>
  <c r="W20" i="3315"/>
  <c r="W17" i="3315"/>
  <c r="W19" i="3315"/>
  <c r="U37" i="3315" l="1"/>
  <c r="U33" i="3315"/>
  <c r="W978" i="3315"/>
  <c r="V485" i="3315" l="1"/>
  <c r="X485" i="3315" s="1"/>
  <c r="V537" i="3315"/>
  <c r="X537" i="3315" s="1"/>
  <c r="V479" i="3315"/>
  <c r="X479" i="3315" s="1"/>
  <c r="V480" i="3315"/>
  <c r="X480" i="3315" s="1"/>
  <c r="V482" i="3315"/>
  <c r="X482" i="3315" s="1"/>
  <c r="V483" i="3315"/>
  <c r="X483" i="3315" s="1"/>
  <c r="V532" i="3315"/>
  <c r="X532" i="3315" s="1"/>
  <c r="V486" i="3315"/>
  <c r="X486" i="3315" s="1"/>
  <c r="V484" i="3315"/>
  <c r="X484" i="3315" s="1"/>
  <c r="V481" i="3315"/>
  <c r="X481" i="3315" s="1"/>
  <c r="U964" i="3315"/>
  <c r="U502" i="3315"/>
  <c r="U501" i="3315"/>
  <c r="U959" i="3315"/>
  <c r="U965" i="3315"/>
  <c r="U952" i="3315"/>
  <c r="U517" i="3315"/>
  <c r="U505" i="3315"/>
  <c r="U348" i="3315"/>
  <c r="U951" i="3315"/>
  <c r="U515" i="3315"/>
  <c r="U503" i="3315"/>
  <c r="U566" i="3315"/>
  <c r="U504" i="3315"/>
  <c r="U506" i="3315"/>
  <c r="U514" i="3315"/>
  <c r="AE532" i="3315" l="1"/>
  <c r="AE486" i="3315"/>
  <c r="AE480" i="3315"/>
  <c r="AE481" i="3315"/>
  <c r="AE483" i="3315"/>
  <c r="AE537" i="3315"/>
  <c r="AE479" i="3315"/>
  <c r="AE484" i="3315"/>
  <c r="AE482" i="3315"/>
  <c r="AE485" i="3315"/>
  <c r="V37" i="3315"/>
  <c r="X37" i="3315" s="1"/>
  <c r="V33" i="3315"/>
  <c r="X33" i="3315" s="1"/>
  <c r="AE33" i="3315" l="1"/>
  <c r="AE37" i="3315"/>
  <c r="V35" i="3315"/>
  <c r="X35" i="3315" s="1"/>
  <c r="V34" i="3315"/>
  <c r="X34" i="3315" s="1"/>
  <c r="V501" i="3315"/>
  <c r="X501" i="3315" s="1"/>
  <c r="V514" i="3315"/>
  <c r="X514" i="3315" s="1"/>
  <c r="V348" i="3315"/>
  <c r="X348" i="3315" s="1"/>
  <c r="V965" i="3315"/>
  <c r="X965" i="3315" s="1"/>
  <c r="V505" i="3315"/>
  <c r="X505" i="3315" s="1"/>
  <c r="V566" i="3315"/>
  <c r="X566" i="3315" s="1"/>
  <c r="V959" i="3315"/>
  <c r="X959" i="3315" s="1"/>
  <c r="V952" i="3315"/>
  <c r="X952" i="3315" s="1"/>
  <c r="V517" i="3315"/>
  <c r="X517" i="3315" s="1"/>
  <c r="V502" i="3315"/>
  <c r="X502" i="3315" s="1"/>
  <c r="V503" i="3315"/>
  <c r="X503" i="3315" s="1"/>
  <c r="V504" i="3315"/>
  <c r="X504" i="3315" s="1"/>
  <c r="V19" i="3315"/>
  <c r="V506" i="3315"/>
  <c r="X506" i="3315" s="1"/>
  <c r="V964" i="3315"/>
  <c r="X964" i="3315" s="1"/>
  <c r="V20" i="3315"/>
  <c r="V17" i="3315"/>
  <c r="V951" i="3315"/>
  <c r="X951" i="3315" s="1"/>
  <c r="V515" i="3315"/>
  <c r="X515" i="3315" s="1"/>
  <c r="AE952" i="3315" l="1"/>
  <c r="AE34" i="3315"/>
  <c r="AE951" i="3315"/>
  <c r="AE506" i="3315"/>
  <c r="AE502" i="3315"/>
  <c r="AE566" i="3315"/>
  <c r="AE514" i="3315"/>
  <c r="AE965" i="3315"/>
  <c r="AE517" i="3315"/>
  <c r="AE505" i="3315"/>
  <c r="AE501" i="3315"/>
  <c r="AE504" i="3315"/>
  <c r="AE515" i="3315"/>
  <c r="AE964" i="3315"/>
  <c r="AE503" i="3315"/>
  <c r="AE959" i="3315"/>
  <c r="AE348" i="3315"/>
  <c r="AE35" i="3315"/>
  <c r="U949" i="3315"/>
  <c r="U509" i="3315"/>
  <c r="U516" i="3315"/>
  <c r="U559" i="3315"/>
  <c r="U960" i="3315"/>
  <c r="U508" i="3315"/>
  <c r="U510" i="3315"/>
  <c r="U513" i="3315"/>
  <c r="U520" i="3315"/>
  <c r="U563" i="3315"/>
  <c r="U511" i="3315"/>
  <c r="U518" i="3315"/>
  <c r="U28" i="3315"/>
  <c r="U953" i="3315"/>
  <c r="U962" i="3315"/>
  <c r="U512" i="3315"/>
  <c r="U507" i="3315"/>
  <c r="U561" i="3315"/>
  <c r="U80" i="3315"/>
  <c r="U978" i="3315"/>
  <c r="U20" i="3315" l="1"/>
  <c r="X20" i="3315" s="1"/>
  <c r="U19" i="3315"/>
  <c r="X19" i="3315" s="1"/>
  <c r="U17" i="3315"/>
  <c r="X17" i="3315" s="1"/>
  <c r="AE17" i="3315" l="1"/>
  <c r="AE19" i="3315"/>
  <c r="AE20" i="3315"/>
  <c r="V961" i="3315" l="1"/>
  <c r="X961" i="3315" s="1"/>
  <c r="V963" i="3315"/>
  <c r="X963" i="3315" s="1"/>
  <c r="V994" i="3315"/>
  <c r="X994" i="3315" s="1"/>
  <c r="V344" i="3315"/>
  <c r="X344" i="3315" s="1"/>
  <c r="V958" i="3315"/>
  <c r="X958" i="3315" s="1"/>
  <c r="V512" i="3315"/>
  <c r="X512" i="3315" s="1"/>
  <c r="V559" i="3315"/>
  <c r="X559" i="3315" s="1"/>
  <c r="V561" i="3315"/>
  <c r="X561" i="3315" s="1"/>
  <c r="V507" i="3315"/>
  <c r="X507" i="3315" s="1"/>
  <c r="V520" i="3315"/>
  <c r="X520" i="3315" s="1"/>
  <c r="V949" i="3315"/>
  <c r="X949" i="3315" s="1"/>
  <c r="V513" i="3315"/>
  <c r="X513" i="3315" s="1"/>
  <c r="V518" i="3315"/>
  <c r="X518" i="3315" s="1"/>
  <c r="V511" i="3315"/>
  <c r="X511" i="3315" s="1"/>
  <c r="V516" i="3315"/>
  <c r="X516" i="3315" s="1"/>
  <c r="V962" i="3315"/>
  <c r="X962" i="3315" s="1"/>
  <c r="V960" i="3315"/>
  <c r="X960" i="3315" s="1"/>
  <c r="V563" i="3315"/>
  <c r="X563" i="3315" s="1"/>
  <c r="V80" i="3315"/>
  <c r="X80" i="3315" s="1"/>
  <c r="V508" i="3315"/>
  <c r="X508" i="3315" s="1"/>
  <c r="V953" i="3315"/>
  <c r="X953" i="3315" s="1"/>
  <c r="V28" i="3315"/>
  <c r="X28" i="3315" s="1"/>
  <c r="V509" i="3315"/>
  <c r="X509" i="3315" s="1"/>
  <c r="V510" i="3315"/>
  <c r="X510" i="3315" s="1"/>
  <c r="V978" i="3315"/>
  <c r="X978" i="3315" s="1"/>
  <c r="Z1046" i="3315"/>
  <c r="Z1047" i="3315"/>
  <c r="Z1039" i="3315"/>
  <c r="Z1040" i="3315"/>
  <c r="Z1041" i="3315"/>
  <c r="Z1042" i="3315"/>
  <c r="Z1043" i="3315"/>
  <c r="Z1044" i="3315"/>
  <c r="Z1045" i="3315"/>
  <c r="AE80" i="3315" l="1"/>
  <c r="AE994" i="3315"/>
  <c r="AE28" i="3315"/>
  <c r="AE563" i="3315"/>
  <c r="AE511" i="3315"/>
  <c r="AE520" i="3315"/>
  <c r="AE512" i="3315"/>
  <c r="AE963" i="3315"/>
  <c r="AE509" i="3315"/>
  <c r="AE949" i="3315"/>
  <c r="AE978" i="3315"/>
  <c r="AE953" i="3315"/>
  <c r="AE960" i="3315"/>
  <c r="AE518" i="3315"/>
  <c r="AE507" i="3315"/>
  <c r="AE958" i="3315"/>
  <c r="AE961" i="3315"/>
  <c r="AE516" i="3315"/>
  <c r="AE559" i="3315"/>
  <c r="AE510" i="3315"/>
  <c r="AE508" i="3315"/>
  <c r="AE962" i="3315"/>
  <c r="AE513" i="3315"/>
  <c r="AE561" i="3315"/>
  <c r="AE344" i="3315"/>
  <c r="AD1044" i="3315"/>
  <c r="AD1040" i="3315"/>
  <c r="AD1045" i="3315"/>
  <c r="AD1041" i="3315"/>
  <c r="AD1046" i="3315"/>
  <c r="AD1043" i="3315"/>
  <c r="AD1039" i="3315"/>
  <c r="AD1042" i="3315"/>
  <c r="AD1047" i="3315"/>
  <c r="Z313" i="3315"/>
  <c r="Z314" i="3315"/>
  <c r="Z315" i="3315"/>
  <c r="Z316" i="3315"/>
  <c r="Z317" i="3315"/>
  <c r="Z318" i="3315"/>
  <c r="Z319" i="3315"/>
  <c r="Z320" i="3315"/>
  <c r="Z321" i="3315"/>
  <c r="Z322" i="3315"/>
  <c r="AD316" i="3315" l="1"/>
  <c r="AD315" i="3315"/>
  <c r="AD321" i="3315"/>
  <c r="AD317" i="3315"/>
  <c r="AD313" i="3315"/>
  <c r="AD320" i="3315"/>
  <c r="AD319" i="3315"/>
  <c r="AD322" i="3315"/>
  <c r="AD318" i="3315"/>
  <c r="AD314" i="3315"/>
  <c r="J335" i="3315"/>
  <c r="N335" i="3315"/>
  <c r="R335" i="3315"/>
  <c r="Z335" i="3315"/>
  <c r="J336" i="3315"/>
  <c r="N336" i="3315"/>
  <c r="R336" i="3315"/>
  <c r="Z336" i="3315"/>
  <c r="Z337" i="3315"/>
  <c r="Z338" i="3315"/>
  <c r="J339" i="3315"/>
  <c r="N339" i="3315"/>
  <c r="R339" i="3315"/>
  <c r="Z339" i="3315"/>
  <c r="Z340" i="3315"/>
  <c r="J341" i="3315"/>
  <c r="N341" i="3315"/>
  <c r="R341" i="3315"/>
  <c r="Z341" i="3315"/>
  <c r="Z349" i="3315"/>
  <c r="Z350" i="3315"/>
  <c r="J351" i="3315"/>
  <c r="N351" i="3315"/>
  <c r="R351" i="3315"/>
  <c r="Z351" i="3315"/>
  <c r="J352" i="3315"/>
  <c r="N352" i="3315"/>
  <c r="R352" i="3315"/>
  <c r="Z352" i="3315"/>
  <c r="AD350" i="3315" l="1"/>
  <c r="AD335" i="3315"/>
  <c r="AF352" i="3315"/>
  <c r="AD338" i="3315"/>
  <c r="AD352" i="3315"/>
  <c r="AF351" i="3315"/>
  <c r="AD341" i="3315"/>
  <c r="AD337" i="3315"/>
  <c r="AF336" i="3315"/>
  <c r="AD339" i="3315"/>
  <c r="AD349" i="3315"/>
  <c r="AF341" i="3315"/>
  <c r="AD351" i="3315"/>
  <c r="AD340" i="3315"/>
  <c r="AF339" i="3315"/>
  <c r="AD336" i="3315"/>
  <c r="AF335" i="3315"/>
  <c r="M14" i="3315"/>
  <c r="Q13" i="3315"/>
  <c r="AC11" i="3315"/>
  <c r="AC13" i="3315"/>
  <c r="J11" i="3315"/>
  <c r="Z10" i="3315"/>
  <c r="Z12" i="3315"/>
  <c r="AC10" i="3315"/>
  <c r="AC12" i="3315"/>
  <c r="J12" i="3315"/>
  <c r="J10" i="3315"/>
  <c r="Z11" i="3315"/>
  <c r="Z13" i="3315"/>
  <c r="R11" i="3315"/>
  <c r="R10" i="3315"/>
  <c r="R12" i="3315"/>
  <c r="R13" i="3315"/>
  <c r="Q14" i="3315" l="1"/>
  <c r="W13" i="3315"/>
  <c r="AD13" i="3315"/>
  <c r="AF12" i="3315"/>
  <c r="AF11" i="3315"/>
  <c r="AD11" i="3315"/>
  <c r="AD10" i="3315"/>
  <c r="AF10" i="3315"/>
  <c r="AD12" i="3315"/>
  <c r="Z357" i="3315"/>
  <c r="Z358" i="3315"/>
  <c r="Z371" i="3315"/>
  <c r="Z570" i="3315"/>
  <c r="AD570" i="3315" l="1"/>
  <c r="Z585" i="3315"/>
  <c r="AD358" i="3315"/>
  <c r="AD357" i="3315"/>
  <c r="AD371" i="3315"/>
  <c r="N970" i="3315"/>
  <c r="N969" i="3315"/>
  <c r="L22" i="3315"/>
  <c r="AC22" i="3315"/>
  <c r="R22" i="3315"/>
  <c r="P22" i="3315"/>
  <c r="N22" i="3315"/>
  <c r="I22" i="3315"/>
  <c r="AG22" i="3315" l="1"/>
  <c r="M22" i="3315"/>
  <c r="Q22" i="3315"/>
  <c r="AD585" i="3315"/>
  <c r="AC21" i="3315"/>
  <c r="I21" i="3315"/>
  <c r="N21" i="3315"/>
  <c r="P21" i="3315"/>
  <c r="R21" i="3315"/>
  <c r="AD22" i="3315"/>
  <c r="AD21" i="3315"/>
  <c r="AG21" i="3315" l="1"/>
  <c r="Q21" i="3315"/>
  <c r="W22" i="3315"/>
  <c r="W351" i="3315"/>
  <c r="U351" i="3315"/>
  <c r="U335" i="3315" l="1"/>
  <c r="U352" i="3315"/>
  <c r="W21" i="3315"/>
  <c r="U21" i="3315"/>
  <c r="V12" i="3315"/>
  <c r="V10" i="3315"/>
  <c r="V11" i="3315"/>
  <c r="W352" i="3315"/>
  <c r="W335" i="3315"/>
  <c r="W341" i="3315"/>
  <c r="W339" i="3315"/>
  <c r="V21" i="3315"/>
  <c r="W12" i="3315"/>
  <c r="W10" i="3315"/>
  <c r="W11" i="3315"/>
  <c r="U10" i="3315"/>
  <c r="U11" i="3315"/>
  <c r="U12" i="3315"/>
  <c r="W336" i="3315"/>
  <c r="V22" i="3315"/>
  <c r="V351" i="3315"/>
  <c r="X351" i="3315" s="1"/>
  <c r="AE351" i="3315" l="1"/>
  <c r="X12" i="3315"/>
  <c r="X10" i="3315"/>
  <c r="V352" i="3315"/>
  <c r="X352" i="3315" s="1"/>
  <c r="V335" i="3315"/>
  <c r="X335" i="3315" s="1"/>
  <c r="V341" i="3315"/>
  <c r="V339" i="3315"/>
  <c r="V336" i="3315"/>
  <c r="X11" i="3315"/>
  <c r="X21" i="3315"/>
  <c r="AE10" i="3315" l="1"/>
  <c r="AE21" i="3315"/>
  <c r="AE11" i="3315"/>
  <c r="AE335" i="3315"/>
  <c r="AE352" i="3315"/>
  <c r="AE12" i="3315"/>
  <c r="U341" i="3315" l="1"/>
  <c r="X341" i="3315" s="1"/>
  <c r="U339" i="3315"/>
  <c r="X339" i="3315" s="1"/>
  <c r="AE339" i="3315" l="1"/>
  <c r="AE341" i="3315"/>
  <c r="U22" i="3315"/>
  <c r="X22" i="3315" s="1"/>
  <c r="AE22" i="3315" l="1"/>
  <c r="U336" i="3315"/>
  <c r="X336" i="3315" s="1"/>
  <c r="AE336" i="3315" l="1"/>
  <c r="Z5" i="3315"/>
  <c r="Z7" i="3315"/>
  <c r="N29" i="3315"/>
  <c r="R32" i="3315"/>
  <c r="R36" i="3315"/>
  <c r="J130" i="3315"/>
  <c r="Z843" i="3315"/>
  <c r="Z922" i="3315"/>
  <c r="R970" i="3315"/>
  <c r="R969" i="3315"/>
  <c r="M971" i="3315"/>
  <c r="H1162" i="3315"/>
  <c r="J969" i="3315"/>
  <c r="J970" i="3315"/>
  <c r="Z596" i="3315"/>
  <c r="Z597" i="3315"/>
  <c r="Z598" i="3315"/>
  <c r="Z599" i="3315"/>
  <c r="Z600" i="3315"/>
  <c r="Z601" i="3315"/>
  <c r="Z602" i="3315"/>
  <c r="Z603" i="3315"/>
  <c r="Z604" i="3315"/>
  <c r="Z608" i="3315"/>
  <c r="Z609" i="3315"/>
  <c r="Z610" i="3315"/>
  <c r="Z611" i="3315"/>
  <c r="Z612" i="3315"/>
  <c r="Z613" i="3315"/>
  <c r="Z614" i="3315"/>
  <c r="Z615" i="3315"/>
  <c r="Z616" i="3315"/>
  <c r="Z617" i="3315"/>
  <c r="Z618" i="3315"/>
  <c r="Z619" i="3315"/>
  <c r="Z620" i="3315"/>
  <c r="Z621" i="3315"/>
  <c r="Z622" i="3315"/>
  <c r="Z623" i="3315"/>
  <c r="Z624" i="3315"/>
  <c r="Z625" i="3315"/>
  <c r="Z626" i="3315"/>
  <c r="Z627" i="3315"/>
  <c r="Z628" i="3315"/>
  <c r="Z629" i="3315"/>
  <c r="Z630" i="3315"/>
  <c r="Z631" i="3315"/>
  <c r="Z632" i="3315"/>
  <c r="Z633" i="3315"/>
  <c r="Z634" i="3315"/>
  <c r="Z635" i="3315"/>
  <c r="Z636" i="3315"/>
  <c r="Z637" i="3315"/>
  <c r="Z638" i="3315"/>
  <c r="Z639" i="3315"/>
  <c r="Z640" i="3315"/>
  <c r="Z641" i="3315"/>
  <c r="Z642" i="3315"/>
  <c r="Z643" i="3315"/>
  <c r="Z644" i="3315"/>
  <c r="Z645" i="3315"/>
  <c r="Z646" i="3315"/>
  <c r="Z647" i="3315"/>
  <c r="Z648" i="3315"/>
  <c r="Z649" i="3315"/>
  <c r="Z650" i="3315"/>
  <c r="Z651" i="3315"/>
  <c r="Z652" i="3315"/>
  <c r="Z653" i="3315"/>
  <c r="Z654" i="3315"/>
  <c r="Z655" i="3315"/>
  <c r="Z656" i="3315"/>
  <c r="Z657" i="3315"/>
  <c r="Z658" i="3315"/>
  <c r="Z659" i="3315"/>
  <c r="Z660" i="3315"/>
  <c r="Z661" i="3315"/>
  <c r="Z662" i="3315"/>
  <c r="Z663" i="3315"/>
  <c r="Z664" i="3315"/>
  <c r="Z665" i="3315"/>
  <c r="Z666" i="3315"/>
  <c r="Z667" i="3315"/>
  <c r="Z668" i="3315"/>
  <c r="Z669" i="3315"/>
  <c r="Z670" i="3315"/>
  <c r="Z671" i="3315"/>
  <c r="Z672" i="3315"/>
  <c r="Z673" i="3315"/>
  <c r="Z674" i="3315"/>
  <c r="Z675" i="3315"/>
  <c r="Z676" i="3315"/>
  <c r="Z677" i="3315"/>
  <c r="Z678" i="3315"/>
  <c r="Z679" i="3315"/>
  <c r="Z680" i="3315"/>
  <c r="Z681" i="3315"/>
  <c r="Z682" i="3315"/>
  <c r="Z683" i="3315"/>
  <c r="Z684" i="3315"/>
  <c r="Z685" i="3315"/>
  <c r="Z686" i="3315"/>
  <c r="Z687" i="3315"/>
  <c r="Z688" i="3315"/>
  <c r="Z689" i="3315"/>
  <c r="Z690" i="3315"/>
  <c r="Z691" i="3315"/>
  <c r="Z692" i="3315"/>
  <c r="Z693" i="3315"/>
  <c r="Z694" i="3315"/>
  <c r="Z695" i="3315"/>
  <c r="Z696" i="3315"/>
  <c r="Z697" i="3315"/>
  <c r="Z698" i="3315"/>
  <c r="Z699" i="3315"/>
  <c r="Z700" i="3315"/>
  <c r="Z701" i="3315"/>
  <c r="Z702" i="3315"/>
  <c r="Z703" i="3315"/>
  <c r="Z704" i="3315"/>
  <c r="Z705" i="3315"/>
  <c r="Z706" i="3315"/>
  <c r="Z707" i="3315"/>
  <c r="Z708" i="3315"/>
  <c r="Z709" i="3315"/>
  <c r="Z710" i="3315"/>
  <c r="Z711" i="3315"/>
  <c r="Z712" i="3315"/>
  <c r="Z713" i="3315"/>
  <c r="Z714" i="3315"/>
  <c r="Z715" i="3315"/>
  <c r="Z716" i="3315"/>
  <c r="Z717" i="3315"/>
  <c r="Z718" i="3315"/>
  <c r="Z719" i="3315"/>
  <c r="Z720" i="3315"/>
  <c r="Z721" i="3315"/>
  <c r="Z722" i="3315"/>
  <c r="Z723" i="3315"/>
  <c r="Z724" i="3315"/>
  <c r="Z725" i="3315"/>
  <c r="Z726" i="3315"/>
  <c r="Z727" i="3315"/>
  <c r="Z728" i="3315"/>
  <c r="Z729" i="3315"/>
  <c r="Z730" i="3315"/>
  <c r="Z731" i="3315"/>
  <c r="Z732" i="3315"/>
  <c r="Z733" i="3315"/>
  <c r="Z734" i="3315"/>
  <c r="Z735" i="3315"/>
  <c r="Z736" i="3315"/>
  <c r="Z737" i="3315"/>
  <c r="Z738" i="3315"/>
  <c r="Z739" i="3315"/>
  <c r="Z740" i="3315"/>
  <c r="Z741" i="3315"/>
  <c r="Z742" i="3315"/>
  <c r="Z743" i="3315"/>
  <c r="Z744" i="3315"/>
  <c r="Z745" i="3315"/>
  <c r="Z746" i="3315"/>
  <c r="Z747" i="3315"/>
  <c r="Z748" i="3315"/>
  <c r="Z749" i="3315"/>
  <c r="Z750" i="3315"/>
  <c r="Z751" i="3315"/>
  <c r="Z752" i="3315"/>
  <c r="Z753" i="3315"/>
  <c r="Z754" i="3315"/>
  <c r="Z755" i="3315"/>
  <c r="Z756" i="3315"/>
  <c r="Z757" i="3315"/>
  <c r="Z758" i="3315"/>
  <c r="Z759" i="3315"/>
  <c r="Z760" i="3315"/>
  <c r="Z761" i="3315"/>
  <c r="Z762" i="3315"/>
  <c r="Z763" i="3315"/>
  <c r="Z764" i="3315"/>
  <c r="Z765" i="3315"/>
  <c r="Z766" i="3315"/>
  <c r="Z767" i="3315"/>
  <c r="Z768" i="3315"/>
  <c r="Z769" i="3315"/>
  <c r="Z770" i="3315"/>
  <c r="Z771" i="3315"/>
  <c r="Z772" i="3315"/>
  <c r="Z773" i="3315"/>
  <c r="Z774" i="3315"/>
  <c r="Z775" i="3315"/>
  <c r="Z776" i="3315"/>
  <c r="Z777" i="3315"/>
  <c r="Z778" i="3315"/>
  <c r="Z779" i="3315"/>
  <c r="Z780" i="3315"/>
  <c r="Z781" i="3315"/>
  <c r="Z782" i="3315"/>
  <c r="Z783" i="3315"/>
  <c r="Z784" i="3315"/>
  <c r="Z785" i="3315"/>
  <c r="Z786" i="3315"/>
  <c r="Z787" i="3315"/>
  <c r="Z788" i="3315"/>
  <c r="Z789" i="3315"/>
  <c r="Z790" i="3315"/>
  <c r="Z791" i="3315"/>
  <c r="Z792" i="3315"/>
  <c r="Z793" i="3315"/>
  <c r="Z794" i="3315"/>
  <c r="Z795" i="3315"/>
  <c r="Z796" i="3315"/>
  <c r="Z797" i="3315"/>
  <c r="Z798" i="3315"/>
  <c r="Z799" i="3315"/>
  <c r="Z800" i="3315"/>
  <c r="Z801" i="3315"/>
  <c r="Z802" i="3315"/>
  <c r="Z803" i="3315"/>
  <c r="Z804" i="3315"/>
  <c r="Z805" i="3315"/>
  <c r="Z806" i="3315"/>
  <c r="Z807" i="3315"/>
  <c r="Z808" i="3315"/>
  <c r="Z809" i="3315"/>
  <c r="Z810" i="3315"/>
  <c r="Z811" i="3315"/>
  <c r="Z812" i="3315"/>
  <c r="Z813" i="3315"/>
  <c r="Z814" i="3315"/>
  <c r="Z815" i="3315"/>
  <c r="Z816" i="3315"/>
  <c r="Z817" i="3315"/>
  <c r="Z818" i="3315"/>
  <c r="Z819" i="3315"/>
  <c r="Z820" i="3315"/>
  <c r="Z821" i="3315"/>
  <c r="Z822" i="3315"/>
  <c r="Z823" i="3315"/>
  <c r="Z824" i="3315"/>
  <c r="Z825" i="3315"/>
  <c r="Z826" i="3315"/>
  <c r="Z827" i="3315"/>
  <c r="Z828" i="3315"/>
  <c r="Z829" i="3315"/>
  <c r="Z830" i="3315"/>
  <c r="Z831" i="3315"/>
  <c r="Z832" i="3315"/>
  <c r="Z833" i="3315"/>
  <c r="Z834" i="3315"/>
  <c r="Z835" i="3315"/>
  <c r="Z836" i="3315"/>
  <c r="Z837" i="3315"/>
  <c r="Z838" i="3315"/>
  <c r="Z839" i="3315"/>
  <c r="Z840" i="3315"/>
  <c r="Z841" i="3315"/>
  <c r="Z842" i="3315"/>
  <c r="Z844" i="3315"/>
  <c r="Z845" i="3315"/>
  <c r="Z846" i="3315"/>
  <c r="Z847" i="3315"/>
  <c r="Z848" i="3315"/>
  <c r="Z849" i="3315"/>
  <c r="Z850" i="3315"/>
  <c r="Z851" i="3315"/>
  <c r="Z852" i="3315"/>
  <c r="Z853" i="3315"/>
  <c r="Z854" i="3315"/>
  <c r="Z855" i="3315"/>
  <c r="Z856" i="3315"/>
  <c r="Z857" i="3315"/>
  <c r="Z858" i="3315"/>
  <c r="Z859" i="3315"/>
  <c r="Z860" i="3315"/>
  <c r="Z861" i="3315"/>
  <c r="Z862" i="3315"/>
  <c r="Z863" i="3315"/>
  <c r="Z864" i="3315"/>
  <c r="Z865" i="3315"/>
  <c r="Z866" i="3315"/>
  <c r="Z867" i="3315"/>
  <c r="Z868" i="3315"/>
  <c r="Z869" i="3315"/>
  <c r="Z870" i="3315"/>
  <c r="Z871" i="3315"/>
  <c r="Z872" i="3315"/>
  <c r="Z873" i="3315"/>
  <c r="Z874" i="3315"/>
  <c r="Z875" i="3315"/>
  <c r="Z876" i="3315"/>
  <c r="Z877" i="3315"/>
  <c r="Z878" i="3315"/>
  <c r="Z879" i="3315"/>
  <c r="Z880" i="3315"/>
  <c r="Z881" i="3315"/>
  <c r="Z882" i="3315"/>
  <c r="Z883" i="3315"/>
  <c r="Z884" i="3315"/>
  <c r="Z885" i="3315"/>
  <c r="Z886" i="3315"/>
  <c r="Z887" i="3315"/>
  <c r="Z888" i="3315"/>
  <c r="Z889" i="3315"/>
  <c r="Z890" i="3315"/>
  <c r="Z891" i="3315"/>
  <c r="Z892" i="3315"/>
  <c r="Z893" i="3315"/>
  <c r="Z894" i="3315"/>
  <c r="Z895" i="3315"/>
  <c r="Z896" i="3315"/>
  <c r="Z897" i="3315"/>
  <c r="Z898" i="3315"/>
  <c r="Z899" i="3315"/>
  <c r="Z900" i="3315"/>
  <c r="Z901" i="3315"/>
  <c r="Z902" i="3315"/>
  <c r="Z903" i="3315"/>
  <c r="Z904" i="3315"/>
  <c r="Z905" i="3315"/>
  <c r="Z906" i="3315"/>
  <c r="Z907" i="3315"/>
  <c r="Z908" i="3315"/>
  <c r="Z909" i="3315"/>
  <c r="Z910" i="3315"/>
  <c r="Z911" i="3315"/>
  <c r="Z912" i="3315"/>
  <c r="Z913" i="3315"/>
  <c r="Z914" i="3315"/>
  <c r="Z915" i="3315"/>
  <c r="Z916" i="3315"/>
  <c r="Z917" i="3315"/>
  <c r="Z918" i="3315"/>
  <c r="Z919" i="3315"/>
  <c r="Z920" i="3315"/>
  <c r="Z921" i="3315"/>
  <c r="Z923" i="3315"/>
  <c r="Z924" i="3315"/>
  <c r="Z969" i="3315"/>
  <c r="Z970" i="3315"/>
  <c r="N971" i="3315"/>
  <c r="Z1158" i="3315"/>
  <c r="Z1159" i="3315"/>
  <c r="Z1160" i="3315"/>
  <c r="Z1161" i="3315"/>
  <c r="Z1053" i="3315"/>
  <c r="Z1054" i="3315"/>
  <c r="Z1055" i="3315"/>
  <c r="Z1056" i="3315"/>
  <c r="Z1057" i="3315"/>
  <c r="Z1058" i="3315"/>
  <c r="Z1059" i="3315"/>
  <c r="Z1060" i="3315"/>
  <c r="Z1061" i="3315"/>
  <c r="Z1062" i="3315"/>
  <c r="Z1063" i="3315"/>
  <c r="Z1064" i="3315"/>
  <c r="Z1065" i="3315"/>
  <c r="Z1066" i="3315"/>
  <c r="Z1067" i="3315"/>
  <c r="Z1068" i="3315"/>
  <c r="Z1069" i="3315"/>
  <c r="Z1070" i="3315"/>
  <c r="Z1071" i="3315"/>
  <c r="Z1072" i="3315"/>
  <c r="Z1073" i="3315"/>
  <c r="Z1074" i="3315"/>
  <c r="Z1075" i="3315"/>
  <c r="Z1076" i="3315"/>
  <c r="Z1077" i="3315"/>
  <c r="Z1078" i="3315"/>
  <c r="Z1079" i="3315"/>
  <c r="Z1080" i="3315"/>
  <c r="Z1081" i="3315"/>
  <c r="Z1082" i="3315"/>
  <c r="Z1083" i="3315"/>
  <c r="Z1084" i="3315"/>
  <c r="Z1085" i="3315"/>
  <c r="Z1086" i="3315"/>
  <c r="Z1087" i="3315"/>
  <c r="Z1088" i="3315"/>
  <c r="Z1089" i="3315"/>
  <c r="Z1090" i="3315"/>
  <c r="Z976" i="3315"/>
  <c r="Z356" i="3315"/>
  <c r="Z372" i="3315"/>
  <c r="Z373" i="3315"/>
  <c r="Z374" i="3315"/>
  <c r="Z375" i="3315"/>
  <c r="Z376" i="3315"/>
  <c r="Z377" i="3315"/>
  <c r="Z378" i="3315"/>
  <c r="Z379" i="3315"/>
  <c r="Z380" i="3315"/>
  <c r="Z381" i="3315"/>
  <c r="Z382" i="3315"/>
  <c r="Z383" i="3315"/>
  <c r="Z384" i="3315"/>
  <c r="Z43" i="3315"/>
  <c r="Z442" i="3315"/>
  <c r="Z443" i="3315"/>
  <c r="Z444" i="3315"/>
  <c r="Z445" i="3315"/>
  <c r="Z446" i="3315"/>
  <c r="Z447" i="3315"/>
  <c r="Z448" i="3315"/>
  <c r="Z449" i="3315"/>
  <c r="Z450" i="3315"/>
  <c r="Z451" i="3315"/>
  <c r="Z452" i="3315"/>
  <c r="Z453" i="3315"/>
  <c r="Z454" i="3315"/>
  <c r="Z455" i="3315"/>
  <c r="Z456" i="3315"/>
  <c r="Z457" i="3315"/>
  <c r="Z458" i="3315"/>
  <c r="Z459" i="3315"/>
  <c r="Z460" i="3315"/>
  <c r="Z60" i="3315"/>
  <c r="Z61" i="3315"/>
  <c r="Z62" i="3315"/>
  <c r="Z63" i="3315"/>
  <c r="Z64" i="3315"/>
  <c r="Z83" i="3315"/>
  <c r="Z84" i="3315"/>
  <c r="Z85" i="3315"/>
  <c r="Z86" i="3315"/>
  <c r="Z87" i="3315"/>
  <c r="Z88" i="3315"/>
  <c r="Z89" i="3315"/>
  <c r="Z90" i="3315"/>
  <c r="Z91" i="3315"/>
  <c r="Z92" i="3315"/>
  <c r="Z93" i="3315"/>
  <c r="Z94" i="3315"/>
  <c r="Z104" i="3315"/>
  <c r="Z105" i="3315"/>
  <c r="Z106" i="3315"/>
  <c r="Z107" i="3315"/>
  <c r="Z108" i="3315"/>
  <c r="Z109" i="3315"/>
  <c r="Z110" i="3315"/>
  <c r="Z111" i="3315"/>
  <c r="Z112" i="3315"/>
  <c r="Z113" i="3315"/>
  <c r="Z114" i="3315"/>
  <c r="Z117" i="3315"/>
  <c r="Z118" i="3315"/>
  <c r="Z119" i="3315"/>
  <c r="Z120" i="3315"/>
  <c r="Z121" i="3315"/>
  <c r="Z129" i="3315"/>
  <c r="Z130" i="3315"/>
  <c r="Z131" i="3315"/>
  <c r="Z334" i="3315"/>
  <c r="Z135" i="3315"/>
  <c r="Z464" i="3315"/>
  <c r="Z312" i="3315"/>
  <c r="Z323" i="3315"/>
  <c r="Z324" i="3315"/>
  <c r="Z325" i="3315"/>
  <c r="Z326" i="3315"/>
  <c r="Z327" i="3315"/>
  <c r="Z328" i="3315"/>
  <c r="Z329" i="3315"/>
  <c r="Z330" i="3315"/>
  <c r="D1162" i="3315"/>
  <c r="D1163" i="3315" s="1"/>
  <c r="D1165" i="3315" s="1"/>
  <c r="D1048" i="3315"/>
  <c r="D1049" i="3315" s="1"/>
  <c r="D385" i="3315"/>
  <c r="D461" i="3315"/>
  <c r="D567" i="3315"/>
  <c r="D331" i="3315"/>
  <c r="AC1162" i="3315"/>
  <c r="AC1163" i="3315" s="1"/>
  <c r="AC1091" i="3315"/>
  <c r="AC1048" i="3315"/>
  <c r="AC1049" i="3315" s="1"/>
  <c r="AC966" i="3315"/>
  <c r="AC567" i="3315"/>
  <c r="AC439" i="3315"/>
  <c r="AC385" i="3315"/>
  <c r="AC353" i="3315"/>
  <c r="AC331" i="3315"/>
  <c r="AC309" i="3315"/>
  <c r="AC132" i="3315"/>
  <c r="AC57" i="3315"/>
  <c r="Z30" i="3315"/>
  <c r="AC970" i="3315"/>
  <c r="AC16" i="3315"/>
  <c r="AC23" i="3315"/>
  <c r="AC24" i="3315"/>
  <c r="AC25" i="3315"/>
  <c r="AC5" i="3315"/>
  <c r="AC6" i="3315"/>
  <c r="AC7" i="3315"/>
  <c r="AC8" i="3315"/>
  <c r="D971" i="3315"/>
  <c r="L132" i="3315"/>
  <c r="P132" i="3315"/>
  <c r="Z26" i="3315"/>
  <c r="Z29" i="3315"/>
  <c r="P16" i="3315"/>
  <c r="P23" i="3315"/>
  <c r="P24" i="3315"/>
  <c r="P25" i="3315"/>
  <c r="P26" i="3315"/>
  <c r="P29" i="3315"/>
  <c r="P30" i="3315"/>
  <c r="P32" i="3315"/>
  <c r="P36" i="3315"/>
  <c r="L16" i="3315"/>
  <c r="L23" i="3315"/>
  <c r="L24" i="3315"/>
  <c r="L25" i="3315"/>
  <c r="L26" i="3315"/>
  <c r="L29" i="3315"/>
  <c r="M30" i="3315"/>
  <c r="L32" i="3315"/>
  <c r="L36" i="3315"/>
  <c r="I23" i="3315"/>
  <c r="I24" i="3315"/>
  <c r="I25" i="3315"/>
  <c r="I29" i="3315"/>
  <c r="I30" i="3315"/>
  <c r="I32" i="3315"/>
  <c r="I36" i="3315"/>
  <c r="P970" i="3315"/>
  <c r="Q969" i="3315"/>
  <c r="I969" i="3315"/>
  <c r="AG969" i="3315" s="1"/>
  <c r="I970" i="3315"/>
  <c r="D14" i="3315"/>
  <c r="D15" i="3315" s="1"/>
  <c r="P1091" i="3315"/>
  <c r="P1162" i="3315"/>
  <c r="P1163" i="3315" s="1"/>
  <c r="L1091" i="3315"/>
  <c r="L1162" i="3315"/>
  <c r="L1163" i="3315" s="1"/>
  <c r="AB1050" i="3315"/>
  <c r="AB1166" i="3315" s="1"/>
  <c r="AB1169" i="3315" s="1"/>
  <c r="AB1267" i="3315" s="1"/>
  <c r="AA1050" i="3315"/>
  <c r="AA1166" i="3315" s="1"/>
  <c r="AA1169" i="3315" s="1"/>
  <c r="AA1267" i="3315" s="1"/>
  <c r="P353" i="3315"/>
  <c r="P331" i="3315"/>
  <c r="P57" i="3315"/>
  <c r="P567" i="3315"/>
  <c r="P461" i="3315"/>
  <c r="P385" i="3315"/>
  <c r="P966" i="3315"/>
  <c r="P1048" i="3315"/>
  <c r="P1049" i="3315" s="1"/>
  <c r="L353" i="3315"/>
  <c r="L331" i="3315"/>
  <c r="L567" i="3315"/>
  <c r="L461" i="3315"/>
  <c r="L971" i="3315"/>
  <c r="L966" i="3315"/>
  <c r="L1048" i="3315"/>
  <c r="L1049" i="3315" s="1"/>
  <c r="H331" i="3315"/>
  <c r="H567" i="3315"/>
  <c r="H461" i="3315"/>
  <c r="H385" i="3315"/>
  <c r="H1048" i="3315"/>
  <c r="H1049" i="3315" s="1"/>
  <c r="N30" i="3315"/>
  <c r="J29" i="3315"/>
  <c r="N26" i="3315"/>
  <c r="Z25" i="3315"/>
  <c r="Z24" i="3315"/>
  <c r="Z23" i="3315"/>
  <c r="Z8" i="3315"/>
  <c r="Z6" i="3315"/>
  <c r="N16" i="3315"/>
  <c r="J867" i="3315"/>
  <c r="J861" i="3315"/>
  <c r="J856" i="3315"/>
  <c r="J834" i="3315"/>
  <c r="J773" i="3315"/>
  <c r="J753" i="3315"/>
  <c r="J752" i="3315"/>
  <c r="J670" i="3315"/>
  <c r="J634" i="3315"/>
  <c r="J633" i="3315"/>
  <c r="J632" i="3315"/>
  <c r="J631" i="3315"/>
  <c r="R867" i="3315"/>
  <c r="R861" i="3315"/>
  <c r="R773" i="3315"/>
  <c r="R753" i="3315"/>
  <c r="R752" i="3315"/>
  <c r="R670" i="3315"/>
  <c r="R634" i="3315"/>
  <c r="R633" i="3315"/>
  <c r="R632" i="3315"/>
  <c r="R631" i="3315"/>
  <c r="R464" i="3315"/>
  <c r="R455" i="3315"/>
  <c r="R330" i="3315"/>
  <c r="R131" i="3315"/>
  <c r="R130" i="3315"/>
  <c r="R105" i="3315"/>
  <c r="R856" i="3315"/>
  <c r="R834" i="3315"/>
  <c r="J455" i="3315"/>
  <c r="N867" i="3315"/>
  <c r="N861" i="3315"/>
  <c r="N856" i="3315"/>
  <c r="N834" i="3315"/>
  <c r="N773" i="3315"/>
  <c r="N753" i="3315"/>
  <c r="N752" i="3315"/>
  <c r="N670" i="3315"/>
  <c r="N634" i="3315"/>
  <c r="N633" i="3315"/>
  <c r="N632" i="3315"/>
  <c r="N631" i="3315"/>
  <c r="N464" i="3315"/>
  <c r="N455" i="3315"/>
  <c r="N330" i="3315"/>
  <c r="N131" i="3315"/>
  <c r="N130" i="3315"/>
  <c r="N105" i="3315"/>
  <c r="R8" i="3315"/>
  <c r="J7" i="3315"/>
  <c r="R6" i="3315"/>
  <c r="N25" i="3315"/>
  <c r="N24" i="3315"/>
  <c r="N23" i="3315"/>
  <c r="J8" i="3315"/>
  <c r="R7" i="3315"/>
  <c r="J6" i="3315"/>
  <c r="J464" i="3315"/>
  <c r="AD24" i="3315" l="1"/>
  <c r="AF8" i="3315"/>
  <c r="AD23" i="3315"/>
  <c r="AG29" i="3315"/>
  <c r="M36" i="3315"/>
  <c r="M26" i="3315"/>
  <c r="M16" i="3315"/>
  <c r="Q29" i="3315"/>
  <c r="Q23" i="3315"/>
  <c r="AG36" i="3315"/>
  <c r="AG25" i="3315"/>
  <c r="M25" i="3315"/>
  <c r="Q26" i="3315"/>
  <c r="AD29" i="3315"/>
  <c r="AF6" i="3315"/>
  <c r="AF7" i="3315"/>
  <c r="AD6" i="3315"/>
  <c r="AD25" i="3315"/>
  <c r="AG32" i="3315"/>
  <c r="AG24" i="3315"/>
  <c r="M24" i="3315"/>
  <c r="Q25" i="3315"/>
  <c r="AD26" i="3315"/>
  <c r="AD7" i="3315"/>
  <c r="Q36" i="3315"/>
  <c r="Q16" i="3315"/>
  <c r="AD8" i="3315"/>
  <c r="AG30" i="3315"/>
  <c r="AG23" i="3315"/>
  <c r="M29" i="3315"/>
  <c r="M23" i="3315"/>
  <c r="Q30" i="3315"/>
  <c r="Q24" i="3315"/>
  <c r="AD30" i="3315"/>
  <c r="AD5" i="3315"/>
  <c r="AC1165" i="3315"/>
  <c r="Q970" i="3315"/>
  <c r="AD970" i="3315"/>
  <c r="AG970" i="3315"/>
  <c r="AD969" i="3315"/>
  <c r="P1165" i="3315"/>
  <c r="L1165" i="3315"/>
  <c r="H1163" i="3315"/>
  <c r="AF632" i="3315"/>
  <c r="AF670" i="3315"/>
  <c r="AF856" i="3315"/>
  <c r="AD923" i="3315"/>
  <c r="AD914" i="3315"/>
  <c r="AD906" i="3315"/>
  <c r="AD898" i="3315"/>
  <c r="AD890" i="3315"/>
  <c r="AD886" i="3315"/>
  <c r="AD874" i="3315"/>
  <c r="AD866" i="3315"/>
  <c r="AD858" i="3315"/>
  <c r="AD850" i="3315"/>
  <c r="AD846" i="3315"/>
  <c r="AD833" i="3315"/>
  <c r="AD825" i="3315"/>
  <c r="AD817" i="3315"/>
  <c r="AD809" i="3315"/>
  <c r="AD801" i="3315"/>
  <c r="AD793" i="3315"/>
  <c r="AD785" i="3315"/>
  <c r="AD777" i="3315"/>
  <c r="AD769" i="3315"/>
  <c r="AD765" i="3315"/>
  <c r="AD757" i="3315"/>
  <c r="AD749" i="3315"/>
  <c r="AD741" i="3315"/>
  <c r="AD733" i="3315"/>
  <c r="AD725" i="3315"/>
  <c r="AD713" i="3315"/>
  <c r="AD705" i="3315"/>
  <c r="AD697" i="3315"/>
  <c r="AD689" i="3315"/>
  <c r="AD681" i="3315"/>
  <c r="AD673" i="3315"/>
  <c r="AD665" i="3315"/>
  <c r="AD657" i="3315"/>
  <c r="AD645" i="3315"/>
  <c r="AD641" i="3315"/>
  <c r="AD633" i="3315"/>
  <c r="AD625" i="3315"/>
  <c r="AD617" i="3315"/>
  <c r="AD609" i="3315"/>
  <c r="AD598" i="3315"/>
  <c r="AF633" i="3315"/>
  <c r="AF752" i="3315"/>
  <c r="AD921" i="3315"/>
  <c r="AD913" i="3315"/>
  <c r="AD905" i="3315"/>
  <c r="AD897" i="3315"/>
  <c r="AD889" i="3315"/>
  <c r="AD881" i="3315"/>
  <c r="AD873" i="3315"/>
  <c r="AD865" i="3315"/>
  <c r="AD861" i="3315"/>
  <c r="AD853" i="3315"/>
  <c r="AD849" i="3315"/>
  <c r="AD840" i="3315"/>
  <c r="AD832" i="3315"/>
  <c r="AD820" i="3315"/>
  <c r="AD812" i="3315"/>
  <c r="AD804" i="3315"/>
  <c r="AD796" i="3315"/>
  <c r="AD788" i="3315"/>
  <c r="AD780" i="3315"/>
  <c r="AD772" i="3315"/>
  <c r="AD764" i="3315"/>
  <c r="AD756" i="3315"/>
  <c r="AD752" i="3315"/>
  <c r="AD744" i="3315"/>
  <c r="AD736" i="3315"/>
  <c r="AD728" i="3315"/>
  <c r="AD720" i="3315"/>
  <c r="AD712" i="3315"/>
  <c r="AD708" i="3315"/>
  <c r="AD700" i="3315"/>
  <c r="AD696" i="3315"/>
  <c r="AD688" i="3315"/>
  <c r="AD684" i="3315"/>
  <c r="AD680" i="3315"/>
  <c r="AD676" i="3315"/>
  <c r="AD672" i="3315"/>
  <c r="AD668" i="3315"/>
  <c r="AD664" i="3315"/>
  <c r="AD660" i="3315"/>
  <c r="AD656" i="3315"/>
  <c r="AD652" i="3315"/>
  <c r="AD648" i="3315"/>
  <c r="AD644" i="3315"/>
  <c r="AD640" i="3315"/>
  <c r="AD636" i="3315"/>
  <c r="AD632" i="3315"/>
  <c r="AD628" i="3315"/>
  <c r="AD624" i="3315"/>
  <c r="AD620" i="3315"/>
  <c r="AD616" i="3315"/>
  <c r="AD612" i="3315"/>
  <c r="AD608" i="3315"/>
  <c r="AD601" i="3315"/>
  <c r="AD597" i="3315"/>
  <c r="AF753" i="3315"/>
  <c r="AD920" i="3315"/>
  <c r="AD916" i="3315"/>
  <c r="AD912" i="3315"/>
  <c r="AD908" i="3315"/>
  <c r="AD904" i="3315"/>
  <c r="AD900" i="3315"/>
  <c r="AD896" i="3315"/>
  <c r="AD892" i="3315"/>
  <c r="AD888" i="3315"/>
  <c r="AD884" i="3315"/>
  <c r="AD880" i="3315"/>
  <c r="AD876" i="3315"/>
  <c r="AD872" i="3315"/>
  <c r="AD868" i="3315"/>
  <c r="AD864" i="3315"/>
  <c r="AD860" i="3315"/>
  <c r="AD856" i="3315"/>
  <c r="AD852" i="3315"/>
  <c r="AD848" i="3315"/>
  <c r="AD844" i="3315"/>
  <c r="AD839" i="3315"/>
  <c r="AD835" i="3315"/>
  <c r="AD831" i="3315"/>
  <c r="AD827" i="3315"/>
  <c r="AD823" i="3315"/>
  <c r="AD819" i="3315"/>
  <c r="AD815" i="3315"/>
  <c r="AD811" i="3315"/>
  <c r="AD807" i="3315"/>
  <c r="AD803" i="3315"/>
  <c r="AD799" i="3315"/>
  <c r="AD795" i="3315"/>
  <c r="AD791" i="3315"/>
  <c r="AD787" i="3315"/>
  <c r="AD783" i="3315"/>
  <c r="AD779" i="3315"/>
  <c r="AD775" i="3315"/>
  <c r="AD771" i="3315"/>
  <c r="AD767" i="3315"/>
  <c r="AD763" i="3315"/>
  <c r="AD759" i="3315"/>
  <c r="AD755" i="3315"/>
  <c r="AD751" i="3315"/>
  <c r="AD747" i="3315"/>
  <c r="AD743" i="3315"/>
  <c r="AD739" i="3315"/>
  <c r="AD735" i="3315"/>
  <c r="AD731" i="3315"/>
  <c r="AD727" i="3315"/>
  <c r="AD723" i="3315"/>
  <c r="AD719" i="3315"/>
  <c r="AD715" i="3315"/>
  <c r="AD711" i="3315"/>
  <c r="AD707" i="3315"/>
  <c r="AD703" i="3315"/>
  <c r="AD699" i="3315"/>
  <c r="AD695" i="3315"/>
  <c r="AD691" i="3315"/>
  <c r="AD687" i="3315"/>
  <c r="AD683" i="3315"/>
  <c r="AD679" i="3315"/>
  <c r="AD675" i="3315"/>
  <c r="AD671" i="3315"/>
  <c r="AD667" i="3315"/>
  <c r="AD663" i="3315"/>
  <c r="AD659" i="3315"/>
  <c r="AD655" i="3315"/>
  <c r="AD651" i="3315"/>
  <c r="AD647" i="3315"/>
  <c r="AD643" i="3315"/>
  <c r="AD639" i="3315"/>
  <c r="AD635" i="3315"/>
  <c r="AD631" i="3315"/>
  <c r="AD627" i="3315"/>
  <c r="AD623" i="3315"/>
  <c r="AD619" i="3315"/>
  <c r="AD615" i="3315"/>
  <c r="AD611" i="3315"/>
  <c r="AD604" i="3315"/>
  <c r="AD600" i="3315"/>
  <c r="AD596" i="3315"/>
  <c r="AD922" i="3315"/>
  <c r="AF773" i="3315"/>
  <c r="AD918" i="3315"/>
  <c r="AD910" i="3315"/>
  <c r="AD902" i="3315"/>
  <c r="AD894" i="3315"/>
  <c r="AD882" i="3315"/>
  <c r="AD878" i="3315"/>
  <c r="AD870" i="3315"/>
  <c r="AD862" i="3315"/>
  <c r="AD854" i="3315"/>
  <c r="AD841" i="3315"/>
  <c r="AD837" i="3315"/>
  <c r="AD829" i="3315"/>
  <c r="AD821" i="3315"/>
  <c r="AD813" i="3315"/>
  <c r="AD805" i="3315"/>
  <c r="AD797" i="3315"/>
  <c r="AD789" i="3315"/>
  <c r="AD781" i="3315"/>
  <c r="AD773" i="3315"/>
  <c r="AD761" i="3315"/>
  <c r="AD753" i="3315"/>
  <c r="AD745" i="3315"/>
  <c r="AD737" i="3315"/>
  <c r="AD729" i="3315"/>
  <c r="AD721" i="3315"/>
  <c r="AD717" i="3315"/>
  <c r="AD709" i="3315"/>
  <c r="AD701" i="3315"/>
  <c r="AD693" i="3315"/>
  <c r="AD685" i="3315"/>
  <c r="AD677" i="3315"/>
  <c r="AD669" i="3315"/>
  <c r="AD661" i="3315"/>
  <c r="AD653" i="3315"/>
  <c r="AD649" i="3315"/>
  <c r="AD637" i="3315"/>
  <c r="AD629" i="3315"/>
  <c r="AD621" i="3315"/>
  <c r="AD613" i="3315"/>
  <c r="AD602" i="3315"/>
  <c r="AF861" i="3315"/>
  <c r="AD917" i="3315"/>
  <c r="AD909" i="3315"/>
  <c r="AD901" i="3315"/>
  <c r="AD893" i="3315"/>
  <c r="AD885" i="3315"/>
  <c r="AD877" i="3315"/>
  <c r="AD869" i="3315"/>
  <c r="AD857" i="3315"/>
  <c r="AD845" i="3315"/>
  <c r="AD836" i="3315"/>
  <c r="AD828" i="3315"/>
  <c r="AD824" i="3315"/>
  <c r="AD816" i="3315"/>
  <c r="AD808" i="3315"/>
  <c r="AD800" i="3315"/>
  <c r="AD792" i="3315"/>
  <c r="AD784" i="3315"/>
  <c r="AD776" i="3315"/>
  <c r="AD768" i="3315"/>
  <c r="AD760" i="3315"/>
  <c r="AD748" i="3315"/>
  <c r="AD740" i="3315"/>
  <c r="AD732" i="3315"/>
  <c r="AD724" i="3315"/>
  <c r="AD716" i="3315"/>
  <c r="AD704" i="3315"/>
  <c r="AD692" i="3315"/>
  <c r="AF631" i="3315"/>
  <c r="AF834" i="3315"/>
  <c r="AF867" i="3315"/>
  <c r="AD924" i="3315"/>
  <c r="AD919" i="3315"/>
  <c r="AD915" i="3315"/>
  <c r="AD911" i="3315"/>
  <c r="AD907" i="3315"/>
  <c r="AD903" i="3315"/>
  <c r="AD899" i="3315"/>
  <c r="AD895" i="3315"/>
  <c r="AD891" i="3315"/>
  <c r="AD887" i="3315"/>
  <c r="AD883" i="3315"/>
  <c r="AD879" i="3315"/>
  <c r="AD875" i="3315"/>
  <c r="AD871" i="3315"/>
  <c r="AD867" i="3315"/>
  <c r="AD863" i="3315"/>
  <c r="AD859" i="3315"/>
  <c r="AD855" i="3315"/>
  <c r="AD851" i="3315"/>
  <c r="AD847" i="3315"/>
  <c r="AD842" i="3315"/>
  <c r="AD838" i="3315"/>
  <c r="AD834" i="3315"/>
  <c r="AD830" i="3315"/>
  <c r="AD826" i="3315"/>
  <c r="AD822" i="3315"/>
  <c r="AD818" i="3315"/>
  <c r="AD814" i="3315"/>
  <c r="AD810" i="3315"/>
  <c r="AD806" i="3315"/>
  <c r="AD802" i="3315"/>
  <c r="AD798" i="3315"/>
  <c r="AD794" i="3315"/>
  <c r="AD790" i="3315"/>
  <c r="AD786" i="3315"/>
  <c r="AD782" i="3315"/>
  <c r="AD778" i="3315"/>
  <c r="AD774" i="3315"/>
  <c r="AD770" i="3315"/>
  <c r="AD766" i="3315"/>
  <c r="AD762" i="3315"/>
  <c r="AD758" i="3315"/>
  <c r="AD754" i="3315"/>
  <c r="AD750" i="3315"/>
  <c r="AD746" i="3315"/>
  <c r="AD742" i="3315"/>
  <c r="AD738" i="3315"/>
  <c r="AD734" i="3315"/>
  <c r="AD730" i="3315"/>
  <c r="AD726" i="3315"/>
  <c r="AD722" i="3315"/>
  <c r="AD718" i="3315"/>
  <c r="AD714" i="3315"/>
  <c r="AD710" i="3315"/>
  <c r="AD706" i="3315"/>
  <c r="AD702" i="3315"/>
  <c r="AD698" i="3315"/>
  <c r="AD694" i="3315"/>
  <c r="AD690" i="3315"/>
  <c r="AD686" i="3315"/>
  <c r="AD682" i="3315"/>
  <c r="AD678" i="3315"/>
  <c r="AD674" i="3315"/>
  <c r="AD670" i="3315"/>
  <c r="AD666" i="3315"/>
  <c r="AD662" i="3315"/>
  <c r="AD658" i="3315"/>
  <c r="AD654" i="3315"/>
  <c r="AD650" i="3315"/>
  <c r="AD646" i="3315"/>
  <c r="AD642" i="3315"/>
  <c r="AD638" i="3315"/>
  <c r="AD634" i="3315"/>
  <c r="AD630" i="3315"/>
  <c r="AD626" i="3315"/>
  <c r="AD622" i="3315"/>
  <c r="AD618" i="3315"/>
  <c r="AD614" i="3315"/>
  <c r="AD610" i="3315"/>
  <c r="AD603" i="3315"/>
  <c r="AD599" i="3315"/>
  <c r="AD843" i="3315"/>
  <c r="AD464" i="3315"/>
  <c r="AF464" i="3315"/>
  <c r="AD459" i="3315"/>
  <c r="AD451" i="3315"/>
  <c r="AD443" i="3315"/>
  <c r="AD458" i="3315"/>
  <c r="AD450" i="3315"/>
  <c r="AD442" i="3315"/>
  <c r="AD457" i="3315"/>
  <c r="AD453" i="3315"/>
  <c r="AD449" i="3315"/>
  <c r="AD445" i="3315"/>
  <c r="AF455" i="3315"/>
  <c r="AD455" i="3315"/>
  <c r="AD447" i="3315"/>
  <c r="AD454" i="3315"/>
  <c r="AD446" i="3315"/>
  <c r="AD460" i="3315"/>
  <c r="AD456" i="3315"/>
  <c r="AD452" i="3315"/>
  <c r="AD448" i="3315"/>
  <c r="AD444" i="3315"/>
  <c r="AD383" i="3315"/>
  <c r="AD379" i="3315"/>
  <c r="AD375" i="3315"/>
  <c r="AD356" i="3315"/>
  <c r="AD382" i="3315"/>
  <c r="AD378" i="3315"/>
  <c r="AD374" i="3315"/>
  <c r="AD381" i="3315"/>
  <c r="AD377" i="3315"/>
  <c r="AD373" i="3315"/>
  <c r="AD384" i="3315"/>
  <c r="AD380" i="3315"/>
  <c r="AD376" i="3315"/>
  <c r="AD372" i="3315"/>
  <c r="AD328" i="3315"/>
  <c r="AD323" i="3315"/>
  <c r="AD329" i="3315"/>
  <c r="AD325" i="3315"/>
  <c r="AD324" i="3315"/>
  <c r="AD327" i="3315"/>
  <c r="AD330" i="3315"/>
  <c r="AD326" i="3315"/>
  <c r="AD312" i="3315"/>
  <c r="AD334" i="3315"/>
  <c r="AD135" i="3315"/>
  <c r="AD118" i="3315"/>
  <c r="AD104" i="3315"/>
  <c r="AD87" i="3315"/>
  <c r="AD61" i="3315"/>
  <c r="AD117" i="3315"/>
  <c r="AD107" i="3315"/>
  <c r="AD90" i="3315"/>
  <c r="AD64" i="3315"/>
  <c r="AD130" i="3315"/>
  <c r="AD119" i="3315"/>
  <c r="AD113" i="3315"/>
  <c r="AD109" i="3315"/>
  <c r="AD105" i="3315"/>
  <c r="AD92" i="3315"/>
  <c r="AD88" i="3315"/>
  <c r="AD84" i="3315"/>
  <c r="AD62" i="3315"/>
  <c r="AD129" i="3315"/>
  <c r="AD112" i="3315"/>
  <c r="AD108" i="3315"/>
  <c r="AD91" i="3315"/>
  <c r="AD83" i="3315"/>
  <c r="AD121" i="3315"/>
  <c r="AD111" i="3315"/>
  <c r="AD94" i="3315"/>
  <c r="AD86" i="3315"/>
  <c r="AD60" i="3315"/>
  <c r="AF130" i="3315"/>
  <c r="AD131" i="3315"/>
  <c r="AD120" i="3315"/>
  <c r="AD114" i="3315"/>
  <c r="AD110" i="3315"/>
  <c r="AD106" i="3315"/>
  <c r="AD93" i="3315"/>
  <c r="AD89" i="3315"/>
  <c r="AD85" i="3315"/>
  <c r="AD63" i="3315"/>
  <c r="AD43" i="3315"/>
  <c r="AD1160" i="3315"/>
  <c r="AD1159" i="3315"/>
  <c r="H1164" i="3315"/>
  <c r="AD1161" i="3315"/>
  <c r="AD1088" i="3315"/>
  <c r="AD1084" i="3315"/>
  <c r="AD1080" i="3315"/>
  <c r="AD1076" i="3315"/>
  <c r="AD1072" i="3315"/>
  <c r="AD1068" i="3315"/>
  <c r="AD1064" i="3315"/>
  <c r="AD1060" i="3315"/>
  <c r="AD1056" i="3315"/>
  <c r="AD1083" i="3315"/>
  <c r="AD1079" i="3315"/>
  <c r="AD1071" i="3315"/>
  <c r="AD1063" i="3315"/>
  <c r="AD1055" i="3315"/>
  <c r="AD1090" i="3315"/>
  <c r="AD1086" i="3315"/>
  <c r="AD1082" i="3315"/>
  <c r="AD1078" i="3315"/>
  <c r="AD1074" i="3315"/>
  <c r="AD1070" i="3315"/>
  <c r="AD1066" i="3315"/>
  <c r="AD1062" i="3315"/>
  <c r="AD1058" i="3315"/>
  <c r="AD1054" i="3315"/>
  <c r="AD1087" i="3315"/>
  <c r="AD1075" i="3315"/>
  <c r="AD1067" i="3315"/>
  <c r="AD1059" i="3315"/>
  <c r="AD1089" i="3315"/>
  <c r="AD1085" i="3315"/>
  <c r="AD1081" i="3315"/>
  <c r="AD1077" i="3315"/>
  <c r="AD1073" i="3315"/>
  <c r="AD1069" i="3315"/>
  <c r="AD1065" i="3315"/>
  <c r="AD1061" i="3315"/>
  <c r="AD1057" i="3315"/>
  <c r="AD1053" i="3315"/>
  <c r="AD1158" i="3315"/>
  <c r="AC39" i="3315"/>
  <c r="W32" i="3315"/>
  <c r="Q32" i="3315"/>
  <c r="P39" i="3315"/>
  <c r="M32" i="3315"/>
  <c r="L39" i="3315"/>
  <c r="P1164" i="3315"/>
  <c r="L1164" i="3315"/>
  <c r="AC1164" i="3315"/>
  <c r="D1164" i="3315"/>
  <c r="U130" i="3315"/>
  <c r="D973" i="3315"/>
  <c r="L973" i="3315"/>
  <c r="AF29" i="3315"/>
  <c r="AF970" i="3315"/>
  <c r="U634" i="3315"/>
  <c r="AF634" i="3315"/>
  <c r="AF969" i="3315"/>
  <c r="AC590" i="3315"/>
  <c r="D590" i="3315"/>
  <c r="P590" i="3315"/>
  <c r="H590" i="3315"/>
  <c r="L590" i="3315"/>
  <c r="Z966" i="3315"/>
  <c r="J971" i="3315"/>
  <c r="U455" i="3315"/>
  <c r="U632" i="3315"/>
  <c r="U670" i="3315"/>
  <c r="U752" i="3315"/>
  <c r="Z971" i="3315"/>
  <c r="L14" i="3315"/>
  <c r="I971" i="3315"/>
  <c r="P14" i="3315"/>
  <c r="R971" i="3315"/>
  <c r="P971" i="3315"/>
  <c r="Z567" i="3315"/>
  <c r="AD567" i="3315" s="1"/>
  <c r="AC971" i="3315"/>
  <c r="R29" i="3315"/>
  <c r="H971" i="3315"/>
  <c r="Z461" i="3315"/>
  <c r="AD461" i="3315" s="1"/>
  <c r="AD439" i="3315"/>
  <c r="Z57" i="3315"/>
  <c r="Z385" i="3315"/>
  <c r="AD385" i="3315" s="1"/>
  <c r="Z1091" i="3315"/>
  <c r="Z1162" i="3315"/>
  <c r="J330" i="3315"/>
  <c r="Z309" i="3315"/>
  <c r="Z353" i="3315"/>
  <c r="Z132" i="3315"/>
  <c r="Z331" i="3315"/>
  <c r="AD331" i="3315" s="1"/>
  <c r="R26" i="3315"/>
  <c r="W632" i="3315"/>
  <c r="R23" i="3315"/>
  <c r="R25" i="3315"/>
  <c r="R24" i="3315"/>
  <c r="J16" i="3315"/>
  <c r="W7" i="3315"/>
  <c r="W330" i="3315"/>
  <c r="W455" i="3315"/>
  <c r="W752" i="3315"/>
  <c r="R16" i="3315"/>
  <c r="N14" i="3315"/>
  <c r="AC14" i="3315"/>
  <c r="N32" i="3315"/>
  <c r="J32" i="3315"/>
  <c r="R30" i="3315"/>
  <c r="J30" i="3315"/>
  <c r="J24" i="3315"/>
  <c r="Z1048" i="3315"/>
  <c r="AD976" i="3315"/>
  <c r="J105" i="3315"/>
  <c r="J131" i="3315"/>
  <c r="Z36" i="3315"/>
  <c r="N36" i="3315"/>
  <c r="J36" i="3315"/>
  <c r="Z32" i="3315"/>
  <c r="J25" i="3315"/>
  <c r="J23" i="3315"/>
  <c r="Z16" i="3315"/>
  <c r="U6" i="3315"/>
  <c r="U969" i="3315"/>
  <c r="AD36" i="3315" l="1"/>
  <c r="M39" i="3315"/>
  <c r="AF16" i="3315"/>
  <c r="AD16" i="3315"/>
  <c r="Q39" i="3315"/>
  <c r="AC1167" i="3315"/>
  <c r="Q971" i="3315"/>
  <c r="AD971" i="3315"/>
  <c r="AG971" i="3315"/>
  <c r="H973" i="3315"/>
  <c r="H1165" i="3315"/>
  <c r="D1167" i="3315"/>
  <c r="P973" i="3315"/>
  <c r="P1050" i="3315" s="1"/>
  <c r="P1167" i="3315"/>
  <c r="L1167" i="3315"/>
  <c r="Z1163" i="3315"/>
  <c r="Z1165" i="3315" s="1"/>
  <c r="Z1049" i="3315"/>
  <c r="AD966" i="3315"/>
  <c r="AF330" i="3315"/>
  <c r="AD309" i="3315"/>
  <c r="AF131" i="3315"/>
  <c r="AD132" i="3315"/>
  <c r="AF105" i="3315"/>
  <c r="AD57" i="3315"/>
  <c r="AD1091" i="3315"/>
  <c r="R39" i="3315"/>
  <c r="V32" i="3315"/>
  <c r="N39" i="3315"/>
  <c r="AD32" i="3315"/>
  <c r="Z39" i="3315"/>
  <c r="L1050" i="3315"/>
  <c r="D1050" i="3315"/>
  <c r="AD1048" i="3315"/>
  <c r="AD1049" i="3315" s="1"/>
  <c r="AD1162" i="3315"/>
  <c r="AD1163" i="3315" s="1"/>
  <c r="Z1164" i="3315"/>
  <c r="Z973" i="3315"/>
  <c r="AC973" i="3315"/>
  <c r="AC1050" i="3315" s="1"/>
  <c r="AC1166" i="3315" s="1"/>
  <c r="AC1169" i="3315" s="1"/>
  <c r="AC1267" i="3315" s="1"/>
  <c r="AF23" i="3315"/>
  <c r="AF25" i="3315"/>
  <c r="AF36" i="3315"/>
  <c r="AF30" i="3315"/>
  <c r="AF971" i="3315"/>
  <c r="AF24" i="3315"/>
  <c r="AF32" i="3315"/>
  <c r="Z590" i="3315"/>
  <c r="U131" i="3315"/>
  <c r="U330" i="3315"/>
  <c r="U32" i="3315"/>
  <c r="AD353" i="3315"/>
  <c r="AD14" i="3315"/>
  <c r="R14" i="3315"/>
  <c r="Z14" i="3315"/>
  <c r="W670" i="3315"/>
  <c r="U970" i="3315"/>
  <c r="W969" i="3315"/>
  <c r="W5" i="3315"/>
  <c r="W6" i="3315"/>
  <c r="W970" i="3315"/>
  <c r="W8" i="3315"/>
  <c r="U105" i="3315"/>
  <c r="U7" i="3315"/>
  <c r="U8" i="3315"/>
  <c r="U5" i="3315"/>
  <c r="AD39" i="3315" l="1"/>
  <c r="AD973" i="3315"/>
  <c r="AD1165" i="3315"/>
  <c r="Z1167" i="3315"/>
  <c r="AD1164" i="3315"/>
  <c r="D1166" i="3315"/>
  <c r="L1166" i="3315"/>
  <c r="L1169" i="3315" s="1"/>
  <c r="P1166" i="3315"/>
  <c r="X32" i="3315"/>
  <c r="Z1050" i="3315"/>
  <c r="AD590" i="3315"/>
  <c r="U971" i="3315"/>
  <c r="W971" i="3315"/>
  <c r="AD1050" i="3315" l="1"/>
  <c r="AD1166" i="3315" s="1"/>
  <c r="AD1169" i="3315" s="1"/>
  <c r="AD1267" i="3315" s="1"/>
  <c r="H1167" i="3315"/>
  <c r="AD1167" i="3315"/>
  <c r="D1169" i="3315"/>
  <c r="Z1166" i="3315"/>
  <c r="P1169" i="3315"/>
  <c r="L1267" i="3315"/>
  <c r="AE32" i="3315"/>
  <c r="W130" i="3315"/>
  <c r="W634" i="3315"/>
  <c r="W131" i="3315"/>
  <c r="W105" i="3315"/>
  <c r="V455" i="3315"/>
  <c r="X455" i="3315" s="1"/>
  <c r="V670" i="3315"/>
  <c r="X670" i="3315" s="1"/>
  <c r="V632" i="3315"/>
  <c r="X632" i="3315" s="1"/>
  <c r="V752" i="3315"/>
  <c r="X752" i="3315" s="1"/>
  <c r="AE455" i="3315" l="1"/>
  <c r="AE632" i="3315"/>
  <c r="AE752" i="3315"/>
  <c r="AE670" i="3315"/>
  <c r="Z1169" i="3315"/>
  <c r="U773" i="3315"/>
  <c r="U753" i="3315"/>
  <c r="U834" i="3315"/>
  <c r="U633" i="3315"/>
  <c r="U861" i="3315"/>
  <c r="U856" i="3315"/>
  <c r="U631" i="3315"/>
  <c r="U867" i="3315"/>
  <c r="U16" i="3315"/>
  <c r="U24" i="3315"/>
  <c r="U23" i="3315"/>
  <c r="U36" i="3315"/>
  <c r="U25" i="3315"/>
  <c r="Z1267" i="3315" l="1"/>
  <c r="V970" i="3315"/>
  <c r="X970" i="3315" s="1"/>
  <c r="V6" i="3315"/>
  <c r="X6" i="3315" s="1"/>
  <c r="V8" i="3315"/>
  <c r="X8" i="3315" s="1"/>
  <c r="V969" i="3315"/>
  <c r="X969" i="3315" s="1"/>
  <c r="V7" i="3315"/>
  <c r="X7" i="3315" s="1"/>
  <c r="V5" i="3315"/>
  <c r="X5" i="3315" s="1"/>
  <c r="V330" i="3315"/>
  <c r="X330" i="3315" s="1"/>
  <c r="AE330" i="3315" l="1"/>
  <c r="AE5" i="3315"/>
  <c r="AE7" i="3315"/>
  <c r="AE970" i="3315"/>
  <c r="AE8" i="3315"/>
  <c r="AE6" i="3315"/>
  <c r="W36" i="3315"/>
  <c r="W16" i="3315"/>
  <c r="W25" i="3315"/>
  <c r="W24" i="3315"/>
  <c r="W633" i="3315"/>
  <c r="W856" i="3315"/>
  <c r="W23" i="3315"/>
  <c r="W834" i="3315"/>
  <c r="W753" i="3315"/>
  <c r="W773" i="3315"/>
  <c r="W631" i="3315"/>
  <c r="W867" i="3315"/>
  <c r="W861" i="3315"/>
  <c r="AE969" i="3315"/>
  <c r="X971" i="3315"/>
  <c r="V971" i="3315"/>
  <c r="V634" i="3315" l="1"/>
  <c r="X634" i="3315" s="1"/>
  <c r="V130" i="3315"/>
  <c r="X130" i="3315" s="1"/>
  <c r="V131" i="3315"/>
  <c r="X131" i="3315" s="1"/>
  <c r="AE971" i="3315"/>
  <c r="AE131" i="3315" l="1"/>
  <c r="AE130" i="3315"/>
  <c r="AE634" i="3315"/>
  <c r="U29" i="3315"/>
  <c r="U30" i="3315"/>
  <c r="W14" i="3315" l="1"/>
  <c r="V105" i="3315"/>
  <c r="X105" i="3315" s="1"/>
  <c r="AE105" i="3315" l="1"/>
  <c r="V773" i="3315"/>
  <c r="X773" i="3315" s="1"/>
  <c r="V631" i="3315"/>
  <c r="X631" i="3315" s="1"/>
  <c r="V867" i="3315"/>
  <c r="X867" i="3315" s="1"/>
  <c r="V24" i="3315"/>
  <c r="X24" i="3315" s="1"/>
  <c r="V633" i="3315"/>
  <c r="X633" i="3315" s="1"/>
  <c r="V861" i="3315"/>
  <c r="X861" i="3315" s="1"/>
  <c r="V16" i="3315"/>
  <c r="V856" i="3315"/>
  <c r="X856" i="3315" s="1"/>
  <c r="V23" i="3315"/>
  <c r="X23" i="3315" s="1"/>
  <c r="V834" i="3315"/>
  <c r="X834" i="3315" s="1"/>
  <c r="V25" i="3315"/>
  <c r="X25" i="3315" s="1"/>
  <c r="V753" i="3315"/>
  <c r="X753" i="3315" s="1"/>
  <c r="V36" i="3315"/>
  <c r="X36" i="3315" s="1"/>
  <c r="AE834" i="3315" l="1"/>
  <c r="AE861" i="3315"/>
  <c r="AE631" i="3315"/>
  <c r="AE36" i="3315"/>
  <c r="AE23" i="3315"/>
  <c r="AE633" i="3315"/>
  <c r="AE773" i="3315"/>
  <c r="AE753" i="3315"/>
  <c r="AE856" i="3315"/>
  <c r="AE24" i="3315"/>
  <c r="AE25" i="3315"/>
  <c r="AE867" i="3315"/>
  <c r="X16" i="3315"/>
  <c r="AE16" i="3315" l="1"/>
  <c r="W26" i="3315"/>
  <c r="W29" i="3315"/>
  <c r="W30" i="3315"/>
  <c r="W39" i="3315" l="1"/>
  <c r="U464" i="3315"/>
  <c r="V14" i="3315" l="1"/>
  <c r="V26" i="3315" l="1"/>
  <c r="V29" i="3315"/>
  <c r="X29" i="3315" s="1"/>
  <c r="V30" i="3315"/>
  <c r="X30" i="3315" s="1"/>
  <c r="AE30" i="3315" l="1"/>
  <c r="AE29" i="3315"/>
  <c r="V39" i="3315"/>
  <c r="W464" i="3315" l="1"/>
  <c r="V464" i="3315" l="1"/>
  <c r="X464" i="3315" l="1"/>
  <c r="AE464" i="3315" l="1"/>
  <c r="I13" i="3315" l="1"/>
  <c r="AG13" i="3315" s="1"/>
  <c r="H14" i="3315"/>
  <c r="H15" i="3315" s="1"/>
  <c r="E13" i="3315"/>
  <c r="J13" i="3315" l="1"/>
  <c r="J14" i="3315" s="1"/>
  <c r="E15" i="3315"/>
  <c r="I14" i="3315"/>
  <c r="I15" i="3315" s="1"/>
  <c r="AF13" i="3315" l="1"/>
  <c r="U13" i="3315"/>
  <c r="AF14" i="3315"/>
  <c r="AG14" i="3315"/>
  <c r="X13" i="3315" l="1"/>
  <c r="U14" i="3315"/>
  <c r="AE13" i="3315" l="1"/>
  <c r="X14" i="3315"/>
  <c r="H1050" i="3315"/>
  <c r="J26" i="3315"/>
  <c r="AE14" i="3315" l="1"/>
  <c r="H1166" i="3315"/>
  <c r="H1169" i="3315" s="1"/>
  <c r="AF26" i="3315"/>
  <c r="J39" i="3315"/>
  <c r="U26" i="3315"/>
  <c r="I26" i="3315"/>
  <c r="AG26" i="3315" l="1"/>
  <c r="AG39" i="3315" s="1"/>
  <c r="H1267" i="3315"/>
  <c r="AF39" i="3315"/>
  <c r="X26" i="3315"/>
  <c r="U39" i="3315"/>
  <c r="I39" i="3315"/>
  <c r="AE26" i="3315" l="1"/>
  <c r="X39" i="3315"/>
  <c r="AE39" i="3315" l="1"/>
  <c r="I43" i="3315" l="1"/>
  <c r="I450" i="3315"/>
  <c r="I82" i="3315"/>
  <c r="I1206" i="3315"/>
  <c r="I894" i="3315"/>
  <c r="I723" i="3315"/>
  <c r="I1186" i="3315"/>
  <c r="I447" i="3315"/>
  <c r="I680" i="3315"/>
  <c r="I1224" i="3315"/>
  <c r="I747" i="3315"/>
  <c r="I86" i="3315"/>
  <c r="I1227" i="3315"/>
  <c r="I1021" i="3315"/>
  <c r="I1000" i="3315"/>
  <c r="I626" i="3315"/>
  <c r="I721" i="3315"/>
  <c r="I806" i="3315"/>
  <c r="I882" i="3315"/>
  <c r="I584" i="3315"/>
  <c r="I557" i="3315"/>
  <c r="I357" i="3315"/>
  <c r="I153" i="3315"/>
  <c r="I217" i="3315"/>
  <c r="I281" i="3315"/>
  <c r="I50" i="3315"/>
  <c r="I743" i="3315"/>
  <c r="I933" i="3315"/>
  <c r="I376" i="3315"/>
  <c r="I986" i="3315"/>
  <c r="I615" i="3315"/>
  <c r="I714" i="3315"/>
  <c r="I799" i="3315"/>
  <c r="I875" i="3315"/>
  <c r="I581" i="3315"/>
  <c r="I554" i="3315"/>
  <c r="I436" i="3315"/>
  <c r="I150" i="3315"/>
  <c r="I214" i="3315"/>
  <c r="I278" i="3315"/>
  <c r="I51" i="3315"/>
  <c r="I665" i="3315"/>
  <c r="I881" i="3315"/>
  <c r="I430" i="3315"/>
  <c r="I236" i="3315"/>
  <c r="I604" i="3315"/>
  <c r="I703" i="3315"/>
  <c r="I784" i="3315"/>
  <c r="I863" i="3315"/>
  <c r="I944" i="3315"/>
  <c r="I543" i="3315"/>
  <c r="I429" i="3315"/>
  <c r="I147" i="3315"/>
  <c r="I211" i="3315"/>
  <c r="I275" i="3315"/>
  <c r="I118" i="3315"/>
  <c r="I885" i="3315"/>
  <c r="I184" i="3315"/>
  <c r="I264" i="3315"/>
  <c r="I312" i="3315"/>
  <c r="I1182" i="3315"/>
  <c r="I904" i="3315"/>
  <c r="I696" i="3315"/>
  <c r="I901" i="3315"/>
  <c r="I149" i="3315"/>
  <c r="I735" i="3315"/>
  <c r="I611" i="3315"/>
  <c r="I923" i="3315"/>
  <c r="I162" i="3315"/>
  <c r="I1011" i="3315"/>
  <c r="I1006" i="3315"/>
  <c r="I876" i="3315"/>
  <c r="I143" i="3315"/>
  <c r="I617" i="3315"/>
  <c r="I451" i="3315"/>
  <c r="I681" i="3315"/>
  <c r="I1225" i="3315"/>
  <c r="I726" i="3315"/>
  <c r="I94" i="3315"/>
  <c r="I1213" i="3315"/>
  <c r="I314" i="3315"/>
  <c r="I745" i="3315"/>
  <c r="I1240" i="3315"/>
  <c r="I892" i="3315"/>
  <c r="I845" i="3315"/>
  <c r="I1244" i="3315"/>
  <c r="I1017" i="3315"/>
  <c r="I1035" i="3315"/>
  <c r="I650" i="3315"/>
  <c r="I761" i="3315"/>
  <c r="I826" i="3315"/>
  <c r="I918" i="3315"/>
  <c r="I492" i="3315"/>
  <c r="I392" i="3315"/>
  <c r="I377" i="3315"/>
  <c r="I173" i="3315"/>
  <c r="I237" i="3315"/>
  <c r="I301" i="3315"/>
  <c r="I1046" i="3315"/>
  <c r="I801" i="3315"/>
  <c r="I475" i="3315"/>
  <c r="I156" i="3315"/>
  <c r="I1009" i="3315"/>
  <c r="I639" i="3315"/>
  <c r="I754" i="3315"/>
  <c r="I819" i="3315"/>
  <c r="I915" i="3315"/>
  <c r="I489" i="3315"/>
  <c r="I460" i="3315"/>
  <c r="I374" i="3315"/>
  <c r="I170" i="3315"/>
  <c r="I234" i="3315"/>
  <c r="I298" i="3315"/>
  <c r="I999" i="3315"/>
  <c r="I760" i="3315"/>
  <c r="I945" i="3315"/>
  <c r="I323" i="3315"/>
  <c r="I998" i="3315"/>
  <c r="I624" i="3315"/>
  <c r="I730" i="3315"/>
  <c r="I804" i="3315"/>
  <c r="I884" i="3315"/>
  <c r="I470" i="3315"/>
  <c r="I443" i="3315"/>
  <c r="I367" i="3315"/>
  <c r="I167" i="3315"/>
  <c r="I231" i="3315"/>
  <c r="I295" i="3315"/>
  <c r="I1007" i="3315"/>
  <c r="I522" i="3315"/>
  <c r="I292" i="3315"/>
  <c r="I45" i="3315"/>
  <c r="I356" i="3315"/>
  <c r="I1226" i="3315"/>
  <c r="I677" i="3315"/>
  <c r="I453" i="3315"/>
  <c r="I125" i="3315"/>
  <c r="I95" i="3315"/>
  <c r="I996" i="3315"/>
  <c r="I717" i="3315"/>
  <c r="I878" i="3315"/>
  <c r="I454" i="3315"/>
  <c r="I165" i="3315"/>
  <c r="I293" i="3315"/>
  <c r="I781" i="3315"/>
  <c r="I327" i="3315"/>
  <c r="I647" i="3315"/>
  <c r="I844" i="3315"/>
  <c r="I550" i="3315"/>
  <c r="I146" i="3315"/>
  <c r="I306" i="3315"/>
  <c r="I817" i="3315"/>
  <c r="I192" i="3315"/>
  <c r="I652" i="3315"/>
  <c r="I858" i="3315"/>
  <c r="I555" i="3315"/>
  <c r="I175" i="3315"/>
  <c r="I114" i="3315"/>
  <c r="I164" i="3315"/>
  <c r="I104" i="3315"/>
  <c r="I1210" i="3315"/>
  <c r="I979" i="3315"/>
  <c r="I683" i="3315"/>
  <c r="I1187" i="3315"/>
  <c r="I123" i="3315"/>
  <c r="I93" i="3315"/>
  <c r="I724" i="3315"/>
  <c r="I902" i="3315"/>
  <c r="I750" i="3315"/>
  <c r="I907" i="3315"/>
  <c r="I905" i="3315"/>
  <c r="I1029" i="3315"/>
  <c r="I1039" i="3315"/>
  <c r="I654" i="3315"/>
  <c r="I765" i="3315"/>
  <c r="I830" i="3315"/>
  <c r="I922" i="3315"/>
  <c r="I496" i="3315"/>
  <c r="I399" i="3315"/>
  <c r="I381" i="3315"/>
  <c r="I177" i="3315"/>
  <c r="I241" i="3315"/>
  <c r="I305" i="3315"/>
  <c r="I605" i="3315"/>
  <c r="I813" i="3315"/>
  <c r="I495" i="3315"/>
  <c r="I168" i="3315"/>
  <c r="I1013" i="3315"/>
  <c r="I643" i="3315"/>
  <c r="I758" i="3315"/>
  <c r="I823" i="3315"/>
  <c r="I919" i="3315"/>
  <c r="I493" i="3315"/>
  <c r="I396" i="3315"/>
  <c r="I378" i="3315"/>
  <c r="I174" i="3315"/>
  <c r="I238" i="3315"/>
  <c r="I302" i="3315"/>
  <c r="I1003" i="3315"/>
  <c r="I768" i="3315"/>
  <c r="I487" i="3315"/>
  <c r="I144" i="3315"/>
  <c r="I1002" i="3315"/>
  <c r="I628" i="3315"/>
  <c r="I734" i="3315"/>
  <c r="I808" i="3315"/>
  <c r="I895" i="3315"/>
  <c r="I474" i="3315"/>
  <c r="I457" i="3315"/>
  <c r="I371" i="3315"/>
  <c r="I171" i="3315"/>
  <c r="I235" i="3315"/>
  <c r="I299" i="3315"/>
  <c r="I597" i="3315"/>
  <c r="I544" i="3315"/>
  <c r="I61" i="3315"/>
  <c r="I284" i="3315"/>
  <c r="I594" i="3315"/>
  <c r="I98" i="3315"/>
  <c r="I688" i="3315"/>
  <c r="I1180" i="3315"/>
  <c r="I120" i="3315"/>
  <c r="I1012" i="3315"/>
  <c r="I860" i="3315"/>
  <c r="I337" i="3315"/>
  <c r="I613" i="3315"/>
  <c r="I1032" i="3315"/>
  <c r="I871" i="3315"/>
  <c r="I321" i="3315"/>
  <c r="I988" i="3315"/>
  <c r="I228" i="3315"/>
  <c r="I828" i="3315"/>
  <c r="I375" i="3315"/>
  <c r="I74" i="3315"/>
  <c r="I252" i="3315"/>
  <c r="I313" i="3315"/>
  <c r="I891" i="3315"/>
  <c r="I910" i="3315"/>
  <c r="I576" i="3315"/>
  <c r="I728" i="3315"/>
  <c r="I995" i="3315"/>
  <c r="I579" i="3315"/>
  <c r="I689" i="3315"/>
  <c r="I1233" i="3315"/>
  <c r="I848" i="3315"/>
  <c r="I1212" i="3315"/>
  <c r="I316" i="3315"/>
  <c r="I1028" i="3315"/>
  <c r="I1031" i="3315"/>
  <c r="I646" i="3315"/>
  <c r="I757" i="3315"/>
  <c r="I822" i="3315"/>
  <c r="I914" i="3315"/>
  <c r="I488" i="3315"/>
  <c r="I459" i="3315"/>
  <c r="I373" i="3315"/>
  <c r="I169" i="3315"/>
  <c r="I233" i="3315"/>
  <c r="I297" i="3315"/>
  <c r="I1038" i="3315"/>
  <c r="I793" i="3315"/>
  <c r="I471" i="3315"/>
  <c r="I148" i="3315"/>
  <c r="I1005" i="3315"/>
  <c r="I635" i="3315"/>
  <c r="I741" i="3315"/>
  <c r="I815" i="3315"/>
  <c r="I911" i="3315"/>
  <c r="I477" i="3315"/>
  <c r="I456" i="3315"/>
  <c r="I370" i="3315"/>
  <c r="I166" i="3315"/>
  <c r="I230" i="3315"/>
  <c r="I294" i="3315"/>
  <c r="I993" i="3315"/>
  <c r="I739" i="3315"/>
  <c r="I937" i="3315"/>
  <c r="I347" i="3315"/>
  <c r="I991" i="3315"/>
  <c r="I620" i="3315"/>
  <c r="I719" i="3315"/>
  <c r="I800" i="3315"/>
  <c r="I880" i="3315"/>
  <c r="I466" i="3315"/>
  <c r="I560" i="3315"/>
  <c r="I363" i="3315"/>
  <c r="I163" i="3315"/>
  <c r="I227" i="3315"/>
  <c r="I291" i="3315"/>
  <c r="I56" i="3315"/>
  <c r="I491" i="3315"/>
  <c r="I276" i="3315"/>
  <c r="I107" i="3315"/>
  <c r="I676" i="3315"/>
  <c r="I690" i="3315"/>
  <c r="I852" i="3315"/>
  <c r="I100" i="3315"/>
  <c r="I642" i="3315"/>
  <c r="I580" i="3315"/>
  <c r="I213" i="3315"/>
  <c r="I921" i="3315"/>
  <c r="I663" i="3315"/>
  <c r="I497" i="3315"/>
  <c r="I210" i="3315"/>
  <c r="I777" i="3315"/>
  <c r="I636" i="3315"/>
  <c r="I582" i="3315"/>
  <c r="I191" i="3315"/>
  <c r="I444" i="3315"/>
  <c r="I748" i="3315"/>
  <c r="I1183" i="3315"/>
  <c r="I119" i="3315"/>
  <c r="I727" i="3315"/>
  <c r="I853" i="3315"/>
  <c r="I122" i="3315"/>
  <c r="I448" i="3315"/>
  <c r="I673" i="3315"/>
  <c r="I1181" i="3315"/>
  <c r="I102" i="3315"/>
  <c r="I1221" i="3315"/>
  <c r="I888" i="3315"/>
  <c r="I1026" i="3315"/>
  <c r="I598" i="3315"/>
  <c r="I666" i="3315"/>
  <c r="I778" i="3315"/>
  <c r="I843" i="3315"/>
  <c r="I934" i="3315"/>
  <c r="I527" i="3315"/>
  <c r="I411" i="3315"/>
  <c r="I349" i="3315"/>
  <c r="I189" i="3315"/>
  <c r="I253" i="3315"/>
  <c r="I76" i="3315"/>
  <c r="I637" i="3315"/>
  <c r="I838" i="3315"/>
  <c r="I548" i="3315"/>
  <c r="I196" i="3315"/>
  <c r="I1040" i="3315"/>
  <c r="I655" i="3315"/>
  <c r="I770" i="3315"/>
  <c r="I836" i="3315"/>
  <c r="I931" i="3315"/>
  <c r="I524" i="3315"/>
  <c r="I408" i="3315"/>
  <c r="I345" i="3315"/>
  <c r="I186" i="3315"/>
  <c r="I250" i="3315"/>
  <c r="I73" i="3315"/>
  <c r="I1042" i="3315"/>
  <c r="I797" i="3315"/>
  <c r="I540" i="3315"/>
  <c r="I172" i="3315"/>
  <c r="I1014" i="3315"/>
  <c r="I644" i="3315"/>
  <c r="I755" i="3315"/>
  <c r="I820" i="3315"/>
  <c r="I916" i="3315"/>
  <c r="I494" i="3315"/>
  <c r="I401" i="3315"/>
  <c r="I383" i="3315"/>
  <c r="I183" i="3315"/>
  <c r="I247" i="3315"/>
  <c r="I64" i="3315"/>
  <c r="I653" i="3315"/>
  <c r="I406" i="3315"/>
  <c r="I268" i="3315"/>
  <c r="I75" i="3315"/>
  <c r="I442" i="3315"/>
  <c r="I1189" i="3315"/>
  <c r="I1219" i="3315"/>
  <c r="I97" i="3315"/>
  <c r="I694" i="3315"/>
  <c r="I678" i="3315"/>
  <c r="I1043" i="3315"/>
  <c r="I769" i="3315"/>
  <c r="I926" i="3315"/>
  <c r="I419" i="3315"/>
  <c r="I197" i="3315"/>
  <c r="I108" i="3315"/>
  <c r="I869" i="3315"/>
  <c r="I212" i="3315"/>
  <c r="I710" i="3315"/>
  <c r="I898" i="3315"/>
  <c r="I400" i="3315"/>
  <c r="I178" i="3315"/>
  <c r="I47" i="3315"/>
  <c r="I925" i="3315"/>
  <c r="I987" i="3315"/>
  <c r="I715" i="3315"/>
  <c r="I899" i="3315"/>
  <c r="I409" i="3315"/>
  <c r="I207" i="3315"/>
  <c r="I52" i="3315"/>
  <c r="I79" i="3315"/>
  <c r="I749" i="3315"/>
  <c r="I1215" i="3315"/>
  <c r="I91" i="3315"/>
  <c r="I744" i="3315"/>
  <c r="I1192" i="3315"/>
  <c r="I103" i="3315"/>
  <c r="I893" i="3315"/>
  <c r="I1234" i="3315"/>
  <c r="I976" i="3315"/>
  <c r="I906" i="3315"/>
  <c r="I1237" i="3315"/>
  <c r="I903" i="3315"/>
  <c r="I1025" i="3315"/>
  <c r="I602" i="3315"/>
  <c r="I671" i="3315"/>
  <c r="I782" i="3315"/>
  <c r="I855" i="3315"/>
  <c r="I938" i="3315"/>
  <c r="I531" i="3315"/>
  <c r="I415" i="3315"/>
  <c r="I320" i="3315"/>
  <c r="I193" i="3315"/>
  <c r="I257" i="3315"/>
  <c r="I81" i="3315"/>
  <c r="I649" i="3315"/>
  <c r="I859" i="3315"/>
  <c r="I556" i="3315"/>
  <c r="I204" i="3315"/>
  <c r="I1044" i="3315"/>
  <c r="I659" i="3315"/>
  <c r="I775" i="3315"/>
  <c r="I840" i="3315"/>
  <c r="I935" i="3315"/>
  <c r="I528" i="3315"/>
  <c r="I412" i="3315"/>
  <c r="I350" i="3315"/>
  <c r="I190" i="3315"/>
  <c r="I254" i="3315"/>
  <c r="I77" i="3315"/>
  <c r="I601" i="3315"/>
  <c r="I809" i="3315"/>
  <c r="I552" i="3315"/>
  <c r="I180" i="3315"/>
  <c r="I1033" i="3315"/>
  <c r="I648" i="3315"/>
  <c r="I759" i="3315"/>
  <c r="I824" i="3315"/>
  <c r="I920" i="3315"/>
  <c r="I498" i="3315"/>
  <c r="I405" i="3315"/>
  <c r="I340" i="3315"/>
  <c r="I187" i="3315"/>
  <c r="I251" i="3315"/>
  <c r="I70" i="3315"/>
  <c r="I700" i="3315"/>
  <c r="I422" i="3315"/>
  <c r="I71" i="3315"/>
  <c r="I53" i="3315"/>
  <c r="I1231" i="3315"/>
  <c r="I1236" i="3315"/>
  <c r="I126" i="3315"/>
  <c r="I606" i="3315"/>
  <c r="I942" i="3315"/>
  <c r="I181" i="3315"/>
  <c r="I821" i="3315"/>
  <c r="I627" i="3315"/>
  <c r="I572" i="3315"/>
  <c r="I194" i="3315"/>
  <c r="I657" i="3315"/>
  <c r="I600" i="3315"/>
  <c r="I924" i="3315"/>
  <c r="I159" i="3315"/>
  <c r="I720" i="3315"/>
  <c r="I722" i="3315"/>
  <c r="I909" i="3315"/>
  <c r="I1230" i="3315"/>
  <c r="I69" i="3315"/>
  <c r="I992" i="3315"/>
  <c r="I691" i="3315"/>
  <c r="I1047" i="3315"/>
  <c r="I774" i="3315"/>
  <c r="I930" i="3315"/>
  <c r="I407" i="3315"/>
  <c r="I185" i="3315"/>
  <c r="I72" i="3315"/>
  <c r="I829" i="3315"/>
  <c r="I188" i="3315"/>
  <c r="I651" i="3315"/>
  <c r="I831" i="3315"/>
  <c r="I519" i="3315"/>
  <c r="I338" i="3315"/>
  <c r="I246" i="3315"/>
  <c r="I1034" i="3315"/>
  <c r="I530" i="3315"/>
  <c r="I1010" i="3315"/>
  <c r="I742" i="3315"/>
  <c r="I912" i="3315"/>
  <c r="I397" i="3315"/>
  <c r="I179" i="3315"/>
  <c r="I307" i="3315"/>
  <c r="I390" i="3315"/>
  <c r="I288" i="3315"/>
  <c r="I570" i="3315"/>
  <c r="I851" i="3315"/>
  <c r="I1222" i="3315"/>
  <c r="I553" i="3315"/>
  <c r="I364" i="3315"/>
  <c r="I446" i="3315"/>
  <c r="I499" i="3315"/>
  <c r="I539" i="3315"/>
  <c r="I260" i="3315"/>
  <c r="I1188" i="3315"/>
  <c r="I679" i="3315"/>
  <c r="I121" i="3315"/>
  <c r="I1218" i="3315"/>
  <c r="I1194" i="3315"/>
  <c r="I1211" i="3315"/>
  <c r="I985" i="3315"/>
  <c r="I709" i="3315"/>
  <c r="I870" i="3315"/>
  <c r="I545" i="3315"/>
  <c r="I139" i="3315"/>
  <c r="I269" i="3315"/>
  <c r="I708" i="3315"/>
  <c r="I426" i="3315"/>
  <c r="I603" i="3315"/>
  <c r="I787" i="3315"/>
  <c r="I947" i="3315"/>
  <c r="I424" i="3315"/>
  <c r="I202" i="3315"/>
  <c r="I117" i="3315"/>
  <c r="I842" i="3315"/>
  <c r="I208" i="3315"/>
  <c r="I660" i="3315"/>
  <c r="I837" i="3315"/>
  <c r="I529" i="3315"/>
  <c r="I326" i="3315"/>
  <c r="I263" i="3315"/>
  <c r="I785" i="3315"/>
  <c r="I304" i="3315"/>
  <c r="I452" i="3315"/>
  <c r="I849" i="3315"/>
  <c r="I802" i="3315"/>
  <c r="I369" i="3315"/>
  <c r="I1015" i="3315"/>
  <c r="I1001" i="3315"/>
  <c r="I939" i="3315"/>
  <c r="I226" i="3315"/>
  <c r="I562" i="3315"/>
  <c r="I780" i="3315"/>
  <c r="I359" i="3315"/>
  <c r="I825" i="3315"/>
  <c r="I890" i="3315"/>
  <c r="I850" i="3315"/>
  <c r="I1220" i="3315"/>
  <c r="I684" i="3315"/>
  <c r="I682" i="3315"/>
  <c r="I697" i="3315"/>
  <c r="I1023" i="3315"/>
  <c r="I618" i="3315"/>
  <c r="I798" i="3315"/>
  <c r="I571" i="3315"/>
  <c r="I431" i="3315"/>
  <c r="I209" i="3315"/>
  <c r="I128" i="3315"/>
  <c r="I913" i="3315"/>
  <c r="I240" i="3315"/>
  <c r="I706" i="3315"/>
  <c r="I866" i="3315"/>
  <c r="I546" i="3315"/>
  <c r="I142" i="3315"/>
  <c r="I270" i="3315"/>
  <c r="I645" i="3315"/>
  <c r="I410" i="3315"/>
  <c r="I596" i="3315"/>
  <c r="I776" i="3315"/>
  <c r="I936" i="3315"/>
  <c r="I421" i="3315"/>
  <c r="I203" i="3315"/>
  <c r="I110" i="3315"/>
  <c r="I137" i="3315"/>
  <c r="I846" i="3315"/>
  <c r="I1027" i="3315"/>
  <c r="I500" i="3315"/>
  <c r="I526" i="3315"/>
  <c r="I533" i="3315"/>
  <c r="I873" i="3315"/>
  <c r="I478" i="3315"/>
  <c r="I434" i="3315"/>
  <c r="I318" i="3315"/>
  <c r="I674" i="3315"/>
  <c r="I1235" i="3315"/>
  <c r="I699" i="3315"/>
  <c r="I99" i="3315"/>
  <c r="I889" i="3315"/>
  <c r="I60" i="3315"/>
  <c r="I610" i="3315"/>
  <c r="I790" i="3315"/>
  <c r="I946" i="3315"/>
  <c r="I423" i="3315"/>
  <c r="I201" i="3315"/>
  <c r="I112" i="3315"/>
  <c r="I877" i="3315"/>
  <c r="I224" i="3315"/>
  <c r="I667" i="3315"/>
  <c r="I857" i="3315"/>
  <c r="I538" i="3315"/>
  <c r="I325" i="3315"/>
  <c r="I262" i="3315"/>
  <c r="I621" i="3315"/>
  <c r="I458" i="3315"/>
  <c r="I1041" i="3315"/>
  <c r="I767" i="3315"/>
  <c r="I928" i="3315"/>
  <c r="I1242" i="3315"/>
  <c r="I96" i="3315"/>
  <c r="I1030" i="3315"/>
  <c r="I1191" i="3315"/>
  <c r="I1243" i="3315"/>
  <c r="I89" i="3315"/>
  <c r="I1022" i="3315"/>
  <c r="I662" i="3315"/>
  <c r="I839" i="3315"/>
  <c r="I523" i="3315"/>
  <c r="I343" i="3315"/>
  <c r="I249" i="3315"/>
  <c r="I625" i="3315"/>
  <c r="I535" i="3315"/>
  <c r="I1036" i="3315"/>
  <c r="I766" i="3315"/>
  <c r="I927" i="3315"/>
  <c r="I404" i="3315"/>
  <c r="I182" i="3315"/>
  <c r="I63" i="3315"/>
  <c r="I789" i="3315"/>
  <c r="I160" i="3315"/>
  <c r="I640" i="3315"/>
  <c r="I816" i="3315"/>
  <c r="I490" i="3315"/>
  <c r="I379" i="3315"/>
  <c r="I243" i="3315"/>
  <c r="I641" i="3315"/>
  <c r="I127" i="3315"/>
  <c r="I84" i="3315"/>
  <c r="I90" i="3315"/>
  <c r="I740" i="3315"/>
  <c r="I277" i="3315"/>
  <c r="I779" i="3315"/>
  <c r="I274" i="3315"/>
  <c r="I738" i="3315"/>
  <c r="I255" i="3315"/>
  <c r="I101" i="3315"/>
  <c r="I68" i="3315"/>
  <c r="I1246" i="3315"/>
  <c r="I695" i="3315"/>
  <c r="I908" i="3315"/>
  <c r="I1203" i="3315"/>
  <c r="I1019" i="3315"/>
  <c r="I614" i="3315"/>
  <c r="I794" i="3315"/>
  <c r="I954" i="3315"/>
  <c r="I427" i="3315"/>
  <c r="I205" i="3315"/>
  <c r="I116" i="3315"/>
  <c r="I896" i="3315"/>
  <c r="I232" i="3315"/>
  <c r="I702" i="3315"/>
  <c r="I862" i="3315"/>
  <c r="I542" i="3315"/>
  <c r="I329" i="3315"/>
  <c r="I266" i="3315"/>
  <c r="I629" i="3315"/>
  <c r="I398" i="3315"/>
  <c r="I1045" i="3315"/>
  <c r="I771" i="3315"/>
  <c r="I932" i="3315"/>
  <c r="I417" i="3315"/>
  <c r="I199" i="3315"/>
  <c r="I106" i="3315"/>
  <c r="I342" i="3315"/>
  <c r="I272" i="3315"/>
  <c r="I334" i="3315"/>
  <c r="I1245" i="3315"/>
  <c r="I685" i="3315"/>
  <c r="I622" i="3315"/>
  <c r="I476" i="3315"/>
  <c r="I229" i="3315"/>
  <c r="I583" i="3315"/>
  <c r="I762" i="3315"/>
  <c r="I432" i="3315"/>
  <c r="I609" i="3315"/>
  <c r="I1037" i="3315"/>
  <c r="I940" i="3315"/>
  <c r="I239" i="3315"/>
  <c r="I248" i="3315"/>
  <c r="I1232" i="3315"/>
  <c r="I66" i="3315"/>
  <c r="I751" i="3315"/>
  <c r="I1239" i="3315"/>
  <c r="I317" i="3315"/>
  <c r="I989" i="3315"/>
  <c r="I713" i="3315"/>
  <c r="I874" i="3315"/>
  <c r="I549" i="3315"/>
  <c r="I145" i="3315"/>
  <c r="I273" i="3315"/>
  <c r="I716" i="3315"/>
  <c r="I438" i="3315"/>
  <c r="I607" i="3315"/>
  <c r="I791" i="3315"/>
  <c r="I955" i="3315"/>
  <c r="I428" i="3315"/>
  <c r="I206" i="3315"/>
  <c r="I129" i="3315"/>
  <c r="I864" i="3315"/>
  <c r="I220" i="3315"/>
  <c r="I664" i="3315"/>
  <c r="I841" i="3315"/>
  <c r="I534" i="3315"/>
  <c r="I136" i="3315"/>
  <c r="I267" i="3315"/>
  <c r="I805" i="3315"/>
  <c r="I115" i="3315"/>
  <c r="I124" i="3315"/>
  <c r="I1238" i="3315"/>
  <c r="I701" i="3315"/>
  <c r="I245" i="3315"/>
  <c r="I737" i="3315"/>
  <c r="I242" i="3315"/>
  <c r="I668" i="3315"/>
  <c r="I223" i="3315"/>
  <c r="I1247" i="3315"/>
  <c r="I948" i="3315"/>
  <c r="I686" i="3315"/>
  <c r="I1204" i="3315"/>
  <c r="I1228" i="3315"/>
  <c r="I981" i="3315"/>
  <c r="I705" i="3315"/>
  <c r="I865" i="3315"/>
  <c r="I541" i="3315"/>
  <c r="I328" i="3315"/>
  <c r="I265" i="3315"/>
  <c r="I669" i="3315"/>
  <c r="I414" i="3315"/>
  <c r="I599" i="3315"/>
  <c r="I783" i="3315"/>
  <c r="I943" i="3315"/>
  <c r="I420" i="3315"/>
  <c r="I198" i="3315"/>
  <c r="I113" i="3315"/>
  <c r="I833" i="3315"/>
  <c r="I525" i="3315"/>
  <c r="I259" i="3315"/>
  <c r="I256" i="3315"/>
  <c r="I746" i="3315"/>
  <c r="I818" i="3315"/>
  <c r="I827" i="3315"/>
  <c r="I796" i="3315"/>
  <c r="I725" i="3315"/>
  <c r="I847" i="3315"/>
  <c r="I672" i="3315"/>
  <c r="I630" i="3315"/>
  <c r="I468" i="3315"/>
  <c r="I221" i="3315"/>
  <c r="I941" i="3315"/>
  <c r="I718" i="3315"/>
  <c r="I558" i="3315"/>
  <c r="I282" i="3315"/>
  <c r="I360" i="3315"/>
  <c r="I788" i="3315"/>
  <c r="I433" i="3315"/>
  <c r="I44" i="3315"/>
  <c r="I87" i="3315"/>
  <c r="I658" i="3315"/>
  <c r="I261" i="3315"/>
  <c r="I811" i="3315"/>
  <c r="I731" i="3315"/>
  <c r="I521" i="3315"/>
  <c r="I111" i="3315"/>
  <c r="I1241" i="3315"/>
  <c r="I92" i="3315"/>
  <c r="I1179" i="3315"/>
  <c r="I1008" i="3315"/>
  <c r="I897" i="3315"/>
  <c r="I161" i="3315"/>
  <c r="I772" i="3315"/>
  <c r="I623" i="3315"/>
  <c r="I469" i="3315"/>
  <c r="I222" i="3315"/>
  <c r="I917" i="3315"/>
  <c r="I711" i="3315"/>
  <c r="I551" i="3315"/>
  <c r="I283" i="3315"/>
  <c r="I296" i="3315"/>
  <c r="I575" i="3315"/>
  <c r="I786" i="3315"/>
  <c r="I795" i="3315"/>
  <c r="I763" i="3315"/>
  <c r="I195" i="3315"/>
  <c r="I982" i="3315"/>
  <c r="I152" i="3315"/>
  <c r="I1216" i="3315"/>
  <c r="I698" i="3315"/>
  <c r="I1004" i="3315"/>
  <c r="I157" i="3315"/>
  <c r="I619" i="3315"/>
  <c r="I218" i="3315"/>
  <c r="I707" i="3315"/>
  <c r="I279" i="3315"/>
  <c r="I1024" i="3315"/>
  <c r="I595" i="3315"/>
  <c r="I467" i="3315"/>
  <c r="I1229" i="3315"/>
  <c r="I1020" i="3315"/>
  <c r="I365" i="3315"/>
  <c r="I997" i="3315"/>
  <c r="I158" i="3315"/>
  <c r="I612" i="3315"/>
  <c r="I219" i="3315"/>
  <c r="I1018" i="3315"/>
  <c r="I49" i="3315"/>
  <c r="I200" i="3315"/>
  <c r="I413" i="3315"/>
  <c r="I78" i="3315"/>
  <c r="I300" i="3315"/>
  <c r="I1214" i="3315"/>
  <c r="I435" i="3315"/>
  <c r="I366" i="3315"/>
  <c r="I425" i="3315"/>
  <c r="I675" i="3315"/>
  <c r="I1223" i="3315"/>
  <c r="I732" i="3315"/>
  <c r="I564" i="3315"/>
  <c r="I285" i="3315"/>
  <c r="I384" i="3315"/>
  <c r="I803" i="3315"/>
  <c r="I358" i="3315"/>
  <c r="I55" i="3315"/>
  <c r="I977" i="3315"/>
  <c r="I868" i="3315"/>
  <c r="I151" i="3315"/>
  <c r="I929" i="3315"/>
  <c r="I1205" i="3315"/>
  <c r="I835" i="3315"/>
  <c r="I661" i="3315"/>
  <c r="I473" i="3315"/>
  <c r="I380" i="3315"/>
  <c r="I346" i="3315"/>
  <c r="I449" i="3315"/>
  <c r="I67" i="3315"/>
  <c r="I1185" i="3315"/>
  <c r="I638" i="3315"/>
  <c r="I472" i="3315"/>
  <c r="I225" i="3315"/>
  <c r="I957" i="3315"/>
  <c r="I733" i="3315"/>
  <c r="I565" i="3315"/>
  <c r="I286" i="3315"/>
  <c r="I372" i="3315"/>
  <c r="I792" i="3315"/>
  <c r="I437" i="3315"/>
  <c r="I48" i="3315"/>
  <c r="I88" i="3315"/>
  <c r="I403" i="3315"/>
  <c r="I416" i="3315"/>
  <c r="I389" i="3315"/>
  <c r="I656" i="3315"/>
  <c r="I322" i="3315"/>
  <c r="I756" i="3315"/>
  <c r="I1217" i="3315"/>
  <c r="I46" i="3315"/>
  <c r="I109" i="3315"/>
  <c r="I303" i="3315"/>
  <c r="I692" i="3315"/>
  <c r="I1193" i="3315"/>
  <c r="I83" i="3315"/>
  <c r="I1016" i="3315"/>
  <c r="I810" i="3315"/>
  <c r="I361" i="3315"/>
  <c r="I54" i="3315"/>
  <c r="I990" i="3315"/>
  <c r="I879" i="3315"/>
  <c r="I154" i="3315"/>
  <c r="I704" i="3315"/>
  <c r="I608" i="3315"/>
  <c r="I956" i="3315"/>
  <c r="I215" i="3315"/>
  <c r="I216" i="3315"/>
  <c r="I687" i="3315"/>
  <c r="I1184" i="3315"/>
  <c r="I536" i="3315"/>
  <c r="I402" i="3315"/>
  <c r="I382" i="3315"/>
  <c r="I616" i="3315"/>
  <c r="I287" i="3315"/>
  <c r="I577" i="3315"/>
  <c r="I315" i="3315"/>
  <c r="I1190" i="3315"/>
  <c r="I736" i="3315"/>
  <c r="I445" i="3315"/>
  <c r="I289" i="3315"/>
  <c r="I319" i="3315"/>
  <c r="I807" i="3315"/>
  <c r="I362" i="3315"/>
  <c r="I980" i="3315"/>
  <c r="I983" i="3315"/>
  <c r="I872" i="3315"/>
  <c r="I155" i="3315"/>
  <c r="I950" i="3315"/>
  <c r="I729" i="3315"/>
  <c r="I62" i="3315"/>
  <c r="I290" i="3315"/>
  <c r="I271" i="3315"/>
  <c r="I832" i="3315"/>
  <c r="I368" i="3315"/>
  <c r="I135" i="3315"/>
  <c r="I65" i="3315"/>
  <c r="I854" i="3315"/>
  <c r="I886" i="3315"/>
  <c r="I764" i="3315"/>
  <c r="I465" i="3315"/>
  <c r="I900" i="3315"/>
  <c r="I547" i="3315"/>
  <c r="I280" i="3315"/>
  <c r="I85" i="3315"/>
  <c r="I324" i="3315"/>
  <c r="I258" i="3315"/>
  <c r="I812" i="3315"/>
  <c r="I693" i="3315"/>
  <c r="I578" i="3315"/>
  <c r="I814" i="3315"/>
  <c r="I984" i="3315"/>
  <c r="I883" i="3315"/>
  <c r="I712" i="3315"/>
  <c r="I574" i="3315"/>
  <c r="I244" i="3315"/>
  <c r="I887" i="3315"/>
  <c r="I176" i="3315"/>
  <c r="I418" i="3315"/>
  <c r="AG244" i="3315" l="1"/>
  <c r="J244" i="3315"/>
  <c r="AG280" i="3315"/>
  <c r="J280" i="3315"/>
  <c r="AG271" i="3315"/>
  <c r="J271" i="3315"/>
  <c r="J872" i="3315"/>
  <c r="AG872" i="3315"/>
  <c r="J807" i="3315"/>
  <c r="AG807" i="3315"/>
  <c r="J577" i="3315"/>
  <c r="AG577" i="3315"/>
  <c r="AG402" i="3315"/>
  <c r="J402" i="3315"/>
  <c r="AG990" i="3315"/>
  <c r="J990" i="3315"/>
  <c r="J403" i="3315"/>
  <c r="AG403" i="3315"/>
  <c r="AG286" i="3315"/>
  <c r="J286" i="3315"/>
  <c r="AG67" i="3315"/>
  <c r="J67" i="3315"/>
  <c r="AG1205" i="3315"/>
  <c r="J1205" i="3315"/>
  <c r="AG151" i="3315"/>
  <c r="J151" i="3315"/>
  <c r="AG564" i="3315"/>
  <c r="J564" i="3315"/>
  <c r="J675" i="3315"/>
  <c r="AG675" i="3315"/>
  <c r="J435" i="3315"/>
  <c r="AG435" i="3315"/>
  <c r="AG1018" i="3315"/>
  <c r="J1018" i="3315"/>
  <c r="AG158" i="3315"/>
  <c r="J158" i="3315"/>
  <c r="J1229" i="3315"/>
  <c r="AG1229" i="3315"/>
  <c r="AG619" i="3315"/>
  <c r="J619" i="3315"/>
  <c r="AG195" i="3315"/>
  <c r="J195" i="3315"/>
  <c r="J283" i="3315"/>
  <c r="AG283" i="3315"/>
  <c r="J161" i="3315"/>
  <c r="AG161" i="3315"/>
  <c r="J92" i="3315"/>
  <c r="AG92" i="3315"/>
  <c r="AG87" i="3315"/>
  <c r="J87" i="3315"/>
  <c r="AG558" i="3315"/>
  <c r="J558" i="3315"/>
  <c r="AG725" i="3315"/>
  <c r="J725" i="3315"/>
  <c r="J198" i="3315"/>
  <c r="AG198" i="3315"/>
  <c r="J981" i="3315"/>
  <c r="AG981" i="3315"/>
  <c r="AG841" i="3315"/>
  <c r="J841" i="3315"/>
  <c r="AG791" i="3315"/>
  <c r="J791" i="3315"/>
  <c r="AG713" i="3315"/>
  <c r="J713" i="3315"/>
  <c r="J583" i="3315"/>
  <c r="AG583" i="3315"/>
  <c r="J685" i="3315"/>
  <c r="AG685" i="3315"/>
  <c r="J199" i="3315"/>
  <c r="AG199" i="3315"/>
  <c r="AG329" i="3315"/>
  <c r="J329" i="3315"/>
  <c r="AG1019" i="3315"/>
  <c r="J1019" i="3315"/>
  <c r="AG816" i="3315"/>
  <c r="J816" i="3315"/>
  <c r="AG766" i="3315"/>
  <c r="J766" i="3315"/>
  <c r="J1191" i="3315"/>
  <c r="AG1191" i="3315"/>
  <c r="AG857" i="3315"/>
  <c r="J857" i="3315"/>
  <c r="AG790" i="3315"/>
  <c r="J790" i="3315"/>
  <c r="AG99" i="3315"/>
  <c r="J99" i="3315"/>
  <c r="J873" i="3315"/>
  <c r="AG873" i="3315"/>
  <c r="AG1027" i="3315"/>
  <c r="J1027" i="3315"/>
  <c r="J203" i="3315"/>
  <c r="AG203" i="3315"/>
  <c r="J142" i="3315"/>
  <c r="AG142" i="3315"/>
  <c r="J431" i="3315"/>
  <c r="AG431" i="3315"/>
  <c r="AG825" i="3315"/>
  <c r="J825" i="3315"/>
  <c r="J369" i="3315"/>
  <c r="AG369" i="3315"/>
  <c r="AG452" i="3315"/>
  <c r="J452" i="3315"/>
  <c r="J529" i="3315"/>
  <c r="AG529" i="3315"/>
  <c r="J947" i="3315"/>
  <c r="AG947" i="3315"/>
  <c r="J870" i="3315"/>
  <c r="AG870" i="3315"/>
  <c r="J1194" i="3315"/>
  <c r="AG1194" i="3315"/>
  <c r="J499" i="3315"/>
  <c r="AG499" i="3315"/>
  <c r="AG1222" i="3315"/>
  <c r="J1222" i="3315"/>
  <c r="J179" i="3315"/>
  <c r="AG179" i="3315"/>
  <c r="J338" i="3315"/>
  <c r="AG338" i="3315"/>
  <c r="J1230" i="3315"/>
  <c r="AG1230" i="3315"/>
  <c r="AG627" i="3315"/>
  <c r="J627" i="3315"/>
  <c r="J251" i="3315"/>
  <c r="AG251" i="3315"/>
  <c r="J648" i="3315"/>
  <c r="AG648" i="3315"/>
  <c r="J190" i="3315"/>
  <c r="AG190" i="3315"/>
  <c r="J1044" i="3315"/>
  <c r="AG1044" i="3315"/>
  <c r="J320" i="3315"/>
  <c r="AG320" i="3315"/>
  <c r="AG1025" i="3315"/>
  <c r="J1025" i="3315"/>
  <c r="J1215" i="3315"/>
  <c r="AG1215" i="3315"/>
  <c r="J79" i="3315"/>
  <c r="AG79" i="3315"/>
  <c r="J47" i="3315"/>
  <c r="AG47" i="3315"/>
  <c r="J710" i="3315"/>
  <c r="AG710" i="3315"/>
  <c r="J1043" i="3315"/>
  <c r="AG1043" i="3315"/>
  <c r="J1219" i="3315"/>
  <c r="AG1219" i="3315"/>
  <c r="J75" i="3315"/>
  <c r="AG75" i="3315"/>
  <c r="J401" i="3315"/>
  <c r="AG401" i="3315"/>
  <c r="J540" i="3315"/>
  <c r="AG540" i="3315"/>
  <c r="J524" i="3315"/>
  <c r="AG524" i="3315"/>
  <c r="J189" i="3315"/>
  <c r="AG189" i="3315"/>
  <c r="J598" i="3315"/>
  <c r="AG598" i="3315"/>
  <c r="AG448" i="3315"/>
  <c r="J448" i="3315"/>
  <c r="AG663" i="3315"/>
  <c r="J663" i="3315"/>
  <c r="J642" i="3315"/>
  <c r="AG642" i="3315"/>
  <c r="AG676" i="3315"/>
  <c r="J676" i="3315"/>
  <c r="J227" i="3315"/>
  <c r="AG227" i="3315"/>
  <c r="J620" i="3315"/>
  <c r="AG620" i="3315"/>
  <c r="J166" i="3315"/>
  <c r="AG166" i="3315"/>
  <c r="J1005" i="3315"/>
  <c r="AG1005" i="3315"/>
  <c r="J373" i="3315"/>
  <c r="AG373" i="3315"/>
  <c r="J822" i="3315"/>
  <c r="AG822" i="3315"/>
  <c r="AG848" i="3315"/>
  <c r="J848" i="3315"/>
  <c r="J891" i="3315"/>
  <c r="AG891" i="3315"/>
  <c r="AG74" i="3315"/>
  <c r="J74" i="3315"/>
  <c r="J613" i="3315"/>
  <c r="AG613" i="3315"/>
  <c r="J120" i="3315"/>
  <c r="AG120" i="3315"/>
  <c r="I966" i="3315"/>
  <c r="AG594" i="3315"/>
  <c r="J594" i="3315"/>
  <c r="AG544" i="3315"/>
  <c r="J544" i="3315"/>
  <c r="AG171" i="3315"/>
  <c r="J171" i="3315"/>
  <c r="AG1002" i="3315"/>
  <c r="J1002" i="3315"/>
  <c r="AG1003" i="3315"/>
  <c r="J1003" i="3315"/>
  <c r="AG378" i="3315"/>
  <c r="J378" i="3315"/>
  <c r="AG168" i="3315"/>
  <c r="J168" i="3315"/>
  <c r="AG305" i="3315"/>
  <c r="J305" i="3315"/>
  <c r="AG399" i="3315"/>
  <c r="J399" i="3315"/>
  <c r="AG765" i="3315"/>
  <c r="J765" i="3315"/>
  <c r="AG902" i="3315"/>
  <c r="J902" i="3315"/>
  <c r="J104" i="3315"/>
  <c r="AG104" i="3315"/>
  <c r="J114" i="3315"/>
  <c r="AG114" i="3315"/>
  <c r="J146" i="3315"/>
  <c r="AG146" i="3315"/>
  <c r="J454" i="3315"/>
  <c r="AG454" i="3315"/>
  <c r="AG1226" i="3315"/>
  <c r="J1226" i="3315"/>
  <c r="AG292" i="3315"/>
  <c r="J292" i="3315"/>
  <c r="J231" i="3315"/>
  <c r="AG231" i="3315"/>
  <c r="AG624" i="3315"/>
  <c r="J624" i="3315"/>
  <c r="AG760" i="3315"/>
  <c r="J760" i="3315"/>
  <c r="J170" i="3315"/>
  <c r="AG170" i="3315"/>
  <c r="AG915" i="3315"/>
  <c r="J915" i="3315"/>
  <c r="J1009" i="3315"/>
  <c r="AG1009" i="3315"/>
  <c r="AG1046" i="3315"/>
  <c r="J1046" i="3315"/>
  <c r="AG377" i="3315"/>
  <c r="J377" i="3315"/>
  <c r="AG826" i="3315"/>
  <c r="J826" i="3315"/>
  <c r="J1017" i="3315"/>
  <c r="AG1017" i="3315"/>
  <c r="AG892" i="3315"/>
  <c r="J892" i="3315"/>
  <c r="AG1213" i="3315"/>
  <c r="J1213" i="3315"/>
  <c r="J681" i="3315"/>
  <c r="AG681" i="3315"/>
  <c r="AG617" i="3315"/>
  <c r="J617" i="3315"/>
  <c r="AG1011" i="3315"/>
  <c r="J1011" i="3315"/>
  <c r="AG735" i="3315"/>
  <c r="J735" i="3315"/>
  <c r="AG696" i="3315"/>
  <c r="J696" i="3315"/>
  <c r="J885" i="3315"/>
  <c r="AG885" i="3315"/>
  <c r="J147" i="3315"/>
  <c r="AG147" i="3315"/>
  <c r="J863" i="3315"/>
  <c r="AG863" i="3315"/>
  <c r="J236" i="3315"/>
  <c r="AG236" i="3315"/>
  <c r="J51" i="3315"/>
  <c r="AG51" i="3315"/>
  <c r="J436" i="3315"/>
  <c r="AG436" i="3315"/>
  <c r="J799" i="3315"/>
  <c r="AG799" i="3315"/>
  <c r="J376" i="3315"/>
  <c r="AG376" i="3315"/>
  <c r="J281" i="3315"/>
  <c r="AG281" i="3315"/>
  <c r="J557" i="3315"/>
  <c r="AG557" i="3315"/>
  <c r="J721" i="3315"/>
  <c r="AG721" i="3315"/>
  <c r="J1224" i="3315"/>
  <c r="AG1224" i="3315"/>
  <c r="AG723" i="3315"/>
  <c r="J723" i="3315"/>
  <c r="J418" i="3315"/>
  <c r="AG418" i="3315"/>
  <c r="AG574" i="3315"/>
  <c r="J574" i="3315"/>
  <c r="AG814" i="3315"/>
  <c r="J814" i="3315"/>
  <c r="J258" i="3315"/>
  <c r="AG258" i="3315"/>
  <c r="AG547" i="3315"/>
  <c r="J547" i="3315"/>
  <c r="J886" i="3315"/>
  <c r="AG886" i="3315"/>
  <c r="AG135" i="3315"/>
  <c r="I309" i="3315"/>
  <c r="J135" i="3315"/>
  <c r="AG290" i="3315"/>
  <c r="J290" i="3315"/>
  <c r="J983" i="3315"/>
  <c r="AG983" i="3315"/>
  <c r="J319" i="3315"/>
  <c r="AG319" i="3315"/>
  <c r="AG287" i="3315"/>
  <c r="J287" i="3315"/>
  <c r="AG536" i="3315"/>
  <c r="J536" i="3315"/>
  <c r="J216" i="3315"/>
  <c r="AG216" i="3315"/>
  <c r="J704" i="3315"/>
  <c r="AG704" i="3315"/>
  <c r="J54" i="3315"/>
  <c r="AG54" i="3315"/>
  <c r="AG83" i="3315"/>
  <c r="J83" i="3315"/>
  <c r="J109" i="3315"/>
  <c r="AG109" i="3315"/>
  <c r="AG88" i="3315"/>
  <c r="J88" i="3315"/>
  <c r="AG437" i="3315"/>
  <c r="J437" i="3315"/>
  <c r="AG565" i="3315"/>
  <c r="J565" i="3315"/>
  <c r="AG472" i="3315"/>
  <c r="J472" i="3315"/>
  <c r="AG449" i="3315"/>
  <c r="J449" i="3315"/>
  <c r="AG473" i="3315"/>
  <c r="J473" i="3315"/>
  <c r="AG868" i="3315"/>
  <c r="J868" i="3315"/>
  <c r="J803" i="3315"/>
  <c r="AG803" i="3315"/>
  <c r="AG732" i="3315"/>
  <c r="J732" i="3315"/>
  <c r="AG1214" i="3315"/>
  <c r="J1214" i="3315"/>
  <c r="AG413" i="3315"/>
  <c r="J413" i="3315"/>
  <c r="AG997" i="3315"/>
  <c r="J997" i="3315"/>
  <c r="J467" i="3315"/>
  <c r="AG467" i="3315"/>
  <c r="AG279" i="3315"/>
  <c r="J279" i="3315"/>
  <c r="AG157" i="3315"/>
  <c r="J157" i="3315"/>
  <c r="J152" i="3315"/>
  <c r="AG152" i="3315"/>
  <c r="AG575" i="3315"/>
  <c r="J575" i="3315"/>
  <c r="J551" i="3315"/>
  <c r="AG551" i="3315"/>
  <c r="J469" i="3315"/>
  <c r="AG469" i="3315"/>
  <c r="J897" i="3315"/>
  <c r="AG897" i="3315"/>
  <c r="AG1241" i="3315"/>
  <c r="J1241" i="3315"/>
  <c r="AG811" i="3315"/>
  <c r="J811" i="3315"/>
  <c r="J788" i="3315"/>
  <c r="AG788" i="3315"/>
  <c r="AG718" i="3315"/>
  <c r="J718" i="3315"/>
  <c r="AG630" i="3315"/>
  <c r="J630" i="3315"/>
  <c r="AG746" i="3315"/>
  <c r="J746" i="3315"/>
  <c r="J525" i="3315"/>
  <c r="AG525" i="3315"/>
  <c r="J420" i="3315"/>
  <c r="AG420" i="3315"/>
  <c r="J414" i="3315"/>
  <c r="AG414" i="3315"/>
  <c r="J541" i="3315"/>
  <c r="AG541" i="3315"/>
  <c r="J948" i="3315"/>
  <c r="AG948" i="3315"/>
  <c r="J668" i="3315"/>
  <c r="AG668" i="3315"/>
  <c r="J701" i="3315"/>
  <c r="AG701" i="3315"/>
  <c r="AG267" i="3315"/>
  <c r="J267" i="3315"/>
  <c r="AG664" i="3315"/>
  <c r="J664" i="3315"/>
  <c r="AG206" i="3315"/>
  <c r="J206" i="3315"/>
  <c r="AG607" i="3315"/>
  <c r="J607" i="3315"/>
  <c r="AG145" i="3315"/>
  <c r="J145" i="3315"/>
  <c r="AG989" i="3315"/>
  <c r="J989" i="3315"/>
  <c r="J751" i="3315"/>
  <c r="AG751" i="3315"/>
  <c r="J248" i="3315"/>
  <c r="AG248" i="3315"/>
  <c r="J609" i="3315"/>
  <c r="AG609" i="3315"/>
  <c r="J229" i="3315"/>
  <c r="AG229" i="3315"/>
  <c r="AG1245" i="3315"/>
  <c r="J1245" i="3315"/>
  <c r="AG272" i="3315"/>
  <c r="J272" i="3315"/>
  <c r="AG417" i="3315"/>
  <c r="J417" i="3315"/>
  <c r="J398" i="3315"/>
  <c r="AG398" i="3315"/>
  <c r="AG542" i="3315"/>
  <c r="J542" i="3315"/>
  <c r="AG896" i="3315"/>
  <c r="J896" i="3315"/>
  <c r="J954" i="3315"/>
  <c r="AG954" i="3315"/>
  <c r="J1203" i="3315"/>
  <c r="AG1203" i="3315"/>
  <c r="AG68" i="3315"/>
  <c r="J68" i="3315"/>
  <c r="J738" i="3315"/>
  <c r="AG738" i="3315"/>
  <c r="J740" i="3315"/>
  <c r="AG740" i="3315"/>
  <c r="AG243" i="3315"/>
  <c r="J243" i="3315"/>
  <c r="AG640" i="3315"/>
  <c r="J640" i="3315"/>
  <c r="AG182" i="3315"/>
  <c r="J182" i="3315"/>
  <c r="AG1036" i="3315"/>
  <c r="J1036" i="3315"/>
  <c r="AG343" i="3315"/>
  <c r="J343" i="3315"/>
  <c r="J1022" i="3315"/>
  <c r="AG1022" i="3315"/>
  <c r="J1030" i="3315"/>
  <c r="AG1030" i="3315"/>
  <c r="AG767" i="3315"/>
  <c r="J767" i="3315"/>
  <c r="AG262" i="3315"/>
  <c r="J262" i="3315"/>
  <c r="AG667" i="3315"/>
  <c r="J667" i="3315"/>
  <c r="AG201" i="3315"/>
  <c r="J201" i="3315"/>
  <c r="AG610" i="3315"/>
  <c r="J610" i="3315"/>
  <c r="J699" i="3315"/>
  <c r="AG699" i="3315"/>
  <c r="AG533" i="3315"/>
  <c r="J533" i="3315"/>
  <c r="J846" i="3315"/>
  <c r="AG846" i="3315"/>
  <c r="J421" i="3315"/>
  <c r="AG421" i="3315"/>
  <c r="J410" i="3315"/>
  <c r="AG410" i="3315"/>
  <c r="J546" i="3315"/>
  <c r="AG546" i="3315"/>
  <c r="J913" i="3315"/>
  <c r="AG913" i="3315"/>
  <c r="J571" i="3315"/>
  <c r="AG571" i="3315"/>
  <c r="AG697" i="3315"/>
  <c r="J697" i="3315"/>
  <c r="J850" i="3315"/>
  <c r="AG850" i="3315"/>
  <c r="J359" i="3315"/>
  <c r="AG359" i="3315"/>
  <c r="J939" i="3315"/>
  <c r="AG939" i="3315"/>
  <c r="J802" i="3315"/>
  <c r="AG802" i="3315"/>
  <c r="AG785" i="3315"/>
  <c r="J785" i="3315"/>
  <c r="J837" i="3315"/>
  <c r="AG837" i="3315"/>
  <c r="J117" i="3315"/>
  <c r="AG117" i="3315"/>
  <c r="AG787" i="3315"/>
  <c r="J787" i="3315"/>
  <c r="J269" i="3315"/>
  <c r="AG269" i="3315"/>
  <c r="J709" i="3315"/>
  <c r="AG709" i="3315"/>
  <c r="AG1218" i="3315"/>
  <c r="J1218" i="3315"/>
  <c r="AG446" i="3315"/>
  <c r="J446" i="3315"/>
  <c r="AG851" i="3315"/>
  <c r="J851" i="3315"/>
  <c r="J288" i="3315"/>
  <c r="AG288" i="3315"/>
  <c r="J397" i="3315"/>
  <c r="AG397" i="3315"/>
  <c r="J530" i="3315"/>
  <c r="AG530" i="3315"/>
  <c r="J519" i="3315"/>
  <c r="AG519" i="3315"/>
  <c r="J829" i="3315"/>
  <c r="AG829" i="3315"/>
  <c r="J930" i="3315"/>
  <c r="AG930" i="3315"/>
  <c r="AG691" i="3315"/>
  <c r="J691" i="3315"/>
  <c r="J909" i="3315"/>
  <c r="AG909" i="3315"/>
  <c r="AG720" i="3315"/>
  <c r="J720" i="3315"/>
  <c r="J657" i="3315"/>
  <c r="AG657" i="3315"/>
  <c r="J821" i="3315"/>
  <c r="AG821" i="3315"/>
  <c r="AG422" i="3315"/>
  <c r="J422" i="3315"/>
  <c r="AG187" i="3315"/>
  <c r="J187" i="3315"/>
  <c r="AG920" i="3315"/>
  <c r="J920" i="3315"/>
  <c r="AG1033" i="3315"/>
  <c r="J1033" i="3315"/>
  <c r="AG601" i="3315"/>
  <c r="J601" i="3315"/>
  <c r="AG350" i="3315"/>
  <c r="J350" i="3315"/>
  <c r="AG840" i="3315"/>
  <c r="J840" i="3315"/>
  <c r="AG204" i="3315"/>
  <c r="J204" i="3315"/>
  <c r="AG81" i="3315"/>
  <c r="J81" i="3315"/>
  <c r="AG415" i="3315"/>
  <c r="J415" i="3315"/>
  <c r="AG782" i="3315"/>
  <c r="J782" i="3315"/>
  <c r="I1048" i="3315"/>
  <c r="I1049" i="3315" s="1"/>
  <c r="J976" i="3315"/>
  <c r="AG976" i="3315"/>
  <c r="J1192" i="3315"/>
  <c r="AG1192" i="3315"/>
  <c r="AG749" i="3315"/>
  <c r="J749" i="3315"/>
  <c r="AG52" i="3315"/>
  <c r="J52" i="3315"/>
  <c r="J715" i="3315"/>
  <c r="AG715" i="3315"/>
  <c r="J178" i="3315"/>
  <c r="AG178" i="3315"/>
  <c r="AG212" i="3315"/>
  <c r="J212" i="3315"/>
  <c r="AG419" i="3315"/>
  <c r="J419" i="3315"/>
  <c r="AG678" i="3315"/>
  <c r="J678" i="3315"/>
  <c r="J1189" i="3315"/>
  <c r="AG1189" i="3315"/>
  <c r="AG268" i="3315"/>
  <c r="J268" i="3315"/>
  <c r="AG247" i="3315"/>
  <c r="J247" i="3315"/>
  <c r="AG494" i="3315"/>
  <c r="J494" i="3315"/>
  <c r="AG644" i="3315"/>
  <c r="J644" i="3315"/>
  <c r="AG797" i="3315"/>
  <c r="J797" i="3315"/>
  <c r="AG186" i="3315"/>
  <c r="J186" i="3315"/>
  <c r="J931" i="3315"/>
  <c r="AG931" i="3315"/>
  <c r="J1040" i="3315"/>
  <c r="AG1040" i="3315"/>
  <c r="J637" i="3315"/>
  <c r="AG637" i="3315"/>
  <c r="J349" i="3315"/>
  <c r="AG349" i="3315"/>
  <c r="AG843" i="3315"/>
  <c r="J843" i="3315"/>
  <c r="AG1026" i="3315"/>
  <c r="J1026" i="3315"/>
  <c r="AG102" i="3315"/>
  <c r="J102" i="3315"/>
  <c r="J122" i="3315"/>
  <c r="AG122" i="3315"/>
  <c r="AG1183" i="3315"/>
  <c r="J1183" i="3315"/>
  <c r="AG444" i="3315"/>
  <c r="J444" i="3315"/>
  <c r="AG777" i="3315"/>
  <c r="J777" i="3315"/>
  <c r="J921" i="3315"/>
  <c r="AG921" i="3315"/>
  <c r="AG100" i="3315"/>
  <c r="J100" i="3315"/>
  <c r="AG491" i="3315"/>
  <c r="J491" i="3315"/>
  <c r="AG163" i="3315"/>
  <c r="J163" i="3315"/>
  <c r="AG880" i="3315"/>
  <c r="J880" i="3315"/>
  <c r="AG991" i="3315"/>
  <c r="J991" i="3315"/>
  <c r="AG993" i="3315"/>
  <c r="J993" i="3315"/>
  <c r="AG370" i="3315"/>
  <c r="J370" i="3315"/>
  <c r="AG815" i="3315"/>
  <c r="J815" i="3315"/>
  <c r="AG148" i="3315"/>
  <c r="J148" i="3315"/>
  <c r="AG297" i="3315"/>
  <c r="J297" i="3315"/>
  <c r="AG459" i="3315"/>
  <c r="J459" i="3315"/>
  <c r="AG757" i="3315"/>
  <c r="J757" i="3315"/>
  <c r="AG1233" i="3315"/>
  <c r="J1233" i="3315"/>
  <c r="AG728" i="3315"/>
  <c r="J728" i="3315"/>
  <c r="AG313" i="3315"/>
  <c r="J313" i="3315"/>
  <c r="J375" i="3315"/>
  <c r="AG375" i="3315"/>
  <c r="AG321" i="3315"/>
  <c r="J321" i="3315"/>
  <c r="AG337" i="3315"/>
  <c r="J337" i="3315"/>
  <c r="J1180" i="3315"/>
  <c r="AG1180" i="3315"/>
  <c r="J597" i="3315"/>
  <c r="AG597" i="3315"/>
  <c r="J371" i="3315"/>
  <c r="AG371" i="3315"/>
  <c r="J808" i="3315"/>
  <c r="AG808" i="3315"/>
  <c r="J144" i="3315"/>
  <c r="AG144" i="3315"/>
  <c r="J302" i="3315"/>
  <c r="AG302" i="3315"/>
  <c r="J396" i="3315"/>
  <c r="AG396" i="3315"/>
  <c r="J758" i="3315"/>
  <c r="AG758" i="3315"/>
  <c r="J495" i="3315"/>
  <c r="AG495" i="3315"/>
  <c r="J241" i="3315"/>
  <c r="AG241" i="3315"/>
  <c r="J496" i="3315"/>
  <c r="AG496" i="3315"/>
  <c r="J654" i="3315"/>
  <c r="AG654" i="3315"/>
  <c r="AG905" i="3315"/>
  <c r="J905" i="3315"/>
  <c r="J724" i="3315"/>
  <c r="AG724" i="3315"/>
  <c r="J683" i="3315"/>
  <c r="AG683" i="3315"/>
  <c r="AG175" i="3315"/>
  <c r="J175" i="3315"/>
  <c r="J192" i="3315"/>
  <c r="AG192" i="3315"/>
  <c r="J550" i="3315"/>
  <c r="AG550" i="3315"/>
  <c r="J781" i="3315"/>
  <c r="AG781" i="3315"/>
  <c r="AG878" i="3315"/>
  <c r="J878" i="3315"/>
  <c r="J125" i="3315"/>
  <c r="AG125" i="3315"/>
  <c r="AG356" i="3315"/>
  <c r="I385" i="3315"/>
  <c r="J356" i="3315"/>
  <c r="AG522" i="3315"/>
  <c r="J522" i="3315"/>
  <c r="AG167" i="3315"/>
  <c r="J167" i="3315"/>
  <c r="AG884" i="3315"/>
  <c r="J884" i="3315"/>
  <c r="AG998" i="3315"/>
  <c r="J998" i="3315"/>
  <c r="AG999" i="3315"/>
  <c r="J999" i="3315"/>
  <c r="J374" i="3315"/>
  <c r="AG374" i="3315"/>
  <c r="AG819" i="3315"/>
  <c r="J819" i="3315"/>
  <c r="AG156" i="3315"/>
  <c r="J156" i="3315"/>
  <c r="J301" i="3315"/>
  <c r="AG301" i="3315"/>
  <c r="J392" i="3315"/>
  <c r="AG392" i="3315"/>
  <c r="J761" i="3315"/>
  <c r="AG761" i="3315"/>
  <c r="AG1240" i="3315"/>
  <c r="J1240" i="3315"/>
  <c r="J94" i="3315"/>
  <c r="AG94" i="3315"/>
  <c r="AG451" i="3315"/>
  <c r="J451" i="3315"/>
  <c r="AG143" i="3315"/>
  <c r="J143" i="3315"/>
  <c r="AG162" i="3315"/>
  <c r="J162" i="3315"/>
  <c r="J149" i="3315"/>
  <c r="AG149" i="3315"/>
  <c r="AG904" i="3315"/>
  <c r="J904" i="3315"/>
  <c r="AG118" i="3315"/>
  <c r="J118" i="3315"/>
  <c r="AG429" i="3315"/>
  <c r="J429" i="3315"/>
  <c r="AG784" i="3315"/>
  <c r="J784" i="3315"/>
  <c r="AG430" i="3315"/>
  <c r="J430" i="3315"/>
  <c r="AG278" i="3315"/>
  <c r="J278" i="3315"/>
  <c r="AG554" i="3315"/>
  <c r="J554" i="3315"/>
  <c r="AG714" i="3315"/>
  <c r="J714" i="3315"/>
  <c r="AG933" i="3315"/>
  <c r="J933" i="3315"/>
  <c r="AG217" i="3315"/>
  <c r="J217" i="3315"/>
  <c r="AG584" i="3315"/>
  <c r="J584" i="3315"/>
  <c r="AG626" i="3315"/>
  <c r="J626" i="3315"/>
  <c r="J1227" i="3315"/>
  <c r="AG1227" i="3315"/>
  <c r="AG680" i="3315"/>
  <c r="J680" i="3315"/>
  <c r="J894" i="3315"/>
  <c r="AG894" i="3315"/>
  <c r="J43" i="3315"/>
  <c r="AG43" i="3315"/>
  <c r="I57" i="3315"/>
  <c r="AG984" i="3315"/>
  <c r="J984" i="3315"/>
  <c r="J812" i="3315"/>
  <c r="AG812" i="3315"/>
  <c r="J764" i="3315"/>
  <c r="AG764" i="3315"/>
  <c r="J736" i="3315"/>
  <c r="AG736" i="3315"/>
  <c r="J608" i="3315"/>
  <c r="AG608" i="3315"/>
  <c r="J1016" i="3315"/>
  <c r="AG1016" i="3315"/>
  <c r="AG303" i="3315"/>
  <c r="J303" i="3315"/>
  <c r="J656" i="3315"/>
  <c r="AG656" i="3315"/>
  <c r="AG48" i="3315"/>
  <c r="J48" i="3315"/>
  <c r="AG225" i="3315"/>
  <c r="J225" i="3315"/>
  <c r="J380" i="3315"/>
  <c r="AG380" i="3315"/>
  <c r="AG358" i="3315"/>
  <c r="J358" i="3315"/>
  <c r="AG78" i="3315"/>
  <c r="J78" i="3315"/>
  <c r="AG1216" i="3315"/>
  <c r="J1216" i="3315"/>
  <c r="J786" i="3315"/>
  <c r="AG786" i="3315"/>
  <c r="J222" i="3315"/>
  <c r="AG222" i="3315"/>
  <c r="AG731" i="3315"/>
  <c r="J731" i="3315"/>
  <c r="J433" i="3315"/>
  <c r="AG433" i="3315"/>
  <c r="J468" i="3315"/>
  <c r="AG468" i="3315"/>
  <c r="J818" i="3315"/>
  <c r="AG818" i="3315"/>
  <c r="J259" i="3315"/>
  <c r="AG259" i="3315"/>
  <c r="J599" i="3315"/>
  <c r="AG599" i="3315"/>
  <c r="J328" i="3315"/>
  <c r="AG328" i="3315"/>
  <c r="AG686" i="3315"/>
  <c r="J686" i="3315"/>
  <c r="AG223" i="3315"/>
  <c r="J223" i="3315"/>
  <c r="AG245" i="3315"/>
  <c r="J245" i="3315"/>
  <c r="AG805" i="3315"/>
  <c r="J805" i="3315"/>
  <c r="AG129" i="3315"/>
  <c r="J129" i="3315"/>
  <c r="AG273" i="3315"/>
  <c r="J273" i="3315"/>
  <c r="AG1239" i="3315"/>
  <c r="J1239" i="3315"/>
  <c r="AG1037" i="3315"/>
  <c r="J1037" i="3315"/>
  <c r="J1045" i="3315"/>
  <c r="AG1045" i="3315"/>
  <c r="J232" i="3315"/>
  <c r="AG232" i="3315"/>
  <c r="J427" i="3315"/>
  <c r="AG427" i="3315"/>
  <c r="AG1246" i="3315"/>
  <c r="J1246" i="3315"/>
  <c r="J255" i="3315"/>
  <c r="AG255" i="3315"/>
  <c r="J277" i="3315"/>
  <c r="AG277" i="3315"/>
  <c r="AG641" i="3315"/>
  <c r="J641" i="3315"/>
  <c r="AG63" i="3315"/>
  <c r="J63" i="3315"/>
  <c r="AG249" i="3315"/>
  <c r="J249" i="3315"/>
  <c r="AG662" i="3315"/>
  <c r="J662" i="3315"/>
  <c r="AG928" i="3315"/>
  <c r="J928" i="3315"/>
  <c r="AG621" i="3315"/>
  <c r="J621" i="3315"/>
  <c r="AG112" i="3315"/>
  <c r="J112" i="3315"/>
  <c r="J318" i="3315"/>
  <c r="AG318" i="3315"/>
  <c r="J596" i="3315"/>
  <c r="AG596" i="3315"/>
  <c r="J240" i="3315"/>
  <c r="AG240" i="3315"/>
  <c r="AG1023" i="3315"/>
  <c r="J1023" i="3315"/>
  <c r="AG1220" i="3315"/>
  <c r="J1220" i="3315"/>
  <c r="J226" i="3315"/>
  <c r="AG226" i="3315"/>
  <c r="AG304" i="3315"/>
  <c r="J304" i="3315"/>
  <c r="J842" i="3315"/>
  <c r="AG842" i="3315"/>
  <c r="J708" i="3315"/>
  <c r="AG708" i="3315"/>
  <c r="AG1188" i="3315"/>
  <c r="J1188" i="3315"/>
  <c r="J1010" i="3315"/>
  <c r="AG1010" i="3315"/>
  <c r="J188" i="3315"/>
  <c r="AG188" i="3315"/>
  <c r="J407" i="3315"/>
  <c r="AG407" i="3315"/>
  <c r="AG600" i="3315"/>
  <c r="J600" i="3315"/>
  <c r="J606" i="3315"/>
  <c r="AG606" i="3315"/>
  <c r="AG1231" i="3315"/>
  <c r="J1231" i="3315"/>
  <c r="J71" i="3315"/>
  <c r="AG71" i="3315"/>
  <c r="J498" i="3315"/>
  <c r="AG498" i="3315"/>
  <c r="J809" i="3315"/>
  <c r="AG809" i="3315"/>
  <c r="J935" i="3315"/>
  <c r="AG935" i="3315"/>
  <c r="J649" i="3315"/>
  <c r="AG649" i="3315"/>
  <c r="J855" i="3315"/>
  <c r="AG855" i="3315"/>
  <c r="AG906" i="3315"/>
  <c r="J906" i="3315"/>
  <c r="J103" i="3315"/>
  <c r="AG103" i="3315"/>
  <c r="AG899" i="3315"/>
  <c r="J899" i="3315"/>
  <c r="AG197" i="3315"/>
  <c r="J197" i="3315"/>
  <c r="J64" i="3315"/>
  <c r="AG64" i="3315"/>
  <c r="J755" i="3315"/>
  <c r="AG755" i="3315"/>
  <c r="J250" i="3315"/>
  <c r="AG250" i="3315"/>
  <c r="J655" i="3315"/>
  <c r="AG655" i="3315"/>
  <c r="J838" i="3315"/>
  <c r="AG838" i="3315"/>
  <c r="AG934" i="3315"/>
  <c r="J934" i="3315"/>
  <c r="J1221" i="3315"/>
  <c r="AG1221" i="3315"/>
  <c r="AG119" i="3315"/>
  <c r="J119" i="3315"/>
  <c r="AG636" i="3315"/>
  <c r="J636" i="3315"/>
  <c r="J276" i="3315"/>
  <c r="AG276" i="3315"/>
  <c r="J466" i="3315"/>
  <c r="AG466" i="3315"/>
  <c r="J739" i="3315"/>
  <c r="AG739" i="3315"/>
  <c r="J911" i="3315"/>
  <c r="AG911" i="3315"/>
  <c r="J1038" i="3315"/>
  <c r="AG1038" i="3315"/>
  <c r="J1028" i="3315"/>
  <c r="AG1028" i="3315"/>
  <c r="J995" i="3315"/>
  <c r="AG995" i="3315"/>
  <c r="AG988" i="3315"/>
  <c r="J988" i="3315"/>
  <c r="AG895" i="3315"/>
  <c r="J895" i="3315"/>
  <c r="AG823" i="3315"/>
  <c r="J823" i="3315"/>
  <c r="J1187" i="3315"/>
  <c r="AG1187" i="3315"/>
  <c r="AG652" i="3315"/>
  <c r="J652" i="3315"/>
  <c r="AG327" i="3315"/>
  <c r="J327" i="3315"/>
  <c r="AG95" i="3315"/>
  <c r="J95" i="3315"/>
  <c r="J470" i="3315"/>
  <c r="AG470" i="3315"/>
  <c r="J450" i="3315"/>
  <c r="AG450" i="3315"/>
  <c r="J176" i="3315"/>
  <c r="AG176" i="3315"/>
  <c r="AG712" i="3315"/>
  <c r="J712" i="3315"/>
  <c r="J578" i="3315"/>
  <c r="AG578" i="3315"/>
  <c r="J324" i="3315"/>
  <c r="AG324" i="3315"/>
  <c r="AG900" i="3315"/>
  <c r="J900" i="3315"/>
  <c r="J854" i="3315"/>
  <c r="AG854" i="3315"/>
  <c r="AG368" i="3315"/>
  <c r="J368" i="3315"/>
  <c r="AG62" i="3315"/>
  <c r="J62" i="3315"/>
  <c r="J950" i="3315"/>
  <c r="AG950" i="3315"/>
  <c r="J980" i="3315"/>
  <c r="AG980" i="3315"/>
  <c r="J289" i="3315"/>
  <c r="AG289" i="3315"/>
  <c r="AG1190" i="3315"/>
  <c r="J1190" i="3315"/>
  <c r="AG616" i="3315"/>
  <c r="J616" i="3315"/>
  <c r="J1184" i="3315"/>
  <c r="AG1184" i="3315"/>
  <c r="J215" i="3315"/>
  <c r="AG215" i="3315"/>
  <c r="J154" i="3315"/>
  <c r="AG154" i="3315"/>
  <c r="AG361" i="3315"/>
  <c r="J361" i="3315"/>
  <c r="AG1193" i="3315"/>
  <c r="J1193" i="3315"/>
  <c r="J46" i="3315"/>
  <c r="AG46" i="3315"/>
  <c r="J756" i="3315"/>
  <c r="AG756" i="3315"/>
  <c r="AG389" i="3315"/>
  <c r="I439" i="3315"/>
  <c r="J389" i="3315"/>
  <c r="AG792" i="3315"/>
  <c r="J792" i="3315"/>
  <c r="AG733" i="3315"/>
  <c r="J733" i="3315"/>
  <c r="AG638" i="3315"/>
  <c r="J638" i="3315"/>
  <c r="AG661" i="3315"/>
  <c r="J661" i="3315"/>
  <c r="AG977" i="3315"/>
  <c r="J977" i="3315"/>
  <c r="AG384" i="3315"/>
  <c r="J384" i="3315"/>
  <c r="AG425" i="3315"/>
  <c r="J425" i="3315"/>
  <c r="J200" i="3315"/>
  <c r="AG200" i="3315"/>
  <c r="AG219" i="3315"/>
  <c r="J219" i="3315"/>
  <c r="AG365" i="3315"/>
  <c r="J365" i="3315"/>
  <c r="AG595" i="3315"/>
  <c r="J595" i="3315"/>
  <c r="AG707" i="3315"/>
  <c r="J707" i="3315"/>
  <c r="J1004" i="3315"/>
  <c r="AG1004" i="3315"/>
  <c r="J982" i="3315"/>
  <c r="AG982" i="3315"/>
  <c r="J763" i="3315"/>
  <c r="AG763" i="3315"/>
  <c r="J711" i="3315"/>
  <c r="AG711" i="3315"/>
  <c r="J623" i="3315"/>
  <c r="AG623" i="3315"/>
  <c r="J1008" i="3315"/>
  <c r="AG1008" i="3315"/>
  <c r="AG111" i="3315"/>
  <c r="J111" i="3315"/>
  <c r="AG261" i="3315"/>
  <c r="J261" i="3315"/>
  <c r="J360" i="3315"/>
  <c r="AG360" i="3315"/>
  <c r="AG941" i="3315"/>
  <c r="J941" i="3315"/>
  <c r="AG672" i="3315"/>
  <c r="J672" i="3315"/>
  <c r="AG796" i="3315"/>
  <c r="J796" i="3315"/>
  <c r="J833" i="3315"/>
  <c r="AG833" i="3315"/>
  <c r="J943" i="3315"/>
  <c r="AG943" i="3315"/>
  <c r="J669" i="3315"/>
  <c r="AG669" i="3315"/>
  <c r="J865" i="3315"/>
  <c r="AG865" i="3315"/>
  <c r="J1228" i="3315"/>
  <c r="AG1228" i="3315"/>
  <c r="AG1247" i="3315"/>
  <c r="J1247" i="3315"/>
  <c r="J242" i="3315"/>
  <c r="AG242" i="3315"/>
  <c r="AG1238" i="3315"/>
  <c r="J1238" i="3315"/>
  <c r="AG136" i="3315"/>
  <c r="J136" i="3315"/>
  <c r="AG220" i="3315"/>
  <c r="J220" i="3315"/>
  <c r="AG428" i="3315"/>
  <c r="J428" i="3315"/>
  <c r="AG438" i="3315"/>
  <c r="J438" i="3315"/>
  <c r="AG549" i="3315"/>
  <c r="J549" i="3315"/>
  <c r="AG66" i="3315"/>
  <c r="J66" i="3315"/>
  <c r="J239" i="3315"/>
  <c r="AG239" i="3315"/>
  <c r="J432" i="3315"/>
  <c r="AG432" i="3315"/>
  <c r="AG476" i="3315"/>
  <c r="J476" i="3315"/>
  <c r="J334" i="3315"/>
  <c r="AG334" i="3315"/>
  <c r="I353" i="3315"/>
  <c r="AG342" i="3315"/>
  <c r="J342" i="3315"/>
  <c r="J932" i="3315"/>
  <c r="AG932" i="3315"/>
  <c r="J629" i="3315"/>
  <c r="AG629" i="3315"/>
  <c r="AG862" i="3315"/>
  <c r="J862" i="3315"/>
  <c r="AG116" i="3315"/>
  <c r="J116" i="3315"/>
  <c r="AG794" i="3315"/>
  <c r="J794" i="3315"/>
  <c r="AG908" i="3315"/>
  <c r="J908" i="3315"/>
  <c r="J101" i="3315"/>
  <c r="AG101" i="3315"/>
  <c r="AG274" i="3315"/>
  <c r="J274" i="3315"/>
  <c r="AG90" i="3315"/>
  <c r="J90" i="3315"/>
  <c r="AG379" i="3315"/>
  <c r="J379" i="3315"/>
  <c r="AG160" i="3315"/>
  <c r="J160" i="3315"/>
  <c r="AG404" i="3315"/>
  <c r="J404" i="3315"/>
  <c r="AG535" i="3315"/>
  <c r="J535" i="3315"/>
  <c r="AG523" i="3315"/>
  <c r="J523" i="3315"/>
  <c r="J89" i="3315"/>
  <c r="AG89" i="3315"/>
  <c r="AG96" i="3315"/>
  <c r="J96" i="3315"/>
  <c r="AG1041" i="3315"/>
  <c r="J1041" i="3315"/>
  <c r="AG325" i="3315"/>
  <c r="J325" i="3315"/>
  <c r="AG224" i="3315"/>
  <c r="J224" i="3315"/>
  <c r="AG423" i="3315"/>
  <c r="J423" i="3315"/>
  <c r="AG60" i="3315"/>
  <c r="J60" i="3315"/>
  <c r="I132" i="3315"/>
  <c r="AG1235" i="3315"/>
  <c r="J1235" i="3315"/>
  <c r="J434" i="3315"/>
  <c r="AG434" i="3315"/>
  <c r="J526" i="3315"/>
  <c r="AG526" i="3315"/>
  <c r="J137" i="3315"/>
  <c r="AG137" i="3315"/>
  <c r="J936" i="3315"/>
  <c r="AG936" i="3315"/>
  <c r="J645" i="3315"/>
  <c r="AG645" i="3315"/>
  <c r="J866" i="3315"/>
  <c r="AG866" i="3315"/>
  <c r="J128" i="3315"/>
  <c r="AG128" i="3315"/>
  <c r="J798" i="3315"/>
  <c r="AG798" i="3315"/>
  <c r="AG682" i="3315"/>
  <c r="J682" i="3315"/>
  <c r="AG890" i="3315"/>
  <c r="J890" i="3315"/>
  <c r="J780" i="3315"/>
  <c r="AG780" i="3315"/>
  <c r="AG1001" i="3315"/>
  <c r="J1001" i="3315"/>
  <c r="J263" i="3315"/>
  <c r="AG263" i="3315"/>
  <c r="J660" i="3315"/>
  <c r="AG660" i="3315"/>
  <c r="J202" i="3315"/>
  <c r="AG202" i="3315"/>
  <c r="AG603" i="3315"/>
  <c r="J603" i="3315"/>
  <c r="AG139" i="3315"/>
  <c r="J139" i="3315"/>
  <c r="J985" i="3315"/>
  <c r="AG985" i="3315"/>
  <c r="AG121" i="3315"/>
  <c r="J121" i="3315"/>
  <c r="J260" i="3315"/>
  <c r="AG260" i="3315"/>
  <c r="AG364" i="3315"/>
  <c r="J364" i="3315"/>
  <c r="AG570" i="3315"/>
  <c r="I585" i="3315"/>
  <c r="J570" i="3315"/>
  <c r="J390" i="3315"/>
  <c r="AG390" i="3315"/>
  <c r="J912" i="3315"/>
  <c r="AG912" i="3315"/>
  <c r="J1034" i="3315"/>
  <c r="AG1034" i="3315"/>
  <c r="J831" i="3315"/>
  <c r="AG831" i="3315"/>
  <c r="J72" i="3315"/>
  <c r="AG72" i="3315"/>
  <c r="J774" i="3315"/>
  <c r="AG774" i="3315"/>
  <c r="J992" i="3315"/>
  <c r="AG992" i="3315"/>
  <c r="AG722" i="3315"/>
  <c r="J722" i="3315"/>
  <c r="J159" i="3315"/>
  <c r="AG159" i="3315"/>
  <c r="J194" i="3315"/>
  <c r="AG194" i="3315"/>
  <c r="J181" i="3315"/>
  <c r="AG181" i="3315"/>
  <c r="J126" i="3315"/>
  <c r="AG126" i="3315"/>
  <c r="J700" i="3315"/>
  <c r="AG700" i="3315"/>
  <c r="J340" i="3315"/>
  <c r="AG340" i="3315"/>
  <c r="J824" i="3315"/>
  <c r="AG824" i="3315"/>
  <c r="J180" i="3315"/>
  <c r="AG180" i="3315"/>
  <c r="J77" i="3315"/>
  <c r="AG77" i="3315"/>
  <c r="J412" i="3315"/>
  <c r="AG412" i="3315"/>
  <c r="J775" i="3315"/>
  <c r="AG775" i="3315"/>
  <c r="J556" i="3315"/>
  <c r="AG556" i="3315"/>
  <c r="J257" i="3315"/>
  <c r="AG257" i="3315"/>
  <c r="J531" i="3315"/>
  <c r="AG531" i="3315"/>
  <c r="J671" i="3315"/>
  <c r="AG671" i="3315"/>
  <c r="AG903" i="3315"/>
  <c r="J903" i="3315"/>
  <c r="AG1234" i="3315"/>
  <c r="J1234" i="3315"/>
  <c r="AG744" i="3315"/>
  <c r="J744" i="3315"/>
  <c r="J207" i="3315"/>
  <c r="AG207" i="3315"/>
  <c r="J987" i="3315"/>
  <c r="AG987" i="3315"/>
  <c r="J400" i="3315"/>
  <c r="AG400" i="3315"/>
  <c r="AG869" i="3315"/>
  <c r="J869" i="3315"/>
  <c r="J926" i="3315"/>
  <c r="AG926" i="3315"/>
  <c r="J694" i="3315"/>
  <c r="AG694" i="3315"/>
  <c r="AG442" i="3315"/>
  <c r="I461" i="3315"/>
  <c r="J442" i="3315"/>
  <c r="J406" i="3315"/>
  <c r="AG406" i="3315"/>
  <c r="J183" i="3315"/>
  <c r="AG183" i="3315"/>
  <c r="J916" i="3315"/>
  <c r="AG916" i="3315"/>
  <c r="J1014" i="3315"/>
  <c r="AG1014" i="3315"/>
  <c r="J1042" i="3315"/>
  <c r="AG1042" i="3315"/>
  <c r="J345" i="3315"/>
  <c r="AG345" i="3315"/>
  <c r="AG836" i="3315"/>
  <c r="J836" i="3315"/>
  <c r="J196" i="3315"/>
  <c r="AG196" i="3315"/>
  <c r="AG76" i="3315"/>
  <c r="J76" i="3315"/>
  <c r="AG411" i="3315"/>
  <c r="J411" i="3315"/>
  <c r="AG778" i="3315"/>
  <c r="J778" i="3315"/>
  <c r="AG1181" i="3315"/>
  <c r="J1181" i="3315"/>
  <c r="AG853" i="3315"/>
  <c r="J853" i="3315"/>
  <c r="J748" i="3315"/>
  <c r="AG748" i="3315"/>
  <c r="AG191" i="3315"/>
  <c r="J191" i="3315"/>
  <c r="J210" i="3315"/>
  <c r="AG210" i="3315"/>
  <c r="AG213" i="3315"/>
  <c r="J213" i="3315"/>
  <c r="J852" i="3315"/>
  <c r="AG852" i="3315"/>
  <c r="J56" i="3315"/>
  <c r="AG56" i="3315"/>
  <c r="J363" i="3315"/>
  <c r="AG363" i="3315"/>
  <c r="J800" i="3315"/>
  <c r="AG800" i="3315"/>
  <c r="J347" i="3315"/>
  <c r="AG347" i="3315"/>
  <c r="J294" i="3315"/>
  <c r="AG294" i="3315"/>
  <c r="J456" i="3315"/>
  <c r="AG456" i="3315"/>
  <c r="J741" i="3315"/>
  <c r="AG741" i="3315"/>
  <c r="J471" i="3315"/>
  <c r="AG471" i="3315"/>
  <c r="J233" i="3315"/>
  <c r="AG233" i="3315"/>
  <c r="J488" i="3315"/>
  <c r="AG488" i="3315"/>
  <c r="J646" i="3315"/>
  <c r="AG646" i="3315"/>
  <c r="J316" i="3315"/>
  <c r="AG316" i="3315"/>
  <c r="J689" i="3315"/>
  <c r="AG689" i="3315"/>
  <c r="J576" i="3315"/>
  <c r="AG576" i="3315"/>
  <c r="J828" i="3315"/>
  <c r="AG828" i="3315"/>
  <c r="J871" i="3315"/>
  <c r="AG871" i="3315"/>
  <c r="AG860" i="3315"/>
  <c r="J860" i="3315"/>
  <c r="J688" i="3315"/>
  <c r="AG688" i="3315"/>
  <c r="AG284" i="3315"/>
  <c r="J284" i="3315"/>
  <c r="AG299" i="3315"/>
  <c r="J299" i="3315"/>
  <c r="AG457" i="3315"/>
  <c r="J457" i="3315"/>
  <c r="AG734" i="3315"/>
  <c r="J734" i="3315"/>
  <c r="AG487" i="3315"/>
  <c r="J487" i="3315"/>
  <c r="AG238" i="3315"/>
  <c r="J238" i="3315"/>
  <c r="AG493" i="3315"/>
  <c r="J493" i="3315"/>
  <c r="AG643" i="3315"/>
  <c r="J643" i="3315"/>
  <c r="AG813" i="3315"/>
  <c r="J813" i="3315"/>
  <c r="AG177" i="3315"/>
  <c r="J177" i="3315"/>
  <c r="AG922" i="3315"/>
  <c r="J922" i="3315"/>
  <c r="AG1039" i="3315"/>
  <c r="J1039" i="3315"/>
  <c r="AG907" i="3315"/>
  <c r="J907" i="3315"/>
  <c r="AG93" i="3315"/>
  <c r="J93" i="3315"/>
  <c r="AG979" i="3315"/>
  <c r="J979" i="3315"/>
  <c r="AG555" i="3315"/>
  <c r="J555" i="3315"/>
  <c r="J817" i="3315"/>
  <c r="AG817" i="3315"/>
  <c r="AG844" i="3315"/>
  <c r="J844" i="3315"/>
  <c r="J293" i="3315"/>
  <c r="AG293" i="3315"/>
  <c r="J717" i="3315"/>
  <c r="AG717" i="3315"/>
  <c r="AG453" i="3315"/>
  <c r="J453" i="3315"/>
  <c r="AG1007" i="3315"/>
  <c r="J1007" i="3315"/>
  <c r="J367" i="3315"/>
  <c r="AG367" i="3315"/>
  <c r="J804" i="3315"/>
  <c r="AG804" i="3315"/>
  <c r="J323" i="3315"/>
  <c r="AG323" i="3315"/>
  <c r="AG298" i="3315"/>
  <c r="J298" i="3315"/>
  <c r="J460" i="3315"/>
  <c r="AG460" i="3315"/>
  <c r="J754" i="3315"/>
  <c r="AG754" i="3315"/>
  <c r="J475" i="3315"/>
  <c r="AG475" i="3315"/>
  <c r="AG237" i="3315"/>
  <c r="J237" i="3315"/>
  <c r="AG492" i="3315"/>
  <c r="J492" i="3315"/>
  <c r="AG650" i="3315"/>
  <c r="J650" i="3315"/>
  <c r="AG1244" i="3315"/>
  <c r="J1244" i="3315"/>
  <c r="J745" i="3315"/>
  <c r="AG745" i="3315"/>
  <c r="AG726" i="3315"/>
  <c r="J726" i="3315"/>
  <c r="J876" i="3315"/>
  <c r="AG876" i="3315"/>
  <c r="J923" i="3315"/>
  <c r="AG923" i="3315"/>
  <c r="J901" i="3315"/>
  <c r="AG901" i="3315"/>
  <c r="AG1182" i="3315"/>
  <c r="J1182" i="3315"/>
  <c r="J264" i="3315"/>
  <c r="AG264" i="3315"/>
  <c r="J275" i="3315"/>
  <c r="AG275" i="3315"/>
  <c r="J543" i="3315"/>
  <c r="AG543" i="3315"/>
  <c r="J703" i="3315"/>
  <c r="AG703" i="3315"/>
  <c r="J881" i="3315"/>
  <c r="AG881" i="3315"/>
  <c r="J214" i="3315"/>
  <c r="AG214" i="3315"/>
  <c r="J581" i="3315"/>
  <c r="AG581" i="3315"/>
  <c r="J615" i="3315"/>
  <c r="AG615" i="3315"/>
  <c r="J743" i="3315"/>
  <c r="AG743" i="3315"/>
  <c r="J153" i="3315"/>
  <c r="AG153" i="3315"/>
  <c r="J882" i="3315"/>
  <c r="AG882" i="3315"/>
  <c r="J1000" i="3315"/>
  <c r="AG1000" i="3315"/>
  <c r="AG86" i="3315"/>
  <c r="J86" i="3315"/>
  <c r="J447" i="3315"/>
  <c r="AG447" i="3315"/>
  <c r="J1206" i="3315"/>
  <c r="AG1206" i="3315"/>
  <c r="I1106" i="3315"/>
  <c r="I1110" i="3315"/>
  <c r="I1111" i="3315"/>
  <c r="I1102" i="3315"/>
  <c r="I1073" i="3315"/>
  <c r="I1075" i="3315"/>
  <c r="I1131" i="3315"/>
  <c r="I1062" i="3315"/>
  <c r="I1117" i="3315"/>
  <c r="I1077" i="3315"/>
  <c r="I1055" i="3315"/>
  <c r="I1053" i="3315"/>
  <c r="I1087" i="3315"/>
  <c r="I1152" i="3315"/>
  <c r="I1121" i="3315"/>
  <c r="I1125" i="3315"/>
  <c r="I1085" i="3315"/>
  <c r="I1159" i="3315"/>
  <c r="I1078" i="3315"/>
  <c r="I1068" i="3315"/>
  <c r="I1063" i="3315"/>
  <c r="I1129" i="3315"/>
  <c r="I1146" i="3315"/>
  <c r="I1099" i="3315"/>
  <c r="I1107" i="3315"/>
  <c r="I1134" i="3315"/>
  <c r="I1145" i="3315"/>
  <c r="I1090" i="3315"/>
  <c r="I1150" i="3315"/>
  <c r="I1122" i="3315"/>
  <c r="I1126" i="3315"/>
  <c r="I1097" i="3315"/>
  <c r="I1100" i="3315"/>
  <c r="I1151" i="3315"/>
  <c r="I1137" i="3315"/>
  <c r="I1116" i="3315"/>
  <c r="I1058" i="3315"/>
  <c r="I1120" i="3315"/>
  <c r="I1086" i="3315"/>
  <c r="I1130" i="3315"/>
  <c r="I1133" i="3315"/>
  <c r="I1160" i="3315"/>
  <c r="I1081" i="3315"/>
  <c r="I1067" i="3315"/>
  <c r="I1103" i="3315"/>
  <c r="I1101" i="3315"/>
  <c r="I1153" i="3315"/>
  <c r="I1071" i="3315"/>
  <c r="I1135" i="3315"/>
  <c r="I1123" i="3315"/>
  <c r="I1144" i="3315"/>
  <c r="I1059" i="3315"/>
  <c r="I1114" i="3315"/>
  <c r="I1074" i="3315"/>
  <c r="I1095" i="3315"/>
  <c r="I1108" i="3315"/>
  <c r="I1124" i="3315"/>
  <c r="I1084" i="3315"/>
  <c r="I1089" i="3315"/>
  <c r="I1127" i="3315"/>
  <c r="I1060" i="3315"/>
  <c r="I1070" i="3315"/>
  <c r="I1136" i="3315"/>
  <c r="I1065" i="3315"/>
  <c r="I1079" i="3315"/>
  <c r="I1061" i="3315"/>
  <c r="I1069" i="3315"/>
  <c r="I1132" i="3315"/>
  <c r="I1057" i="3315"/>
  <c r="I1064" i="3315"/>
  <c r="I1082" i="3315"/>
  <c r="I1104" i="3315"/>
  <c r="I1112" i="3315"/>
  <c r="I1072" i="3315"/>
  <c r="I1109" i="3315"/>
  <c r="I1119" i="3315"/>
  <c r="I1142" i="3315"/>
  <c r="I1066" i="3315"/>
  <c r="I1056" i="3315"/>
  <c r="I1094" i="3315"/>
  <c r="I1113" i="3315"/>
  <c r="I1054" i="3315"/>
  <c r="I1158" i="3315"/>
  <c r="I1098" i="3315"/>
  <c r="I1141" i="3315"/>
  <c r="I1118" i="3315"/>
  <c r="I1076" i="3315"/>
  <c r="I1080" i="3315"/>
  <c r="I1161" i="3315"/>
  <c r="I1128" i="3315"/>
  <c r="I1143" i="3315"/>
  <c r="I1105" i="3315"/>
  <c r="I1083" i="3315"/>
  <c r="I1154" i="3315"/>
  <c r="I1096" i="3315"/>
  <c r="I1115" i="3315"/>
  <c r="I1088" i="3315"/>
  <c r="AG887" i="3315"/>
  <c r="J887" i="3315"/>
  <c r="AG883" i="3315"/>
  <c r="J883" i="3315"/>
  <c r="AG693" i="3315"/>
  <c r="J693" i="3315"/>
  <c r="J85" i="3315"/>
  <c r="AG85" i="3315"/>
  <c r="J465" i="3315"/>
  <c r="AG465" i="3315"/>
  <c r="I567" i="3315"/>
  <c r="J65" i="3315"/>
  <c r="AG65" i="3315"/>
  <c r="J832" i="3315"/>
  <c r="AG832" i="3315"/>
  <c r="AG729" i="3315"/>
  <c r="J729" i="3315"/>
  <c r="J155" i="3315"/>
  <c r="AG155" i="3315"/>
  <c r="J362" i="3315"/>
  <c r="AG362" i="3315"/>
  <c r="J445" i="3315"/>
  <c r="AG445" i="3315"/>
  <c r="AG315" i="3315"/>
  <c r="J315" i="3315"/>
  <c r="AG382" i="3315"/>
  <c r="J382" i="3315"/>
  <c r="J687" i="3315"/>
  <c r="AG687" i="3315"/>
  <c r="J956" i="3315"/>
  <c r="AG956" i="3315"/>
  <c r="J879" i="3315"/>
  <c r="AG879" i="3315"/>
  <c r="AG810" i="3315"/>
  <c r="J810" i="3315"/>
  <c r="J692" i="3315"/>
  <c r="AG692" i="3315"/>
  <c r="J1217" i="3315"/>
  <c r="AG1217" i="3315"/>
  <c r="J322" i="3315"/>
  <c r="AG322" i="3315"/>
  <c r="J416" i="3315"/>
  <c r="AG416" i="3315"/>
  <c r="AG372" i="3315"/>
  <c r="J372" i="3315"/>
  <c r="AG957" i="3315"/>
  <c r="J957" i="3315"/>
  <c r="AG1185" i="3315"/>
  <c r="J1185" i="3315"/>
  <c r="J346" i="3315"/>
  <c r="AG346" i="3315"/>
  <c r="J835" i="3315"/>
  <c r="AG835" i="3315"/>
  <c r="AG929" i="3315"/>
  <c r="J929" i="3315"/>
  <c r="AG55" i="3315"/>
  <c r="J55" i="3315"/>
  <c r="J285" i="3315"/>
  <c r="AG285" i="3315"/>
  <c r="AG1223" i="3315"/>
  <c r="J1223" i="3315"/>
  <c r="AG366" i="3315"/>
  <c r="J366" i="3315"/>
  <c r="AG300" i="3315"/>
  <c r="J300" i="3315"/>
  <c r="AG49" i="3315"/>
  <c r="J49" i="3315"/>
  <c r="AG612" i="3315"/>
  <c r="J612" i="3315"/>
  <c r="AG1020" i="3315"/>
  <c r="J1020" i="3315"/>
  <c r="AG1024" i="3315"/>
  <c r="J1024" i="3315"/>
  <c r="AG218" i="3315"/>
  <c r="J218" i="3315"/>
  <c r="AG698" i="3315"/>
  <c r="J698" i="3315"/>
  <c r="J795" i="3315"/>
  <c r="AG795" i="3315"/>
  <c r="J296" i="3315"/>
  <c r="AG296" i="3315"/>
  <c r="J917" i="3315"/>
  <c r="AG917" i="3315"/>
  <c r="J772" i="3315"/>
  <c r="AG772" i="3315"/>
  <c r="AG1179" i="3315"/>
  <c r="J1179" i="3315"/>
  <c r="I1250" i="3315"/>
  <c r="J521" i="3315"/>
  <c r="AG521" i="3315"/>
  <c r="J658" i="3315"/>
  <c r="AG658" i="3315"/>
  <c r="J44" i="3315"/>
  <c r="AG44" i="3315"/>
  <c r="J282" i="3315"/>
  <c r="AG282" i="3315"/>
  <c r="J221" i="3315"/>
  <c r="AG221" i="3315"/>
  <c r="J847" i="3315"/>
  <c r="AG847" i="3315"/>
  <c r="J827" i="3315"/>
  <c r="AG827" i="3315"/>
  <c r="J256" i="3315"/>
  <c r="AG256" i="3315"/>
  <c r="J113" i="3315"/>
  <c r="AG113" i="3315"/>
  <c r="J783" i="3315"/>
  <c r="AG783" i="3315"/>
  <c r="J265" i="3315"/>
  <c r="AG265" i="3315"/>
  <c r="J705" i="3315"/>
  <c r="AG705" i="3315"/>
  <c r="AG1204" i="3315"/>
  <c r="J1204" i="3315"/>
  <c r="AG737" i="3315"/>
  <c r="J737" i="3315"/>
  <c r="AG124" i="3315"/>
  <c r="J124" i="3315"/>
  <c r="AG115" i="3315"/>
  <c r="J115" i="3315"/>
  <c r="AG534" i="3315"/>
  <c r="J534" i="3315"/>
  <c r="AG864" i="3315"/>
  <c r="J864" i="3315"/>
  <c r="AG955" i="3315"/>
  <c r="J955" i="3315"/>
  <c r="AG716" i="3315"/>
  <c r="J716" i="3315"/>
  <c r="AG874" i="3315"/>
  <c r="J874" i="3315"/>
  <c r="AG317" i="3315"/>
  <c r="J317" i="3315"/>
  <c r="AG1232" i="3315"/>
  <c r="J1232" i="3315"/>
  <c r="J940" i="3315"/>
  <c r="AG940" i="3315"/>
  <c r="AG762" i="3315"/>
  <c r="J762" i="3315"/>
  <c r="J622" i="3315"/>
  <c r="AG622" i="3315"/>
  <c r="J106" i="3315"/>
  <c r="AG106" i="3315"/>
  <c r="J771" i="3315"/>
  <c r="AG771" i="3315"/>
  <c r="J266" i="3315"/>
  <c r="AG266" i="3315"/>
  <c r="J702" i="3315"/>
  <c r="AG702" i="3315"/>
  <c r="J205" i="3315"/>
  <c r="AG205" i="3315"/>
  <c r="AG614" i="3315"/>
  <c r="J614" i="3315"/>
  <c r="J695" i="3315"/>
  <c r="AG695" i="3315"/>
  <c r="J779" i="3315"/>
  <c r="AG779" i="3315"/>
  <c r="AG84" i="3315"/>
  <c r="J84" i="3315"/>
  <c r="AG127" i="3315"/>
  <c r="J127" i="3315"/>
  <c r="AG490" i="3315"/>
  <c r="J490" i="3315"/>
  <c r="AG789" i="3315"/>
  <c r="J789" i="3315"/>
  <c r="AG927" i="3315"/>
  <c r="J927" i="3315"/>
  <c r="AG625" i="3315"/>
  <c r="J625" i="3315"/>
  <c r="AG839" i="3315"/>
  <c r="J839" i="3315"/>
  <c r="AG1243" i="3315"/>
  <c r="J1243" i="3315"/>
  <c r="J1242" i="3315"/>
  <c r="AG1242" i="3315"/>
  <c r="AG458" i="3315"/>
  <c r="J458" i="3315"/>
  <c r="AG538" i="3315"/>
  <c r="J538" i="3315"/>
  <c r="AG877" i="3315"/>
  <c r="J877" i="3315"/>
  <c r="AG946" i="3315"/>
  <c r="J946" i="3315"/>
  <c r="J889" i="3315"/>
  <c r="AG889" i="3315"/>
  <c r="AG674" i="3315"/>
  <c r="J674" i="3315"/>
  <c r="AG478" i="3315"/>
  <c r="J478" i="3315"/>
  <c r="AG500" i="3315"/>
  <c r="J500" i="3315"/>
  <c r="J110" i="3315"/>
  <c r="AG110" i="3315"/>
  <c r="J776" i="3315"/>
  <c r="AG776" i="3315"/>
  <c r="J270" i="3315"/>
  <c r="AG270" i="3315"/>
  <c r="J706" i="3315"/>
  <c r="AG706" i="3315"/>
  <c r="J209" i="3315"/>
  <c r="AG209" i="3315"/>
  <c r="J618" i="3315"/>
  <c r="AG618" i="3315"/>
  <c r="J684" i="3315"/>
  <c r="AG684" i="3315"/>
  <c r="J562" i="3315"/>
  <c r="AG562" i="3315"/>
  <c r="J1015" i="3315"/>
  <c r="AG1015" i="3315"/>
  <c r="J849" i="3315"/>
  <c r="AG849" i="3315"/>
  <c r="J326" i="3315"/>
  <c r="AG326" i="3315"/>
  <c r="J208" i="3315"/>
  <c r="AG208" i="3315"/>
  <c r="J424" i="3315"/>
  <c r="AG424" i="3315"/>
  <c r="AG426" i="3315"/>
  <c r="J426" i="3315"/>
  <c r="AG545" i="3315"/>
  <c r="J545" i="3315"/>
  <c r="J1211" i="3315"/>
  <c r="AG1211" i="3315"/>
  <c r="J679" i="3315"/>
  <c r="AG679" i="3315"/>
  <c r="J539" i="3315"/>
  <c r="AG539" i="3315"/>
  <c r="AG553" i="3315"/>
  <c r="J553" i="3315"/>
  <c r="J307" i="3315"/>
  <c r="AG307" i="3315"/>
  <c r="J742" i="3315"/>
  <c r="AG742" i="3315"/>
  <c r="J246" i="3315"/>
  <c r="AG246" i="3315"/>
  <c r="J651" i="3315"/>
  <c r="AG651" i="3315"/>
  <c r="J185" i="3315"/>
  <c r="AG185" i="3315"/>
  <c r="J1047" i="3315"/>
  <c r="AG1047" i="3315"/>
  <c r="AG69" i="3315"/>
  <c r="J69" i="3315"/>
  <c r="AG924" i="3315"/>
  <c r="J924" i="3315"/>
  <c r="J572" i="3315"/>
  <c r="AG572" i="3315"/>
  <c r="AG942" i="3315"/>
  <c r="J942" i="3315"/>
  <c r="J1236" i="3315"/>
  <c r="AG1236" i="3315"/>
  <c r="AG53" i="3315"/>
  <c r="J53" i="3315"/>
  <c r="AG70" i="3315"/>
  <c r="J70" i="3315"/>
  <c r="AG405" i="3315"/>
  <c r="J405" i="3315"/>
  <c r="AG759" i="3315"/>
  <c r="J759" i="3315"/>
  <c r="AG552" i="3315"/>
  <c r="J552" i="3315"/>
  <c r="AG254" i="3315"/>
  <c r="J254" i="3315"/>
  <c r="AG528" i="3315"/>
  <c r="J528" i="3315"/>
  <c r="AG659" i="3315"/>
  <c r="J659" i="3315"/>
  <c r="AG859" i="3315"/>
  <c r="J859" i="3315"/>
  <c r="AG193" i="3315"/>
  <c r="J193" i="3315"/>
  <c r="AG938" i="3315"/>
  <c r="J938" i="3315"/>
  <c r="AG602" i="3315"/>
  <c r="J602" i="3315"/>
  <c r="AG1237" i="3315"/>
  <c r="J1237" i="3315"/>
  <c r="AG893" i="3315"/>
  <c r="J893" i="3315"/>
  <c r="J91" i="3315"/>
  <c r="AG91" i="3315"/>
  <c r="AG409" i="3315"/>
  <c r="J409" i="3315"/>
  <c r="AG925" i="3315"/>
  <c r="J925" i="3315"/>
  <c r="AG898" i="3315"/>
  <c r="J898" i="3315"/>
  <c r="AG108" i="3315"/>
  <c r="J108" i="3315"/>
  <c r="J769" i="3315"/>
  <c r="AG769" i="3315"/>
  <c r="AG97" i="3315"/>
  <c r="J97" i="3315"/>
  <c r="AG653" i="3315"/>
  <c r="J653" i="3315"/>
  <c r="AG383" i="3315"/>
  <c r="J383" i="3315"/>
  <c r="AG820" i="3315"/>
  <c r="J820" i="3315"/>
  <c r="AG172" i="3315"/>
  <c r="J172" i="3315"/>
  <c r="AG73" i="3315"/>
  <c r="J73" i="3315"/>
  <c r="AG408" i="3315"/>
  <c r="J408" i="3315"/>
  <c r="J770" i="3315"/>
  <c r="AG770" i="3315"/>
  <c r="J548" i="3315"/>
  <c r="AG548" i="3315"/>
  <c r="J253" i="3315"/>
  <c r="AG253" i="3315"/>
  <c r="AG527" i="3315"/>
  <c r="J527" i="3315"/>
  <c r="J666" i="3315"/>
  <c r="AG666" i="3315"/>
  <c r="J888" i="3315"/>
  <c r="AG888" i="3315"/>
  <c r="J673" i="3315"/>
  <c r="AG673" i="3315"/>
  <c r="J727" i="3315"/>
  <c r="AG727" i="3315"/>
  <c r="J582" i="3315"/>
  <c r="AG582" i="3315"/>
  <c r="AG497" i="3315"/>
  <c r="J497" i="3315"/>
  <c r="AG580" i="3315"/>
  <c r="J580" i="3315"/>
  <c r="J690" i="3315"/>
  <c r="AG690" i="3315"/>
  <c r="AG107" i="3315"/>
  <c r="J107" i="3315"/>
  <c r="AG291" i="3315"/>
  <c r="J291" i="3315"/>
  <c r="AG560" i="3315"/>
  <c r="J560" i="3315"/>
  <c r="AG719" i="3315"/>
  <c r="J719" i="3315"/>
  <c r="AG937" i="3315"/>
  <c r="J937" i="3315"/>
  <c r="AG230" i="3315"/>
  <c r="J230" i="3315"/>
  <c r="AG477" i="3315"/>
  <c r="J477" i="3315"/>
  <c r="AG635" i="3315"/>
  <c r="J635" i="3315"/>
  <c r="AG793" i="3315"/>
  <c r="J793" i="3315"/>
  <c r="AG169" i="3315"/>
  <c r="J169" i="3315"/>
  <c r="AG914" i="3315"/>
  <c r="J914" i="3315"/>
  <c r="AG1031" i="3315"/>
  <c r="J1031" i="3315"/>
  <c r="J1212" i="3315"/>
  <c r="AG1212" i="3315"/>
  <c r="AG579" i="3315"/>
  <c r="J579" i="3315"/>
  <c r="AG910" i="3315"/>
  <c r="J910" i="3315"/>
  <c r="AG252" i="3315"/>
  <c r="J252" i="3315"/>
  <c r="AG228" i="3315"/>
  <c r="J228" i="3315"/>
  <c r="J1032" i="3315"/>
  <c r="AG1032" i="3315"/>
  <c r="AG1012" i="3315"/>
  <c r="J1012" i="3315"/>
  <c r="AG98" i="3315"/>
  <c r="J98" i="3315"/>
  <c r="J61" i="3315"/>
  <c r="AG61" i="3315"/>
  <c r="J235" i="3315"/>
  <c r="AG235" i="3315"/>
  <c r="J474" i="3315"/>
  <c r="AG474" i="3315"/>
  <c r="J628" i="3315"/>
  <c r="AG628" i="3315"/>
  <c r="J768" i="3315"/>
  <c r="AG768" i="3315"/>
  <c r="J174" i="3315"/>
  <c r="AG174" i="3315"/>
  <c r="J919" i="3315"/>
  <c r="AG919" i="3315"/>
  <c r="J1013" i="3315"/>
  <c r="AG1013" i="3315"/>
  <c r="J605" i="3315"/>
  <c r="AG605" i="3315"/>
  <c r="J381" i="3315"/>
  <c r="AG381" i="3315"/>
  <c r="J830" i="3315"/>
  <c r="AG830" i="3315"/>
  <c r="J1029" i="3315"/>
  <c r="AG1029" i="3315"/>
  <c r="J750" i="3315"/>
  <c r="AG750" i="3315"/>
  <c r="AG123" i="3315"/>
  <c r="J123" i="3315"/>
  <c r="AG1210" i="3315"/>
  <c r="J1210" i="3315"/>
  <c r="AG164" i="3315"/>
  <c r="J164" i="3315"/>
  <c r="J858" i="3315"/>
  <c r="AG858" i="3315"/>
  <c r="AG306" i="3315"/>
  <c r="J306" i="3315"/>
  <c r="J647" i="3315"/>
  <c r="AG647" i="3315"/>
  <c r="AG165" i="3315"/>
  <c r="J165" i="3315"/>
  <c r="J996" i="3315"/>
  <c r="AG996" i="3315"/>
  <c r="J677" i="3315"/>
  <c r="AG677" i="3315"/>
  <c r="J45" i="3315"/>
  <c r="AG45" i="3315"/>
  <c r="AG295" i="3315"/>
  <c r="J295" i="3315"/>
  <c r="J443" i="3315"/>
  <c r="AG443" i="3315"/>
  <c r="AG730" i="3315"/>
  <c r="J730" i="3315"/>
  <c r="J945" i="3315"/>
  <c r="AG945" i="3315"/>
  <c r="J234" i="3315"/>
  <c r="AG234" i="3315"/>
  <c r="J489" i="3315"/>
  <c r="AG489" i="3315"/>
  <c r="AG639" i="3315"/>
  <c r="J639" i="3315"/>
  <c r="J801" i="3315"/>
  <c r="AG801" i="3315"/>
  <c r="J173" i="3315"/>
  <c r="AG173" i="3315"/>
  <c r="J918" i="3315"/>
  <c r="AG918" i="3315"/>
  <c r="J1035" i="3315"/>
  <c r="AG1035" i="3315"/>
  <c r="J845" i="3315"/>
  <c r="AG845" i="3315"/>
  <c r="AG314" i="3315"/>
  <c r="J314" i="3315"/>
  <c r="AG1225" i="3315"/>
  <c r="J1225" i="3315"/>
  <c r="AG1006" i="3315"/>
  <c r="J1006" i="3315"/>
  <c r="AG611" i="3315"/>
  <c r="J611" i="3315"/>
  <c r="I331" i="3315"/>
  <c r="AG312" i="3315"/>
  <c r="J312" i="3315"/>
  <c r="AG184" i="3315"/>
  <c r="J184" i="3315"/>
  <c r="AG211" i="3315"/>
  <c r="J211" i="3315"/>
  <c r="AG944" i="3315"/>
  <c r="J944" i="3315"/>
  <c r="AG604" i="3315"/>
  <c r="J604" i="3315"/>
  <c r="AG665" i="3315"/>
  <c r="J665" i="3315"/>
  <c r="AG150" i="3315"/>
  <c r="J150" i="3315"/>
  <c r="AG875" i="3315"/>
  <c r="J875" i="3315"/>
  <c r="AG986" i="3315"/>
  <c r="J986" i="3315"/>
  <c r="AG50" i="3315"/>
  <c r="J50" i="3315"/>
  <c r="AG357" i="3315"/>
  <c r="J357" i="3315"/>
  <c r="AG806" i="3315"/>
  <c r="J806" i="3315"/>
  <c r="AG1021" i="3315"/>
  <c r="J1021" i="3315"/>
  <c r="J747" i="3315"/>
  <c r="AG747" i="3315"/>
  <c r="J1186" i="3315"/>
  <c r="AG1186" i="3315"/>
  <c r="AG82" i="3315"/>
  <c r="J82" i="3315"/>
  <c r="Q66" i="3315"/>
  <c r="Q100" i="3315"/>
  <c r="Q318" i="3315"/>
  <c r="Q897" i="3315"/>
  <c r="Q725" i="3315"/>
  <c r="Q1018" i="3315"/>
  <c r="Q1233" i="3315"/>
  <c r="Q1041" i="3315"/>
  <c r="Q656" i="3315"/>
  <c r="Q760" i="3315"/>
  <c r="Q825" i="3315"/>
  <c r="Q906" i="3315"/>
  <c r="Q469" i="3315"/>
  <c r="Q565" i="3315"/>
  <c r="Q357" i="3315"/>
  <c r="R357" i="3315" s="1"/>
  <c r="Q1238" i="3315"/>
  <c r="Q1046" i="3315"/>
  <c r="Q661" i="3315"/>
  <c r="Q765" i="3315"/>
  <c r="Q830" i="3315"/>
  <c r="Q911" i="3315"/>
  <c r="Q474" i="3315"/>
  <c r="Q447" i="3315"/>
  <c r="Q362" i="3315"/>
  <c r="Q1243" i="3315"/>
  <c r="Q598" i="3315"/>
  <c r="Q103" i="3315"/>
  <c r="Q320" i="3315"/>
  <c r="Q321" i="3315"/>
  <c r="Q696" i="3315"/>
  <c r="Q78" i="3315"/>
  <c r="Q685" i="3315"/>
  <c r="Q1194" i="3315"/>
  <c r="Q999" i="3315"/>
  <c r="Q624" i="3315"/>
  <c r="Q719" i="3315"/>
  <c r="Q797" i="3315"/>
  <c r="Q872" i="3315"/>
  <c r="Q942" i="3315"/>
  <c r="Q533" i="3315"/>
  <c r="Q411" i="3315"/>
  <c r="Q1210" i="3315"/>
  <c r="Q1004" i="3315"/>
  <c r="Q629" i="3315"/>
  <c r="Q731" i="3315"/>
  <c r="Q802" i="3315"/>
  <c r="Q877" i="3315"/>
  <c r="Q947" i="3315"/>
  <c r="Q539" i="3315"/>
  <c r="Q416" i="3315"/>
  <c r="Q1215" i="3315"/>
  <c r="Q1009" i="3315"/>
  <c r="Q748" i="3315"/>
  <c r="Q61" i="3315"/>
  <c r="Q849" i="3315"/>
  <c r="Q892" i="3315"/>
  <c r="Q322" i="3315"/>
  <c r="Q62" i="3315"/>
  <c r="Q1026" i="3315"/>
  <c r="Q1241" i="3315"/>
  <c r="Q596" i="3315"/>
  <c r="Q664" i="3315"/>
  <c r="Q768" i="3315"/>
  <c r="Q833" i="3315"/>
  <c r="Q914" i="3315"/>
  <c r="Q477" i="3315"/>
  <c r="Q450" i="3315"/>
  <c r="Q365" i="3315"/>
  <c r="Q1246" i="3315"/>
  <c r="Q601" i="3315"/>
  <c r="Q669" i="3315"/>
  <c r="Q774" i="3315"/>
  <c r="Q839" i="3315"/>
  <c r="Q919" i="3315"/>
  <c r="Q490" i="3315"/>
  <c r="Q456" i="3315"/>
  <c r="Q370" i="3315"/>
  <c r="Q980" i="3315"/>
  <c r="Q606" i="3315"/>
  <c r="Q674" i="3315"/>
  <c r="Q668" i="3315"/>
  <c r="Q672" i="3315"/>
  <c r="Q724" i="3315"/>
  <c r="Q77" i="3315"/>
  <c r="Q747" i="3315"/>
  <c r="Q850" i="3315"/>
  <c r="Q1023" i="3315"/>
  <c r="Q1190" i="3315"/>
  <c r="Q995" i="3315"/>
  <c r="Q620" i="3315"/>
  <c r="Q715" i="3315"/>
  <c r="Q793" i="3315"/>
  <c r="Q868" i="3315"/>
  <c r="Q938" i="3315"/>
  <c r="Q528" i="3315"/>
  <c r="Q407" i="3315"/>
  <c r="Q1203" i="3315"/>
  <c r="Q1000" i="3315"/>
  <c r="Q625" i="3315"/>
  <c r="Q720" i="3315"/>
  <c r="Q798" i="3315"/>
  <c r="Q873" i="3315"/>
  <c r="Q943" i="3315"/>
  <c r="Q534" i="3315"/>
  <c r="Q412" i="3315"/>
  <c r="Q1211" i="3315"/>
  <c r="Q1005" i="3315"/>
  <c r="Q630" i="3315"/>
  <c r="Q727" i="3315"/>
  <c r="Q851" i="3315"/>
  <c r="Q846" i="3315"/>
  <c r="Q681" i="3315"/>
  <c r="Q675" i="3315"/>
  <c r="Q1024" i="3315"/>
  <c r="Q1237" i="3315"/>
  <c r="Q1045" i="3315"/>
  <c r="Q660" i="3315"/>
  <c r="Q764" i="3315"/>
  <c r="Q829" i="3315"/>
  <c r="Q910" i="3315"/>
  <c r="Q473" i="3315"/>
  <c r="Q446" i="3315"/>
  <c r="Q361" i="3315"/>
  <c r="Q1242" i="3315"/>
  <c r="Q597" i="3315"/>
  <c r="Q665" i="3315"/>
  <c r="Q769" i="3315"/>
  <c r="Q835" i="3315"/>
  <c r="Q915" i="3315"/>
  <c r="Q478" i="3315"/>
  <c r="Q451" i="3315"/>
  <c r="Q366" i="3315"/>
  <c r="Q1247" i="3315"/>
  <c r="Q602" i="3315"/>
  <c r="Q319" i="3315"/>
  <c r="Q314" i="3315"/>
  <c r="R314" i="3315" s="1"/>
  <c r="Q73" i="3315"/>
  <c r="Q694" i="3315"/>
  <c r="Q315" i="3315"/>
  <c r="Q1025" i="3315"/>
  <c r="Q1206" i="3315"/>
  <c r="Q1003" i="3315"/>
  <c r="Q628" i="3315"/>
  <c r="Q730" i="3315"/>
  <c r="Q801" i="3315"/>
  <c r="Q876" i="3315"/>
  <c r="Q946" i="3315"/>
  <c r="Q538" i="3315"/>
  <c r="Q415" i="3315"/>
  <c r="Q1214" i="3315"/>
  <c r="Q1008" i="3315"/>
  <c r="Q637" i="3315"/>
  <c r="Q735" i="3315"/>
  <c r="Q806" i="3315"/>
  <c r="Q881" i="3315"/>
  <c r="Q956" i="3315"/>
  <c r="Q543" i="3315"/>
  <c r="Q420" i="3315"/>
  <c r="Q1219" i="3315"/>
  <c r="Q1013" i="3315"/>
  <c r="Q679" i="3315"/>
  <c r="Q684" i="3315"/>
  <c r="Q1245" i="3315"/>
  <c r="Q79" i="3315"/>
  <c r="Q74" i="3315"/>
  <c r="Q1217" i="3315"/>
  <c r="Q640" i="3315"/>
  <c r="Q809" i="3315"/>
  <c r="Q572" i="3315"/>
  <c r="Q423" i="3315"/>
  <c r="Q1030" i="3315"/>
  <c r="Q743" i="3315"/>
  <c r="Q889" i="3315"/>
  <c r="Q551" i="3315"/>
  <c r="Q1227" i="3315"/>
  <c r="Q948" i="3315"/>
  <c r="Q72" i="3315"/>
  <c r="Q673" i="3315"/>
  <c r="Q982" i="3315"/>
  <c r="Q703" i="3315"/>
  <c r="Q853" i="3315"/>
  <c r="Q497" i="3315"/>
  <c r="Q1183" i="3315"/>
  <c r="Q613" i="3315"/>
  <c r="Q786" i="3315"/>
  <c r="Q931" i="3315"/>
  <c r="Q400" i="3315"/>
  <c r="Q992" i="3315"/>
  <c r="Q686" i="3315"/>
  <c r="R686" i="3315" s="1"/>
  <c r="Q728" i="3315"/>
  <c r="Q313" i="3315"/>
  <c r="Q1028" i="3315"/>
  <c r="Q1033" i="3315"/>
  <c r="Q750" i="3315"/>
  <c r="Q898" i="3315"/>
  <c r="Q554" i="3315"/>
  <c r="Q1230" i="3315"/>
  <c r="Q653" i="3315"/>
  <c r="Q822" i="3315"/>
  <c r="Q466" i="3315"/>
  <c r="Q436" i="3315"/>
  <c r="R436" i="3315" s="1"/>
  <c r="Q1043" i="3315"/>
  <c r="Q693" i="3315"/>
  <c r="Q838" i="3315"/>
  <c r="Q369" i="3315"/>
  <c r="Q778" i="3315"/>
  <c r="Q460" i="3315"/>
  <c r="Q646" i="3315"/>
  <c r="Q744" i="3315"/>
  <c r="Q815" i="3315"/>
  <c r="Q890" i="3315"/>
  <c r="Q579" i="3315"/>
  <c r="Q552" i="3315"/>
  <c r="Q429" i="3315"/>
  <c r="Q655" i="3315"/>
  <c r="Q468" i="3315"/>
  <c r="Q327" i="3315"/>
  <c r="Q200" i="3315"/>
  <c r="R200" i="3315" s="1"/>
  <c r="Q264" i="3315"/>
  <c r="Q107" i="3315"/>
  <c r="Q607" i="3315"/>
  <c r="Q925" i="3315"/>
  <c r="Q342" i="3315"/>
  <c r="Q189" i="3315"/>
  <c r="Q253" i="3315"/>
  <c r="Q90" i="3315"/>
  <c r="Q1002" i="3315"/>
  <c r="Q875" i="3315"/>
  <c r="Q377" i="3315"/>
  <c r="Q178" i="3315"/>
  <c r="Q242" i="3315"/>
  <c r="Q306" i="3315"/>
  <c r="Q1006" i="3315"/>
  <c r="Q243" i="3315"/>
  <c r="Q434" i="3315"/>
  <c r="Q52" i="3315"/>
  <c r="Q207" i="3315"/>
  <c r="Q1181" i="3315"/>
  <c r="Q917" i="3315"/>
  <c r="Q76" i="3315"/>
  <c r="Q845" i="3315"/>
  <c r="Q848" i="3315"/>
  <c r="Q697" i="3315"/>
  <c r="Q1020" i="3315"/>
  <c r="Q1011" i="3315"/>
  <c r="Q738" i="3315"/>
  <c r="Q884" i="3315"/>
  <c r="Q546" i="3315"/>
  <c r="Q1222" i="3315"/>
  <c r="Q645" i="3315"/>
  <c r="Q814" i="3315"/>
  <c r="Q578" i="3315"/>
  <c r="Q428" i="3315"/>
  <c r="Q1035" i="3315"/>
  <c r="Q893" i="3315"/>
  <c r="Q67" i="3315"/>
  <c r="Q894" i="3315"/>
  <c r="Q1022" i="3315"/>
  <c r="Q608" i="3315"/>
  <c r="Q781" i="3315"/>
  <c r="Q926" i="3315"/>
  <c r="Q392" i="3315"/>
  <c r="Q987" i="3315"/>
  <c r="Q708" i="3315"/>
  <c r="Q859" i="3315"/>
  <c r="Q521" i="3315"/>
  <c r="Q1188" i="3315"/>
  <c r="Q618" i="3315"/>
  <c r="Q676" i="3315"/>
  <c r="Q726" i="3315"/>
  <c r="Q1225" i="3315"/>
  <c r="Q648" i="3315"/>
  <c r="Q817" i="3315"/>
  <c r="Q581" i="3315"/>
  <c r="Q431" i="3315"/>
  <c r="Q1038" i="3315"/>
  <c r="Q757" i="3315"/>
  <c r="Q903" i="3315"/>
  <c r="Q560" i="3315"/>
  <c r="Q1235" i="3315"/>
  <c r="Q65" i="3315"/>
  <c r="Q600" i="3315"/>
  <c r="Q489" i="3315"/>
  <c r="Q605" i="3315"/>
  <c r="Q923" i="3315"/>
  <c r="Q984" i="3315"/>
  <c r="Q705" i="3315"/>
  <c r="Q783" i="3315"/>
  <c r="Q855" i="3315"/>
  <c r="Q928" i="3315"/>
  <c r="Q499" i="3315"/>
  <c r="Q397" i="3315"/>
  <c r="Q1228" i="3315"/>
  <c r="Q824" i="3315"/>
  <c r="Q438" i="3315"/>
  <c r="Q168" i="3315"/>
  <c r="Q232" i="3315"/>
  <c r="Q296" i="3315"/>
  <c r="Q53" i="3315"/>
  <c r="Q780" i="3315"/>
  <c r="Q390" i="3315"/>
  <c r="Q157" i="3315"/>
  <c r="Q221" i="3315"/>
  <c r="Q285" i="3315"/>
  <c r="Q128" i="3315"/>
  <c r="Q729" i="3315"/>
  <c r="Q536" i="3315"/>
  <c r="Q146" i="3315"/>
  <c r="Q210" i="3315"/>
  <c r="Q274" i="3315"/>
  <c r="Q117" i="3315"/>
  <c r="Q378" i="3315"/>
  <c r="Q1240" i="3315"/>
  <c r="Q231" i="3315"/>
  <c r="Q523" i="3315"/>
  <c r="Q114" i="3315"/>
  <c r="Q338" i="3315"/>
  <c r="Q594" i="3315"/>
  <c r="Q895" i="3315"/>
  <c r="Q680" i="3315"/>
  <c r="Q1029" i="3315"/>
  <c r="Q777" i="3315"/>
  <c r="Q459" i="3315"/>
  <c r="Q704" i="3315"/>
  <c r="Q498" i="3315"/>
  <c r="Q614" i="3315"/>
  <c r="Q678" i="3315"/>
  <c r="Q1221" i="3315"/>
  <c r="Q813" i="3315"/>
  <c r="Q427" i="3315"/>
  <c r="Q751" i="3315"/>
  <c r="Q555" i="3315"/>
  <c r="Q75" i="3315"/>
  <c r="Q316" i="3315"/>
  <c r="Q986" i="3315"/>
  <c r="Q858" i="3315"/>
  <c r="Q1187" i="3315"/>
  <c r="Q790" i="3315"/>
  <c r="Q404" i="3315"/>
  <c r="Q749" i="3315"/>
  <c r="Q454" i="3315"/>
  <c r="Q494" i="3315"/>
  <c r="Q721" i="3315"/>
  <c r="Q874" i="3315"/>
  <c r="Q535" i="3315"/>
  <c r="Q1040" i="3315"/>
  <c r="Q383" i="3315"/>
  <c r="Q248" i="3315"/>
  <c r="Q981" i="3315"/>
  <c r="Q372" i="3315"/>
  <c r="Q237" i="3315"/>
  <c r="Q1193" i="3315"/>
  <c r="Q414" i="3315"/>
  <c r="Q226" i="3315"/>
  <c r="Q47" i="3315"/>
  <c r="Q820" i="3315"/>
  <c r="Q143" i="3315"/>
  <c r="Q171" i="3315"/>
  <c r="Q334" i="3315"/>
  <c r="Q1019" i="3315"/>
  <c r="Q711" i="3315"/>
  <c r="Q524" i="3315"/>
  <c r="Q621" i="3315"/>
  <c r="Q939" i="3315"/>
  <c r="Q1001" i="3315"/>
  <c r="Q709" i="3315"/>
  <c r="Q787" i="3315"/>
  <c r="Q860" i="3315"/>
  <c r="Q932" i="3315"/>
  <c r="Q522" i="3315"/>
  <c r="Q401" i="3315"/>
  <c r="Q1244" i="3315"/>
  <c r="Q841" i="3315"/>
  <c r="Q371" i="3315"/>
  <c r="Q172" i="3315"/>
  <c r="Q236" i="3315"/>
  <c r="Q300" i="3315"/>
  <c r="Q1189" i="3315"/>
  <c r="Q796" i="3315"/>
  <c r="Q410" i="3315"/>
  <c r="Q161" i="3315"/>
  <c r="Q225" i="3315"/>
  <c r="Q289" i="3315"/>
  <c r="Q46" i="3315"/>
  <c r="Q745" i="3315"/>
  <c r="Q553" i="3315"/>
  <c r="Q150" i="3315"/>
  <c r="Q214" i="3315"/>
  <c r="Q278" i="3315"/>
  <c r="Q121" i="3315"/>
  <c r="Q350" i="3315"/>
  <c r="Q1036" i="3315"/>
  <c r="Q247" i="3315"/>
  <c r="Q402" i="3315"/>
  <c r="Q44" i="3315"/>
  <c r="Q251" i="3315"/>
  <c r="Q102" i="3315"/>
  <c r="Q1213" i="3315"/>
  <c r="Q805" i="3315"/>
  <c r="Q419" i="3315"/>
  <c r="Q739" i="3315"/>
  <c r="Q547" i="3315"/>
  <c r="Q638" i="3315"/>
  <c r="Q736" i="3315"/>
  <c r="Q807" i="3315"/>
  <c r="Q882" i="3315"/>
  <c r="Q957" i="3315"/>
  <c r="Q544" i="3315"/>
  <c r="R544" i="3315" s="1"/>
  <c r="Q421" i="3315"/>
  <c r="Q619" i="3315"/>
  <c r="R619" i="3315" s="1"/>
  <c r="Q937" i="3315"/>
  <c r="Q346" i="3315"/>
  <c r="Q192" i="3315"/>
  <c r="Q256" i="3315"/>
  <c r="Q93" i="3315"/>
  <c r="Q1014" i="3315"/>
  <c r="Q887" i="3315"/>
  <c r="Q380" i="3315"/>
  <c r="Q181" i="3315"/>
  <c r="Q245" i="3315"/>
  <c r="Q82" i="3315"/>
  <c r="Q1236" i="3315"/>
  <c r="Q832" i="3315"/>
  <c r="Q364" i="3315"/>
  <c r="Q170" i="3315"/>
  <c r="Q234" i="3315"/>
  <c r="Q298" i="3315"/>
  <c r="Q55" i="3315"/>
  <c r="Q211" i="3315"/>
  <c r="Q584" i="3315"/>
  <c r="Q106" i="3315"/>
  <c r="Q175" i="3315"/>
  <c r="Q267" i="3315"/>
  <c r="Q299" i="3315"/>
  <c r="Q312" i="3315"/>
  <c r="Q907" i="3315"/>
  <c r="Q844" i="3315"/>
  <c r="Q1212" i="3315"/>
  <c r="Q228" i="3315"/>
  <c r="Q445" i="3315"/>
  <c r="Q124" i="3315"/>
  <c r="Q206" i="3315"/>
  <c r="Q48" i="3315"/>
  <c r="Q599" i="3315"/>
  <c r="Q317" i="3315"/>
  <c r="Q1234" i="3315"/>
  <c r="Q762" i="3315"/>
  <c r="Q444" i="3315"/>
  <c r="Q148" i="3315"/>
  <c r="Q328" i="3315"/>
  <c r="Q343" i="3315"/>
  <c r="Q155" i="3315"/>
  <c r="Q558" i="3315"/>
  <c r="Q717" i="3315"/>
  <c r="Q530" i="3315"/>
  <c r="Q379" i="3315"/>
  <c r="Q1232" i="3315"/>
  <c r="Q233" i="3315"/>
  <c r="Q398" i="3315"/>
  <c r="Q129" i="3315"/>
  <c r="Q345" i="3315"/>
  <c r="Q276" i="3315"/>
  <c r="Q255" i="3315"/>
  <c r="Q677" i="3315"/>
  <c r="Q761" i="3315"/>
  <c r="Q811" i="3315"/>
  <c r="Q425" i="3315"/>
  <c r="Q196" i="3315"/>
  <c r="Q909" i="3315"/>
  <c r="Q86" i="3315"/>
  <c r="Q174" i="3315"/>
  <c r="Q101" i="3315"/>
  <c r="Q64" i="3315"/>
  <c r="Q604" i="3315"/>
  <c r="Q922" i="3315"/>
  <c r="Q983" i="3315"/>
  <c r="Q854" i="3315"/>
  <c r="Q1184" i="3315"/>
  <c r="Q683" i="3315"/>
  <c r="Q644" i="3315"/>
  <c r="Q577" i="3315"/>
  <c r="Q1034" i="3315"/>
  <c r="Q899" i="3315"/>
  <c r="Q1231" i="3315"/>
  <c r="Q70" i="3315"/>
  <c r="Q707" i="3315"/>
  <c r="Q519" i="3315"/>
  <c r="Q617" i="3315"/>
  <c r="Q935" i="3315"/>
  <c r="Q997" i="3315"/>
  <c r="Q772" i="3315"/>
  <c r="Q700" i="3315"/>
  <c r="Q610" i="3315"/>
  <c r="Q799" i="3315"/>
  <c r="Q944" i="3315"/>
  <c r="Q413" i="3315"/>
  <c r="Q905" i="3315"/>
  <c r="Q184" i="3315"/>
  <c r="Q85" i="3315"/>
  <c r="Q852" i="3315"/>
  <c r="Q173" i="3315"/>
  <c r="Q301" i="3315"/>
  <c r="Q800" i="3315"/>
  <c r="Q162" i="3315"/>
  <c r="Q290" i="3315"/>
  <c r="Q179" i="3315"/>
  <c r="Q295" i="3315"/>
  <c r="Q136" i="3315"/>
  <c r="Q722" i="3315"/>
  <c r="Q990" i="3315"/>
  <c r="Q863" i="3315"/>
  <c r="Q1191" i="3315"/>
  <c r="Q794" i="3315"/>
  <c r="Q408" i="3315"/>
  <c r="Q650" i="3315"/>
  <c r="Q754" i="3315"/>
  <c r="Q819" i="3315"/>
  <c r="Q900" i="3315"/>
  <c r="Q583" i="3315"/>
  <c r="Q556" i="3315"/>
  <c r="Q433" i="3315"/>
  <c r="Q698" i="3315"/>
  <c r="Q492" i="3315"/>
  <c r="Q137" i="3315"/>
  <c r="Q204" i="3315"/>
  <c r="Q268" i="3315"/>
  <c r="Q111" i="3315"/>
  <c r="Q623" i="3315"/>
  <c r="Q941" i="3315"/>
  <c r="Q347" i="3315"/>
  <c r="Q193" i="3315"/>
  <c r="Q257" i="3315"/>
  <c r="Q94" i="3315"/>
  <c r="Q1032" i="3315"/>
  <c r="Q891" i="3315"/>
  <c r="Q381" i="3315"/>
  <c r="Q182" i="3315"/>
  <c r="Q246" i="3315"/>
  <c r="Q83" i="3315"/>
  <c r="Q635" i="3315"/>
  <c r="Q259" i="3315"/>
  <c r="Q382" i="3315"/>
  <c r="Q1205" i="3315"/>
  <c r="Q223" i="3315"/>
  <c r="Q771" i="3315"/>
  <c r="Q187" i="3315"/>
  <c r="Q442" i="3315"/>
  <c r="Q63" i="3315"/>
  <c r="Q636" i="3315"/>
  <c r="Q955" i="3315"/>
  <c r="Q1012" i="3315"/>
  <c r="Q885" i="3315"/>
  <c r="Q1223" i="3315"/>
  <c r="Q671" i="3315"/>
  <c r="Q775" i="3315"/>
  <c r="Q840" i="3315"/>
  <c r="Q920" i="3315"/>
  <c r="Q491" i="3315"/>
  <c r="Q457" i="3315"/>
  <c r="Q1185" i="3315"/>
  <c r="Q792" i="3315"/>
  <c r="Q406" i="3315"/>
  <c r="Q160" i="3315"/>
  <c r="Q224" i="3315"/>
  <c r="Q288" i="3315"/>
  <c r="Q45" i="3315"/>
  <c r="Q741" i="3315"/>
  <c r="Q549" i="3315"/>
  <c r="Q149" i="3315"/>
  <c r="Q213" i="3315"/>
  <c r="Q277" i="3315"/>
  <c r="Q120" i="3315"/>
  <c r="Q663" i="3315"/>
  <c r="Q476" i="3315"/>
  <c r="Q329" i="3315"/>
  <c r="Q202" i="3315"/>
  <c r="Q266" i="3315"/>
  <c r="Q109" i="3315"/>
  <c r="Q541" i="3315"/>
  <c r="Q118" i="3315"/>
  <c r="Q199" i="3315"/>
  <c r="Q862" i="3315"/>
  <c r="Q303" i="3315"/>
  <c r="Q126" i="3315"/>
  <c r="Q465" i="3315"/>
  <c r="Q701" i="3315"/>
  <c r="Q495" i="3315"/>
  <c r="Q422" i="3315"/>
  <c r="Q49" i="3315"/>
  <c r="Q217" i="3315"/>
  <c r="Q500" i="3315"/>
  <c r="Q113" i="3315"/>
  <c r="Q933" i="3315"/>
  <c r="Q1037" i="3315"/>
  <c r="Q358" i="3315"/>
  <c r="Q908" i="3315"/>
  <c r="Q737" i="3315"/>
  <c r="Q119" i="3315"/>
  <c r="Q108" i="3315"/>
  <c r="Q804" i="3315"/>
  <c r="Q1021" i="3315"/>
  <c r="Q470" i="3315"/>
  <c r="Q870" i="3315"/>
  <c r="Q1010" i="3315"/>
  <c r="Q244" i="3315"/>
  <c r="Q360" i="3315"/>
  <c r="R360" i="3315" s="1"/>
  <c r="Q54" i="3315"/>
  <c r="Q222" i="3315"/>
  <c r="R222" i="3315" s="1"/>
  <c r="Q755" i="3315"/>
  <c r="Q368" i="3315"/>
  <c r="Q190" i="3315"/>
  <c r="Q821" i="3315"/>
  <c r="Q642" i="3315"/>
  <c r="Q575" i="3315"/>
  <c r="Q571" i="3315"/>
  <c r="Q97" i="3315"/>
  <c r="Q185" i="3315"/>
  <c r="Q857" i="3315"/>
  <c r="Q493" i="3315"/>
  <c r="Q927" i="3315"/>
  <c r="Q746" i="3315"/>
  <c r="Q742" i="3315"/>
  <c r="Q649" i="3315"/>
  <c r="Q1039" i="3315"/>
  <c r="Q1182" i="3315"/>
  <c r="Q399" i="3315"/>
  <c r="Q525" i="3315"/>
  <c r="Q918" i="3315"/>
  <c r="Q662" i="3315"/>
  <c r="Q475" i="3315"/>
  <c r="Q564" i="3315"/>
  <c r="Q123" i="3315"/>
  <c r="Q205" i="3315"/>
  <c r="Q945" i="3315"/>
  <c r="Q95" i="3315"/>
  <c r="Q710" i="3315"/>
  <c r="Q616" i="3315"/>
  <c r="Q996" i="3315"/>
  <c r="Q1204" i="3315"/>
  <c r="Q770" i="3315"/>
  <c r="Q916" i="3315"/>
  <c r="Q452" i="3315"/>
  <c r="Q776" i="3315"/>
  <c r="Q156" i="3315"/>
  <c r="Q284" i="3315"/>
  <c r="Q718" i="3315"/>
  <c r="Q145" i="3315"/>
  <c r="Q273" i="3315"/>
  <c r="Q647" i="3315"/>
  <c r="Q325" i="3315"/>
  <c r="Q262" i="3315"/>
  <c r="R262" i="3315" s="1"/>
  <c r="Q954" i="3315"/>
  <c r="Q183" i="3315"/>
  <c r="Q287" i="3315"/>
  <c r="Q135" i="3315"/>
  <c r="Q1016" i="3315"/>
  <c r="Q542" i="3315"/>
  <c r="Q574" i="3315"/>
  <c r="Q713" i="3315"/>
  <c r="Q865" i="3315"/>
  <c r="Q526" i="3315"/>
  <c r="Q993" i="3315"/>
  <c r="Q375" i="3315"/>
  <c r="Q240" i="3315"/>
  <c r="Q1216" i="3315"/>
  <c r="Q426" i="3315"/>
  <c r="Q229" i="3315"/>
  <c r="Q50" i="3315"/>
  <c r="Q449" i="3315"/>
  <c r="Q218" i="3315"/>
  <c r="Q125" i="3315"/>
  <c r="Q651" i="3315"/>
  <c r="Q374" i="3315"/>
  <c r="Q837" i="3315"/>
  <c r="Q570" i="3315"/>
  <c r="Q1042" i="3315"/>
  <c r="Q389" i="3315"/>
  <c r="Q763" i="3315"/>
  <c r="Q142" i="3315"/>
  <c r="Q92" i="3315"/>
  <c r="Q356" i="3315"/>
  <c r="Q658" i="3315"/>
  <c r="Q545" i="3315"/>
  <c r="Q611" i="3315"/>
  <c r="Q1047" i="3315"/>
  <c r="Q883" i="3315"/>
  <c r="Q169" i="3315"/>
  <c r="Q286" i="3315"/>
  <c r="Q291" i="3315"/>
  <c r="Q435" i="3315"/>
  <c r="Q548" i="3315"/>
  <c r="Q1044" i="3315"/>
  <c r="Q373" i="3315"/>
  <c r="Q227" i="3315"/>
  <c r="Q110" i="3315"/>
  <c r="Q929" i="3315"/>
  <c r="Q695" i="3315"/>
  <c r="Q977" i="3315"/>
  <c r="Q396" i="3315"/>
  <c r="Q71" i="3315"/>
  <c r="Q888" i="3315"/>
  <c r="Q818" i="3315"/>
  <c r="Q69" i="3315"/>
  <c r="Q612" i="3315"/>
  <c r="Q991" i="3315"/>
  <c r="Q1192" i="3315"/>
  <c r="Q979" i="3315"/>
  <c r="Q766" i="3315"/>
  <c r="Q448" i="3315"/>
  <c r="Q152" i="3315"/>
  <c r="Q702" i="3315"/>
  <c r="Q269" i="3315"/>
  <c r="Q349" i="3315"/>
  <c r="Q879" i="3315"/>
  <c r="R879" i="3315" s="1"/>
  <c r="Q271" i="3315"/>
  <c r="Q847" i="3315"/>
  <c r="Q789" i="3315"/>
  <c r="Q716" i="3315"/>
  <c r="Q626" i="3315"/>
  <c r="Q803" i="3315"/>
  <c r="Q950" i="3315"/>
  <c r="Q417" i="3315"/>
  <c r="Q921" i="3315"/>
  <c r="Q188" i="3315"/>
  <c r="Q89" i="3315"/>
  <c r="Q871" i="3315"/>
  <c r="Q177" i="3315"/>
  <c r="Q305" i="3315"/>
  <c r="Q816" i="3315"/>
  <c r="R816" i="3315" s="1"/>
  <c r="Q166" i="3315"/>
  <c r="Q294" i="3315"/>
  <c r="Q195" i="3315"/>
  <c r="Q84" i="3315"/>
  <c r="Q690" i="3315"/>
  <c r="Q699" i="3315"/>
  <c r="Q609" i="3315"/>
  <c r="Q988" i="3315"/>
  <c r="Q1027" i="3315"/>
  <c r="Q550" i="3315"/>
  <c r="Q582" i="3315"/>
  <c r="Q104" i="3315"/>
  <c r="Q785" i="3315"/>
  <c r="Q712" i="3315"/>
  <c r="Q622" i="3315"/>
  <c r="Q843" i="3315"/>
  <c r="Q831" i="3315"/>
  <c r="Q363" i="3315"/>
  <c r="Q216" i="3315"/>
  <c r="Q496" i="3315"/>
  <c r="Q112" i="3315"/>
  <c r="Q194" i="3315"/>
  <c r="Q307" i="3315"/>
  <c r="Q219" i="3315"/>
  <c r="Q896" i="3315"/>
  <c r="Q934" i="3315"/>
  <c r="Q869" i="3315"/>
  <c r="Q666" i="3315"/>
  <c r="Q836" i="3315"/>
  <c r="Q487" i="3315"/>
  <c r="Q367" i="3315"/>
  <c r="Q458" i="3315"/>
  <c r="Q220" i="3315"/>
  <c r="Q127" i="3315"/>
  <c r="Q531" i="3315"/>
  <c r="R531" i="3315" s="1"/>
  <c r="Q209" i="3315"/>
  <c r="Q116" i="3315"/>
  <c r="Q580" i="3315"/>
  <c r="Q198" i="3315"/>
  <c r="Q99" i="3315"/>
  <c r="Q96" i="3315"/>
  <c r="Q788" i="3315"/>
  <c r="Q283" i="3315"/>
  <c r="Q689" i="3315"/>
  <c r="Q734" i="3315"/>
  <c r="Q641" i="3315"/>
  <c r="Q1031" i="3315"/>
  <c r="Q791" i="3315"/>
  <c r="Q936" i="3315"/>
  <c r="Q405" i="3315"/>
  <c r="Q866" i="3315"/>
  <c r="Q176" i="3315"/>
  <c r="Q304" i="3315"/>
  <c r="Q812" i="3315"/>
  <c r="Q165" i="3315"/>
  <c r="Q293" i="3315"/>
  <c r="Q767" i="3315"/>
  <c r="Q154" i="3315"/>
  <c r="Q282" i="3315"/>
  <c r="Q147" i="3315"/>
  <c r="Q263" i="3315"/>
  <c r="Q667" i="3315"/>
  <c r="Q692" i="3315"/>
  <c r="Q779" i="3315"/>
  <c r="Q164" i="3315"/>
  <c r="Q281" i="3315"/>
  <c r="Q418" i="3315"/>
  <c r="Q902" i="3315"/>
  <c r="Q471" i="3315"/>
  <c r="Q472" i="3315"/>
  <c r="Q151" i="3315"/>
  <c r="Q756" i="3315"/>
  <c r="Q940" i="3315"/>
  <c r="Q81" i="3315"/>
  <c r="Q784" i="3315"/>
  <c r="Q279" i="3315"/>
  <c r="Q43" i="3315"/>
  <c r="Q740" i="3315"/>
  <c r="Q323" i="3315"/>
  <c r="Q249" i="3315"/>
  <c r="Q302" i="3315"/>
  <c r="Q122" i="3315"/>
  <c r="Q60" i="3315"/>
  <c r="Q615" i="3315"/>
  <c r="Q723" i="3315"/>
  <c r="Q842" i="3315"/>
  <c r="Q782" i="3315"/>
  <c r="Q688" i="3315"/>
  <c r="Q1015" i="3315"/>
  <c r="Q1226" i="3315"/>
  <c r="Q432" i="3315"/>
  <c r="Q930" i="3315"/>
  <c r="Q864" i="3315"/>
  <c r="Q1017" i="3315"/>
  <c r="Q1180" i="3315"/>
  <c r="Q912" i="3315"/>
  <c r="Q759" i="3315"/>
  <c r="R759" i="3315" s="1"/>
  <c r="Q280" i="3315"/>
  <c r="Q139" i="3315"/>
  <c r="Q627" i="3315"/>
  <c r="Q258" i="3315"/>
  <c r="Q167" i="3315"/>
  <c r="Q1186" i="3315"/>
  <c r="Q403" i="3315"/>
  <c r="Q529" i="3315"/>
  <c r="Q732" i="3315"/>
  <c r="Q878" i="3315"/>
  <c r="Q540" i="3315"/>
  <c r="Q603" i="3315"/>
  <c r="Q340" i="3315"/>
  <c r="Q252" i="3315"/>
  <c r="Q998" i="3315"/>
  <c r="Q376" i="3315"/>
  <c r="Q241" i="3315"/>
  <c r="Q1220" i="3315"/>
  <c r="Q430" i="3315"/>
  <c r="Q230" i="3315"/>
  <c r="Q51" i="3315"/>
  <c r="Q901" i="3315"/>
  <c r="Q1007" i="3315"/>
  <c r="Q424" i="3315"/>
  <c r="Q904" i="3315"/>
  <c r="Q714" i="3315"/>
  <c r="Q272" i="3315"/>
  <c r="Q324" i="3315"/>
  <c r="Q595" i="3315"/>
  <c r="Q250" i="3315"/>
  <c r="Q326" i="3315"/>
  <c r="Q88" i="3315"/>
  <c r="Q1239" i="3315"/>
  <c r="Q153" i="3315"/>
  <c r="Q827" i="3315"/>
  <c r="Q254" i="3315"/>
  <c r="Q795" i="3315"/>
  <c r="Q297" i="3315"/>
  <c r="Q443" i="3315"/>
  <c r="Q384" i="3315"/>
  <c r="Q557" i="3315"/>
  <c r="Q159" i="3315"/>
  <c r="Q1179" i="3315"/>
  <c r="Q880" i="3315"/>
  <c r="Q654" i="3315"/>
  <c r="Q467" i="3315"/>
  <c r="Q527" i="3315"/>
  <c r="Q115" i="3315"/>
  <c r="Q197" i="3315"/>
  <c r="Q913" i="3315"/>
  <c r="Q87" i="3315"/>
  <c r="Q989" i="3315"/>
  <c r="Q924" i="3315"/>
  <c r="Q706" i="3315"/>
  <c r="Q359" i="3315"/>
  <c r="Q409" i="3315"/>
  <c r="Q158" i="3315"/>
  <c r="Q265" i="3315"/>
  <c r="Q886" i="3315"/>
  <c r="Q985" i="3315"/>
  <c r="Q191" i="3315"/>
  <c r="Q659" i="3315"/>
  <c r="Q203" i="3315"/>
  <c r="Q68" i="3315"/>
  <c r="Q1218" i="3315"/>
  <c r="Q758" i="3315"/>
  <c r="Q562" i="3315"/>
  <c r="Q144" i="3315"/>
  <c r="Q643" i="3315"/>
  <c r="Q261" i="3315"/>
  <c r="Q337" i="3315"/>
  <c r="Q733" i="3315"/>
  <c r="Q239" i="3315"/>
  <c r="Q976" i="3315"/>
  <c r="Q808" i="3315"/>
  <c r="Q270" i="3315"/>
  <c r="Q691" i="3315"/>
  <c r="Q212" i="3315"/>
  <c r="Q687" i="3315"/>
  <c r="Q180" i="3315"/>
  <c r="Q163" i="3315"/>
  <c r="Q639" i="3315"/>
  <c r="Q238" i="3315"/>
  <c r="Q56" i="3315"/>
  <c r="Q91" i="3315"/>
  <c r="Q235" i="3315"/>
  <c r="Q682" i="3315"/>
  <c r="Q810" i="3315"/>
  <c r="Q823" i="3315"/>
  <c r="Q437" i="3315"/>
  <c r="Q208" i="3315"/>
  <c r="Q576" i="3315"/>
  <c r="Q98" i="3315"/>
  <c r="Q186" i="3315"/>
  <c r="Q275" i="3315"/>
  <c r="Q453" i="3315"/>
  <c r="Q652" i="3315"/>
  <c r="Q292" i="3315"/>
  <c r="Q215" i="3315"/>
  <c r="Q826" i="3315"/>
  <c r="Q201" i="3315"/>
  <c r="Q657" i="3315"/>
  <c r="Q828" i="3315"/>
  <c r="Q488" i="3315"/>
  <c r="Q1229" i="3315"/>
  <c r="Q260" i="3315"/>
  <c r="Q1224" i="3315"/>
  <c r="Q1102" i="3315"/>
  <c r="Q1085" i="3315"/>
  <c r="Q1121" i="3315"/>
  <c r="Q1086" i="3315"/>
  <c r="Q1059" i="3315"/>
  <c r="Q1150" i="3315"/>
  <c r="Q1062" i="3315"/>
  <c r="Q1103" i="3315"/>
  <c r="Q1084" i="3315"/>
  <c r="Q1063" i="3315"/>
  <c r="Q1066" i="3315"/>
  <c r="Q1161" i="3315"/>
  <c r="Q1072" i="3315"/>
  <c r="Q1076" i="3315"/>
  <c r="Q1067" i="3315"/>
  <c r="Q1101" i="3315"/>
  <c r="Q1111" i="3315"/>
  <c r="Q1143" i="3315"/>
  <c r="Q1053" i="3315"/>
  <c r="Q1056" i="3315"/>
  <c r="Q1095" i="3315"/>
  <c r="Q1117" i="3315"/>
  <c r="Q1124" i="3315"/>
  <c r="Q1118" i="3315"/>
  <c r="Q1087" i="3315"/>
  <c r="Q1090" i="3315"/>
  <c r="Q1081" i="3315"/>
  <c r="Q1069" i="3315"/>
  <c r="Q1129" i="3315"/>
  <c r="Q1151" i="3315"/>
  <c r="Q1057" i="3315"/>
  <c r="Q1096" i="3315"/>
  <c r="Q1083" i="3315"/>
  <c r="Q1107" i="3315"/>
  <c r="Q1080" i="3315"/>
  <c r="Q1152" i="3315"/>
  <c r="Q1158" i="3315"/>
  <c r="Q1132" i="3315"/>
  <c r="Q1097" i="3315"/>
  <c r="Q1077" i="3315"/>
  <c r="Q1133" i="3315"/>
  <c r="Q1100" i="3315"/>
  <c r="Q1154" i="3315"/>
  <c r="Q1125" i="3315"/>
  <c r="Q1135" i="3315"/>
  <c r="Q1064" i="3315"/>
  <c r="Q1082" i="3315"/>
  <c r="Q1145" i="3315"/>
  <c r="Q1078" i="3315"/>
  <c r="Q1130" i="3315"/>
  <c r="Q1098" i="3315"/>
  <c r="Q1144" i="3315"/>
  <c r="Q1104" i="3315"/>
  <c r="Q1074" i="3315"/>
  <c r="Q1114" i="3315"/>
  <c r="Q1127" i="3315"/>
  <c r="Q1054" i="3315"/>
  <c r="Q1075" i="3315"/>
  <c r="Q1120" i="3315"/>
  <c r="Q1105" i="3315"/>
  <c r="Q1131" i="3315"/>
  <c r="Q1122" i="3315"/>
  <c r="Q1110" i="3315"/>
  <c r="Q1159" i="3315"/>
  <c r="Q1099" i="3315"/>
  <c r="Q1089" i="3315"/>
  <c r="Q1065" i="3315"/>
  <c r="Q1073" i="3315"/>
  <c r="Q1058" i="3315"/>
  <c r="Q1136" i="3315"/>
  <c r="Q1153" i="3315"/>
  <c r="Q1116" i="3315"/>
  <c r="Q1106" i="3315"/>
  <c r="Q1079" i="3315"/>
  <c r="Q1071" i="3315"/>
  <c r="Q1119" i="3315"/>
  <c r="Q1142" i="3315"/>
  <c r="Q1115" i="3315"/>
  <c r="Q1068" i="3315"/>
  <c r="Q1134" i="3315"/>
  <c r="Q1160" i="3315"/>
  <c r="Q1061" i="3315"/>
  <c r="Q1126" i="3315"/>
  <c r="Q1109" i="3315"/>
  <c r="Q1112" i="3315"/>
  <c r="Q1108" i="3315"/>
  <c r="Q1141" i="3315"/>
  <c r="Q1123" i="3315"/>
  <c r="Q1094" i="3315"/>
  <c r="Q1070" i="3315"/>
  <c r="Q1055" i="3315"/>
  <c r="Q1088" i="3315"/>
  <c r="Q1146" i="3315"/>
  <c r="Q1128" i="3315"/>
  <c r="Q1137" i="3315"/>
  <c r="Q1060" i="3315"/>
  <c r="Q1113" i="3315"/>
  <c r="M1095" i="3315"/>
  <c r="M1083" i="3315"/>
  <c r="M1076" i="3315"/>
  <c r="M1117" i="3315"/>
  <c r="M1104" i="3315"/>
  <c r="M1160" i="3315"/>
  <c r="M1130" i="3315"/>
  <c r="M1120" i="3315"/>
  <c r="M1113" i="3315"/>
  <c r="M1066" i="3315"/>
  <c r="M1121" i="3315"/>
  <c r="M1159" i="3315"/>
  <c r="M1061" i="3315"/>
  <c r="M1071" i="3315"/>
  <c r="M1129" i="3315"/>
  <c r="M1082" i="3315"/>
  <c r="M1089" i="3315"/>
  <c r="M1152" i="3315"/>
  <c r="M1079" i="3315"/>
  <c r="M1142" i="3315"/>
  <c r="M1101" i="3315"/>
  <c r="M1118" i="3315"/>
  <c r="M1161" i="3315"/>
  <c r="M1116" i="3315"/>
  <c r="M1067" i="3315"/>
  <c r="M1056" i="3315"/>
  <c r="M1115" i="3315"/>
  <c r="M1069" i="3315"/>
  <c r="M1110" i="3315"/>
  <c r="M1070" i="3315"/>
  <c r="M1158" i="3315"/>
  <c r="M1090" i="3315"/>
  <c r="M1065" i="3315"/>
  <c r="M1106" i="3315"/>
  <c r="M1057" i="3315"/>
  <c r="M1123" i="3315"/>
  <c r="M1154" i="3315"/>
  <c r="M1109" i="3315"/>
  <c r="M1081" i="3315"/>
  <c r="M1122" i="3315"/>
  <c r="M1105" i="3315"/>
  <c r="M1084" i="3315"/>
  <c r="M1150" i="3315"/>
  <c r="M1119" i="3315"/>
  <c r="M1108" i="3315"/>
  <c r="M1143" i="3315"/>
  <c r="M1080" i="3315"/>
  <c r="M1059" i="3315"/>
  <c r="M1099" i="3315"/>
  <c r="M1100" i="3315"/>
  <c r="M1135" i="3315"/>
  <c r="M1146" i="3315"/>
  <c r="M1072" i="3315"/>
  <c r="M1085" i="3315"/>
  <c r="M1088" i="3315"/>
  <c r="M1103" i="3315"/>
  <c r="M1151" i="3315"/>
  <c r="M1073" i="3315"/>
  <c r="M1058" i="3315"/>
  <c r="M1125" i="3315"/>
  <c r="M1134" i="3315"/>
  <c r="M1145" i="3315"/>
  <c r="M1133" i="3315"/>
  <c r="M1102" i="3315"/>
  <c r="M1144" i="3315"/>
  <c r="M1136" i="3315"/>
  <c r="M1114" i="3315"/>
  <c r="M1054" i="3315"/>
  <c r="M1131" i="3315"/>
  <c r="M1128" i="3315"/>
  <c r="M1141" i="3315"/>
  <c r="M1060" i="3315"/>
  <c r="M1053" i="3315"/>
  <c r="M1074" i="3315"/>
  <c r="M1075" i="3315"/>
  <c r="M1068" i="3315"/>
  <c r="M1111" i="3315"/>
  <c r="M1063" i="3315"/>
  <c r="M1126" i="3315"/>
  <c r="M1127" i="3315"/>
  <c r="M1124" i="3315"/>
  <c r="M1107" i="3315"/>
  <c r="M1078" i="3315"/>
  <c r="M1087" i="3315"/>
  <c r="M1096" i="3315"/>
  <c r="M1132" i="3315"/>
  <c r="M1112" i="3315"/>
  <c r="M1153" i="3315"/>
  <c r="M1064" i="3315"/>
  <c r="M1077" i="3315"/>
  <c r="M1094" i="3315"/>
  <c r="M1097" i="3315"/>
  <c r="M1055" i="3315"/>
  <c r="M1137" i="3315"/>
  <c r="M1062" i="3315"/>
  <c r="M1098" i="3315"/>
  <c r="M1086" i="3315"/>
  <c r="R491" i="3315" l="1"/>
  <c r="W491" i="3315" s="1"/>
  <c r="R738" i="3315"/>
  <c r="W738" i="3315" s="1"/>
  <c r="R368" i="3315"/>
  <c r="W368" i="3315" s="1"/>
  <c r="U1035" i="3315"/>
  <c r="AF1035" i="3315"/>
  <c r="U996" i="3315"/>
  <c r="AF996" i="3315"/>
  <c r="U605" i="3315"/>
  <c r="AF605" i="3315"/>
  <c r="AF174" i="3315"/>
  <c r="U174" i="3315"/>
  <c r="AF582" i="3315"/>
  <c r="U582" i="3315"/>
  <c r="AF527" i="3315"/>
  <c r="U527" i="3315"/>
  <c r="U925" i="3315"/>
  <c r="AF925" i="3315"/>
  <c r="AF91" i="3315"/>
  <c r="U91" i="3315"/>
  <c r="AF572" i="3315"/>
  <c r="U572" i="3315"/>
  <c r="U185" i="3315"/>
  <c r="AF185" i="3315"/>
  <c r="U326" i="3315"/>
  <c r="AF326" i="3315"/>
  <c r="AF458" i="3315"/>
  <c r="U458" i="3315"/>
  <c r="U839" i="3315"/>
  <c r="AF839" i="3315"/>
  <c r="U127" i="3315"/>
  <c r="AF127" i="3315"/>
  <c r="U702" i="3315"/>
  <c r="AF702" i="3315"/>
  <c r="AF106" i="3315"/>
  <c r="U106" i="3315"/>
  <c r="AF1204" i="3315"/>
  <c r="U1204" i="3315"/>
  <c r="AF521" i="3315"/>
  <c r="U521" i="3315"/>
  <c r="U362" i="3315"/>
  <c r="AF362" i="3315"/>
  <c r="U832" i="3315"/>
  <c r="AF832" i="3315"/>
  <c r="AG567" i="3315"/>
  <c r="J1076" i="3315"/>
  <c r="AG1076" i="3315"/>
  <c r="I1138" i="3315"/>
  <c r="J1094" i="3315"/>
  <c r="AG1094" i="3315"/>
  <c r="J1109" i="3315"/>
  <c r="AG1109" i="3315"/>
  <c r="AG1127" i="3315"/>
  <c r="J1127" i="3315"/>
  <c r="J1124" i="3315"/>
  <c r="AG1124" i="3315"/>
  <c r="J1135" i="3315"/>
  <c r="AG1135" i="3315"/>
  <c r="AG1081" i="3315"/>
  <c r="J1081" i="3315"/>
  <c r="AG1058" i="3315"/>
  <c r="J1058" i="3315"/>
  <c r="J1099" i="3315"/>
  <c r="AG1099" i="3315"/>
  <c r="AG1085" i="3315"/>
  <c r="J1085" i="3315"/>
  <c r="AG1053" i="3315"/>
  <c r="I1091" i="3315"/>
  <c r="J1053" i="3315"/>
  <c r="U153" i="3315"/>
  <c r="AF153" i="3315"/>
  <c r="U923" i="3315"/>
  <c r="AF923" i="3315"/>
  <c r="U493" i="3315"/>
  <c r="AF493" i="3315"/>
  <c r="AF284" i="3315"/>
  <c r="U284" i="3315"/>
  <c r="U646" i="3315"/>
  <c r="AF646" i="3315"/>
  <c r="U741" i="3315"/>
  <c r="AF741" i="3315"/>
  <c r="AF345" i="3315"/>
  <c r="U345" i="3315"/>
  <c r="U869" i="3315"/>
  <c r="AF869" i="3315"/>
  <c r="U400" i="3315"/>
  <c r="AF400" i="3315"/>
  <c r="U744" i="3315"/>
  <c r="AF744" i="3315"/>
  <c r="U722" i="3315"/>
  <c r="AF722" i="3315"/>
  <c r="U364" i="3315"/>
  <c r="AF364" i="3315"/>
  <c r="U645" i="3315"/>
  <c r="AF645" i="3315"/>
  <c r="U526" i="3315"/>
  <c r="AF526" i="3315"/>
  <c r="AF434" i="3315"/>
  <c r="U434" i="3315"/>
  <c r="AG132" i="3315"/>
  <c r="U325" i="3315"/>
  <c r="AF325" i="3315"/>
  <c r="AF239" i="3315"/>
  <c r="U239" i="3315"/>
  <c r="AF1247" i="3315"/>
  <c r="U1247" i="3315"/>
  <c r="AF943" i="3315"/>
  <c r="U943" i="3315"/>
  <c r="AF261" i="3315"/>
  <c r="U261" i="3315"/>
  <c r="AF1008" i="3315"/>
  <c r="U1008" i="3315"/>
  <c r="AF763" i="3315"/>
  <c r="U763" i="3315"/>
  <c r="AF982" i="3315"/>
  <c r="U982" i="3315"/>
  <c r="AF977" i="3315"/>
  <c r="U977" i="3315"/>
  <c r="AF733" i="3315"/>
  <c r="U733" i="3315"/>
  <c r="AF215" i="3315"/>
  <c r="U215" i="3315"/>
  <c r="U616" i="3315"/>
  <c r="AF616" i="3315"/>
  <c r="AF950" i="3315"/>
  <c r="U950" i="3315"/>
  <c r="U450" i="3315"/>
  <c r="AF450" i="3315"/>
  <c r="U652" i="3315"/>
  <c r="AF652" i="3315"/>
  <c r="U895" i="3315"/>
  <c r="AF895" i="3315"/>
  <c r="AF906" i="3315"/>
  <c r="U906" i="3315"/>
  <c r="AF1188" i="3315"/>
  <c r="U1188" i="3315"/>
  <c r="AF304" i="3315"/>
  <c r="U304" i="3315"/>
  <c r="AF662" i="3315"/>
  <c r="U662" i="3315"/>
  <c r="AF641" i="3315"/>
  <c r="U641" i="3315"/>
  <c r="U259" i="3315"/>
  <c r="AF259" i="3315"/>
  <c r="U303" i="3315"/>
  <c r="AF303" i="3315"/>
  <c r="AF812" i="3315"/>
  <c r="U812" i="3315"/>
  <c r="AF584" i="3315"/>
  <c r="U584" i="3315"/>
  <c r="AF714" i="3315"/>
  <c r="U714" i="3315"/>
  <c r="AF162" i="3315"/>
  <c r="U162" i="3315"/>
  <c r="U1240" i="3315"/>
  <c r="AF1240" i="3315"/>
  <c r="U156" i="3315"/>
  <c r="AF156" i="3315"/>
  <c r="U167" i="3315"/>
  <c r="AF167" i="3315"/>
  <c r="AF241" i="3315"/>
  <c r="U241" i="3315"/>
  <c r="AF396" i="3315"/>
  <c r="U396" i="3315"/>
  <c r="U144" i="3315"/>
  <c r="AF144" i="3315"/>
  <c r="U597" i="3315"/>
  <c r="AF597" i="3315"/>
  <c r="U321" i="3315"/>
  <c r="AF321" i="3315"/>
  <c r="U444" i="3315"/>
  <c r="AF444" i="3315"/>
  <c r="U102" i="3315"/>
  <c r="AF102" i="3315"/>
  <c r="U637" i="3315"/>
  <c r="AF637" i="3315"/>
  <c r="AF644" i="3315"/>
  <c r="U644" i="3315"/>
  <c r="AF930" i="3315"/>
  <c r="U930" i="3315"/>
  <c r="AF288" i="3315"/>
  <c r="U288" i="3315"/>
  <c r="U1218" i="3315"/>
  <c r="AF1218" i="3315"/>
  <c r="AF802" i="3315"/>
  <c r="U802" i="3315"/>
  <c r="AF571" i="3315"/>
  <c r="U571" i="3315"/>
  <c r="U421" i="3315"/>
  <c r="AF421" i="3315"/>
  <c r="AF699" i="3315"/>
  <c r="U699" i="3315"/>
  <c r="AF1036" i="3315"/>
  <c r="U1036" i="3315"/>
  <c r="U206" i="3315"/>
  <c r="AF206" i="3315"/>
  <c r="U420" i="3315"/>
  <c r="AF420" i="3315"/>
  <c r="AF157" i="3315"/>
  <c r="U157" i="3315"/>
  <c r="AF997" i="3315"/>
  <c r="U997" i="3315"/>
  <c r="AF287" i="3315"/>
  <c r="U287" i="3315"/>
  <c r="U983" i="3315"/>
  <c r="AF983" i="3315"/>
  <c r="U258" i="3315"/>
  <c r="AF258" i="3315"/>
  <c r="AF885" i="3315"/>
  <c r="U885" i="3315"/>
  <c r="U735" i="3315"/>
  <c r="AF735" i="3315"/>
  <c r="AF1226" i="3315"/>
  <c r="U1226" i="3315"/>
  <c r="U765" i="3315"/>
  <c r="AF765" i="3315"/>
  <c r="U305" i="3315"/>
  <c r="AF305" i="3315"/>
  <c r="U378" i="3315"/>
  <c r="AF378" i="3315"/>
  <c r="AF171" i="3315"/>
  <c r="U171" i="3315"/>
  <c r="U710" i="3315"/>
  <c r="AF710" i="3315"/>
  <c r="U369" i="3315"/>
  <c r="AF369" i="3315"/>
  <c r="U873" i="3315"/>
  <c r="AF873" i="3315"/>
  <c r="U1191" i="3315"/>
  <c r="AF1191" i="3315"/>
  <c r="AF558" i="3315"/>
  <c r="U558" i="3315"/>
  <c r="AF619" i="3315"/>
  <c r="U619" i="3315"/>
  <c r="AF675" i="3315"/>
  <c r="U675" i="3315"/>
  <c r="AF151" i="3315"/>
  <c r="U151" i="3315"/>
  <c r="AF403" i="3315"/>
  <c r="U403" i="3315"/>
  <c r="AF402" i="3315"/>
  <c r="U402" i="3315"/>
  <c r="AF577" i="3315"/>
  <c r="U577" i="3315"/>
  <c r="U806" i="3315"/>
  <c r="AF806" i="3315"/>
  <c r="AF50" i="3315"/>
  <c r="U50" i="3315"/>
  <c r="AF665" i="3315"/>
  <c r="U665" i="3315"/>
  <c r="U611" i="3315"/>
  <c r="AF611" i="3315"/>
  <c r="AF314" i="3315"/>
  <c r="U314" i="3315"/>
  <c r="AF677" i="3315"/>
  <c r="U677" i="3315"/>
  <c r="AF647" i="3315"/>
  <c r="U647" i="3315"/>
  <c r="AF914" i="3315"/>
  <c r="U914" i="3315"/>
  <c r="AF477" i="3315"/>
  <c r="U477" i="3315"/>
  <c r="AF719" i="3315"/>
  <c r="U719" i="3315"/>
  <c r="AF690" i="3315"/>
  <c r="U690" i="3315"/>
  <c r="AF497" i="3315"/>
  <c r="U497" i="3315"/>
  <c r="U673" i="3315"/>
  <c r="AF673" i="3315"/>
  <c r="AF770" i="3315"/>
  <c r="U770" i="3315"/>
  <c r="AF172" i="3315"/>
  <c r="U172" i="3315"/>
  <c r="AF108" i="3315"/>
  <c r="U108" i="3315"/>
  <c r="AF898" i="3315"/>
  <c r="U898" i="3315"/>
  <c r="U602" i="3315"/>
  <c r="AF602" i="3315"/>
  <c r="U659" i="3315"/>
  <c r="AF659" i="3315"/>
  <c r="U246" i="3315"/>
  <c r="AF246" i="3315"/>
  <c r="AF1211" i="3315"/>
  <c r="U1211" i="3315"/>
  <c r="U1243" i="3315"/>
  <c r="AF1243" i="3315"/>
  <c r="U771" i="3315"/>
  <c r="AF771" i="3315"/>
  <c r="U762" i="3315"/>
  <c r="AF762" i="3315"/>
  <c r="U940" i="3315"/>
  <c r="AF940" i="3315"/>
  <c r="AF716" i="3315"/>
  <c r="U716" i="3315"/>
  <c r="U534" i="3315"/>
  <c r="AF534" i="3315"/>
  <c r="AF827" i="3315"/>
  <c r="U827" i="3315"/>
  <c r="AF218" i="3315"/>
  <c r="U218" i="3315"/>
  <c r="AF300" i="3315"/>
  <c r="U300" i="3315"/>
  <c r="U416" i="3315"/>
  <c r="AF416" i="3315"/>
  <c r="AF692" i="3315"/>
  <c r="U692" i="3315"/>
  <c r="AF315" i="3315"/>
  <c r="U315" i="3315"/>
  <c r="AF445" i="3315"/>
  <c r="U445" i="3315"/>
  <c r="U729" i="3315"/>
  <c r="AF729" i="3315"/>
  <c r="AF465" i="3315"/>
  <c r="J567" i="3315"/>
  <c r="U465" i="3315"/>
  <c r="AG1088" i="3315"/>
  <c r="J1088" i="3315"/>
  <c r="J1096" i="3315"/>
  <c r="AG1096" i="3315"/>
  <c r="AG1161" i="3315"/>
  <c r="J1161" i="3315"/>
  <c r="AG1054" i="3315"/>
  <c r="J1054" i="3315"/>
  <c r="AG1082" i="3315"/>
  <c r="J1082" i="3315"/>
  <c r="J1136" i="3315"/>
  <c r="AG1136" i="3315"/>
  <c r="AG1070" i="3315"/>
  <c r="J1070" i="3315"/>
  <c r="AG1114" i="3315"/>
  <c r="J1114" i="3315"/>
  <c r="AG1103" i="3315"/>
  <c r="J1103" i="3315"/>
  <c r="AG1160" i="3315"/>
  <c r="J1160" i="3315"/>
  <c r="J1086" i="3315"/>
  <c r="AG1086" i="3315"/>
  <c r="AG1151" i="3315"/>
  <c r="J1151" i="3315"/>
  <c r="J1150" i="3315"/>
  <c r="I1155" i="3315"/>
  <c r="AG1150" i="3315"/>
  <c r="AG1125" i="3315"/>
  <c r="J1125" i="3315"/>
  <c r="J1117" i="3315"/>
  <c r="AG1117" i="3315"/>
  <c r="AF275" i="3315"/>
  <c r="U275" i="3315"/>
  <c r="AF901" i="3315"/>
  <c r="U901" i="3315"/>
  <c r="U726" i="3315"/>
  <c r="AF726" i="3315"/>
  <c r="AF650" i="3315"/>
  <c r="U650" i="3315"/>
  <c r="U828" i="3315"/>
  <c r="AF828" i="3315"/>
  <c r="AF836" i="3315"/>
  <c r="U836" i="3315"/>
  <c r="U194" i="3315"/>
  <c r="AF194" i="3315"/>
  <c r="AF72" i="3315"/>
  <c r="U72" i="3315"/>
  <c r="AF1034" i="3315"/>
  <c r="U1034" i="3315"/>
  <c r="I590" i="3315"/>
  <c r="AF1001" i="3315"/>
  <c r="U1001" i="3315"/>
  <c r="U682" i="3315"/>
  <c r="AF682" i="3315"/>
  <c r="U137" i="3315"/>
  <c r="AF137" i="3315"/>
  <c r="U224" i="3315"/>
  <c r="AF224" i="3315"/>
  <c r="AF89" i="3315"/>
  <c r="U89" i="3315"/>
  <c r="AF274" i="3315"/>
  <c r="U274" i="3315"/>
  <c r="U116" i="3315"/>
  <c r="AF116" i="3315"/>
  <c r="AF438" i="3315"/>
  <c r="U438" i="3315"/>
  <c r="AF220" i="3315"/>
  <c r="U220" i="3315"/>
  <c r="U242" i="3315"/>
  <c r="AF242" i="3315"/>
  <c r="AF669" i="3315"/>
  <c r="U669" i="3315"/>
  <c r="AF796" i="3315"/>
  <c r="U796" i="3315"/>
  <c r="U200" i="3315"/>
  <c r="AF200" i="3315"/>
  <c r="AG439" i="3315"/>
  <c r="U1193" i="3315"/>
  <c r="AF1193" i="3315"/>
  <c r="AF980" i="3315"/>
  <c r="U980" i="3315"/>
  <c r="U62" i="3315"/>
  <c r="AF62" i="3315"/>
  <c r="AF854" i="3315"/>
  <c r="U854" i="3315"/>
  <c r="AF636" i="3315"/>
  <c r="U636" i="3315"/>
  <c r="U119" i="3315"/>
  <c r="AF119" i="3315"/>
  <c r="U755" i="3315"/>
  <c r="AF755" i="3315"/>
  <c r="AF427" i="3315"/>
  <c r="U427" i="3315"/>
  <c r="AF1045" i="3315"/>
  <c r="U1045" i="3315"/>
  <c r="AF273" i="3315"/>
  <c r="U273" i="3315"/>
  <c r="AF433" i="3315"/>
  <c r="U433" i="3315"/>
  <c r="U225" i="3315"/>
  <c r="AF225" i="3315"/>
  <c r="U894" i="3315"/>
  <c r="AF894" i="3315"/>
  <c r="U626" i="3315"/>
  <c r="AF626" i="3315"/>
  <c r="AG385" i="3315"/>
  <c r="AF125" i="3315"/>
  <c r="U125" i="3315"/>
  <c r="U192" i="3315"/>
  <c r="AF192" i="3315"/>
  <c r="U349" i="3315"/>
  <c r="AF349" i="3315"/>
  <c r="AF212" i="3315"/>
  <c r="U212" i="3315"/>
  <c r="AF920" i="3315"/>
  <c r="U920" i="3315"/>
  <c r="AF821" i="3315"/>
  <c r="U821" i="3315"/>
  <c r="U519" i="3315"/>
  <c r="AF519" i="3315"/>
  <c r="AF446" i="3315"/>
  <c r="U446" i="3315"/>
  <c r="AF269" i="3315"/>
  <c r="U269" i="3315"/>
  <c r="AF850" i="3315"/>
  <c r="U850" i="3315"/>
  <c r="AF262" i="3315"/>
  <c r="U262" i="3315"/>
  <c r="AF343" i="3315"/>
  <c r="U343" i="3315"/>
  <c r="U68" i="3315"/>
  <c r="AF68" i="3315"/>
  <c r="U609" i="3315"/>
  <c r="AF609" i="3315"/>
  <c r="U267" i="3315"/>
  <c r="AF267" i="3315"/>
  <c r="U414" i="3315"/>
  <c r="AF414" i="3315"/>
  <c r="AF469" i="3315"/>
  <c r="U469" i="3315"/>
  <c r="AF437" i="3315"/>
  <c r="U437" i="3315"/>
  <c r="U290" i="3315"/>
  <c r="AF290" i="3315"/>
  <c r="AF557" i="3315"/>
  <c r="U557" i="3315"/>
  <c r="U236" i="3315"/>
  <c r="AF236" i="3315"/>
  <c r="U147" i="3315"/>
  <c r="AF147" i="3315"/>
  <c r="AF696" i="3315"/>
  <c r="U696" i="3315"/>
  <c r="U1213" i="3315"/>
  <c r="AF1213" i="3315"/>
  <c r="U1046" i="3315"/>
  <c r="AF1046" i="3315"/>
  <c r="AF1009" i="3315"/>
  <c r="U1009" i="3315"/>
  <c r="AF231" i="3315"/>
  <c r="U231" i="3315"/>
  <c r="AF146" i="3315"/>
  <c r="U146" i="3315"/>
  <c r="AF902" i="3315"/>
  <c r="U902" i="3315"/>
  <c r="U613" i="3315"/>
  <c r="AF613" i="3315"/>
  <c r="AF848" i="3315"/>
  <c r="U848" i="3315"/>
  <c r="U822" i="3315"/>
  <c r="AF822" i="3315"/>
  <c r="U166" i="3315"/>
  <c r="AF166" i="3315"/>
  <c r="AF642" i="3315"/>
  <c r="U642" i="3315"/>
  <c r="AF540" i="3315"/>
  <c r="U540" i="3315"/>
  <c r="U499" i="3315"/>
  <c r="AF499" i="3315"/>
  <c r="AF452" i="3315"/>
  <c r="U452" i="3315"/>
  <c r="U1027" i="3315"/>
  <c r="AF1027" i="3315"/>
  <c r="AF857" i="3315"/>
  <c r="U857" i="3315"/>
  <c r="AF82" i="3315"/>
  <c r="U82" i="3315"/>
  <c r="L41" i="3315"/>
  <c r="AF1186" i="3315"/>
  <c r="U1186" i="3315"/>
  <c r="U1021" i="3315"/>
  <c r="AF1021" i="3315"/>
  <c r="AF150" i="3315"/>
  <c r="U150" i="3315"/>
  <c r="AF944" i="3315"/>
  <c r="U944" i="3315"/>
  <c r="U312" i="3315"/>
  <c r="J331" i="3315"/>
  <c r="AF312" i="3315"/>
  <c r="U1225" i="3315"/>
  <c r="AF1225" i="3315"/>
  <c r="AF918" i="3315"/>
  <c r="U918" i="3315"/>
  <c r="AF639" i="3315"/>
  <c r="U639" i="3315"/>
  <c r="AF489" i="3315"/>
  <c r="U489" i="3315"/>
  <c r="U730" i="3315"/>
  <c r="AF730" i="3315"/>
  <c r="U443" i="3315"/>
  <c r="AF443" i="3315"/>
  <c r="U306" i="3315"/>
  <c r="AF306" i="3315"/>
  <c r="AF164" i="3315"/>
  <c r="U164" i="3315"/>
  <c r="U830" i="3315"/>
  <c r="AF830" i="3315"/>
  <c r="AF919" i="3315"/>
  <c r="U919" i="3315"/>
  <c r="AF628" i="3315"/>
  <c r="U628" i="3315"/>
  <c r="AF61" i="3315"/>
  <c r="U61" i="3315"/>
  <c r="AF1032" i="3315"/>
  <c r="U1032" i="3315"/>
  <c r="U910" i="3315"/>
  <c r="AF910" i="3315"/>
  <c r="AF1031" i="3315"/>
  <c r="U1031" i="3315"/>
  <c r="AF635" i="3315"/>
  <c r="U635" i="3315"/>
  <c r="U937" i="3315"/>
  <c r="AF937" i="3315"/>
  <c r="AF291" i="3315"/>
  <c r="U291" i="3315"/>
  <c r="AF580" i="3315"/>
  <c r="U580" i="3315"/>
  <c r="U666" i="3315"/>
  <c r="AF666" i="3315"/>
  <c r="U548" i="3315"/>
  <c r="AF548" i="3315"/>
  <c r="AF97" i="3315"/>
  <c r="U97" i="3315"/>
  <c r="AF769" i="3315"/>
  <c r="U769" i="3315"/>
  <c r="AF893" i="3315"/>
  <c r="U893" i="3315"/>
  <c r="AF1237" i="3315"/>
  <c r="U1237" i="3315"/>
  <c r="AF859" i="3315"/>
  <c r="U859" i="3315"/>
  <c r="U254" i="3315"/>
  <c r="AF254" i="3315"/>
  <c r="U405" i="3315"/>
  <c r="AF405" i="3315"/>
  <c r="U69" i="3315"/>
  <c r="AF69" i="3315"/>
  <c r="AF1047" i="3315"/>
  <c r="U1047" i="3315"/>
  <c r="AF307" i="3315"/>
  <c r="U307" i="3315"/>
  <c r="U553" i="3315"/>
  <c r="AF553" i="3315"/>
  <c r="U679" i="3315"/>
  <c r="AF679" i="3315"/>
  <c r="U545" i="3315"/>
  <c r="AF545" i="3315"/>
  <c r="U1015" i="3315"/>
  <c r="AF1015" i="3315"/>
  <c r="U562" i="3315"/>
  <c r="AF562" i="3315"/>
  <c r="AF684" i="3315"/>
  <c r="U684" i="3315"/>
  <c r="U706" i="3315"/>
  <c r="AF706" i="3315"/>
  <c r="AF110" i="3315"/>
  <c r="U110" i="3315"/>
  <c r="AF478" i="3315"/>
  <c r="U478" i="3315"/>
  <c r="U674" i="3315"/>
  <c r="AF674" i="3315"/>
  <c r="U889" i="3315"/>
  <c r="AF889" i="3315"/>
  <c r="AF877" i="3315"/>
  <c r="U877" i="3315"/>
  <c r="U625" i="3315"/>
  <c r="AF625" i="3315"/>
  <c r="AF789" i="3315"/>
  <c r="U789" i="3315"/>
  <c r="U695" i="3315"/>
  <c r="AF695" i="3315"/>
  <c r="U205" i="3315"/>
  <c r="AF205" i="3315"/>
  <c r="AF266" i="3315"/>
  <c r="U266" i="3315"/>
  <c r="U864" i="3315"/>
  <c r="AF864" i="3315"/>
  <c r="AF124" i="3315"/>
  <c r="U124" i="3315"/>
  <c r="U265" i="3315"/>
  <c r="AF265" i="3315"/>
  <c r="AF256" i="3315"/>
  <c r="U256" i="3315"/>
  <c r="I1251" i="3315"/>
  <c r="I1253" i="3315"/>
  <c r="U917" i="3315"/>
  <c r="AF917" i="3315"/>
  <c r="U795" i="3315"/>
  <c r="AF795" i="3315"/>
  <c r="AF1020" i="3315"/>
  <c r="U1020" i="3315"/>
  <c r="AF285" i="3315"/>
  <c r="U285" i="3315"/>
  <c r="U929" i="3315"/>
  <c r="AF929" i="3315"/>
  <c r="AF835" i="3315"/>
  <c r="U835" i="3315"/>
  <c r="U957" i="3315"/>
  <c r="AF957" i="3315"/>
  <c r="U956" i="3315"/>
  <c r="AF956" i="3315"/>
  <c r="AF382" i="3315"/>
  <c r="U382" i="3315"/>
  <c r="AF693" i="3315"/>
  <c r="U693" i="3315"/>
  <c r="U883" i="3315"/>
  <c r="AF883" i="3315"/>
  <c r="J1154" i="3315"/>
  <c r="AG1154" i="3315"/>
  <c r="AG1105" i="3315"/>
  <c r="J1105" i="3315"/>
  <c r="I1162" i="3315"/>
  <c r="J1158" i="3315"/>
  <c r="AG1158" i="3315"/>
  <c r="AG1066" i="3315"/>
  <c r="J1066" i="3315"/>
  <c r="AG1142" i="3315"/>
  <c r="J1142" i="3315"/>
  <c r="AG1112" i="3315"/>
  <c r="J1112" i="3315"/>
  <c r="AG1064" i="3315"/>
  <c r="J1064" i="3315"/>
  <c r="AG1057" i="3315"/>
  <c r="J1057" i="3315"/>
  <c r="AG1069" i="3315"/>
  <c r="J1069" i="3315"/>
  <c r="J1079" i="3315"/>
  <c r="AG1079" i="3315"/>
  <c r="AG1084" i="3315"/>
  <c r="J1084" i="3315"/>
  <c r="AG1059" i="3315"/>
  <c r="J1059" i="3315"/>
  <c r="AG1144" i="3315"/>
  <c r="J1144" i="3315"/>
  <c r="AG1071" i="3315"/>
  <c r="J1071" i="3315"/>
  <c r="J1120" i="3315"/>
  <c r="AG1120" i="3315"/>
  <c r="J1116" i="3315"/>
  <c r="AG1116" i="3315"/>
  <c r="J1126" i="3315"/>
  <c r="AG1126" i="3315"/>
  <c r="AG1090" i="3315"/>
  <c r="J1090" i="3315"/>
  <c r="J1134" i="3315"/>
  <c r="AG1134" i="3315"/>
  <c r="J1063" i="3315"/>
  <c r="AG1063" i="3315"/>
  <c r="AG1121" i="3315"/>
  <c r="J1121" i="3315"/>
  <c r="J1077" i="3315"/>
  <c r="AG1077" i="3315"/>
  <c r="J1062" i="3315"/>
  <c r="AG1062" i="3315"/>
  <c r="J1075" i="3315"/>
  <c r="AG1075" i="3315"/>
  <c r="AG1102" i="3315"/>
  <c r="J1102" i="3315"/>
  <c r="U1206" i="3315"/>
  <c r="AF1206" i="3315"/>
  <c r="U882" i="3315"/>
  <c r="AF882" i="3315"/>
  <c r="U615" i="3315"/>
  <c r="AF615" i="3315"/>
  <c r="U881" i="3315"/>
  <c r="AF881" i="3315"/>
  <c r="U876" i="3315"/>
  <c r="AF876" i="3315"/>
  <c r="U1244" i="3315"/>
  <c r="AF1244" i="3315"/>
  <c r="U237" i="3315"/>
  <c r="AF237" i="3315"/>
  <c r="U475" i="3315"/>
  <c r="AF475" i="3315"/>
  <c r="AF804" i="3315"/>
  <c r="U804" i="3315"/>
  <c r="U1007" i="3315"/>
  <c r="AF1007" i="3315"/>
  <c r="U979" i="3315"/>
  <c r="AF979" i="3315"/>
  <c r="U93" i="3315"/>
  <c r="AF93" i="3315"/>
  <c r="AF1039" i="3315"/>
  <c r="U1039" i="3315"/>
  <c r="U813" i="3315"/>
  <c r="AF813" i="3315"/>
  <c r="AF487" i="3315"/>
  <c r="U487" i="3315"/>
  <c r="AF299" i="3315"/>
  <c r="U299" i="3315"/>
  <c r="U860" i="3315"/>
  <c r="AF860" i="3315"/>
  <c r="U871" i="3315"/>
  <c r="AF871" i="3315"/>
  <c r="U689" i="3315"/>
  <c r="AF689" i="3315"/>
  <c r="AF233" i="3315"/>
  <c r="U233" i="3315"/>
  <c r="AF800" i="3315"/>
  <c r="U800" i="3315"/>
  <c r="AF852" i="3315"/>
  <c r="U852" i="3315"/>
  <c r="AF748" i="3315"/>
  <c r="U748" i="3315"/>
  <c r="AF778" i="3315"/>
  <c r="U778" i="3315"/>
  <c r="U1014" i="3315"/>
  <c r="AF1014" i="3315"/>
  <c r="AF183" i="3315"/>
  <c r="U183" i="3315"/>
  <c r="AF926" i="3315"/>
  <c r="U926" i="3315"/>
  <c r="AF207" i="3315"/>
  <c r="U207" i="3315"/>
  <c r="U903" i="3315"/>
  <c r="AF903" i="3315"/>
  <c r="U531" i="3315"/>
  <c r="AF531" i="3315"/>
  <c r="AF775" i="3315"/>
  <c r="U775" i="3315"/>
  <c r="AF180" i="3315"/>
  <c r="U180" i="3315"/>
  <c r="AF700" i="3315"/>
  <c r="U700" i="3315"/>
  <c r="AF774" i="3315"/>
  <c r="U774" i="3315"/>
  <c r="AG585" i="3315"/>
  <c r="AF202" i="3315"/>
  <c r="U202" i="3315"/>
  <c r="AF798" i="3315"/>
  <c r="U798" i="3315"/>
  <c r="U866" i="3315"/>
  <c r="AF866" i="3315"/>
  <c r="U1235" i="3315"/>
  <c r="AF1235" i="3315"/>
  <c r="U423" i="3315"/>
  <c r="AF423" i="3315"/>
  <c r="AF96" i="3315"/>
  <c r="U96" i="3315"/>
  <c r="AF523" i="3315"/>
  <c r="U523" i="3315"/>
  <c r="U101" i="3315"/>
  <c r="AF101" i="3315"/>
  <c r="AF794" i="3315"/>
  <c r="U794" i="3315"/>
  <c r="U932" i="3315"/>
  <c r="AF932" i="3315"/>
  <c r="U334" i="3315"/>
  <c r="J353" i="3315"/>
  <c r="AF334" i="3315"/>
  <c r="AF66" i="3315"/>
  <c r="U66" i="3315"/>
  <c r="AF549" i="3315"/>
  <c r="U549" i="3315"/>
  <c r="AF1238" i="3315"/>
  <c r="U1238" i="3315"/>
  <c r="U865" i="3315"/>
  <c r="AF865" i="3315"/>
  <c r="U365" i="3315"/>
  <c r="AF365" i="3315"/>
  <c r="U425" i="3315"/>
  <c r="AF425" i="3315"/>
  <c r="AF154" i="3315"/>
  <c r="U154" i="3315"/>
  <c r="U1190" i="3315"/>
  <c r="AF1190" i="3315"/>
  <c r="AF289" i="3315"/>
  <c r="U289" i="3315"/>
  <c r="AF327" i="3315"/>
  <c r="U327" i="3315"/>
  <c r="U823" i="3315"/>
  <c r="AF823" i="3315"/>
  <c r="AF988" i="3315"/>
  <c r="U988" i="3315"/>
  <c r="U995" i="3315"/>
  <c r="AF995" i="3315"/>
  <c r="U739" i="3315"/>
  <c r="AF739" i="3315"/>
  <c r="U934" i="3315"/>
  <c r="AF934" i="3315"/>
  <c r="AF838" i="3315"/>
  <c r="U838" i="3315"/>
  <c r="AF103" i="3315"/>
  <c r="U103" i="3315"/>
  <c r="U809" i="3315"/>
  <c r="AF809" i="3315"/>
  <c r="U1231" i="3315"/>
  <c r="AF1231" i="3315"/>
  <c r="U1010" i="3315"/>
  <c r="AF1010" i="3315"/>
  <c r="U1220" i="3315"/>
  <c r="AF1220" i="3315"/>
  <c r="AF318" i="3315"/>
  <c r="U318" i="3315"/>
  <c r="AF621" i="3315"/>
  <c r="U621" i="3315"/>
  <c r="AF249" i="3315"/>
  <c r="U249" i="3315"/>
  <c r="U1246" i="3315"/>
  <c r="AF1246" i="3315"/>
  <c r="AF686" i="3315"/>
  <c r="U686" i="3315"/>
  <c r="U328" i="3315"/>
  <c r="AF328" i="3315"/>
  <c r="U468" i="3315"/>
  <c r="AF468" i="3315"/>
  <c r="AF1216" i="3315"/>
  <c r="U1216" i="3315"/>
  <c r="AF380" i="3315"/>
  <c r="U380" i="3315"/>
  <c r="U984" i="3315"/>
  <c r="AF984" i="3315"/>
  <c r="AF43" i="3315"/>
  <c r="U43" i="3315"/>
  <c r="J57" i="3315"/>
  <c r="U217" i="3315"/>
  <c r="AF217" i="3315"/>
  <c r="U278" i="3315"/>
  <c r="AF278" i="3315"/>
  <c r="AF429" i="3315"/>
  <c r="U429" i="3315"/>
  <c r="AF451" i="3315"/>
  <c r="U451" i="3315"/>
  <c r="U94" i="3315"/>
  <c r="AF94" i="3315"/>
  <c r="U819" i="3315"/>
  <c r="AF819" i="3315"/>
  <c r="AF374" i="3315"/>
  <c r="U374" i="3315"/>
  <c r="AF884" i="3315"/>
  <c r="U884" i="3315"/>
  <c r="U522" i="3315"/>
  <c r="AF522" i="3315"/>
  <c r="U550" i="3315"/>
  <c r="AF550" i="3315"/>
  <c r="U175" i="3315"/>
  <c r="AF175" i="3315"/>
  <c r="AF683" i="3315"/>
  <c r="U683" i="3315"/>
  <c r="U905" i="3315"/>
  <c r="AF905" i="3315"/>
  <c r="U496" i="3315"/>
  <c r="AF496" i="3315"/>
  <c r="AF758" i="3315"/>
  <c r="U758" i="3315"/>
  <c r="U302" i="3315"/>
  <c r="AF302" i="3315"/>
  <c r="U371" i="3315"/>
  <c r="AF371" i="3315"/>
  <c r="U728" i="3315"/>
  <c r="AF728" i="3315"/>
  <c r="AF297" i="3315"/>
  <c r="U297" i="3315"/>
  <c r="U370" i="3315"/>
  <c r="AF370" i="3315"/>
  <c r="AF880" i="3315"/>
  <c r="U880" i="3315"/>
  <c r="AF100" i="3315"/>
  <c r="U100" i="3315"/>
  <c r="AF921" i="3315"/>
  <c r="U921" i="3315"/>
  <c r="AF931" i="3315"/>
  <c r="U931" i="3315"/>
  <c r="AF494" i="3315"/>
  <c r="U494" i="3315"/>
  <c r="AF749" i="3315"/>
  <c r="U749" i="3315"/>
  <c r="AF1192" i="3315"/>
  <c r="U1192" i="3315"/>
  <c r="J1048" i="3315"/>
  <c r="J1049" i="3315" s="1"/>
  <c r="U976" i="3315"/>
  <c r="AF976" i="3315"/>
  <c r="AF782" i="3315"/>
  <c r="U782" i="3315"/>
  <c r="U204" i="3315"/>
  <c r="AF204" i="3315"/>
  <c r="U1033" i="3315"/>
  <c r="AF1033" i="3315"/>
  <c r="U829" i="3315"/>
  <c r="AF829" i="3315"/>
  <c r="U397" i="3315"/>
  <c r="AF397" i="3315"/>
  <c r="U851" i="3315"/>
  <c r="AF851" i="3315"/>
  <c r="AF913" i="3315"/>
  <c r="U913" i="3315"/>
  <c r="AF410" i="3315"/>
  <c r="U410" i="3315"/>
  <c r="U610" i="3315"/>
  <c r="AF610" i="3315"/>
  <c r="AF1022" i="3315"/>
  <c r="U1022" i="3315"/>
  <c r="AF182" i="3315"/>
  <c r="U182" i="3315"/>
  <c r="U398" i="3315"/>
  <c r="AF398" i="3315"/>
  <c r="U1245" i="3315"/>
  <c r="AF1245" i="3315"/>
  <c r="AF607" i="3315"/>
  <c r="U607" i="3315"/>
  <c r="U664" i="3315"/>
  <c r="AF664" i="3315"/>
  <c r="AF541" i="3315"/>
  <c r="U541" i="3315"/>
  <c r="AF718" i="3315"/>
  <c r="U718" i="3315"/>
  <c r="AF788" i="3315"/>
  <c r="U788" i="3315"/>
  <c r="AF897" i="3315"/>
  <c r="U897" i="3315"/>
  <c r="AF279" i="3315"/>
  <c r="U279" i="3315"/>
  <c r="U467" i="3315"/>
  <c r="AF467" i="3315"/>
  <c r="U1214" i="3315"/>
  <c r="AF1214" i="3315"/>
  <c r="U565" i="3315"/>
  <c r="AF565" i="3315"/>
  <c r="AF704" i="3315"/>
  <c r="U704" i="3315"/>
  <c r="U536" i="3315"/>
  <c r="AF536" i="3315"/>
  <c r="AF886" i="3315"/>
  <c r="U886" i="3315"/>
  <c r="AF814" i="3315"/>
  <c r="U814" i="3315"/>
  <c r="AF721" i="3315"/>
  <c r="U721" i="3315"/>
  <c r="AF376" i="3315"/>
  <c r="U376" i="3315"/>
  <c r="AF51" i="3315"/>
  <c r="U51" i="3315"/>
  <c r="U1017" i="3315"/>
  <c r="AF1017" i="3315"/>
  <c r="U377" i="3315"/>
  <c r="AF377" i="3315"/>
  <c r="U915" i="3315"/>
  <c r="AF915" i="3315"/>
  <c r="U170" i="3315"/>
  <c r="AF170" i="3315"/>
  <c r="K41" i="3315"/>
  <c r="AF624" i="3315"/>
  <c r="U624" i="3315"/>
  <c r="U292" i="3315"/>
  <c r="AF292" i="3315"/>
  <c r="AF104" i="3315"/>
  <c r="U104" i="3315"/>
  <c r="AF399" i="3315"/>
  <c r="U399" i="3315"/>
  <c r="AF168" i="3315"/>
  <c r="U168" i="3315"/>
  <c r="AF1002" i="3315"/>
  <c r="U1002" i="3315"/>
  <c r="AF594" i="3315"/>
  <c r="U594" i="3315"/>
  <c r="J966" i="3315"/>
  <c r="J973" i="3315" s="1"/>
  <c r="U676" i="3315"/>
  <c r="AF676" i="3315"/>
  <c r="AF598" i="3315"/>
  <c r="U598" i="3315"/>
  <c r="AF75" i="3315"/>
  <c r="U75" i="3315"/>
  <c r="AF47" i="3315"/>
  <c r="U47" i="3315"/>
  <c r="U79" i="3315"/>
  <c r="AF79" i="3315"/>
  <c r="U1215" i="3315"/>
  <c r="AF1215" i="3315"/>
  <c r="AF1044" i="3315"/>
  <c r="U1044" i="3315"/>
  <c r="AF251" i="3315"/>
  <c r="U251" i="3315"/>
  <c r="AF825" i="3315"/>
  <c r="U825" i="3315"/>
  <c r="AF790" i="3315"/>
  <c r="U790" i="3315"/>
  <c r="AF766" i="3315"/>
  <c r="U766" i="3315"/>
  <c r="AF329" i="3315"/>
  <c r="U329" i="3315"/>
  <c r="AF791" i="3315"/>
  <c r="U791" i="3315"/>
  <c r="U161" i="3315"/>
  <c r="AF161" i="3315"/>
  <c r="U195" i="3315"/>
  <c r="AF195" i="3315"/>
  <c r="AF564" i="3315"/>
  <c r="U564" i="3315"/>
  <c r="U990" i="3315"/>
  <c r="AF990" i="3315"/>
  <c r="U271" i="3315"/>
  <c r="AF271" i="3315"/>
  <c r="U244" i="3315"/>
  <c r="AF244" i="3315"/>
  <c r="AF986" i="3315"/>
  <c r="U986" i="3315"/>
  <c r="AF604" i="3315"/>
  <c r="U604" i="3315"/>
  <c r="AF211" i="3315"/>
  <c r="U211" i="3315"/>
  <c r="AF173" i="3315"/>
  <c r="U173" i="3315"/>
  <c r="U234" i="3315"/>
  <c r="AF234" i="3315"/>
  <c r="AF1210" i="3315"/>
  <c r="U1210" i="3315"/>
  <c r="AF750" i="3315"/>
  <c r="U750" i="3315"/>
  <c r="U98" i="3315"/>
  <c r="AF98" i="3315"/>
  <c r="AF228" i="3315"/>
  <c r="U228" i="3315"/>
  <c r="U579" i="3315"/>
  <c r="AF579" i="3315"/>
  <c r="AF1212" i="3315"/>
  <c r="U1212" i="3315"/>
  <c r="U169" i="3315"/>
  <c r="AF169" i="3315"/>
  <c r="U560" i="3315"/>
  <c r="AF560" i="3315"/>
  <c r="AF888" i="3315"/>
  <c r="U888" i="3315"/>
  <c r="AF408" i="3315"/>
  <c r="U408" i="3315"/>
  <c r="U653" i="3315"/>
  <c r="AF653" i="3315"/>
  <c r="AF938" i="3315"/>
  <c r="U938" i="3315"/>
  <c r="AF528" i="3315"/>
  <c r="U528" i="3315"/>
  <c r="U426" i="3315"/>
  <c r="AF426" i="3315"/>
  <c r="U270" i="3315"/>
  <c r="AF270" i="3315"/>
  <c r="U1242" i="3315"/>
  <c r="AF1242" i="3315"/>
  <c r="U927" i="3315"/>
  <c r="AF927" i="3315"/>
  <c r="AF1232" i="3315"/>
  <c r="U1232" i="3315"/>
  <c r="U115" i="3315"/>
  <c r="AF115" i="3315"/>
  <c r="AF737" i="3315"/>
  <c r="U737" i="3315"/>
  <c r="U705" i="3315"/>
  <c r="AF705" i="3315"/>
  <c r="U658" i="3315"/>
  <c r="AF658" i="3315"/>
  <c r="AG1250" i="3315"/>
  <c r="AG1251" i="3315" s="1"/>
  <c r="AF296" i="3315"/>
  <c r="U296" i="3315"/>
  <c r="U366" i="3315"/>
  <c r="AF366" i="3315"/>
  <c r="U346" i="3315"/>
  <c r="AF346" i="3315"/>
  <c r="AF322" i="3315"/>
  <c r="U322" i="3315"/>
  <c r="AF687" i="3315"/>
  <c r="U687" i="3315"/>
  <c r="AF85" i="3315"/>
  <c r="U85" i="3315"/>
  <c r="AG1128" i="3315"/>
  <c r="J1128" i="3315"/>
  <c r="J1141" i="3315"/>
  <c r="AG1141" i="3315"/>
  <c r="I1147" i="3315"/>
  <c r="AG1072" i="3315"/>
  <c r="J1072" i="3315"/>
  <c r="AG1132" i="3315"/>
  <c r="J1132" i="3315"/>
  <c r="J1065" i="3315"/>
  <c r="AG1065" i="3315"/>
  <c r="AG1095" i="3315"/>
  <c r="J1095" i="3315"/>
  <c r="J1101" i="3315"/>
  <c r="AG1101" i="3315"/>
  <c r="AG1130" i="3315"/>
  <c r="J1130" i="3315"/>
  <c r="J1100" i="3315"/>
  <c r="AG1100" i="3315"/>
  <c r="AG1078" i="3315"/>
  <c r="J1078" i="3315"/>
  <c r="AG1110" i="3315"/>
  <c r="J1110" i="3315"/>
  <c r="U581" i="3315"/>
  <c r="AF581" i="3315"/>
  <c r="U492" i="3315"/>
  <c r="AF492" i="3315"/>
  <c r="U754" i="3315"/>
  <c r="AF754" i="3315"/>
  <c r="U298" i="3315"/>
  <c r="AF298" i="3315"/>
  <c r="AF453" i="3315"/>
  <c r="U453" i="3315"/>
  <c r="AF717" i="3315"/>
  <c r="U717" i="3315"/>
  <c r="U555" i="3315"/>
  <c r="AF555" i="3315"/>
  <c r="U907" i="3315"/>
  <c r="AF907" i="3315"/>
  <c r="U457" i="3315"/>
  <c r="AF457" i="3315"/>
  <c r="AF688" i="3315"/>
  <c r="U688" i="3315"/>
  <c r="AF347" i="3315"/>
  <c r="U347" i="3315"/>
  <c r="U210" i="3315"/>
  <c r="AF210" i="3315"/>
  <c r="AF853" i="3315"/>
  <c r="U853" i="3315"/>
  <c r="U411" i="3315"/>
  <c r="AF411" i="3315"/>
  <c r="AF916" i="3315"/>
  <c r="U916" i="3315"/>
  <c r="AF406" i="3315"/>
  <c r="U406" i="3315"/>
  <c r="AF987" i="3315"/>
  <c r="U987" i="3315"/>
  <c r="AF412" i="3315"/>
  <c r="U412" i="3315"/>
  <c r="U824" i="3315"/>
  <c r="AF824" i="3315"/>
  <c r="U912" i="3315"/>
  <c r="AF912" i="3315"/>
  <c r="U570" i="3315"/>
  <c r="AF570" i="3315"/>
  <c r="J585" i="3315"/>
  <c r="AF260" i="3315"/>
  <c r="U260" i="3315"/>
  <c r="U139" i="3315"/>
  <c r="AF139" i="3315"/>
  <c r="U660" i="3315"/>
  <c r="AF660" i="3315"/>
  <c r="U128" i="3315"/>
  <c r="AF128" i="3315"/>
  <c r="U535" i="3315"/>
  <c r="AF535" i="3315"/>
  <c r="AF379" i="3315"/>
  <c r="U379" i="3315"/>
  <c r="U342" i="3315"/>
  <c r="AF342" i="3315"/>
  <c r="AF476" i="3315"/>
  <c r="U476" i="3315"/>
  <c r="U1228" i="3315"/>
  <c r="AF1228" i="3315"/>
  <c r="U95" i="3315"/>
  <c r="AF95" i="3315"/>
  <c r="AF1187" i="3315"/>
  <c r="U1187" i="3315"/>
  <c r="U1038" i="3315"/>
  <c r="AF1038" i="3315"/>
  <c r="U1221" i="3315"/>
  <c r="AF1221" i="3315"/>
  <c r="U649" i="3315"/>
  <c r="AF649" i="3315"/>
  <c r="AF71" i="3315"/>
  <c r="U71" i="3315"/>
  <c r="U600" i="3315"/>
  <c r="AF600" i="3315"/>
  <c r="U407" i="3315"/>
  <c r="AF407" i="3315"/>
  <c r="U708" i="3315"/>
  <c r="AF708" i="3315"/>
  <c r="U78" i="3315"/>
  <c r="AF78" i="3315"/>
  <c r="U48" i="3315"/>
  <c r="AF48" i="3315"/>
  <c r="U1016" i="3315"/>
  <c r="AF1016" i="3315"/>
  <c r="U784" i="3315"/>
  <c r="AF784" i="3315"/>
  <c r="U904" i="3315"/>
  <c r="AF904" i="3315"/>
  <c r="AF999" i="3315"/>
  <c r="U999" i="3315"/>
  <c r="U375" i="3315"/>
  <c r="AF375" i="3315"/>
  <c r="U757" i="3315"/>
  <c r="AF757" i="3315"/>
  <c r="AF148" i="3315"/>
  <c r="U148" i="3315"/>
  <c r="U163" i="3315"/>
  <c r="AF163" i="3315"/>
  <c r="AF678" i="3315"/>
  <c r="U678" i="3315"/>
  <c r="AF81" i="3315"/>
  <c r="U81" i="3315"/>
  <c r="AF350" i="3315"/>
  <c r="U350" i="3315"/>
  <c r="U657" i="3315"/>
  <c r="AF657" i="3315"/>
  <c r="U691" i="3315"/>
  <c r="AF691" i="3315"/>
  <c r="U546" i="3315"/>
  <c r="AF546" i="3315"/>
  <c r="U533" i="3315"/>
  <c r="AF533" i="3315"/>
  <c r="U201" i="3315"/>
  <c r="AF201" i="3315"/>
  <c r="AF640" i="3315"/>
  <c r="U640" i="3315"/>
  <c r="AF896" i="3315"/>
  <c r="U896" i="3315"/>
  <c r="AF417" i="3315"/>
  <c r="U417" i="3315"/>
  <c r="U701" i="3315"/>
  <c r="AF701" i="3315"/>
  <c r="AF668" i="3315"/>
  <c r="U668" i="3315"/>
  <c r="U811" i="3315"/>
  <c r="AF811" i="3315"/>
  <c r="AF575" i="3315"/>
  <c r="U575" i="3315"/>
  <c r="AF732" i="3315"/>
  <c r="U732" i="3315"/>
  <c r="AF473" i="3315"/>
  <c r="U473" i="3315"/>
  <c r="AF88" i="3315"/>
  <c r="U88" i="3315"/>
  <c r="AF83" i="3315"/>
  <c r="U83" i="3315"/>
  <c r="U216" i="3315"/>
  <c r="AF216" i="3315"/>
  <c r="AF574" i="3315"/>
  <c r="U574" i="3315"/>
  <c r="U799" i="3315"/>
  <c r="AF799" i="3315"/>
  <c r="I973" i="3315"/>
  <c r="AF373" i="3315"/>
  <c r="U373" i="3315"/>
  <c r="AF663" i="3315"/>
  <c r="U663" i="3315"/>
  <c r="U189" i="3315"/>
  <c r="AF189" i="3315"/>
  <c r="AF1043" i="3315"/>
  <c r="U1043" i="3315"/>
  <c r="AF190" i="3315"/>
  <c r="U190" i="3315"/>
  <c r="U627" i="3315"/>
  <c r="AF627" i="3315"/>
  <c r="U338" i="3315"/>
  <c r="AF338" i="3315"/>
  <c r="AF870" i="3315"/>
  <c r="U870" i="3315"/>
  <c r="U947" i="3315"/>
  <c r="AF947" i="3315"/>
  <c r="AF87" i="3315"/>
  <c r="U87" i="3315"/>
  <c r="U280" i="3315"/>
  <c r="AF280" i="3315"/>
  <c r="AF747" i="3315"/>
  <c r="U747" i="3315"/>
  <c r="U845" i="3315"/>
  <c r="AF845" i="3315"/>
  <c r="AF165" i="3315"/>
  <c r="U165" i="3315"/>
  <c r="AF858" i="3315"/>
  <c r="U858" i="3315"/>
  <c r="AF381" i="3315"/>
  <c r="U381" i="3315"/>
  <c r="U474" i="3315"/>
  <c r="AF474" i="3315"/>
  <c r="AF107" i="3315"/>
  <c r="U107" i="3315"/>
  <c r="AF383" i="3315"/>
  <c r="U383" i="3315"/>
  <c r="AF552" i="3315"/>
  <c r="U552" i="3315"/>
  <c r="AF70" i="3315"/>
  <c r="U70" i="3315"/>
  <c r="AF942" i="3315"/>
  <c r="U942" i="3315"/>
  <c r="U208" i="3315"/>
  <c r="AF208" i="3315"/>
  <c r="AF618" i="3315"/>
  <c r="U618" i="3315"/>
  <c r="AF538" i="3315"/>
  <c r="U538" i="3315"/>
  <c r="AF490" i="3315"/>
  <c r="U490" i="3315"/>
  <c r="U783" i="3315"/>
  <c r="AF783" i="3315"/>
  <c r="U221" i="3315"/>
  <c r="AF221" i="3315"/>
  <c r="U44" i="3315"/>
  <c r="AF44" i="3315"/>
  <c r="AF612" i="3315"/>
  <c r="U612" i="3315"/>
  <c r="U372" i="3315"/>
  <c r="AF372" i="3315"/>
  <c r="AF887" i="3315"/>
  <c r="U887" i="3315"/>
  <c r="J1056" i="3315"/>
  <c r="AG1056" i="3315"/>
  <c r="J1108" i="3315"/>
  <c r="AG1108" i="3315"/>
  <c r="AG1097" i="3315"/>
  <c r="J1097" i="3315"/>
  <c r="J1129" i="3315"/>
  <c r="AG1129" i="3315"/>
  <c r="AG1159" i="3315"/>
  <c r="J1159" i="3315"/>
  <c r="AG1152" i="3315"/>
  <c r="J1152" i="3315"/>
  <c r="AG1055" i="3315"/>
  <c r="J1055" i="3315"/>
  <c r="J1106" i="3315"/>
  <c r="AG1106" i="3315"/>
  <c r="AF447" i="3315"/>
  <c r="U447" i="3315"/>
  <c r="U703" i="3315"/>
  <c r="AF703" i="3315"/>
  <c r="U1182" i="3315"/>
  <c r="AF1182" i="3315"/>
  <c r="AF745" i="3315"/>
  <c r="U745" i="3315"/>
  <c r="U367" i="3315"/>
  <c r="AF367" i="3315"/>
  <c r="U844" i="3315"/>
  <c r="AF844" i="3315"/>
  <c r="AF817" i="3315"/>
  <c r="U817" i="3315"/>
  <c r="U922" i="3315"/>
  <c r="AF922" i="3315"/>
  <c r="AF643" i="3315"/>
  <c r="U643" i="3315"/>
  <c r="AF734" i="3315"/>
  <c r="U734" i="3315"/>
  <c r="AF316" i="3315"/>
  <c r="U316" i="3315"/>
  <c r="U471" i="3315"/>
  <c r="AF471" i="3315"/>
  <c r="AF294" i="3315"/>
  <c r="U294" i="3315"/>
  <c r="AF363" i="3315"/>
  <c r="U363" i="3315"/>
  <c r="AF191" i="3315"/>
  <c r="U191" i="3315"/>
  <c r="AG461" i="3315"/>
  <c r="U257" i="3315"/>
  <c r="AF257" i="3315"/>
  <c r="U126" i="3315"/>
  <c r="AF126" i="3315"/>
  <c r="U159" i="3315"/>
  <c r="AF159" i="3315"/>
  <c r="U780" i="3315"/>
  <c r="AF780" i="3315"/>
  <c r="U160" i="3315"/>
  <c r="AF160" i="3315"/>
  <c r="AG353" i="3315"/>
  <c r="AF432" i="3315"/>
  <c r="U432" i="3315"/>
  <c r="AF711" i="3315"/>
  <c r="U711" i="3315"/>
  <c r="U707" i="3315"/>
  <c r="AF707" i="3315"/>
  <c r="U219" i="3315"/>
  <c r="AF219" i="3315"/>
  <c r="U384" i="3315"/>
  <c r="AF384" i="3315"/>
  <c r="AF638" i="3315"/>
  <c r="U638" i="3315"/>
  <c r="AF756" i="3315"/>
  <c r="U756" i="3315"/>
  <c r="U368" i="3315"/>
  <c r="AF368" i="3315"/>
  <c r="AF578" i="3315"/>
  <c r="U578" i="3315"/>
  <c r="AF1028" i="3315"/>
  <c r="U1028" i="3315"/>
  <c r="U466" i="3315"/>
  <c r="AF466" i="3315"/>
  <c r="AF655" i="3315"/>
  <c r="U655" i="3315"/>
  <c r="AF197" i="3315"/>
  <c r="U197" i="3315"/>
  <c r="U899" i="3315"/>
  <c r="AF899" i="3315"/>
  <c r="U855" i="3315"/>
  <c r="AF855" i="3315"/>
  <c r="AF498" i="3315"/>
  <c r="U498" i="3315"/>
  <c r="U606" i="3315"/>
  <c r="AF606" i="3315"/>
  <c r="AF1023" i="3315"/>
  <c r="U1023" i="3315"/>
  <c r="U240" i="3315"/>
  <c r="AF240" i="3315"/>
  <c r="AF928" i="3315"/>
  <c r="U928" i="3315"/>
  <c r="AF63" i="3315"/>
  <c r="U63" i="3315"/>
  <c r="AF805" i="3315"/>
  <c r="U805" i="3315"/>
  <c r="AF599" i="3315"/>
  <c r="U599" i="3315"/>
  <c r="AF786" i="3315"/>
  <c r="U786" i="3315"/>
  <c r="AF764" i="3315"/>
  <c r="U764" i="3315"/>
  <c r="AG57" i="3315"/>
  <c r="AF933" i="3315"/>
  <c r="U933" i="3315"/>
  <c r="AF430" i="3315"/>
  <c r="U430" i="3315"/>
  <c r="U118" i="3315"/>
  <c r="AF118" i="3315"/>
  <c r="AF392" i="3315"/>
  <c r="U392" i="3315"/>
  <c r="U724" i="3315"/>
  <c r="AF724" i="3315"/>
  <c r="U337" i="3315"/>
  <c r="AF337" i="3315"/>
  <c r="AF1233" i="3315"/>
  <c r="U1233" i="3315"/>
  <c r="U993" i="3315"/>
  <c r="AF993" i="3315"/>
  <c r="AF777" i="3315"/>
  <c r="U777" i="3315"/>
  <c r="U843" i="3315"/>
  <c r="AF843" i="3315"/>
  <c r="U797" i="3315"/>
  <c r="AF797" i="3315"/>
  <c r="U247" i="3315"/>
  <c r="AF247" i="3315"/>
  <c r="AF178" i="3315"/>
  <c r="U178" i="3315"/>
  <c r="U715" i="3315"/>
  <c r="AF715" i="3315"/>
  <c r="AG1048" i="3315"/>
  <c r="U415" i="3315"/>
  <c r="AF415" i="3315"/>
  <c r="AF840" i="3315"/>
  <c r="U840" i="3315"/>
  <c r="AF422" i="3315"/>
  <c r="U422" i="3315"/>
  <c r="U785" i="3315"/>
  <c r="AF785" i="3315"/>
  <c r="AF1203" i="3315"/>
  <c r="U1203" i="3315"/>
  <c r="AF229" i="3315"/>
  <c r="U229" i="3315"/>
  <c r="U989" i="3315"/>
  <c r="AF989" i="3315"/>
  <c r="AF746" i="3315"/>
  <c r="U746" i="3315"/>
  <c r="AF868" i="3315"/>
  <c r="U868" i="3315"/>
  <c r="AF109" i="3315"/>
  <c r="U109" i="3315"/>
  <c r="AF319" i="3315"/>
  <c r="U319" i="3315"/>
  <c r="AF135" i="3315"/>
  <c r="U135" i="3315"/>
  <c r="J309" i="3315"/>
  <c r="AF547" i="3315"/>
  <c r="U547" i="3315"/>
  <c r="U227" i="3315"/>
  <c r="AF227" i="3315"/>
  <c r="AF1219" i="3315"/>
  <c r="U1219" i="3315"/>
  <c r="U1230" i="3315"/>
  <c r="AF1230" i="3315"/>
  <c r="AF1222" i="3315"/>
  <c r="U1222" i="3315"/>
  <c r="AF1194" i="3315"/>
  <c r="U1194" i="3315"/>
  <c r="U142" i="3315"/>
  <c r="AF142" i="3315"/>
  <c r="AF816" i="3315"/>
  <c r="U816" i="3315"/>
  <c r="U199" i="3315"/>
  <c r="AF199" i="3315"/>
  <c r="U583" i="3315"/>
  <c r="AF583" i="3315"/>
  <c r="AF841" i="3315"/>
  <c r="U841" i="3315"/>
  <c r="U981" i="3315"/>
  <c r="AF981" i="3315"/>
  <c r="AF725" i="3315"/>
  <c r="U725" i="3315"/>
  <c r="AF283" i="3315"/>
  <c r="U283" i="3315"/>
  <c r="AF1229" i="3315"/>
  <c r="U1229" i="3315"/>
  <c r="AF1018" i="3315"/>
  <c r="U1018" i="3315"/>
  <c r="AF435" i="3315"/>
  <c r="U435" i="3315"/>
  <c r="U67" i="3315"/>
  <c r="AF67" i="3315"/>
  <c r="AF286" i="3315"/>
  <c r="U286" i="3315"/>
  <c r="AF872" i="3315"/>
  <c r="U872" i="3315"/>
  <c r="U357" i="3315"/>
  <c r="AF357" i="3315"/>
  <c r="AF875" i="3315"/>
  <c r="U875" i="3315"/>
  <c r="U184" i="3315"/>
  <c r="AF184" i="3315"/>
  <c r="AG331" i="3315"/>
  <c r="AF1006" i="3315"/>
  <c r="U1006" i="3315"/>
  <c r="AF801" i="3315"/>
  <c r="U801" i="3315"/>
  <c r="AF945" i="3315"/>
  <c r="U945" i="3315"/>
  <c r="U295" i="3315"/>
  <c r="AF295" i="3315"/>
  <c r="U45" i="3315"/>
  <c r="AF45" i="3315"/>
  <c r="AF123" i="3315"/>
  <c r="U123" i="3315"/>
  <c r="U1029" i="3315"/>
  <c r="AF1029" i="3315"/>
  <c r="AF1013" i="3315"/>
  <c r="U1013" i="3315"/>
  <c r="AF768" i="3315"/>
  <c r="U768" i="3315"/>
  <c r="U235" i="3315"/>
  <c r="AF235" i="3315"/>
  <c r="U1012" i="3315"/>
  <c r="AF1012" i="3315"/>
  <c r="AF252" i="3315"/>
  <c r="U252" i="3315"/>
  <c r="AF793" i="3315"/>
  <c r="U793" i="3315"/>
  <c r="U230" i="3315"/>
  <c r="AF230" i="3315"/>
  <c r="U727" i="3315"/>
  <c r="AF727" i="3315"/>
  <c r="U253" i="3315"/>
  <c r="AF253" i="3315"/>
  <c r="U73" i="3315"/>
  <c r="AF73" i="3315"/>
  <c r="U820" i="3315"/>
  <c r="AF820" i="3315"/>
  <c r="U409" i="3315"/>
  <c r="AF409" i="3315"/>
  <c r="U193" i="3315"/>
  <c r="AF193" i="3315"/>
  <c r="AF759" i="3315"/>
  <c r="U759" i="3315"/>
  <c r="U53" i="3315"/>
  <c r="AF53" i="3315"/>
  <c r="U1236" i="3315"/>
  <c r="AF1236" i="3315"/>
  <c r="U924" i="3315"/>
  <c r="AF924" i="3315"/>
  <c r="AF651" i="3315"/>
  <c r="U651" i="3315"/>
  <c r="U742" i="3315"/>
  <c r="AF742" i="3315"/>
  <c r="AF539" i="3315"/>
  <c r="U539" i="3315"/>
  <c r="AF424" i="3315"/>
  <c r="U424" i="3315"/>
  <c r="U849" i="3315"/>
  <c r="AF849" i="3315"/>
  <c r="AF209" i="3315"/>
  <c r="U209" i="3315"/>
  <c r="AF776" i="3315"/>
  <c r="U776" i="3315"/>
  <c r="AF500" i="3315"/>
  <c r="U500" i="3315"/>
  <c r="U946" i="3315"/>
  <c r="AF946" i="3315"/>
  <c r="AF84" i="3315"/>
  <c r="U84" i="3315"/>
  <c r="U779" i="3315"/>
  <c r="AF779" i="3315"/>
  <c r="AF614" i="3315"/>
  <c r="U614" i="3315"/>
  <c r="U622" i="3315"/>
  <c r="AF622" i="3315"/>
  <c r="AF317" i="3315"/>
  <c r="U317" i="3315"/>
  <c r="AF874" i="3315"/>
  <c r="U874" i="3315"/>
  <c r="AF955" i="3315"/>
  <c r="U955" i="3315"/>
  <c r="U113" i="3315"/>
  <c r="AF113" i="3315"/>
  <c r="U847" i="3315"/>
  <c r="AF847" i="3315"/>
  <c r="AF282" i="3315"/>
  <c r="U282" i="3315"/>
  <c r="J1250" i="3315"/>
  <c r="J1251" i="3315" s="1"/>
  <c r="U1179" i="3315"/>
  <c r="AF1179" i="3315"/>
  <c r="U772" i="3315"/>
  <c r="AF772" i="3315"/>
  <c r="U698" i="3315"/>
  <c r="AF698" i="3315"/>
  <c r="AF1024" i="3315"/>
  <c r="U1024" i="3315"/>
  <c r="AF49" i="3315"/>
  <c r="U49" i="3315"/>
  <c r="AF1223" i="3315"/>
  <c r="U1223" i="3315"/>
  <c r="AF55" i="3315"/>
  <c r="U55" i="3315"/>
  <c r="AF1185" i="3315"/>
  <c r="U1185" i="3315"/>
  <c r="AF1217" i="3315"/>
  <c r="U1217" i="3315"/>
  <c r="AF810" i="3315"/>
  <c r="U810" i="3315"/>
  <c r="U879" i="3315"/>
  <c r="AF879" i="3315"/>
  <c r="U155" i="3315"/>
  <c r="AF155" i="3315"/>
  <c r="AF65" i="3315"/>
  <c r="U65" i="3315"/>
  <c r="AG1115" i="3315"/>
  <c r="J1115" i="3315"/>
  <c r="AG1083" i="3315"/>
  <c r="J1083" i="3315"/>
  <c r="J1143" i="3315"/>
  <c r="AG1143" i="3315"/>
  <c r="AG1080" i="3315"/>
  <c r="J1080" i="3315"/>
  <c r="J1118" i="3315"/>
  <c r="AG1118" i="3315"/>
  <c r="J1098" i="3315"/>
  <c r="AG1098" i="3315"/>
  <c r="J1113" i="3315"/>
  <c r="AG1113" i="3315"/>
  <c r="J1119" i="3315"/>
  <c r="AG1119" i="3315"/>
  <c r="AG1104" i="3315"/>
  <c r="J1104" i="3315"/>
  <c r="AG1061" i="3315"/>
  <c r="J1061" i="3315"/>
  <c r="AG1060" i="3315"/>
  <c r="J1060" i="3315"/>
  <c r="J1089" i="3315"/>
  <c r="AG1089" i="3315"/>
  <c r="J1074" i="3315"/>
  <c r="AG1074" i="3315"/>
  <c r="J1123" i="3315"/>
  <c r="AG1123" i="3315"/>
  <c r="AG1153" i="3315"/>
  <c r="J1153" i="3315"/>
  <c r="AG1067" i="3315"/>
  <c r="J1067" i="3315"/>
  <c r="J1133" i="3315"/>
  <c r="AG1133" i="3315"/>
  <c r="AG1137" i="3315"/>
  <c r="J1137" i="3315"/>
  <c r="J1122" i="3315"/>
  <c r="AG1122" i="3315"/>
  <c r="J1145" i="3315"/>
  <c r="AG1145" i="3315"/>
  <c r="AG1107" i="3315"/>
  <c r="J1107" i="3315"/>
  <c r="J1146" i="3315"/>
  <c r="AG1146" i="3315"/>
  <c r="J1068" i="3315"/>
  <c r="AG1068" i="3315"/>
  <c r="J1087" i="3315"/>
  <c r="AG1087" i="3315"/>
  <c r="AG1131" i="3315"/>
  <c r="J1131" i="3315"/>
  <c r="AG1073" i="3315"/>
  <c r="J1073" i="3315"/>
  <c r="J1111" i="3315"/>
  <c r="AG1111" i="3315"/>
  <c r="AF86" i="3315"/>
  <c r="U86" i="3315"/>
  <c r="AF1000" i="3315"/>
  <c r="U1000" i="3315"/>
  <c r="U743" i="3315"/>
  <c r="AF743" i="3315"/>
  <c r="AF214" i="3315"/>
  <c r="U214" i="3315"/>
  <c r="AF543" i="3315"/>
  <c r="U543" i="3315"/>
  <c r="AF264" i="3315"/>
  <c r="U264" i="3315"/>
  <c r="U460" i="3315"/>
  <c r="AF460" i="3315"/>
  <c r="U323" i="3315"/>
  <c r="AF323" i="3315"/>
  <c r="U293" i="3315"/>
  <c r="AF293" i="3315"/>
  <c r="U177" i="3315"/>
  <c r="AF177" i="3315"/>
  <c r="AF238" i="3315"/>
  <c r="U238" i="3315"/>
  <c r="U576" i="3315"/>
  <c r="AF576" i="3315"/>
  <c r="U488" i="3315"/>
  <c r="AF488" i="3315"/>
  <c r="AF456" i="3315"/>
  <c r="U456" i="3315"/>
  <c r="AF56" i="3315"/>
  <c r="U56" i="3315"/>
  <c r="AF213" i="3315"/>
  <c r="U213" i="3315"/>
  <c r="U1181" i="3315"/>
  <c r="AF1181" i="3315"/>
  <c r="U76" i="3315"/>
  <c r="AF76" i="3315"/>
  <c r="AF196" i="3315"/>
  <c r="U196" i="3315"/>
  <c r="U1042" i="3315"/>
  <c r="AF1042" i="3315"/>
  <c r="J461" i="3315"/>
  <c r="U442" i="3315"/>
  <c r="AF442" i="3315"/>
  <c r="U694" i="3315"/>
  <c r="AF694" i="3315"/>
  <c r="AF1234" i="3315"/>
  <c r="U1234" i="3315"/>
  <c r="U671" i="3315"/>
  <c r="AF671" i="3315"/>
  <c r="U556" i="3315"/>
  <c r="AF556" i="3315"/>
  <c r="AF77" i="3315"/>
  <c r="U77" i="3315"/>
  <c r="U340" i="3315"/>
  <c r="AF340" i="3315"/>
  <c r="AF181" i="3315"/>
  <c r="U181" i="3315"/>
  <c r="U992" i="3315"/>
  <c r="AF992" i="3315"/>
  <c r="AF831" i="3315"/>
  <c r="U831" i="3315"/>
  <c r="U390" i="3315"/>
  <c r="AF390" i="3315"/>
  <c r="AF121" i="3315"/>
  <c r="U121" i="3315"/>
  <c r="AF985" i="3315"/>
  <c r="U985" i="3315"/>
  <c r="U603" i="3315"/>
  <c r="AF603" i="3315"/>
  <c r="AF263" i="3315"/>
  <c r="U263" i="3315"/>
  <c r="U890" i="3315"/>
  <c r="AF890" i="3315"/>
  <c r="AF936" i="3315"/>
  <c r="U936" i="3315"/>
  <c r="J132" i="3315"/>
  <c r="U60" i="3315"/>
  <c r="AF60" i="3315"/>
  <c r="AF1041" i="3315"/>
  <c r="U1041" i="3315"/>
  <c r="U404" i="3315"/>
  <c r="AF404" i="3315"/>
  <c r="U90" i="3315"/>
  <c r="AF90" i="3315"/>
  <c r="AF908" i="3315"/>
  <c r="U908" i="3315"/>
  <c r="AF862" i="3315"/>
  <c r="U862" i="3315"/>
  <c r="AF629" i="3315"/>
  <c r="U629" i="3315"/>
  <c r="U428" i="3315"/>
  <c r="AF428" i="3315"/>
  <c r="U136" i="3315"/>
  <c r="AF136" i="3315"/>
  <c r="U833" i="3315"/>
  <c r="AF833" i="3315"/>
  <c r="AF672" i="3315"/>
  <c r="U672" i="3315"/>
  <c r="AF941" i="3315"/>
  <c r="U941" i="3315"/>
  <c r="AF360" i="3315"/>
  <c r="U360" i="3315"/>
  <c r="U111" i="3315"/>
  <c r="AF111" i="3315"/>
  <c r="AF623" i="3315"/>
  <c r="U623" i="3315"/>
  <c r="AF1004" i="3315"/>
  <c r="U1004" i="3315"/>
  <c r="U595" i="3315"/>
  <c r="AF595" i="3315"/>
  <c r="U661" i="3315"/>
  <c r="AF661" i="3315"/>
  <c r="U792" i="3315"/>
  <c r="AF792" i="3315"/>
  <c r="J439" i="3315"/>
  <c r="AF389" i="3315"/>
  <c r="U389" i="3315"/>
  <c r="AF46" i="3315"/>
  <c r="U46" i="3315"/>
  <c r="U361" i="3315"/>
  <c r="AF361" i="3315"/>
  <c r="AF1184" i="3315"/>
  <c r="U1184" i="3315"/>
  <c r="AF900" i="3315"/>
  <c r="U900" i="3315"/>
  <c r="U324" i="3315"/>
  <c r="AF324" i="3315"/>
  <c r="AF712" i="3315"/>
  <c r="U712" i="3315"/>
  <c r="U176" i="3315"/>
  <c r="AF176" i="3315"/>
  <c r="U470" i="3315"/>
  <c r="AF470" i="3315"/>
  <c r="AF911" i="3315"/>
  <c r="U911" i="3315"/>
  <c r="AF276" i="3315"/>
  <c r="U276" i="3315"/>
  <c r="AF250" i="3315"/>
  <c r="U250" i="3315"/>
  <c r="U64" i="3315"/>
  <c r="AF64" i="3315"/>
  <c r="U935" i="3315"/>
  <c r="AF935" i="3315"/>
  <c r="AF188" i="3315"/>
  <c r="U188" i="3315"/>
  <c r="U842" i="3315"/>
  <c r="AF842" i="3315"/>
  <c r="AF226" i="3315"/>
  <c r="U226" i="3315"/>
  <c r="U596" i="3315"/>
  <c r="AF596" i="3315"/>
  <c r="U112" i="3315"/>
  <c r="AF112" i="3315"/>
  <c r="U277" i="3315"/>
  <c r="AF277" i="3315"/>
  <c r="AF255" i="3315"/>
  <c r="U255" i="3315"/>
  <c r="AF232" i="3315"/>
  <c r="U232" i="3315"/>
  <c r="U1037" i="3315"/>
  <c r="AF1037" i="3315"/>
  <c r="U1239" i="3315"/>
  <c r="AF1239" i="3315"/>
  <c r="AF129" i="3315"/>
  <c r="U129" i="3315"/>
  <c r="AF245" i="3315"/>
  <c r="U245" i="3315"/>
  <c r="U223" i="3315"/>
  <c r="AF223" i="3315"/>
  <c r="U818" i="3315"/>
  <c r="AF818" i="3315"/>
  <c r="U731" i="3315"/>
  <c r="AF731" i="3315"/>
  <c r="AF222" i="3315"/>
  <c r="U222" i="3315"/>
  <c r="U358" i="3315"/>
  <c r="AF358" i="3315"/>
  <c r="U656" i="3315"/>
  <c r="AF656" i="3315"/>
  <c r="U608" i="3315"/>
  <c r="AF608" i="3315"/>
  <c r="AF736" i="3315"/>
  <c r="U736" i="3315"/>
  <c r="U680" i="3315"/>
  <c r="AF680" i="3315"/>
  <c r="U1227" i="3315"/>
  <c r="AF1227" i="3315"/>
  <c r="AF554" i="3315"/>
  <c r="U554" i="3315"/>
  <c r="AF149" i="3315"/>
  <c r="U149" i="3315"/>
  <c r="U143" i="3315"/>
  <c r="AF143" i="3315"/>
  <c r="U761" i="3315"/>
  <c r="AF761" i="3315"/>
  <c r="AF301" i="3315"/>
  <c r="U301" i="3315"/>
  <c r="AF998" i="3315"/>
  <c r="U998" i="3315"/>
  <c r="AF356" i="3315"/>
  <c r="J385" i="3315"/>
  <c r="U356" i="3315"/>
  <c r="AF878" i="3315"/>
  <c r="U878" i="3315"/>
  <c r="U781" i="3315"/>
  <c r="AF781" i="3315"/>
  <c r="AF654" i="3315"/>
  <c r="U654" i="3315"/>
  <c r="AF495" i="3315"/>
  <c r="U495" i="3315"/>
  <c r="U808" i="3315"/>
  <c r="AF808" i="3315"/>
  <c r="AF1180" i="3315"/>
  <c r="U1180" i="3315"/>
  <c r="AF313" i="3315"/>
  <c r="U313" i="3315"/>
  <c r="AF459" i="3315"/>
  <c r="U459" i="3315"/>
  <c r="U815" i="3315"/>
  <c r="AF815" i="3315"/>
  <c r="AF991" i="3315"/>
  <c r="U991" i="3315"/>
  <c r="AF491" i="3315"/>
  <c r="U491" i="3315"/>
  <c r="U1183" i="3315"/>
  <c r="AF1183" i="3315"/>
  <c r="U122" i="3315"/>
  <c r="AF122" i="3315"/>
  <c r="U1026" i="3315"/>
  <c r="AF1026" i="3315"/>
  <c r="U1040" i="3315"/>
  <c r="AF1040" i="3315"/>
  <c r="AF186" i="3315"/>
  <c r="U186" i="3315"/>
  <c r="U268" i="3315"/>
  <c r="AF268" i="3315"/>
  <c r="U1189" i="3315"/>
  <c r="AF1189" i="3315"/>
  <c r="U419" i="3315"/>
  <c r="AF419" i="3315"/>
  <c r="U52" i="3315"/>
  <c r="AF52" i="3315"/>
  <c r="AF601" i="3315"/>
  <c r="U601" i="3315"/>
  <c r="AF187" i="3315"/>
  <c r="U187" i="3315"/>
  <c r="AF720" i="3315"/>
  <c r="U720" i="3315"/>
  <c r="AF909" i="3315"/>
  <c r="U909" i="3315"/>
  <c r="U530" i="3315"/>
  <c r="AF530" i="3315"/>
  <c r="AF709" i="3315"/>
  <c r="U709" i="3315"/>
  <c r="AF787" i="3315"/>
  <c r="U787" i="3315"/>
  <c r="AF117" i="3315"/>
  <c r="U117" i="3315"/>
  <c r="U837" i="3315"/>
  <c r="AF837" i="3315"/>
  <c r="U939" i="3315"/>
  <c r="AF939" i="3315"/>
  <c r="U359" i="3315"/>
  <c r="AF359" i="3315"/>
  <c r="U697" i="3315"/>
  <c r="AF697" i="3315"/>
  <c r="U846" i="3315"/>
  <c r="AF846" i="3315"/>
  <c r="U667" i="3315"/>
  <c r="AF667" i="3315"/>
  <c r="AF767" i="3315"/>
  <c r="U767" i="3315"/>
  <c r="U1030" i="3315"/>
  <c r="AF1030" i="3315"/>
  <c r="U243" i="3315"/>
  <c r="AF243" i="3315"/>
  <c r="U740" i="3315"/>
  <c r="AF740" i="3315"/>
  <c r="U738" i="3315"/>
  <c r="AF738" i="3315"/>
  <c r="U954" i="3315"/>
  <c r="AF954" i="3315"/>
  <c r="AF542" i="3315"/>
  <c r="U542" i="3315"/>
  <c r="AF272" i="3315"/>
  <c r="U272" i="3315"/>
  <c r="AF248" i="3315"/>
  <c r="U248" i="3315"/>
  <c r="U751" i="3315"/>
  <c r="AF751" i="3315"/>
  <c r="AF145" i="3315"/>
  <c r="U145" i="3315"/>
  <c r="U948" i="3315"/>
  <c r="AF948" i="3315"/>
  <c r="U525" i="3315"/>
  <c r="AF525" i="3315"/>
  <c r="AF630" i="3315"/>
  <c r="U630" i="3315"/>
  <c r="U1241" i="3315"/>
  <c r="AF1241" i="3315"/>
  <c r="U551" i="3315"/>
  <c r="AF551" i="3315"/>
  <c r="AF152" i="3315"/>
  <c r="U152" i="3315"/>
  <c r="AF413" i="3315"/>
  <c r="U413" i="3315"/>
  <c r="U803" i="3315"/>
  <c r="AF803" i="3315"/>
  <c r="U449" i="3315"/>
  <c r="AF449" i="3315"/>
  <c r="U472" i="3315"/>
  <c r="AF472" i="3315"/>
  <c r="AF54" i="3315"/>
  <c r="U54" i="3315"/>
  <c r="AG309" i="3315"/>
  <c r="U418" i="3315"/>
  <c r="AF418" i="3315"/>
  <c r="U723" i="3315"/>
  <c r="AF723" i="3315"/>
  <c r="U1224" i="3315"/>
  <c r="AF1224" i="3315"/>
  <c r="AF281" i="3315"/>
  <c r="U281" i="3315"/>
  <c r="AF436" i="3315"/>
  <c r="U436" i="3315"/>
  <c r="AF863" i="3315"/>
  <c r="U863" i="3315"/>
  <c r="AF1011" i="3315"/>
  <c r="U1011" i="3315"/>
  <c r="U617" i="3315"/>
  <c r="AF617" i="3315"/>
  <c r="AF681" i="3315"/>
  <c r="U681" i="3315"/>
  <c r="AF892" i="3315"/>
  <c r="U892" i="3315"/>
  <c r="U826" i="3315"/>
  <c r="AF826" i="3315"/>
  <c r="U760" i="3315"/>
  <c r="AF760" i="3315"/>
  <c r="U454" i="3315"/>
  <c r="AF454" i="3315"/>
  <c r="AF114" i="3315"/>
  <c r="U114" i="3315"/>
  <c r="U1003" i="3315"/>
  <c r="AF1003" i="3315"/>
  <c r="AF544" i="3315"/>
  <c r="U544" i="3315"/>
  <c r="AG966" i="3315"/>
  <c r="AG973" i="3315" s="1"/>
  <c r="AF120" i="3315"/>
  <c r="U120" i="3315"/>
  <c r="AF74" i="3315"/>
  <c r="U74" i="3315"/>
  <c r="AF891" i="3315"/>
  <c r="U891" i="3315"/>
  <c r="AF1005" i="3315"/>
  <c r="U1005" i="3315"/>
  <c r="U620" i="3315"/>
  <c r="AF620" i="3315"/>
  <c r="AF448" i="3315"/>
  <c r="U448" i="3315"/>
  <c r="U524" i="3315"/>
  <c r="AF524" i="3315"/>
  <c r="U401" i="3315"/>
  <c r="AF401" i="3315"/>
  <c r="U1025" i="3315"/>
  <c r="AF1025" i="3315"/>
  <c r="U320" i="3315"/>
  <c r="AF320" i="3315"/>
  <c r="AF648" i="3315"/>
  <c r="U648" i="3315"/>
  <c r="U179" i="3315"/>
  <c r="AF179" i="3315"/>
  <c r="AF529" i="3315"/>
  <c r="U529" i="3315"/>
  <c r="AF431" i="3315"/>
  <c r="U431" i="3315"/>
  <c r="U203" i="3315"/>
  <c r="AF203" i="3315"/>
  <c r="U99" i="3315"/>
  <c r="AF99" i="3315"/>
  <c r="U1019" i="3315"/>
  <c r="AF1019" i="3315"/>
  <c r="U685" i="3315"/>
  <c r="AF685" i="3315"/>
  <c r="AF713" i="3315"/>
  <c r="U713" i="3315"/>
  <c r="U198" i="3315"/>
  <c r="AF198" i="3315"/>
  <c r="AF92" i="3315"/>
  <c r="U92" i="3315"/>
  <c r="AF158" i="3315"/>
  <c r="U158" i="3315"/>
  <c r="U1205" i="3315"/>
  <c r="AF1205" i="3315"/>
  <c r="U807" i="3315"/>
  <c r="AF807" i="3315"/>
  <c r="R1055" i="3315"/>
  <c r="W1055" i="3315" s="1"/>
  <c r="Q1147" i="3315"/>
  <c r="R1141" i="3315"/>
  <c r="R1109" i="3315"/>
  <c r="W1109" i="3315" s="1"/>
  <c r="R1134" i="3315"/>
  <c r="R1159" i="3315"/>
  <c r="W1159" i="3315" s="1"/>
  <c r="R1078" i="3315"/>
  <c r="W1078" i="3315" s="1"/>
  <c r="R1083" i="3315"/>
  <c r="W1083" i="3315" s="1"/>
  <c r="R1081" i="3315"/>
  <c r="W1081" i="3315" s="1"/>
  <c r="R1111" i="3315"/>
  <c r="R1066" i="3315"/>
  <c r="W1066" i="3315" s="1"/>
  <c r="R1229" i="3315"/>
  <c r="W1229" i="3315" s="1"/>
  <c r="R652" i="3315"/>
  <c r="W652" i="3315" s="1"/>
  <c r="R437" i="3315"/>
  <c r="R144" i="3315"/>
  <c r="W144" i="3315" s="1"/>
  <c r="R1060" i="3315"/>
  <c r="R1061" i="3315"/>
  <c r="R1115" i="3315"/>
  <c r="R1071" i="3315"/>
  <c r="W1071" i="3315" s="1"/>
  <c r="R1106" i="3315"/>
  <c r="R1058" i="3315"/>
  <c r="W1058" i="3315" s="1"/>
  <c r="R1089" i="3315"/>
  <c r="R1110" i="3315"/>
  <c r="W1110" i="3315" s="1"/>
  <c r="R1120" i="3315"/>
  <c r="W1120" i="3315" s="1"/>
  <c r="R1054" i="3315"/>
  <c r="W1054" i="3315" s="1"/>
  <c r="R1114" i="3315"/>
  <c r="W1114" i="3315" s="1"/>
  <c r="R1098" i="3315"/>
  <c r="R1145" i="3315"/>
  <c r="R1133" i="3315"/>
  <c r="W1133" i="3315" s="1"/>
  <c r="Q1162" i="3315"/>
  <c r="R1158" i="3315"/>
  <c r="R1080" i="3315"/>
  <c r="W1080" i="3315" s="1"/>
  <c r="R1057" i="3315"/>
  <c r="R1129" i="3315"/>
  <c r="W1129" i="3315" s="1"/>
  <c r="R1087" i="3315"/>
  <c r="R1095" i="3315"/>
  <c r="W1095" i="3315" s="1"/>
  <c r="R1067" i="3315"/>
  <c r="R1161" i="3315"/>
  <c r="W1161" i="3315" s="1"/>
  <c r="R1084" i="3315"/>
  <c r="W1084" i="3315" s="1"/>
  <c r="R1086" i="3315"/>
  <c r="W1086" i="3315" s="1"/>
  <c r="R1224" i="3315"/>
  <c r="R828" i="3315"/>
  <c r="W828" i="3315" s="1"/>
  <c r="R215" i="3315"/>
  <c r="W215" i="3315" s="1"/>
  <c r="R453" i="3315"/>
  <c r="R576" i="3315"/>
  <c r="W576" i="3315" s="1"/>
  <c r="R810" i="3315"/>
  <c r="W810" i="3315" s="1"/>
  <c r="R56" i="3315"/>
  <c r="W56" i="3315" s="1"/>
  <c r="R163" i="3315"/>
  <c r="R691" i="3315"/>
  <c r="W691" i="3315" s="1"/>
  <c r="R261" i="3315"/>
  <c r="R758" i="3315"/>
  <c r="W758" i="3315" s="1"/>
  <c r="R203" i="3315"/>
  <c r="R886" i="3315"/>
  <c r="R924" i="3315"/>
  <c r="W924" i="3315" s="1"/>
  <c r="R87" i="3315"/>
  <c r="W87" i="3315" s="1"/>
  <c r="R527" i="3315"/>
  <c r="Q1250" i="3315"/>
  <c r="Q1251" i="3315" s="1"/>
  <c r="R1179" i="3315"/>
  <c r="R557" i="3315"/>
  <c r="W557" i="3315" s="1"/>
  <c r="R297" i="3315"/>
  <c r="W297" i="3315" s="1"/>
  <c r="R88" i="3315"/>
  <c r="W88" i="3315" s="1"/>
  <c r="R324" i="3315"/>
  <c r="R424" i="3315"/>
  <c r="W424" i="3315" s="1"/>
  <c r="R901" i="3315"/>
  <c r="R1220" i="3315"/>
  <c r="W1220" i="3315" s="1"/>
  <c r="R252" i="3315"/>
  <c r="R878" i="3315"/>
  <c r="R1186" i="3315"/>
  <c r="W1186" i="3315" s="1"/>
  <c r="R258" i="3315"/>
  <c r="W258" i="3315" s="1"/>
  <c r="W759" i="3315"/>
  <c r="R864" i="3315"/>
  <c r="W864" i="3315" s="1"/>
  <c r="R1226" i="3315"/>
  <c r="W1226" i="3315" s="1"/>
  <c r="R842" i="3315"/>
  <c r="W842" i="3315" s="1"/>
  <c r="R122" i="3315"/>
  <c r="W122" i="3315" s="1"/>
  <c r="R740" i="3315"/>
  <c r="W740" i="3315" s="1"/>
  <c r="R784" i="3315"/>
  <c r="W784" i="3315" s="1"/>
  <c r="R151" i="3315"/>
  <c r="R779" i="3315"/>
  <c r="R282" i="3315"/>
  <c r="W282" i="3315" s="1"/>
  <c r="R165" i="3315"/>
  <c r="W165" i="3315" s="1"/>
  <c r="R866" i="3315"/>
  <c r="R1031" i="3315"/>
  <c r="W1031" i="3315" s="1"/>
  <c r="R788" i="3315"/>
  <c r="W788" i="3315" s="1"/>
  <c r="R580" i="3315"/>
  <c r="R127" i="3315"/>
  <c r="W127" i="3315" s="1"/>
  <c r="R487" i="3315"/>
  <c r="R934" i="3315"/>
  <c r="W934" i="3315" s="1"/>
  <c r="R307" i="3315"/>
  <c r="R216" i="3315"/>
  <c r="R622" i="3315"/>
  <c r="W622" i="3315" s="1"/>
  <c r="R582" i="3315"/>
  <c r="R609" i="3315"/>
  <c r="W609" i="3315" s="1"/>
  <c r="R195" i="3315"/>
  <c r="W195" i="3315" s="1"/>
  <c r="R305" i="3315"/>
  <c r="R188" i="3315"/>
  <c r="W188" i="3315" s="1"/>
  <c r="R803" i="3315"/>
  <c r="W803" i="3315" s="1"/>
  <c r="R847" i="3315"/>
  <c r="R349" i="3315"/>
  <c r="R448" i="3315"/>
  <c r="R991" i="3315"/>
  <c r="W991" i="3315" s="1"/>
  <c r="R888" i="3315"/>
  <c r="R977" i="3315"/>
  <c r="W977" i="3315" s="1"/>
  <c r="R110" i="3315"/>
  <c r="W110" i="3315" s="1"/>
  <c r="R548" i="3315"/>
  <c r="R286" i="3315"/>
  <c r="W286" i="3315" s="1"/>
  <c r="Q385" i="3315"/>
  <c r="R356" i="3315"/>
  <c r="Q439" i="3315"/>
  <c r="R389" i="3315"/>
  <c r="R125" i="3315"/>
  <c r="R229" i="3315"/>
  <c r="W229" i="3315" s="1"/>
  <c r="R375" i="3315"/>
  <c r="R713" i="3315"/>
  <c r="Q309" i="3315"/>
  <c r="R135" i="3315"/>
  <c r="R287" i="3315"/>
  <c r="W287" i="3315" s="1"/>
  <c r="R325" i="3315"/>
  <c r="W325" i="3315" s="1"/>
  <c r="R718" i="3315"/>
  <c r="R452" i="3315"/>
  <c r="W452" i="3315" s="1"/>
  <c r="R996" i="3315"/>
  <c r="W996" i="3315" s="1"/>
  <c r="R710" i="3315"/>
  <c r="W710" i="3315" s="1"/>
  <c r="R123" i="3315"/>
  <c r="R918" i="3315"/>
  <c r="W918" i="3315" s="1"/>
  <c r="R1039" i="3315"/>
  <c r="R927" i="3315"/>
  <c r="R185" i="3315"/>
  <c r="R642" i="3315"/>
  <c r="W642" i="3315" s="1"/>
  <c r="R54" i="3315"/>
  <c r="W54" i="3315" s="1"/>
  <c r="R870" i="3315"/>
  <c r="R804" i="3315"/>
  <c r="W804" i="3315" s="1"/>
  <c r="R908" i="3315"/>
  <c r="W908" i="3315" s="1"/>
  <c r="R217" i="3315"/>
  <c r="W217" i="3315" s="1"/>
  <c r="R701" i="3315"/>
  <c r="R199" i="3315"/>
  <c r="W199" i="3315" s="1"/>
  <c r="R266" i="3315"/>
  <c r="W266" i="3315" s="1"/>
  <c r="R663" i="3315"/>
  <c r="W663" i="3315" s="1"/>
  <c r="R149" i="3315"/>
  <c r="R288" i="3315"/>
  <c r="W288" i="3315" s="1"/>
  <c r="R792" i="3315"/>
  <c r="W792" i="3315" s="1"/>
  <c r="R920" i="3315"/>
  <c r="R1223" i="3315"/>
  <c r="W1223" i="3315" s="1"/>
  <c r="R636" i="3315"/>
  <c r="W636" i="3315" s="1"/>
  <c r="R1205" i="3315"/>
  <c r="W1205" i="3315" s="1"/>
  <c r="R83" i="3315"/>
  <c r="R891" i="3315"/>
  <c r="R193" i="3315"/>
  <c r="W193" i="3315" s="1"/>
  <c r="R111" i="3315"/>
  <c r="R492" i="3315"/>
  <c r="W492" i="3315" s="1"/>
  <c r="R583" i="3315"/>
  <c r="W583" i="3315" s="1"/>
  <c r="R650" i="3315"/>
  <c r="W650" i="3315" s="1"/>
  <c r="R863" i="3315"/>
  <c r="R179" i="3315"/>
  <c r="W179" i="3315" s="1"/>
  <c r="R301" i="3315"/>
  <c r="W301" i="3315" s="1"/>
  <c r="R184" i="3315"/>
  <c r="R799" i="3315"/>
  <c r="R997" i="3315"/>
  <c r="W997" i="3315" s="1"/>
  <c r="R707" i="3315"/>
  <c r="R899" i="3315"/>
  <c r="R983" i="3315"/>
  <c r="W983" i="3315" s="1"/>
  <c r="R101" i="3315"/>
  <c r="R196" i="3315"/>
  <c r="W196" i="3315" s="1"/>
  <c r="R677" i="3315"/>
  <c r="W677" i="3315" s="1"/>
  <c r="R345" i="3315"/>
  <c r="W345" i="3315" s="1"/>
  <c r="R1232" i="3315"/>
  <c r="R558" i="3315"/>
  <c r="W558" i="3315" s="1"/>
  <c r="R328" i="3315"/>
  <c r="R1234" i="3315"/>
  <c r="R48" i="3315"/>
  <c r="W48" i="3315" s="1"/>
  <c r="R228" i="3315"/>
  <c r="R267" i="3315"/>
  <c r="W267" i="3315" s="1"/>
  <c r="R211" i="3315"/>
  <c r="R170" i="3315"/>
  <c r="W170" i="3315" s="1"/>
  <c r="R82" i="3315"/>
  <c r="W82" i="3315" s="1"/>
  <c r="R887" i="3315"/>
  <c r="W887" i="3315" s="1"/>
  <c r="R192" i="3315"/>
  <c r="R421" i="3315"/>
  <c r="W421" i="3315" s="1"/>
  <c r="R807" i="3315"/>
  <c r="W807" i="3315" s="1"/>
  <c r="R739" i="3315"/>
  <c r="R102" i="3315"/>
  <c r="R251" i="3315"/>
  <c r="W251" i="3315" s="1"/>
  <c r="R1036" i="3315"/>
  <c r="W1036" i="3315" s="1"/>
  <c r="R214" i="3315"/>
  <c r="W214" i="3315" s="1"/>
  <c r="R46" i="3315"/>
  <c r="R410" i="3315"/>
  <c r="W410" i="3315" s="1"/>
  <c r="R236" i="3315"/>
  <c r="W236" i="3315" s="1"/>
  <c r="R1244" i="3315"/>
  <c r="W1244" i="3315" s="1"/>
  <c r="R860" i="3315"/>
  <c r="R939" i="3315"/>
  <c r="W939" i="3315" s="1"/>
  <c r="R1019" i="3315"/>
  <c r="W1019" i="3315" s="1"/>
  <c r="R171" i="3315"/>
  <c r="W171" i="3315" s="1"/>
  <c r="R226" i="3315"/>
  <c r="R372" i="3315"/>
  <c r="W372" i="3315" s="1"/>
  <c r="R1040" i="3315"/>
  <c r="W1040" i="3315" s="1"/>
  <c r="R494" i="3315"/>
  <c r="W494" i="3315" s="1"/>
  <c r="R790" i="3315"/>
  <c r="R316" i="3315"/>
  <c r="W316" i="3315" s="1"/>
  <c r="R427" i="3315"/>
  <c r="W427" i="3315" s="1"/>
  <c r="R614" i="3315"/>
  <c r="R777" i="3315"/>
  <c r="R895" i="3315"/>
  <c r="W895" i="3315" s="1"/>
  <c r="R114" i="3315"/>
  <c r="R378" i="3315"/>
  <c r="W378" i="3315" s="1"/>
  <c r="R146" i="3315"/>
  <c r="W146" i="3315" s="1"/>
  <c r="R285" i="3315"/>
  <c r="W285" i="3315" s="1"/>
  <c r="R780" i="3315"/>
  <c r="R168" i="3315"/>
  <c r="W168" i="3315" s="1"/>
  <c r="R397" i="3315"/>
  <c r="W397" i="3315" s="1"/>
  <c r="R783" i="3315"/>
  <c r="R605" i="3315"/>
  <c r="W605" i="3315" s="1"/>
  <c r="R1235" i="3315"/>
  <c r="W1235" i="3315" s="1"/>
  <c r="R1038" i="3315"/>
  <c r="W1038" i="3315" s="1"/>
  <c r="R648" i="3315"/>
  <c r="R676" i="3315"/>
  <c r="W676" i="3315" s="1"/>
  <c r="R859" i="3315"/>
  <c r="W859" i="3315" s="1"/>
  <c r="R926" i="3315"/>
  <c r="W926" i="3315" s="1"/>
  <c r="R894" i="3315"/>
  <c r="R428" i="3315"/>
  <c r="W428" i="3315" s="1"/>
  <c r="R1222" i="3315"/>
  <c r="W1222" i="3315" s="1"/>
  <c r="R1011" i="3315"/>
  <c r="R845" i="3315"/>
  <c r="W845" i="3315" s="1"/>
  <c r="R917" i="3315"/>
  <c r="W917" i="3315" s="1"/>
  <c r="R434" i="3315"/>
  <c r="W434" i="3315" s="1"/>
  <c r="R242" i="3315"/>
  <c r="R1002" i="3315"/>
  <c r="W1002" i="3315" s="1"/>
  <c r="R342" i="3315"/>
  <c r="W342" i="3315" s="1"/>
  <c r="R264" i="3315"/>
  <c r="R655" i="3315"/>
  <c r="W655" i="3315" s="1"/>
  <c r="R890" i="3315"/>
  <c r="R460" i="3315"/>
  <c r="W460" i="3315" s="1"/>
  <c r="R693" i="3315"/>
  <c r="R822" i="3315"/>
  <c r="W822" i="3315" s="1"/>
  <c r="R898" i="3315"/>
  <c r="W898" i="3315" s="1"/>
  <c r="R313" i="3315"/>
  <c r="W313" i="3315" s="1"/>
  <c r="R400" i="3315"/>
  <c r="R1183" i="3315"/>
  <c r="W1183" i="3315" s="1"/>
  <c r="R982" i="3315"/>
  <c r="W982" i="3315" s="1"/>
  <c r="R948" i="3315"/>
  <c r="R743" i="3315"/>
  <c r="W743" i="3315" s="1"/>
  <c r="R809" i="3315"/>
  <c r="R74" i="3315"/>
  <c r="R679" i="3315"/>
  <c r="R543" i="3315"/>
  <c r="W543" i="3315" s="1"/>
  <c r="R735" i="3315"/>
  <c r="W735" i="3315" s="1"/>
  <c r="R415" i="3315"/>
  <c r="R801" i="3315"/>
  <c r="W801" i="3315" s="1"/>
  <c r="R1206" i="3315"/>
  <c r="W1206" i="3315" s="1"/>
  <c r="R694" i="3315"/>
  <c r="W694" i="3315" s="1"/>
  <c r="R602" i="3315"/>
  <c r="R478" i="3315"/>
  <c r="W478" i="3315" s="1"/>
  <c r="R665" i="3315"/>
  <c r="W665" i="3315" s="1"/>
  <c r="R446" i="3315"/>
  <c r="W446" i="3315" s="1"/>
  <c r="R764" i="3315"/>
  <c r="R1024" i="3315"/>
  <c r="W1024" i="3315" s="1"/>
  <c r="R846" i="3315"/>
  <c r="W846" i="3315" s="1"/>
  <c r="R1005" i="3315"/>
  <c r="W1005" i="3315" s="1"/>
  <c r="R943" i="3315"/>
  <c r="R625" i="3315"/>
  <c r="W625" i="3315" s="1"/>
  <c r="R528" i="3315"/>
  <c r="W528" i="3315" s="1"/>
  <c r="R715" i="3315"/>
  <c r="W715" i="3315" s="1"/>
  <c r="R1023" i="3315"/>
  <c r="R77" i="3315"/>
  <c r="R370" i="3315"/>
  <c r="W370" i="3315" s="1"/>
  <c r="R839" i="3315"/>
  <c r="W839" i="3315" s="1"/>
  <c r="R1246" i="3315"/>
  <c r="R914" i="3315"/>
  <c r="W914" i="3315" s="1"/>
  <c r="R596" i="3315"/>
  <c r="W596" i="3315" s="1"/>
  <c r="R62" i="3315"/>
  <c r="R61" i="3315"/>
  <c r="W61" i="3315" s="1"/>
  <c r="R416" i="3315"/>
  <c r="W416" i="3315" s="1"/>
  <c r="R802" i="3315"/>
  <c r="R1210" i="3315"/>
  <c r="R872" i="3315"/>
  <c r="W872" i="3315" s="1"/>
  <c r="R999" i="3315"/>
  <c r="R78" i="3315"/>
  <c r="W78" i="3315" s="1"/>
  <c r="R103" i="3315"/>
  <c r="R447" i="3315"/>
  <c r="W447" i="3315" s="1"/>
  <c r="R765" i="3315"/>
  <c r="W765" i="3315" s="1"/>
  <c r="W357" i="3315"/>
  <c r="R825" i="3315"/>
  <c r="W825" i="3315" s="1"/>
  <c r="R1233" i="3315"/>
  <c r="W1233" i="3315" s="1"/>
  <c r="R897" i="3315"/>
  <c r="R1137" i="3315"/>
  <c r="W1137" i="3315" s="1"/>
  <c r="R1088" i="3315"/>
  <c r="W1088" i="3315" s="1"/>
  <c r="R1070" i="3315"/>
  <c r="W1070" i="3315" s="1"/>
  <c r="R1123" i="3315"/>
  <c r="R1112" i="3315"/>
  <c r="W1112" i="3315" s="1"/>
  <c r="R1160" i="3315"/>
  <c r="R1142" i="3315"/>
  <c r="W1142" i="3315" s="1"/>
  <c r="R1116" i="3315"/>
  <c r="W1116" i="3315" s="1"/>
  <c r="R1073" i="3315"/>
  <c r="W1073" i="3315" s="1"/>
  <c r="R1099" i="3315"/>
  <c r="R1122" i="3315"/>
  <c r="W1122" i="3315" s="1"/>
  <c r="R1075" i="3315"/>
  <c r="W1075" i="3315" s="1"/>
  <c r="R1127" i="3315"/>
  <c r="R1074" i="3315"/>
  <c r="W1074" i="3315" s="1"/>
  <c r="R1130" i="3315"/>
  <c r="R1082" i="3315"/>
  <c r="W1082" i="3315" s="1"/>
  <c r="R1135" i="3315"/>
  <c r="R1154" i="3315"/>
  <c r="R1077" i="3315"/>
  <c r="R1152" i="3315"/>
  <c r="W1152" i="3315" s="1"/>
  <c r="R1107" i="3315"/>
  <c r="R1069" i="3315"/>
  <c r="W1069" i="3315" s="1"/>
  <c r="R1118" i="3315"/>
  <c r="R1124" i="3315"/>
  <c r="W1124" i="3315" s="1"/>
  <c r="R1056" i="3315"/>
  <c r="W1056" i="3315" s="1"/>
  <c r="R1076" i="3315"/>
  <c r="W1076" i="3315" s="1"/>
  <c r="R1103" i="3315"/>
  <c r="W1103" i="3315" s="1"/>
  <c r="R1121" i="3315"/>
  <c r="R260" i="3315"/>
  <c r="W260" i="3315" s="1"/>
  <c r="R657" i="3315"/>
  <c r="R292" i="3315"/>
  <c r="W292" i="3315" s="1"/>
  <c r="R275" i="3315"/>
  <c r="W275" i="3315" s="1"/>
  <c r="R208" i="3315"/>
  <c r="R682" i="3315"/>
  <c r="R238" i="3315"/>
  <c r="W238" i="3315" s="1"/>
  <c r="R180" i="3315"/>
  <c r="R270" i="3315"/>
  <c r="W270" i="3315" s="1"/>
  <c r="R239" i="3315"/>
  <c r="R643" i="3315"/>
  <c r="W643" i="3315" s="1"/>
  <c r="R1218" i="3315"/>
  <c r="W1218" i="3315" s="1"/>
  <c r="R659" i="3315"/>
  <c r="R265" i="3315"/>
  <c r="W265" i="3315" s="1"/>
  <c r="R359" i="3315"/>
  <c r="W359" i="3315" s="1"/>
  <c r="R913" i="3315"/>
  <c r="W913" i="3315" s="1"/>
  <c r="R467" i="3315"/>
  <c r="W467" i="3315" s="1"/>
  <c r="R384" i="3315"/>
  <c r="W384" i="3315" s="1"/>
  <c r="R795" i="3315"/>
  <c r="W795" i="3315" s="1"/>
  <c r="R153" i="3315"/>
  <c r="R326" i="3315"/>
  <c r="W326" i="3315" s="1"/>
  <c r="R272" i="3315"/>
  <c r="W272" i="3315" s="1"/>
  <c r="R1007" i="3315"/>
  <c r="W1007" i="3315" s="1"/>
  <c r="R51" i="3315"/>
  <c r="R241" i="3315"/>
  <c r="W241" i="3315" s="1"/>
  <c r="R340" i="3315"/>
  <c r="W340" i="3315" s="1"/>
  <c r="R732" i="3315"/>
  <c r="W732" i="3315" s="1"/>
  <c r="R627" i="3315"/>
  <c r="R912" i="3315"/>
  <c r="W912" i="3315" s="1"/>
  <c r="R930" i="3315"/>
  <c r="W930" i="3315" s="1"/>
  <c r="R1015" i="3315"/>
  <c r="R723" i="3315"/>
  <c r="W723" i="3315" s="1"/>
  <c r="R615" i="3315"/>
  <c r="R302" i="3315"/>
  <c r="W302" i="3315" s="1"/>
  <c r="Q57" i="3315"/>
  <c r="R43" i="3315"/>
  <c r="R81" i="3315"/>
  <c r="W81" i="3315" s="1"/>
  <c r="R472" i="3315"/>
  <c r="R418" i="3315"/>
  <c r="W418" i="3315" s="1"/>
  <c r="R692" i="3315"/>
  <c r="R667" i="3315"/>
  <c r="W667" i="3315" s="1"/>
  <c r="R154" i="3315"/>
  <c r="R812" i="3315"/>
  <c r="W812" i="3315" s="1"/>
  <c r="R405" i="3315"/>
  <c r="W405" i="3315" s="1"/>
  <c r="R641" i="3315"/>
  <c r="R96" i="3315"/>
  <c r="W96" i="3315" s="1"/>
  <c r="R116" i="3315"/>
  <c r="W116" i="3315" s="1"/>
  <c r="R220" i="3315"/>
  <c r="W220" i="3315" s="1"/>
  <c r="R836" i="3315"/>
  <c r="R896" i="3315"/>
  <c r="W896" i="3315" s="1"/>
  <c r="R194" i="3315"/>
  <c r="R363" i="3315"/>
  <c r="W363" i="3315" s="1"/>
  <c r="R712" i="3315"/>
  <c r="R550" i="3315"/>
  <c r="R699" i="3315"/>
  <c r="W699" i="3315" s="1"/>
  <c r="R294" i="3315"/>
  <c r="R177" i="3315"/>
  <c r="W177" i="3315" s="1"/>
  <c r="R921" i="3315"/>
  <c r="W921" i="3315" s="1"/>
  <c r="R626" i="3315"/>
  <c r="W626" i="3315" s="1"/>
  <c r="R269" i="3315"/>
  <c r="R766" i="3315"/>
  <c r="W766" i="3315" s="1"/>
  <c r="R612" i="3315"/>
  <c r="W612" i="3315" s="1"/>
  <c r="R71" i="3315"/>
  <c r="R695" i="3315"/>
  <c r="W695" i="3315" s="1"/>
  <c r="R227" i="3315"/>
  <c r="W227" i="3315" s="1"/>
  <c r="R435" i="3315"/>
  <c r="W435" i="3315" s="1"/>
  <c r="R169" i="3315"/>
  <c r="R611" i="3315"/>
  <c r="W611" i="3315" s="1"/>
  <c r="R92" i="3315"/>
  <c r="W92" i="3315" s="1"/>
  <c r="R1042" i="3315"/>
  <c r="R837" i="3315"/>
  <c r="W837" i="3315" s="1"/>
  <c r="R218" i="3315"/>
  <c r="W218" i="3315" s="1"/>
  <c r="R426" i="3315"/>
  <c r="R993" i="3315"/>
  <c r="W993" i="3315" s="1"/>
  <c r="R574" i="3315"/>
  <c r="W574" i="3315" s="1"/>
  <c r="R183" i="3315"/>
  <c r="W183" i="3315" s="1"/>
  <c r="R647" i="3315"/>
  <c r="R284" i="3315"/>
  <c r="W284" i="3315" s="1"/>
  <c r="R916" i="3315"/>
  <c r="W916" i="3315" s="1"/>
  <c r="R616" i="3315"/>
  <c r="R95" i="3315"/>
  <c r="R564" i="3315"/>
  <c r="W564" i="3315" s="1"/>
  <c r="R525" i="3315"/>
  <c r="R649" i="3315"/>
  <c r="W649" i="3315" s="1"/>
  <c r="R493" i="3315"/>
  <c r="R97" i="3315"/>
  <c r="W97" i="3315" s="1"/>
  <c r="R821" i="3315"/>
  <c r="W821" i="3315" s="1"/>
  <c r="W360" i="3315"/>
  <c r="R470" i="3315"/>
  <c r="R108" i="3315"/>
  <c r="W108" i="3315" s="1"/>
  <c r="R358" i="3315"/>
  <c r="W358" i="3315" s="1"/>
  <c r="R933" i="3315"/>
  <c r="R49" i="3315"/>
  <c r="W49" i="3315" s="1"/>
  <c r="Q567" i="3315"/>
  <c r="R465" i="3315"/>
  <c r="R126" i="3315"/>
  <c r="W126" i="3315" s="1"/>
  <c r="R118" i="3315"/>
  <c r="W118" i="3315" s="1"/>
  <c r="R202" i="3315"/>
  <c r="R120" i="3315"/>
  <c r="W120" i="3315" s="1"/>
  <c r="R549" i="3315"/>
  <c r="W549" i="3315" s="1"/>
  <c r="R224" i="3315"/>
  <c r="W224" i="3315" s="1"/>
  <c r="R1185" i="3315"/>
  <c r="W1185" i="3315" s="1"/>
  <c r="R840" i="3315"/>
  <c r="R885" i="3315"/>
  <c r="W885" i="3315" s="1"/>
  <c r="R187" i="3315"/>
  <c r="R382" i="3315"/>
  <c r="W382" i="3315" s="1"/>
  <c r="R246" i="3315"/>
  <c r="W246" i="3315" s="1"/>
  <c r="R1032" i="3315"/>
  <c r="W1032" i="3315" s="1"/>
  <c r="R347" i="3315"/>
  <c r="R268" i="3315"/>
  <c r="W268" i="3315" s="1"/>
  <c r="R698" i="3315"/>
  <c r="W698" i="3315" s="1"/>
  <c r="R900" i="3315"/>
  <c r="R408" i="3315"/>
  <c r="W408" i="3315" s="1"/>
  <c r="R990" i="3315"/>
  <c r="R290" i="3315"/>
  <c r="W290" i="3315" s="1"/>
  <c r="R173" i="3315"/>
  <c r="R905" i="3315"/>
  <c r="W905" i="3315" s="1"/>
  <c r="R610" i="3315"/>
  <c r="W610" i="3315" s="1"/>
  <c r="R935" i="3315"/>
  <c r="R1034" i="3315"/>
  <c r="W1034" i="3315" s="1"/>
  <c r="R683" i="3315"/>
  <c r="W683" i="3315" s="1"/>
  <c r="R922" i="3315"/>
  <c r="R174" i="3315"/>
  <c r="W174" i="3315" s="1"/>
  <c r="R425" i="3315"/>
  <c r="W425" i="3315" s="1"/>
  <c r="R255" i="3315"/>
  <c r="R129" i="3315"/>
  <c r="R379" i="3315"/>
  <c r="W379" i="3315" s="1"/>
  <c r="R148" i="3315"/>
  <c r="W148" i="3315" s="1"/>
  <c r="R317" i="3315"/>
  <c r="W317" i="3315" s="1"/>
  <c r="R206" i="3315"/>
  <c r="R1212" i="3315"/>
  <c r="W1212" i="3315" s="1"/>
  <c r="R312" i="3315"/>
  <c r="Q331" i="3315"/>
  <c r="R175" i="3315"/>
  <c r="W175" i="3315" s="1"/>
  <c r="R55" i="3315"/>
  <c r="W55" i="3315" s="1"/>
  <c r="R364" i="3315"/>
  <c r="R245" i="3315"/>
  <c r="W245" i="3315" s="1"/>
  <c r="R1014" i="3315"/>
  <c r="W1014" i="3315" s="1"/>
  <c r="R346" i="3315"/>
  <c r="W346" i="3315" s="1"/>
  <c r="W544" i="3315"/>
  <c r="R736" i="3315"/>
  <c r="W736" i="3315" s="1"/>
  <c r="R419" i="3315"/>
  <c r="W419" i="3315" s="1"/>
  <c r="R44" i="3315"/>
  <c r="R350" i="3315"/>
  <c r="W350" i="3315" s="1"/>
  <c r="R150" i="3315"/>
  <c r="W150" i="3315" s="1"/>
  <c r="R289" i="3315"/>
  <c r="R796" i="3315"/>
  <c r="R172" i="3315"/>
  <c r="W172" i="3315" s="1"/>
  <c r="R401" i="3315"/>
  <c r="W401" i="3315" s="1"/>
  <c r="R787" i="3315"/>
  <c r="W787" i="3315" s="1"/>
  <c r="R621" i="3315"/>
  <c r="Q353" i="3315"/>
  <c r="R334" i="3315"/>
  <c r="R143" i="3315"/>
  <c r="W143" i="3315" s="1"/>
  <c r="R414" i="3315"/>
  <c r="W414" i="3315" s="1"/>
  <c r="R981" i="3315"/>
  <c r="R535" i="3315"/>
  <c r="W535" i="3315" s="1"/>
  <c r="R454" i="3315"/>
  <c r="W454" i="3315" s="1"/>
  <c r="R1187" i="3315"/>
  <c r="R75" i="3315"/>
  <c r="W75" i="3315" s="1"/>
  <c r="R813" i="3315"/>
  <c r="W813" i="3315" s="1"/>
  <c r="R498" i="3315"/>
  <c r="W498" i="3315" s="1"/>
  <c r="R1029" i="3315"/>
  <c r="W1029" i="3315" s="1"/>
  <c r="R594" i="3315"/>
  <c r="Q966" i="3315"/>
  <c r="R523" i="3315"/>
  <c r="W523" i="3315" s="1"/>
  <c r="R117" i="3315"/>
  <c r="W117" i="3315" s="1"/>
  <c r="R536" i="3315"/>
  <c r="W536" i="3315" s="1"/>
  <c r="R221" i="3315"/>
  <c r="R53" i="3315"/>
  <c r="W53" i="3315" s="1"/>
  <c r="R438" i="3315"/>
  <c r="W438" i="3315" s="1"/>
  <c r="R499" i="3315"/>
  <c r="R705" i="3315"/>
  <c r="W705" i="3315" s="1"/>
  <c r="R489" i="3315"/>
  <c r="W489" i="3315" s="1"/>
  <c r="R560" i="3315"/>
  <c r="W560" i="3315" s="1"/>
  <c r="R431" i="3315"/>
  <c r="R1225" i="3315"/>
  <c r="W1225" i="3315" s="1"/>
  <c r="R618" i="3315"/>
  <c r="W618" i="3315" s="1"/>
  <c r="R708" i="3315"/>
  <c r="R781" i="3315"/>
  <c r="W781" i="3315" s="1"/>
  <c r="R67" i="3315"/>
  <c r="W67" i="3315" s="1"/>
  <c r="R578" i="3315"/>
  <c r="W578" i="3315" s="1"/>
  <c r="R546" i="3315"/>
  <c r="W546" i="3315" s="1"/>
  <c r="R1020" i="3315"/>
  <c r="W1020" i="3315" s="1"/>
  <c r="R76" i="3315"/>
  <c r="R1181" i="3315"/>
  <c r="R243" i="3315"/>
  <c r="W243" i="3315" s="1"/>
  <c r="R178" i="3315"/>
  <c r="R90" i="3315"/>
  <c r="W90" i="3315" s="1"/>
  <c r="R925" i="3315"/>
  <c r="W200" i="3315"/>
  <c r="R429" i="3315"/>
  <c r="W429" i="3315" s="1"/>
  <c r="R815" i="3315"/>
  <c r="R778" i="3315"/>
  <c r="W778" i="3315" s="1"/>
  <c r="R1043" i="3315"/>
  <c r="W1043" i="3315" s="1"/>
  <c r="R653" i="3315"/>
  <c r="W653" i="3315" s="1"/>
  <c r="R750" i="3315"/>
  <c r="R728" i="3315"/>
  <c r="W728" i="3315" s="1"/>
  <c r="R931" i="3315"/>
  <c r="R497" i="3315"/>
  <c r="W497" i="3315" s="1"/>
  <c r="R1227" i="3315"/>
  <c r="R1030" i="3315"/>
  <c r="R640" i="3315"/>
  <c r="W640" i="3315" s="1"/>
  <c r="R79" i="3315"/>
  <c r="W79" i="3315" s="1"/>
  <c r="R1013" i="3315"/>
  <c r="R956" i="3315"/>
  <c r="W956" i="3315" s="1"/>
  <c r="R637" i="3315"/>
  <c r="W637" i="3315" s="1"/>
  <c r="R538" i="3315"/>
  <c r="W538" i="3315" s="1"/>
  <c r="R730" i="3315"/>
  <c r="R1025" i="3315"/>
  <c r="W1025" i="3315" s="1"/>
  <c r="R73" i="3315"/>
  <c r="W73" i="3315" s="1"/>
  <c r="R1247" i="3315"/>
  <c r="W1247" i="3315" s="1"/>
  <c r="R915" i="3315"/>
  <c r="R597" i="3315"/>
  <c r="W597" i="3315" s="1"/>
  <c r="R473" i="3315"/>
  <c r="W473" i="3315" s="1"/>
  <c r="R660" i="3315"/>
  <c r="W660" i="3315" s="1"/>
  <c r="R851" i="3315"/>
  <c r="R1211" i="3315"/>
  <c r="W1211" i="3315" s="1"/>
  <c r="R873" i="3315"/>
  <c r="W873" i="3315" s="1"/>
  <c r="R1000" i="3315"/>
  <c r="W1000" i="3315" s="1"/>
  <c r="R938" i="3315"/>
  <c r="W938" i="3315" s="1"/>
  <c r="R620" i="3315"/>
  <c r="W620" i="3315" s="1"/>
  <c r="R724" i="3315"/>
  <c r="R674" i="3315"/>
  <c r="W674" i="3315" s="1"/>
  <c r="R456" i="3315"/>
  <c r="W456" i="3315" s="1"/>
  <c r="R774" i="3315"/>
  <c r="R365" i="3315"/>
  <c r="W365" i="3315" s="1"/>
  <c r="R833" i="3315"/>
  <c r="W833" i="3315" s="1"/>
  <c r="R1241" i="3315"/>
  <c r="R322" i="3315"/>
  <c r="W322" i="3315" s="1"/>
  <c r="R748" i="3315"/>
  <c r="R539" i="3315"/>
  <c r="R731" i="3315"/>
  <c r="W731" i="3315" s="1"/>
  <c r="R411" i="3315"/>
  <c r="W411" i="3315" s="1"/>
  <c r="R797" i="3315"/>
  <c r="R1194" i="3315"/>
  <c r="W1194" i="3315" s="1"/>
  <c r="R696" i="3315"/>
  <c r="W696" i="3315" s="1"/>
  <c r="R598" i="3315"/>
  <c r="W598" i="3315" s="1"/>
  <c r="R474" i="3315"/>
  <c r="R661" i="3315"/>
  <c r="W661" i="3315" s="1"/>
  <c r="R565" i="3315"/>
  <c r="W565" i="3315" s="1"/>
  <c r="R760" i="3315"/>
  <c r="R1018" i="3315"/>
  <c r="W1018" i="3315" s="1"/>
  <c r="R318" i="3315"/>
  <c r="W318" i="3315" s="1"/>
  <c r="R1128" i="3315"/>
  <c r="R1094" i="3315"/>
  <c r="Q1138" i="3315"/>
  <c r="R1153" i="3315"/>
  <c r="W1153" i="3315" s="1"/>
  <c r="R1131" i="3315"/>
  <c r="R1104" i="3315"/>
  <c r="W1104" i="3315" s="1"/>
  <c r="R1097" i="3315"/>
  <c r="W1097" i="3315" s="1"/>
  <c r="R1151" i="3315"/>
  <c r="Q1091" i="3315"/>
  <c r="R1053" i="3315"/>
  <c r="R1072" i="3315"/>
  <c r="W1072" i="3315" s="1"/>
  <c r="R1062" i="3315"/>
  <c r="R1085" i="3315"/>
  <c r="W1085" i="3315" s="1"/>
  <c r="R201" i="3315"/>
  <c r="R186" i="3315"/>
  <c r="W186" i="3315" s="1"/>
  <c r="R639" i="3315"/>
  <c r="W639" i="3315" s="1"/>
  <c r="R687" i="3315"/>
  <c r="W687" i="3315" s="1"/>
  <c r="R808" i="3315"/>
  <c r="R733" i="3315"/>
  <c r="W733" i="3315" s="1"/>
  <c r="R68" i="3315"/>
  <c r="W68" i="3315" s="1"/>
  <c r="R191" i="3315"/>
  <c r="W191" i="3315" s="1"/>
  <c r="R158" i="3315"/>
  <c r="R197" i="3315"/>
  <c r="W197" i="3315" s="1"/>
  <c r="R654" i="3315"/>
  <c r="W654" i="3315" s="1"/>
  <c r="R159" i="3315"/>
  <c r="R443" i="3315"/>
  <c r="W443" i="3315" s="1"/>
  <c r="R254" i="3315"/>
  <c r="W254" i="3315" s="1"/>
  <c r="R1239" i="3315"/>
  <c r="R250" i="3315"/>
  <c r="R714" i="3315"/>
  <c r="R230" i="3315"/>
  <c r="W230" i="3315" s="1"/>
  <c r="R376" i="3315"/>
  <c r="W376" i="3315" s="1"/>
  <c r="R603" i="3315"/>
  <c r="W603" i="3315" s="1"/>
  <c r="R529" i="3315"/>
  <c r="W529" i="3315" s="1"/>
  <c r="R139" i="3315"/>
  <c r="R1180" i="3315"/>
  <c r="W1180" i="3315" s="1"/>
  <c r="R688" i="3315"/>
  <c r="W688" i="3315" s="1"/>
  <c r="R60" i="3315"/>
  <c r="Q132" i="3315"/>
  <c r="R249" i="3315"/>
  <c r="R940" i="3315"/>
  <c r="R471" i="3315"/>
  <c r="W471" i="3315" s="1"/>
  <c r="R281" i="3315"/>
  <c r="R263" i="3315"/>
  <c r="R767" i="3315"/>
  <c r="W767" i="3315" s="1"/>
  <c r="R304" i="3315"/>
  <c r="W304" i="3315" s="1"/>
  <c r="R936" i="3315"/>
  <c r="R734" i="3315"/>
  <c r="R99" i="3315"/>
  <c r="W99" i="3315" s="1"/>
  <c r="R209" i="3315"/>
  <c r="W209" i="3315" s="1"/>
  <c r="R458" i="3315"/>
  <c r="W458" i="3315" s="1"/>
  <c r="R666" i="3315"/>
  <c r="R112" i="3315"/>
  <c r="W112" i="3315" s="1"/>
  <c r="R831" i="3315"/>
  <c r="W831" i="3315" s="1"/>
  <c r="R785" i="3315"/>
  <c r="W785" i="3315" s="1"/>
  <c r="R1027" i="3315"/>
  <c r="W1027" i="3315" s="1"/>
  <c r="R690" i="3315"/>
  <c r="W690" i="3315" s="1"/>
  <c r="R166" i="3315"/>
  <c r="R871" i="3315"/>
  <c r="W871" i="3315" s="1"/>
  <c r="R417" i="3315"/>
  <c r="R716" i="3315"/>
  <c r="R271" i="3315"/>
  <c r="W271" i="3315" s="1"/>
  <c r="R702" i="3315"/>
  <c r="W702" i="3315" s="1"/>
  <c r="R979" i="3315"/>
  <c r="W979" i="3315" s="1"/>
  <c r="R69" i="3315"/>
  <c r="R396" i="3315"/>
  <c r="W396" i="3315" s="1"/>
  <c r="R929" i="3315"/>
  <c r="W929" i="3315" s="1"/>
  <c r="R373" i="3315"/>
  <c r="R291" i="3315"/>
  <c r="R883" i="3315"/>
  <c r="W883" i="3315" s="1"/>
  <c r="R545" i="3315"/>
  <c r="W545" i="3315" s="1"/>
  <c r="R142" i="3315"/>
  <c r="W142" i="3315" s="1"/>
  <c r="R570" i="3315"/>
  <c r="Q585" i="3315"/>
  <c r="R374" i="3315"/>
  <c r="W374" i="3315" s="1"/>
  <c r="R449" i="3315"/>
  <c r="W449" i="3315" s="1"/>
  <c r="R1216" i="3315"/>
  <c r="W1216" i="3315" s="1"/>
  <c r="R526" i="3315"/>
  <c r="R542" i="3315"/>
  <c r="W542" i="3315" s="1"/>
  <c r="R954" i="3315"/>
  <c r="W954" i="3315" s="1"/>
  <c r="R273" i="3315"/>
  <c r="R156" i="3315"/>
  <c r="R770" i="3315"/>
  <c r="W770" i="3315" s="1"/>
  <c r="R945" i="3315"/>
  <c r="R475" i="3315"/>
  <c r="W475" i="3315" s="1"/>
  <c r="R399" i="3315"/>
  <c r="R742" i="3315"/>
  <c r="W742" i="3315" s="1"/>
  <c r="R571" i="3315"/>
  <c r="W571" i="3315" s="1"/>
  <c r="R755" i="3315"/>
  <c r="W755" i="3315" s="1"/>
  <c r="R244" i="3315"/>
  <c r="R1021" i="3315"/>
  <c r="W1021" i="3315" s="1"/>
  <c r="R119" i="3315"/>
  <c r="W119" i="3315" s="1"/>
  <c r="R1037" i="3315"/>
  <c r="W1037" i="3315" s="1"/>
  <c r="R113" i="3315"/>
  <c r="R422" i="3315"/>
  <c r="W422" i="3315" s="1"/>
  <c r="R303" i="3315"/>
  <c r="W303" i="3315" s="1"/>
  <c r="R541" i="3315"/>
  <c r="W541" i="3315" s="1"/>
  <c r="R329" i="3315"/>
  <c r="R277" i="3315"/>
  <c r="W277" i="3315" s="1"/>
  <c r="R741" i="3315"/>
  <c r="W741" i="3315" s="1"/>
  <c r="R160" i="3315"/>
  <c r="W160" i="3315" s="1"/>
  <c r="R457" i="3315"/>
  <c r="R775" i="3315"/>
  <c r="W775" i="3315" s="1"/>
  <c r="R1012" i="3315"/>
  <c r="W1012" i="3315" s="1"/>
  <c r="R63" i="3315"/>
  <c r="W63" i="3315" s="1"/>
  <c r="R771" i="3315"/>
  <c r="R259" i="3315"/>
  <c r="R182" i="3315"/>
  <c r="W182" i="3315" s="1"/>
  <c r="R94" i="3315"/>
  <c r="W94" i="3315" s="1"/>
  <c r="R941" i="3315"/>
  <c r="W941" i="3315" s="1"/>
  <c r="R204" i="3315"/>
  <c r="W204" i="3315" s="1"/>
  <c r="R433" i="3315"/>
  <c r="W433" i="3315" s="1"/>
  <c r="R819" i="3315"/>
  <c r="R794" i="3315"/>
  <c r="W794" i="3315" s="1"/>
  <c r="R722" i="3315"/>
  <c r="R136" i="3315"/>
  <c r="R162" i="3315"/>
  <c r="W162" i="3315" s="1"/>
  <c r="R852" i="3315"/>
  <c r="W852" i="3315" s="1"/>
  <c r="R413" i="3315"/>
  <c r="R700" i="3315"/>
  <c r="W700" i="3315" s="1"/>
  <c r="R617" i="3315"/>
  <c r="W617" i="3315" s="1"/>
  <c r="R70" i="3315"/>
  <c r="R577" i="3315"/>
  <c r="W577" i="3315" s="1"/>
  <c r="R1184" i="3315"/>
  <c r="W1184" i="3315" s="1"/>
  <c r="R604" i="3315"/>
  <c r="W604" i="3315" s="1"/>
  <c r="R86" i="3315"/>
  <c r="W86" i="3315" s="1"/>
  <c r="R811" i="3315"/>
  <c r="W811" i="3315" s="1"/>
  <c r="R276" i="3315"/>
  <c r="R398" i="3315"/>
  <c r="W398" i="3315" s="1"/>
  <c r="R530" i="3315"/>
  <c r="W530" i="3315" s="1"/>
  <c r="R155" i="3315"/>
  <c r="W155" i="3315" s="1"/>
  <c r="R444" i="3315"/>
  <c r="R124" i="3315"/>
  <c r="W124" i="3315" s="1"/>
  <c r="R844" i="3315"/>
  <c r="W844" i="3315" s="1"/>
  <c r="R106" i="3315"/>
  <c r="W106" i="3315" s="1"/>
  <c r="R298" i="3315"/>
  <c r="R832" i="3315"/>
  <c r="W832" i="3315" s="1"/>
  <c r="R181" i="3315"/>
  <c r="R93" i="3315"/>
  <c r="R937" i="3315"/>
  <c r="R957" i="3315"/>
  <c r="W957" i="3315" s="1"/>
  <c r="R638" i="3315"/>
  <c r="W638" i="3315" s="1"/>
  <c r="R805" i="3315"/>
  <c r="R402" i="3315"/>
  <c r="W402" i="3315" s="1"/>
  <c r="R121" i="3315"/>
  <c r="W121" i="3315" s="1"/>
  <c r="R553" i="3315"/>
  <c r="W553" i="3315" s="1"/>
  <c r="R225" i="3315"/>
  <c r="R1189" i="3315"/>
  <c r="W1189" i="3315" s="1"/>
  <c r="R371" i="3315"/>
  <c r="W371" i="3315" s="1"/>
  <c r="R522" i="3315"/>
  <c r="R709" i="3315"/>
  <c r="R524" i="3315"/>
  <c r="W524" i="3315" s="1"/>
  <c r="R820" i="3315"/>
  <c r="W820" i="3315" s="1"/>
  <c r="R1193" i="3315"/>
  <c r="R248" i="3315"/>
  <c r="W248" i="3315" s="1"/>
  <c r="R874" i="3315"/>
  <c r="W874" i="3315" s="1"/>
  <c r="R749" i="3315"/>
  <c r="R858" i="3315"/>
  <c r="W858" i="3315" s="1"/>
  <c r="R555" i="3315"/>
  <c r="W555" i="3315" s="1"/>
  <c r="R1221" i="3315"/>
  <c r="W1221" i="3315" s="1"/>
  <c r="R704" i="3315"/>
  <c r="W704" i="3315" s="1"/>
  <c r="R680" i="3315"/>
  <c r="W680" i="3315" s="1"/>
  <c r="R231" i="3315"/>
  <c r="W231" i="3315" s="1"/>
  <c r="R274" i="3315"/>
  <c r="W274" i="3315" s="1"/>
  <c r="R729" i="3315"/>
  <c r="R157" i="3315"/>
  <c r="R296" i="3315"/>
  <c r="W296" i="3315" s="1"/>
  <c r="R824" i="3315"/>
  <c r="W824" i="3315" s="1"/>
  <c r="R928" i="3315"/>
  <c r="R984" i="3315"/>
  <c r="W984" i="3315" s="1"/>
  <c r="R600" i="3315"/>
  <c r="W600" i="3315" s="1"/>
  <c r="R903" i="3315"/>
  <c r="W903" i="3315" s="1"/>
  <c r="R581" i="3315"/>
  <c r="R1188" i="3315"/>
  <c r="W1188" i="3315" s="1"/>
  <c r="R987" i="3315"/>
  <c r="W987" i="3315" s="1"/>
  <c r="R608" i="3315"/>
  <c r="W608" i="3315" s="1"/>
  <c r="R893" i="3315"/>
  <c r="R814" i="3315"/>
  <c r="W814" i="3315" s="1"/>
  <c r="R884" i="3315"/>
  <c r="W884" i="3315" s="1"/>
  <c r="R697" i="3315"/>
  <c r="R207" i="3315"/>
  <c r="W207" i="3315" s="1"/>
  <c r="R1006" i="3315"/>
  <c r="W1006" i="3315" s="1"/>
  <c r="R377" i="3315"/>
  <c r="W377" i="3315" s="1"/>
  <c r="R253" i="3315"/>
  <c r="R607" i="3315"/>
  <c r="W607" i="3315" s="1"/>
  <c r="R327" i="3315"/>
  <c r="R552" i="3315"/>
  <c r="R744" i="3315"/>
  <c r="W744" i="3315" s="1"/>
  <c r="R369" i="3315"/>
  <c r="W436" i="3315"/>
  <c r="R1230" i="3315"/>
  <c r="W1230" i="3315" s="1"/>
  <c r="R1033" i="3315"/>
  <c r="W686" i="3315"/>
  <c r="R786" i="3315"/>
  <c r="W786" i="3315" s="1"/>
  <c r="R853" i="3315"/>
  <c r="R673" i="3315"/>
  <c r="W673" i="3315" s="1"/>
  <c r="R551" i="3315"/>
  <c r="R423" i="3315"/>
  <c r="W423" i="3315" s="1"/>
  <c r="R1217" i="3315"/>
  <c r="W1217" i="3315" s="1"/>
  <c r="R1245" i="3315"/>
  <c r="W1245" i="3315" s="1"/>
  <c r="R1219" i="3315"/>
  <c r="R881" i="3315"/>
  <c r="W881" i="3315" s="1"/>
  <c r="R1008" i="3315"/>
  <c r="W1008" i="3315" s="1"/>
  <c r="R946" i="3315"/>
  <c r="R628" i="3315"/>
  <c r="W628" i="3315" s="1"/>
  <c r="W314" i="3315"/>
  <c r="R366" i="3315"/>
  <c r="R835" i="3315"/>
  <c r="W835" i="3315" s="1"/>
  <c r="R1242" i="3315"/>
  <c r="W1242" i="3315" s="1"/>
  <c r="R910" i="3315"/>
  <c r="R1045" i="3315"/>
  <c r="R675" i="3315"/>
  <c r="W675" i="3315" s="1"/>
  <c r="R727" i="3315"/>
  <c r="W727" i="3315" s="1"/>
  <c r="R412" i="3315"/>
  <c r="W412" i="3315" s="1"/>
  <c r="R798" i="3315"/>
  <c r="R1203" i="3315"/>
  <c r="W1203" i="3315" s="1"/>
  <c r="R868" i="3315"/>
  <c r="W868" i="3315" s="1"/>
  <c r="R995" i="3315"/>
  <c r="W995" i="3315" s="1"/>
  <c r="R850" i="3315"/>
  <c r="R672" i="3315"/>
  <c r="W672" i="3315" s="1"/>
  <c r="R606" i="3315"/>
  <c r="R490" i="3315"/>
  <c r="W490" i="3315" s="1"/>
  <c r="R669" i="3315"/>
  <c r="R450" i="3315"/>
  <c r="R768" i="3315"/>
  <c r="W768" i="3315" s="1"/>
  <c r="R1026" i="3315"/>
  <c r="W1026" i="3315" s="1"/>
  <c r="R892" i="3315"/>
  <c r="R1009" i="3315"/>
  <c r="W1009" i="3315" s="1"/>
  <c r="R947" i="3315"/>
  <c r="W947" i="3315" s="1"/>
  <c r="R629" i="3315"/>
  <c r="W629" i="3315" s="1"/>
  <c r="R533" i="3315"/>
  <c r="R719" i="3315"/>
  <c r="W719" i="3315" s="1"/>
  <c r="R321" i="3315"/>
  <c r="W321" i="3315" s="1"/>
  <c r="R1243" i="3315"/>
  <c r="R911" i="3315"/>
  <c r="R1046" i="3315"/>
  <c r="W1046" i="3315" s="1"/>
  <c r="R469" i="3315"/>
  <c r="W469" i="3315" s="1"/>
  <c r="R656" i="3315"/>
  <c r="W656" i="3315" s="1"/>
  <c r="R100" i="3315"/>
  <c r="R1113" i="3315"/>
  <c r="W1113" i="3315" s="1"/>
  <c r="R1146" i="3315"/>
  <c r="W1146" i="3315" s="1"/>
  <c r="R1108" i="3315"/>
  <c r="R1126" i="3315"/>
  <c r="W1126" i="3315" s="1"/>
  <c r="R1068" i="3315"/>
  <c r="W1068" i="3315" s="1"/>
  <c r="R1119" i="3315"/>
  <c r="W1119" i="3315" s="1"/>
  <c r="R1079" i="3315"/>
  <c r="R1136" i="3315"/>
  <c r="W1136" i="3315" s="1"/>
  <c r="R1065" i="3315"/>
  <c r="W1065" i="3315" s="1"/>
  <c r="R1105" i="3315"/>
  <c r="R1144" i="3315"/>
  <c r="R1064" i="3315"/>
  <c r="R1125" i="3315"/>
  <c r="W1125" i="3315" s="1"/>
  <c r="R1100" i="3315"/>
  <c r="R1132" i="3315"/>
  <c r="W1132" i="3315" s="1"/>
  <c r="R1096" i="3315"/>
  <c r="W1096" i="3315" s="1"/>
  <c r="R1090" i="3315"/>
  <c r="R1117" i="3315"/>
  <c r="R1143" i="3315"/>
  <c r="W1143" i="3315" s="1"/>
  <c r="R1101" i="3315"/>
  <c r="R1063" i="3315"/>
  <c r="W1063" i="3315" s="1"/>
  <c r="Q1155" i="3315"/>
  <c r="R1150" i="3315"/>
  <c r="R1059" i="3315"/>
  <c r="R1102" i="3315"/>
  <c r="W1102" i="3315" s="1"/>
  <c r="R488" i="3315"/>
  <c r="R826" i="3315"/>
  <c r="W826" i="3315" s="1"/>
  <c r="R98" i="3315"/>
  <c r="W98" i="3315" s="1"/>
  <c r="R823" i="3315"/>
  <c r="W823" i="3315" s="1"/>
  <c r="R235" i="3315"/>
  <c r="R91" i="3315"/>
  <c r="W91" i="3315" s="1"/>
  <c r="R212" i="3315"/>
  <c r="W212" i="3315" s="1"/>
  <c r="R976" i="3315"/>
  <c r="Q1048" i="3315"/>
  <c r="R337" i="3315"/>
  <c r="R562" i="3315"/>
  <c r="W562" i="3315" s="1"/>
  <c r="R985" i="3315"/>
  <c r="W985" i="3315" s="1"/>
  <c r="R409" i="3315"/>
  <c r="R706" i="3315"/>
  <c r="R989" i="3315"/>
  <c r="W989" i="3315" s="1"/>
  <c r="R115" i="3315"/>
  <c r="W115" i="3315" s="1"/>
  <c r="R880" i="3315"/>
  <c r="W880" i="3315" s="1"/>
  <c r="R827" i="3315"/>
  <c r="W827" i="3315" s="1"/>
  <c r="R595" i="3315"/>
  <c r="W595" i="3315" s="1"/>
  <c r="R904" i="3315"/>
  <c r="W904" i="3315" s="1"/>
  <c r="R430" i="3315"/>
  <c r="W430" i="3315" s="1"/>
  <c r="R998" i="3315"/>
  <c r="R540" i="3315"/>
  <c r="W540" i="3315" s="1"/>
  <c r="R403" i="3315"/>
  <c r="W403" i="3315" s="1"/>
  <c r="R167" i="3315"/>
  <c r="W167" i="3315" s="1"/>
  <c r="R280" i="3315"/>
  <c r="R1017" i="3315"/>
  <c r="W1017" i="3315" s="1"/>
  <c r="R432" i="3315"/>
  <c r="W432" i="3315" s="1"/>
  <c r="R782" i="3315"/>
  <c r="R323" i="3315"/>
  <c r="W323" i="3315" s="1"/>
  <c r="R279" i="3315"/>
  <c r="R756" i="3315"/>
  <c r="W756" i="3315" s="1"/>
  <c r="R902" i="3315"/>
  <c r="W902" i="3315" s="1"/>
  <c r="R164" i="3315"/>
  <c r="W164" i="3315" s="1"/>
  <c r="R147" i="3315"/>
  <c r="R293" i="3315"/>
  <c r="W293" i="3315" s="1"/>
  <c r="R176" i="3315"/>
  <c r="W176" i="3315" s="1"/>
  <c r="R791" i="3315"/>
  <c r="W791" i="3315" s="1"/>
  <c r="R689" i="3315"/>
  <c r="R283" i="3315"/>
  <c r="W283" i="3315" s="1"/>
  <c r="R198" i="3315"/>
  <c r="W198" i="3315" s="1"/>
  <c r="W531" i="3315"/>
  <c r="R367" i="3315"/>
  <c r="W367" i="3315" s="1"/>
  <c r="R869" i="3315"/>
  <c r="W869" i="3315" s="1"/>
  <c r="R219" i="3315"/>
  <c r="W219" i="3315" s="1"/>
  <c r="R496" i="3315"/>
  <c r="R843" i="3315"/>
  <c r="W843" i="3315" s="1"/>
  <c r="R104" i="3315"/>
  <c r="W104" i="3315" s="1"/>
  <c r="R988" i="3315"/>
  <c r="W988" i="3315" s="1"/>
  <c r="R84" i="3315"/>
  <c r="W816" i="3315"/>
  <c r="R89" i="3315"/>
  <c r="W89" i="3315" s="1"/>
  <c r="R950" i="3315"/>
  <c r="R789" i="3315"/>
  <c r="W789" i="3315" s="1"/>
  <c r="W879" i="3315"/>
  <c r="R152" i="3315"/>
  <c r="R1192" i="3315"/>
  <c r="W1192" i="3315" s="1"/>
  <c r="R818" i="3315"/>
  <c r="W818" i="3315" s="1"/>
  <c r="R1044" i="3315"/>
  <c r="W1044" i="3315" s="1"/>
  <c r="R1047" i="3315"/>
  <c r="W1047" i="3315" s="1"/>
  <c r="R658" i="3315"/>
  <c r="R763" i="3315"/>
  <c r="W763" i="3315" s="1"/>
  <c r="R651" i="3315"/>
  <c r="W651" i="3315" s="1"/>
  <c r="R50" i="3315"/>
  <c r="R240" i="3315"/>
  <c r="W240" i="3315" s="1"/>
  <c r="R865" i="3315"/>
  <c r="W865" i="3315" s="1"/>
  <c r="R1016" i="3315"/>
  <c r="W1016" i="3315" s="1"/>
  <c r="W262" i="3315"/>
  <c r="R145" i="3315"/>
  <c r="W145" i="3315" s="1"/>
  <c r="R776" i="3315"/>
  <c r="W776" i="3315" s="1"/>
  <c r="R1204" i="3315"/>
  <c r="R205" i="3315"/>
  <c r="W205" i="3315" s="1"/>
  <c r="R662" i="3315"/>
  <c r="W662" i="3315" s="1"/>
  <c r="R1182" i="3315"/>
  <c r="W1182" i="3315" s="1"/>
  <c r="R746" i="3315"/>
  <c r="W746" i="3315" s="1"/>
  <c r="R857" i="3315"/>
  <c r="W857" i="3315" s="1"/>
  <c r="R575" i="3315"/>
  <c r="W575" i="3315" s="1"/>
  <c r="R190" i="3315"/>
  <c r="W222" i="3315"/>
  <c r="R1010" i="3315"/>
  <c r="W1010" i="3315" s="1"/>
  <c r="R737" i="3315"/>
  <c r="R500" i="3315"/>
  <c r="W500" i="3315" s="1"/>
  <c r="R495" i="3315"/>
  <c r="W495" i="3315" s="1"/>
  <c r="R862" i="3315"/>
  <c r="W862" i="3315" s="1"/>
  <c r="R109" i="3315"/>
  <c r="W109" i="3315" s="1"/>
  <c r="R476" i="3315"/>
  <c r="W476" i="3315" s="1"/>
  <c r="R213" i="3315"/>
  <c r="W213" i="3315" s="1"/>
  <c r="R45" i="3315"/>
  <c r="R406" i="3315"/>
  <c r="W406" i="3315" s="1"/>
  <c r="R671" i="3315"/>
  <c r="R955" i="3315"/>
  <c r="W955" i="3315" s="1"/>
  <c r="Q461" i="3315"/>
  <c r="R442" i="3315"/>
  <c r="R223" i="3315"/>
  <c r="W223" i="3315" s="1"/>
  <c r="R635" i="3315"/>
  <c r="W635" i="3315" s="1"/>
  <c r="R381" i="3315"/>
  <c r="W381" i="3315" s="1"/>
  <c r="R257" i="3315"/>
  <c r="W257" i="3315" s="1"/>
  <c r="R623" i="3315"/>
  <c r="R137" i="3315"/>
  <c r="W137" i="3315" s="1"/>
  <c r="R556" i="3315"/>
  <c r="W556" i="3315" s="1"/>
  <c r="R754" i="3315"/>
  <c r="W754" i="3315" s="1"/>
  <c r="R1191" i="3315"/>
  <c r="R295" i="3315"/>
  <c r="W295" i="3315" s="1"/>
  <c r="R800" i="3315"/>
  <c r="W800" i="3315" s="1"/>
  <c r="R85" i="3315"/>
  <c r="R944" i="3315"/>
  <c r="W944" i="3315" s="1"/>
  <c r="R772" i="3315"/>
  <c r="W772" i="3315" s="1"/>
  <c r="R519" i="3315"/>
  <c r="W519" i="3315" s="1"/>
  <c r="R1231" i="3315"/>
  <c r="R644" i="3315"/>
  <c r="W644" i="3315" s="1"/>
  <c r="R854" i="3315"/>
  <c r="W854" i="3315" s="1"/>
  <c r="R64" i="3315"/>
  <c r="R909" i="3315"/>
  <c r="W909" i="3315" s="1"/>
  <c r="R761" i="3315"/>
  <c r="W761" i="3315" s="1"/>
  <c r="R233" i="3315"/>
  <c r="W233" i="3315" s="1"/>
  <c r="R717" i="3315"/>
  <c r="R343" i="3315"/>
  <c r="W343" i="3315" s="1"/>
  <c r="R762" i="3315"/>
  <c r="R599" i="3315"/>
  <c r="W599" i="3315" s="1"/>
  <c r="R445" i="3315"/>
  <c r="W445" i="3315" s="1"/>
  <c r="R907" i="3315"/>
  <c r="W907" i="3315" s="1"/>
  <c r="R299" i="3315"/>
  <c r="R584" i="3315"/>
  <c r="W584" i="3315" s="1"/>
  <c r="R234" i="3315"/>
  <c r="W234" i="3315" s="1"/>
  <c r="R1236" i="3315"/>
  <c r="R380" i="3315"/>
  <c r="W380" i="3315" s="1"/>
  <c r="R256" i="3315"/>
  <c r="W256" i="3315" s="1"/>
  <c r="W619" i="3315"/>
  <c r="R882" i="3315"/>
  <c r="W882" i="3315" s="1"/>
  <c r="R547" i="3315"/>
  <c r="W547" i="3315" s="1"/>
  <c r="R1213" i="3315"/>
  <c r="R247" i="3315"/>
  <c r="W247" i="3315" s="1"/>
  <c r="R278" i="3315"/>
  <c r="W278" i="3315" s="1"/>
  <c r="R745" i="3315"/>
  <c r="W745" i="3315" s="1"/>
  <c r="R161" i="3315"/>
  <c r="R300" i="3315"/>
  <c r="W300" i="3315" s="1"/>
  <c r="R841" i="3315"/>
  <c r="W841" i="3315" s="1"/>
  <c r="R932" i="3315"/>
  <c r="W932" i="3315" s="1"/>
  <c r="R1001" i="3315"/>
  <c r="R711" i="3315"/>
  <c r="W711" i="3315" s="1"/>
  <c r="R47" i="3315"/>
  <c r="W47" i="3315" s="1"/>
  <c r="R237" i="3315"/>
  <c r="W237" i="3315" s="1"/>
  <c r="R383" i="3315"/>
  <c r="W383" i="3315" s="1"/>
  <c r="R721" i="3315"/>
  <c r="W721" i="3315" s="1"/>
  <c r="R404" i="3315"/>
  <c r="R986" i="3315"/>
  <c r="W986" i="3315" s="1"/>
  <c r="R751" i="3315"/>
  <c r="W751" i="3315" s="1"/>
  <c r="R678" i="3315"/>
  <c r="R459" i="3315"/>
  <c r="W459" i="3315" s="1"/>
  <c r="R338" i="3315"/>
  <c r="W338" i="3315" s="1"/>
  <c r="R1240" i="3315"/>
  <c r="R210" i="3315"/>
  <c r="W210" i="3315" s="1"/>
  <c r="R128" i="3315"/>
  <c r="W128" i="3315" s="1"/>
  <c r="R390" i="3315"/>
  <c r="W390" i="3315" s="1"/>
  <c r="R232" i="3315"/>
  <c r="R1228" i="3315"/>
  <c r="W1228" i="3315" s="1"/>
  <c r="R855" i="3315"/>
  <c r="W855" i="3315" s="1"/>
  <c r="R923" i="3315"/>
  <c r="W923" i="3315" s="1"/>
  <c r="R65" i="3315"/>
  <c r="R757" i="3315"/>
  <c r="W757" i="3315" s="1"/>
  <c r="R817" i="3315"/>
  <c r="W817" i="3315" s="1"/>
  <c r="R726" i="3315"/>
  <c r="W726" i="3315" s="1"/>
  <c r="R521" i="3315"/>
  <c r="R392" i="3315"/>
  <c r="W392" i="3315" s="1"/>
  <c r="R1022" i="3315"/>
  <c r="W1022" i="3315" s="1"/>
  <c r="R1035" i="3315"/>
  <c r="W1035" i="3315" s="1"/>
  <c r="R645" i="3315"/>
  <c r="R848" i="3315"/>
  <c r="W848" i="3315" s="1"/>
  <c r="R52" i="3315"/>
  <c r="R306" i="3315"/>
  <c r="W306" i="3315" s="1"/>
  <c r="R875" i="3315"/>
  <c r="W875" i="3315" s="1"/>
  <c r="R189" i="3315"/>
  <c r="W189" i="3315" s="1"/>
  <c r="R107" i="3315"/>
  <c r="R468" i="3315"/>
  <c r="W468" i="3315" s="1"/>
  <c r="R579" i="3315"/>
  <c r="W579" i="3315" s="1"/>
  <c r="R646" i="3315"/>
  <c r="R838" i="3315"/>
  <c r="W838" i="3315" s="1"/>
  <c r="R466" i="3315"/>
  <c r="W466" i="3315" s="1"/>
  <c r="R554" i="3315"/>
  <c r="W554" i="3315" s="1"/>
  <c r="R1028" i="3315"/>
  <c r="R992" i="3315"/>
  <c r="W992" i="3315" s="1"/>
  <c r="R613" i="3315"/>
  <c r="W613" i="3315" s="1"/>
  <c r="R703" i="3315"/>
  <c r="W703" i="3315" s="1"/>
  <c r="R72" i="3315"/>
  <c r="R889" i="3315"/>
  <c r="W889" i="3315" s="1"/>
  <c r="R572" i="3315"/>
  <c r="W572" i="3315" s="1"/>
  <c r="R684" i="3315"/>
  <c r="W684" i="3315" s="1"/>
  <c r="R420" i="3315"/>
  <c r="W420" i="3315" s="1"/>
  <c r="R806" i="3315"/>
  <c r="W806" i="3315" s="1"/>
  <c r="R1214" i="3315"/>
  <c r="W1214" i="3315" s="1"/>
  <c r="R876" i="3315"/>
  <c r="R1003" i="3315"/>
  <c r="W1003" i="3315" s="1"/>
  <c r="R315" i="3315"/>
  <c r="W315" i="3315" s="1"/>
  <c r="R319" i="3315"/>
  <c r="W319" i="3315" s="1"/>
  <c r="R451" i="3315"/>
  <c r="R769" i="3315"/>
  <c r="W769" i="3315" s="1"/>
  <c r="R361" i="3315"/>
  <c r="W361" i="3315" s="1"/>
  <c r="R829" i="3315"/>
  <c r="W829" i="3315" s="1"/>
  <c r="R1237" i="3315"/>
  <c r="R681" i="3315"/>
  <c r="W681" i="3315" s="1"/>
  <c r="R630" i="3315"/>
  <c r="W630" i="3315" s="1"/>
  <c r="R534" i="3315"/>
  <c r="W534" i="3315" s="1"/>
  <c r="R720" i="3315"/>
  <c r="R407" i="3315"/>
  <c r="W407" i="3315" s="1"/>
  <c r="R793" i="3315"/>
  <c r="W793" i="3315" s="1"/>
  <c r="R1190" i="3315"/>
  <c r="W1190" i="3315" s="1"/>
  <c r="R747" i="3315"/>
  <c r="R668" i="3315"/>
  <c r="W668" i="3315" s="1"/>
  <c r="R980" i="3315"/>
  <c r="W980" i="3315" s="1"/>
  <c r="R919" i="3315"/>
  <c r="W919" i="3315" s="1"/>
  <c r="R601" i="3315"/>
  <c r="R477" i="3315"/>
  <c r="W477" i="3315" s="1"/>
  <c r="R664" i="3315"/>
  <c r="W664" i="3315" s="1"/>
  <c r="R849" i="3315"/>
  <c r="R1215" i="3315"/>
  <c r="W1215" i="3315" s="1"/>
  <c r="R877" i="3315"/>
  <c r="W877" i="3315" s="1"/>
  <c r="R1004" i="3315"/>
  <c r="W1004" i="3315" s="1"/>
  <c r="R942" i="3315"/>
  <c r="R624" i="3315"/>
  <c r="W624" i="3315" s="1"/>
  <c r="R685" i="3315"/>
  <c r="W685" i="3315" s="1"/>
  <c r="R320" i="3315"/>
  <c r="W320" i="3315" s="1"/>
  <c r="R362" i="3315"/>
  <c r="W362" i="3315" s="1"/>
  <c r="R830" i="3315"/>
  <c r="W830" i="3315" s="1"/>
  <c r="R1238" i="3315"/>
  <c r="W1238" i="3315" s="1"/>
  <c r="R906" i="3315"/>
  <c r="W906" i="3315" s="1"/>
  <c r="R1041" i="3315"/>
  <c r="W1041" i="3315" s="1"/>
  <c r="R725" i="3315"/>
  <c r="W725" i="3315" s="1"/>
  <c r="R66" i="3315"/>
  <c r="N1062" i="3315"/>
  <c r="V1062" i="3315" s="1"/>
  <c r="N1112" i="3315"/>
  <c r="V1112" i="3315" s="1"/>
  <c r="N1078" i="3315"/>
  <c r="V1078" i="3315" s="1"/>
  <c r="N1075" i="3315"/>
  <c r="V1075" i="3315" s="1"/>
  <c r="N1114" i="3315"/>
  <c r="V1114" i="3315" s="1"/>
  <c r="N1058" i="3315"/>
  <c r="V1058" i="3315" s="1"/>
  <c r="N1059" i="3315"/>
  <c r="V1059" i="3315" s="1"/>
  <c r="N1122" i="3315"/>
  <c r="V1122" i="3315" s="1"/>
  <c r="N1090" i="3315"/>
  <c r="V1090" i="3315" s="1"/>
  <c r="N1116" i="3315"/>
  <c r="V1116" i="3315" s="1"/>
  <c r="N1086" i="3315"/>
  <c r="V1086" i="3315" s="1"/>
  <c r="N1055" i="3315"/>
  <c r="V1055" i="3315" s="1"/>
  <c r="N1064" i="3315"/>
  <c r="V1064" i="3315" s="1"/>
  <c r="N1096" i="3315"/>
  <c r="V1096" i="3315" s="1"/>
  <c r="N1124" i="3315"/>
  <c r="V1124" i="3315" s="1"/>
  <c r="N1111" i="3315"/>
  <c r="V1111" i="3315" s="1"/>
  <c r="N1053" i="3315"/>
  <c r="M1091" i="3315"/>
  <c r="N1131" i="3315"/>
  <c r="V1131" i="3315" s="1"/>
  <c r="N1144" i="3315"/>
  <c r="V1144" i="3315" s="1"/>
  <c r="N1134" i="3315"/>
  <c r="V1134" i="3315" s="1"/>
  <c r="N1151" i="3315"/>
  <c r="V1151" i="3315" s="1"/>
  <c r="N1085" i="3315"/>
  <c r="V1085" i="3315" s="1"/>
  <c r="N1100" i="3315"/>
  <c r="V1100" i="3315" s="1"/>
  <c r="N1143" i="3315"/>
  <c r="V1143" i="3315" s="1"/>
  <c r="N1084" i="3315"/>
  <c r="V1084" i="3315" s="1"/>
  <c r="N1109" i="3315"/>
  <c r="V1109" i="3315" s="1"/>
  <c r="N1106" i="3315"/>
  <c r="V1106" i="3315" s="1"/>
  <c r="N1070" i="3315"/>
  <c r="V1070" i="3315" s="1"/>
  <c r="N1056" i="3315"/>
  <c r="V1056" i="3315" s="1"/>
  <c r="N1118" i="3315"/>
  <c r="V1118" i="3315" s="1"/>
  <c r="N1152" i="3315"/>
  <c r="V1152" i="3315" s="1"/>
  <c r="N1071" i="3315"/>
  <c r="V1071" i="3315" s="1"/>
  <c r="N1066" i="3315"/>
  <c r="V1066" i="3315" s="1"/>
  <c r="N1160" i="3315"/>
  <c r="V1160" i="3315" s="1"/>
  <c r="N1083" i="3315"/>
  <c r="V1083" i="3315" s="1"/>
  <c r="N1098" i="3315"/>
  <c r="V1098" i="3315" s="1"/>
  <c r="N1097" i="3315"/>
  <c r="V1097" i="3315" s="1"/>
  <c r="N1153" i="3315"/>
  <c r="V1153" i="3315" s="1"/>
  <c r="N1087" i="3315"/>
  <c r="V1087" i="3315" s="1"/>
  <c r="N1127" i="3315"/>
  <c r="V1127" i="3315" s="1"/>
  <c r="N1068" i="3315"/>
  <c r="V1068" i="3315" s="1"/>
  <c r="N1060" i="3315"/>
  <c r="V1060" i="3315" s="1"/>
  <c r="N1054" i="3315"/>
  <c r="V1054" i="3315" s="1"/>
  <c r="N1102" i="3315"/>
  <c r="V1102" i="3315" s="1"/>
  <c r="N1125" i="3315"/>
  <c r="V1125" i="3315" s="1"/>
  <c r="N1103" i="3315"/>
  <c r="V1103" i="3315" s="1"/>
  <c r="N1072" i="3315"/>
  <c r="V1072" i="3315" s="1"/>
  <c r="N1099" i="3315"/>
  <c r="V1099" i="3315" s="1"/>
  <c r="N1108" i="3315"/>
  <c r="V1108" i="3315" s="1"/>
  <c r="N1105" i="3315"/>
  <c r="V1105" i="3315" s="1"/>
  <c r="N1154" i="3315"/>
  <c r="V1154" i="3315" s="1"/>
  <c r="N1065" i="3315"/>
  <c r="V1065" i="3315" s="1"/>
  <c r="N1110" i="3315"/>
  <c r="V1110" i="3315" s="1"/>
  <c r="N1067" i="3315"/>
  <c r="V1067" i="3315" s="1"/>
  <c r="N1101" i="3315"/>
  <c r="V1101" i="3315" s="1"/>
  <c r="N1089" i="3315"/>
  <c r="V1089" i="3315" s="1"/>
  <c r="N1061" i="3315"/>
  <c r="V1061" i="3315" s="1"/>
  <c r="N1113" i="3315"/>
  <c r="V1113" i="3315" s="1"/>
  <c r="N1104" i="3315"/>
  <c r="V1104" i="3315" s="1"/>
  <c r="N1095" i="3315"/>
  <c r="V1095" i="3315" s="1"/>
  <c r="M1138" i="3315"/>
  <c r="N1094" i="3315"/>
  <c r="N1126" i="3315"/>
  <c r="V1126" i="3315" s="1"/>
  <c r="M1147" i="3315"/>
  <c r="M1148" i="3315" s="1"/>
  <c r="N1141" i="3315"/>
  <c r="N1133" i="3315"/>
  <c r="V1133" i="3315" s="1"/>
  <c r="N1088" i="3315"/>
  <c r="V1088" i="3315" s="1"/>
  <c r="N1146" i="3315"/>
  <c r="V1146" i="3315" s="1"/>
  <c r="N1119" i="3315"/>
  <c r="V1119" i="3315" s="1"/>
  <c r="N1123" i="3315"/>
  <c r="V1123" i="3315" s="1"/>
  <c r="N1069" i="3315"/>
  <c r="V1069" i="3315" s="1"/>
  <c r="N1142" i="3315"/>
  <c r="V1142" i="3315" s="1"/>
  <c r="N1082" i="3315"/>
  <c r="V1082" i="3315" s="1"/>
  <c r="N1159" i="3315"/>
  <c r="V1159" i="3315" s="1"/>
  <c r="N1120" i="3315"/>
  <c r="V1120" i="3315" s="1"/>
  <c r="N1117" i="3315"/>
  <c r="V1117" i="3315" s="1"/>
  <c r="M48" i="3315"/>
  <c r="M736" i="3315"/>
  <c r="M693" i="3315"/>
  <c r="M87" i="3315"/>
  <c r="M718" i="3315"/>
  <c r="M705" i="3315"/>
  <c r="M680" i="3315"/>
  <c r="M67" i="3315"/>
  <c r="M82" i="3315"/>
  <c r="M845" i="3315"/>
  <c r="M1028" i="3315"/>
  <c r="M1247" i="3315"/>
  <c r="M603" i="3315"/>
  <c r="M754" i="3315"/>
  <c r="M1181" i="3315"/>
  <c r="M986" i="3315"/>
  <c r="M612" i="3315"/>
  <c r="M763" i="3315"/>
  <c r="M1190" i="3315"/>
  <c r="M996" i="3315"/>
  <c r="M621" i="3315"/>
  <c r="M772" i="3315"/>
  <c r="M980" i="3315"/>
  <c r="M836" i="3315"/>
  <c r="M922" i="3315"/>
  <c r="M494" i="3315"/>
  <c r="M460" i="3315"/>
  <c r="M374" i="3315"/>
  <c r="M174" i="3315"/>
  <c r="M238" i="3315"/>
  <c r="M302" i="3315"/>
  <c r="M626" i="3315"/>
  <c r="M871" i="3315"/>
  <c r="M711" i="3315"/>
  <c r="M849" i="3315"/>
  <c r="M52" i="3315"/>
  <c r="M692" i="3315"/>
  <c r="M79" i="3315"/>
  <c r="M894" i="3315"/>
  <c r="M84" i="3315"/>
  <c r="M50" i="3315"/>
  <c r="M691" i="3315"/>
  <c r="M68" i="3315"/>
  <c r="M1025" i="3315"/>
  <c r="M1219" i="3315"/>
  <c r="M1014" i="3315"/>
  <c r="M643" i="3315"/>
  <c r="M791" i="3315"/>
  <c r="M1228" i="3315"/>
  <c r="M1037" i="3315"/>
  <c r="M652" i="3315"/>
  <c r="M800" i="3315"/>
  <c r="M1237" i="3315"/>
  <c r="M1046" i="3315"/>
  <c r="M661" i="3315"/>
  <c r="M809" i="3315"/>
  <c r="M774" i="3315"/>
  <c r="M886" i="3315"/>
  <c r="M578" i="3315"/>
  <c r="M551" i="3315"/>
  <c r="M428" i="3315"/>
  <c r="M146" i="3315"/>
  <c r="M210" i="3315"/>
  <c r="M274" i="3315"/>
  <c r="M1218" i="3315"/>
  <c r="M828" i="3315"/>
  <c r="M93" i="3315"/>
  <c r="M704" i="3315"/>
  <c r="M49" i="3315"/>
  <c r="M731" i="3315"/>
  <c r="M686" i="3315"/>
  <c r="M89" i="3315"/>
  <c r="M104" i="3315"/>
  <c r="M315" i="3315"/>
  <c r="M61" i="3315"/>
  <c r="M320" i="3315"/>
  <c r="M71" i="3315"/>
  <c r="M1020" i="3315"/>
  <c r="M1239" i="3315"/>
  <c r="M595" i="3315"/>
  <c r="M663" i="3315"/>
  <c r="M44" i="3315"/>
  <c r="M672" i="3315"/>
  <c r="M102" i="3315"/>
  <c r="M699" i="3315"/>
  <c r="M893" i="3315"/>
  <c r="M848" i="3315"/>
  <c r="M91" i="3315"/>
  <c r="M722" i="3315"/>
  <c r="M948" i="3315"/>
  <c r="M46" i="3315"/>
  <c r="M707" i="3315"/>
  <c r="M1027" i="3315"/>
  <c r="M1231" i="3315"/>
  <c r="M1040" i="3315"/>
  <c r="M655" i="3315"/>
  <c r="M803" i="3315"/>
  <c r="M1240" i="3315"/>
  <c r="M596" i="3315"/>
  <c r="M664" i="3315"/>
  <c r="M812" i="3315"/>
  <c r="M979" i="3315"/>
  <c r="M605" i="3315"/>
  <c r="M756" i="3315"/>
  <c r="M1187" i="3315"/>
  <c r="M819" i="3315"/>
  <c r="M906" i="3315"/>
  <c r="M470" i="3315"/>
  <c r="M443" i="3315"/>
  <c r="M358" i="3315"/>
  <c r="M158" i="3315"/>
  <c r="M222" i="3315"/>
  <c r="M286" i="3315"/>
  <c r="M1001" i="3315"/>
  <c r="M841" i="3315"/>
  <c r="M62" i="3315"/>
  <c r="M313" i="3315"/>
  <c r="M745" i="3315"/>
  <c r="M103" i="3315"/>
  <c r="M734" i="3315"/>
  <c r="M51" i="3315"/>
  <c r="M696" i="3315"/>
  <c r="M321" i="3315"/>
  <c r="M709" i="3315"/>
  <c r="M697" i="3315"/>
  <c r="M1192" i="3315"/>
  <c r="M998" i="3315"/>
  <c r="M623" i="3315"/>
  <c r="M775" i="3315"/>
  <c r="M1212" i="3315"/>
  <c r="M1007" i="3315"/>
  <c r="M636" i="3315"/>
  <c r="M784" i="3315"/>
  <c r="M1221" i="3315"/>
  <c r="M1030" i="3315"/>
  <c r="M645" i="3315"/>
  <c r="M793" i="3315"/>
  <c r="M622" i="3315"/>
  <c r="M870" i="3315"/>
  <c r="M942" i="3315"/>
  <c r="M534" i="3315"/>
  <c r="M412" i="3315"/>
  <c r="M350" i="3315"/>
  <c r="M194" i="3315"/>
  <c r="M258" i="3315"/>
  <c r="M119" i="3315"/>
  <c r="M794" i="3315"/>
  <c r="M891" i="3315"/>
  <c r="M72" i="3315"/>
  <c r="M746" i="3315"/>
  <c r="M850" i="3315"/>
  <c r="M96" i="3315"/>
  <c r="M74" i="3315"/>
  <c r="M735" i="3315"/>
  <c r="M690" i="3315"/>
  <c r="M675" i="3315"/>
  <c r="M710" i="3315"/>
  <c r="M53" i="3315"/>
  <c r="M1026" i="3315"/>
  <c r="M1223" i="3315"/>
  <c r="M1032" i="3315"/>
  <c r="M647" i="3315"/>
  <c r="M83" i="3315"/>
  <c r="M689" i="3315"/>
  <c r="M677" i="3315"/>
  <c r="M897" i="3315"/>
  <c r="M732" i="3315"/>
  <c r="M1215" i="3315"/>
  <c r="M639" i="3315"/>
  <c r="M1224" i="3315"/>
  <c r="M648" i="3315"/>
  <c r="M1233" i="3315"/>
  <c r="M657" i="3315"/>
  <c r="M757" i="3315"/>
  <c r="M572" i="3315"/>
  <c r="M424" i="3315"/>
  <c r="M206" i="3315"/>
  <c r="M1191" i="3315"/>
  <c r="M78" i="3315"/>
  <c r="M75" i="3315"/>
  <c r="M853" i="3315"/>
  <c r="M64" i="3315"/>
  <c r="M716" i="3315"/>
  <c r="M748" i="3315"/>
  <c r="M1016" i="3315"/>
  <c r="M607" i="3315"/>
  <c r="M1185" i="3315"/>
  <c r="M616" i="3315"/>
  <c r="M1194" i="3315"/>
  <c r="M625" i="3315"/>
  <c r="M997" i="3315"/>
  <c r="M926" i="3315"/>
  <c r="M396" i="3315"/>
  <c r="M178" i="3315"/>
  <c r="M306" i="3315"/>
  <c r="M875" i="3315"/>
  <c r="M682" i="3315"/>
  <c r="M708" i="3315"/>
  <c r="M854" i="3315"/>
  <c r="M101" i="3315"/>
  <c r="M700" i="3315"/>
  <c r="M1029" i="3315"/>
  <c r="M1002" i="3315"/>
  <c r="M779" i="3315"/>
  <c r="M1216" i="3315"/>
  <c r="M1011" i="3315"/>
  <c r="M640" i="3315"/>
  <c r="M788" i="3315"/>
  <c r="M1225" i="3315"/>
  <c r="M1034" i="3315"/>
  <c r="M649" i="3315"/>
  <c r="M797" i="3315"/>
  <c r="M642" i="3315"/>
  <c r="M874" i="3315"/>
  <c r="M946" i="3315"/>
  <c r="M539" i="3315"/>
  <c r="M416" i="3315"/>
  <c r="M325" i="3315"/>
  <c r="M198" i="3315"/>
  <c r="M262" i="3315"/>
  <c r="M123" i="3315"/>
  <c r="M810" i="3315"/>
  <c r="M903" i="3315"/>
  <c r="M724" i="3315"/>
  <c r="M713" i="3315"/>
  <c r="M1023" i="3315"/>
  <c r="M783" i="3315"/>
  <c r="M792" i="3315"/>
  <c r="M801" i="3315"/>
  <c r="M543" i="3315"/>
  <c r="M266" i="3315"/>
  <c r="M923" i="3315"/>
  <c r="M495" i="3315"/>
  <c r="M389" i="3315"/>
  <c r="M375" i="3315"/>
  <c r="M175" i="3315"/>
  <c r="M239" i="3315"/>
  <c r="M303" i="3315"/>
  <c r="M618" i="3315"/>
  <c r="M869" i="3315"/>
  <c r="M941" i="3315"/>
  <c r="M533" i="3315"/>
  <c r="M411" i="3315"/>
  <c r="M349" i="3315"/>
  <c r="M193" i="3315"/>
  <c r="M257" i="3315"/>
  <c r="M714" i="3315"/>
  <c r="M740" i="3315"/>
  <c r="M703" i="3315"/>
  <c r="M314" i="3315"/>
  <c r="M678" i="3315"/>
  <c r="M1018" i="3315"/>
  <c r="M1010" i="3315"/>
  <c r="M787" i="3315"/>
  <c r="M1033" i="3315"/>
  <c r="M796" i="3315"/>
  <c r="M1042" i="3315"/>
  <c r="M805" i="3315"/>
  <c r="M882" i="3315"/>
  <c r="M547" i="3315"/>
  <c r="M142" i="3315"/>
  <c r="M270" i="3315"/>
  <c r="M824" i="3315"/>
  <c r="M688" i="3315"/>
  <c r="M715" i="3315"/>
  <c r="M701" i="3315"/>
  <c r="M738" i="3315"/>
  <c r="M85" i="3315"/>
  <c r="M981" i="3315"/>
  <c r="M758" i="3315"/>
  <c r="M990" i="3315"/>
  <c r="M767" i="3315"/>
  <c r="M1000" i="3315"/>
  <c r="M777" i="3315"/>
  <c r="M840" i="3315"/>
  <c r="M498" i="3315"/>
  <c r="M378" i="3315"/>
  <c r="M242" i="3315"/>
  <c r="M646" i="3315"/>
  <c r="M727" i="3315"/>
  <c r="M852" i="3315"/>
  <c r="M45" i="3315"/>
  <c r="M100" i="3315"/>
  <c r="M316" i="3315"/>
  <c r="M1204" i="3315"/>
  <c r="M627" i="3315"/>
  <c r="M811" i="3315"/>
  <c r="M977" i="3315"/>
  <c r="M604" i="3315"/>
  <c r="M755" i="3315"/>
  <c r="M1182" i="3315"/>
  <c r="M987" i="3315"/>
  <c r="M613" i="3315"/>
  <c r="M764" i="3315"/>
  <c r="M1230" i="3315"/>
  <c r="M827" i="3315"/>
  <c r="M914" i="3315"/>
  <c r="M478" i="3315"/>
  <c r="M451" i="3315"/>
  <c r="M366" i="3315"/>
  <c r="M166" i="3315"/>
  <c r="M230" i="3315"/>
  <c r="M294" i="3315"/>
  <c r="M1047" i="3315"/>
  <c r="M862" i="3315"/>
  <c r="M698" i="3315"/>
  <c r="M687" i="3315"/>
  <c r="M88" i="3315"/>
  <c r="M1006" i="3315"/>
  <c r="M1015" i="3315"/>
  <c r="M1038" i="3315"/>
  <c r="M878" i="3315"/>
  <c r="M329" i="3315"/>
  <c r="M820" i="3315"/>
  <c r="M574" i="3315"/>
  <c r="M548" i="3315"/>
  <c r="M425" i="3315"/>
  <c r="M143" i="3315"/>
  <c r="M319" i="3315"/>
  <c r="M717" i="3315"/>
  <c r="M723" i="3315"/>
  <c r="M993" i="3315"/>
  <c r="M1003" i="3315"/>
  <c r="M1012" i="3315"/>
  <c r="M865" i="3315"/>
  <c r="M345" i="3315"/>
  <c r="M778" i="3315"/>
  <c r="M749" i="3315"/>
  <c r="M674" i="3315"/>
  <c r="M659" i="3315"/>
  <c r="M668" i="3315"/>
  <c r="M760" i="3315"/>
  <c r="M474" i="3315"/>
  <c r="M226" i="3315"/>
  <c r="M846" i="3315"/>
  <c r="M750" i="3315"/>
  <c r="M684" i="3315"/>
  <c r="M1180" i="3315"/>
  <c r="M795" i="3315"/>
  <c r="M1041" i="3315"/>
  <c r="M804" i="3315"/>
  <c r="M597" i="3315"/>
  <c r="M813" i="3315"/>
  <c r="M890" i="3315"/>
  <c r="M555" i="3315"/>
  <c r="M150" i="3315"/>
  <c r="M278" i="3315"/>
  <c r="M832" i="3315"/>
  <c r="M741" i="3315"/>
  <c r="M1211" i="3315"/>
  <c r="M1229" i="3315"/>
  <c r="M420" i="3315"/>
  <c r="M939" i="3315"/>
  <c r="M409" i="3315"/>
  <c r="M191" i="3315"/>
  <c r="M271" i="3315"/>
  <c r="M992" i="3315"/>
  <c r="M885" i="3315"/>
  <c r="M473" i="3315"/>
  <c r="M392" i="3315"/>
  <c r="M145" i="3315"/>
  <c r="M225" i="3315"/>
  <c r="M305" i="3315"/>
  <c r="M928" i="3315"/>
  <c r="M180" i="3315"/>
  <c r="M858" i="3315"/>
  <c r="M384" i="3315"/>
  <c r="M765" i="3315"/>
  <c r="M666" i="3315"/>
  <c r="M422" i="3315"/>
  <c r="M129" i="3315"/>
  <c r="M288" i="3315"/>
  <c r="M594" i="3315"/>
  <c r="M899" i="3315"/>
  <c r="M989" i="3315"/>
  <c r="M637" i="3315"/>
  <c r="M250" i="3315"/>
  <c r="M491" i="3315"/>
  <c r="M371" i="3315"/>
  <c r="M235" i="3315"/>
  <c r="M602" i="3315"/>
  <c r="M937" i="3315"/>
  <c r="M459" i="3315"/>
  <c r="M173" i="3315"/>
  <c r="M285" i="3315"/>
  <c r="M364" i="3315"/>
  <c r="M453" i="3315"/>
  <c r="M192" i="3315"/>
  <c r="M252" i="3315"/>
  <c r="M892" i="3315"/>
  <c r="M69" i="3315"/>
  <c r="M739" i="3315"/>
  <c r="M1019" i="3315"/>
  <c r="M799" i="3315"/>
  <c r="M808" i="3315"/>
  <c r="M676" i="3315"/>
  <c r="M844" i="3315"/>
  <c r="M1021" i="3315"/>
  <c r="M770" i="3315"/>
  <c r="M780" i="3315"/>
  <c r="M789" i="3315"/>
  <c r="M529" i="3315"/>
  <c r="M254" i="3315"/>
  <c r="M99" i="3315"/>
  <c r="M54" i="3315"/>
  <c r="M77" i="3315"/>
  <c r="M1235" i="3315"/>
  <c r="M1244" i="3315"/>
  <c r="M983" i="3315"/>
  <c r="M823" i="3315"/>
  <c r="M362" i="3315"/>
  <c r="M1031" i="3315"/>
  <c r="M681" i="3315"/>
  <c r="M712" i="3315"/>
  <c r="M611" i="3315"/>
  <c r="M1232" i="3315"/>
  <c r="M656" i="3315"/>
  <c r="M1241" i="3315"/>
  <c r="M665" i="3315"/>
  <c r="M790" i="3315"/>
  <c r="M582" i="3315"/>
  <c r="M432" i="3315"/>
  <c r="M214" i="3315"/>
  <c r="M1234" i="3315"/>
  <c r="M743" i="3315"/>
  <c r="M851" i="3315"/>
  <c r="M1220" i="3315"/>
  <c r="M658" i="3315"/>
  <c r="M127" i="3315"/>
  <c r="M530" i="3315"/>
  <c r="M346" i="3315"/>
  <c r="M223" i="3315"/>
  <c r="M116" i="3315"/>
  <c r="M822" i="3315"/>
  <c r="M925" i="3315"/>
  <c r="M550" i="3315"/>
  <c r="M361" i="3315"/>
  <c r="M177" i="3315"/>
  <c r="M273" i="3315"/>
  <c r="M1005" i="3315"/>
  <c r="M398" i="3315"/>
  <c r="M81" i="3315"/>
  <c r="M523" i="3315"/>
  <c r="M248" i="3315"/>
  <c r="M360" i="3315"/>
  <c r="M957" i="3315"/>
  <c r="M204" i="3315"/>
  <c r="M410" i="3315"/>
  <c r="M65" i="3315"/>
  <c r="M725" i="3315"/>
  <c r="M624" i="3315"/>
  <c r="M525" i="3315"/>
  <c r="M919" i="3315"/>
  <c r="M457" i="3315"/>
  <c r="M171" i="3315"/>
  <c r="M299" i="3315"/>
  <c r="M864" i="3315"/>
  <c r="M528" i="3315"/>
  <c r="M373" i="3315"/>
  <c r="M237" i="3315"/>
  <c r="M825" i="3315"/>
  <c r="M1238" i="3315"/>
  <c r="M296" i="3315"/>
  <c r="M527" i="3315"/>
  <c r="M144" i="3315"/>
  <c r="M86" i="3315"/>
  <c r="M751" i="3315"/>
  <c r="M97" i="3315"/>
  <c r="M1036" i="3315"/>
  <c r="M1045" i="3315"/>
  <c r="M733" i="3315"/>
  <c r="M628" i="3315"/>
  <c r="M938" i="3315"/>
  <c r="M887" i="3315"/>
  <c r="M685" i="3315"/>
  <c r="M807" i="3315"/>
  <c r="M1214" i="3315"/>
  <c r="M290" i="3315"/>
  <c r="M66" i="3315"/>
  <c r="M985" i="3315"/>
  <c r="M620" i="3315"/>
  <c r="M629" i="3315"/>
  <c r="M930" i="3315"/>
  <c r="M182" i="3315"/>
  <c r="M879" i="3315"/>
  <c r="M635" i="3315"/>
  <c r="M202" i="3315"/>
  <c r="M359" i="3315"/>
  <c r="M287" i="3315"/>
  <c r="M909" i="3315"/>
  <c r="M427" i="3315"/>
  <c r="M241" i="3315"/>
  <c r="M500" i="3315"/>
  <c r="M932" i="3315"/>
  <c r="M472" i="3315"/>
  <c r="M137" i="3315"/>
  <c r="M312" i="3315"/>
  <c r="M1193" i="3315"/>
  <c r="M761" i="3315"/>
  <c r="M136" i="3315"/>
  <c r="M818" i="3315"/>
  <c r="M423" i="3315"/>
  <c r="M1222" i="3315"/>
  <c r="M368" i="3315"/>
  <c r="M113" i="3315"/>
  <c r="M895" i="3315"/>
  <c r="M98" i="3315"/>
  <c r="M1236" i="3315"/>
  <c r="M669" i="3315"/>
  <c r="M466" i="3315"/>
  <c r="M218" i="3315"/>
  <c r="M911" i="3315"/>
  <c r="M475" i="3315"/>
  <c r="M448" i="3315"/>
  <c r="M363" i="3315"/>
  <c r="M163" i="3315"/>
  <c r="M227" i="3315"/>
  <c r="M291" i="3315"/>
  <c r="M1009" i="3315"/>
  <c r="M843" i="3315"/>
  <c r="M929" i="3315"/>
  <c r="M519" i="3315"/>
  <c r="M399" i="3315"/>
  <c r="M381" i="3315"/>
  <c r="M181" i="3315"/>
  <c r="M245" i="3315"/>
  <c r="M106" i="3315"/>
  <c r="M944" i="3315"/>
  <c r="M196" i="3315"/>
  <c r="M876" i="3315"/>
  <c r="M327" i="3315"/>
  <c r="M838" i="3315"/>
  <c r="M814" i="3315"/>
  <c r="M438" i="3315"/>
  <c r="M988" i="3315"/>
  <c r="M117" i="3315"/>
  <c r="M615" i="3315"/>
  <c r="M404" i="3315"/>
  <c r="M405" i="3315"/>
  <c r="M112" i="3315"/>
  <c r="M565" i="3315"/>
  <c r="M301" i="3315"/>
  <c r="M232" i="3315"/>
  <c r="M445" i="3315"/>
  <c r="M721" i="3315"/>
  <c r="M702" i="3315"/>
  <c r="M694" i="3315"/>
  <c r="M1024" i="3315"/>
  <c r="M815" i="3315"/>
  <c r="M1186" i="3315"/>
  <c r="M1246" i="3315"/>
  <c r="M456" i="3315"/>
  <c r="M298" i="3315"/>
  <c r="M931" i="3315"/>
  <c r="M522" i="3315"/>
  <c r="M401" i="3315"/>
  <c r="M383" i="3315"/>
  <c r="M183" i="3315"/>
  <c r="M247" i="3315"/>
  <c r="M108" i="3315"/>
  <c r="M654" i="3315"/>
  <c r="M877" i="3315"/>
  <c r="M954" i="3315"/>
  <c r="M542" i="3315"/>
  <c r="M419" i="3315"/>
  <c r="M328" i="3315"/>
  <c r="M201" i="3315"/>
  <c r="M265" i="3315"/>
  <c r="M126" i="3315"/>
  <c r="M553" i="3315"/>
  <c r="M276" i="3315"/>
  <c r="M584" i="3315"/>
  <c r="M216" i="3315"/>
  <c r="M549" i="3315"/>
  <c r="M920" i="3315"/>
  <c r="M172" i="3315"/>
  <c r="M531" i="3315"/>
  <c r="M334" i="3315"/>
  <c r="M1184" i="3315"/>
  <c r="M934" i="3315"/>
  <c r="M562" i="3315"/>
  <c r="M283" i="3315"/>
  <c r="M493" i="3315"/>
  <c r="M253" i="3315"/>
  <c r="M916" i="3315"/>
  <c r="M342" i="3315"/>
  <c r="M744" i="3315"/>
  <c r="M619" i="3315"/>
  <c r="M641" i="3315"/>
  <c r="M190" i="3315"/>
  <c r="M317" i="3315"/>
  <c r="M1022" i="3315"/>
  <c r="M816" i="3315"/>
  <c r="M447" i="3315"/>
  <c r="M92" i="3315"/>
  <c r="M673" i="3315"/>
  <c r="M1189" i="3315"/>
  <c r="M1206" i="3315"/>
  <c r="M1013" i="3315"/>
  <c r="M400" i="3315"/>
  <c r="M107" i="3315"/>
  <c r="M73" i="3315"/>
  <c r="M653" i="3315"/>
  <c r="M471" i="3315"/>
  <c r="M207" i="3315"/>
  <c r="M769" i="3315"/>
  <c r="M497" i="3315"/>
  <c r="M161" i="3315"/>
  <c r="M118" i="3315"/>
  <c r="M244" i="3315"/>
  <c r="M184" i="3315"/>
  <c r="M880" i="3315"/>
  <c r="M908" i="3315"/>
  <c r="M728" i="3315"/>
  <c r="M1043" i="3315"/>
  <c r="M544" i="3315"/>
  <c r="M267" i="3315"/>
  <c r="M571" i="3315"/>
  <c r="M205" i="3315"/>
  <c r="M164" i="3315"/>
  <c r="M598" i="3315"/>
  <c r="M729" i="3315"/>
  <c r="M1227" i="3315"/>
  <c r="M1245" i="3315"/>
  <c r="M806" i="3315"/>
  <c r="M436" i="3315"/>
  <c r="M984" i="3315"/>
  <c r="M943" i="3315"/>
  <c r="M535" i="3315"/>
  <c r="M413" i="3315"/>
  <c r="M322" i="3315"/>
  <c r="M195" i="3315"/>
  <c r="M259" i="3315"/>
  <c r="M120" i="3315"/>
  <c r="M786" i="3315"/>
  <c r="M889" i="3315"/>
  <c r="M581" i="3315"/>
  <c r="M554" i="3315"/>
  <c r="M431" i="3315"/>
  <c r="M149" i="3315"/>
  <c r="M213" i="3315"/>
  <c r="M277" i="3315"/>
  <c r="M630" i="3315"/>
  <c r="M414" i="3315"/>
  <c r="M121" i="3315"/>
  <c r="M541" i="3315"/>
  <c r="M264" i="3315"/>
  <c r="M347" i="3315"/>
  <c r="M468" i="3315"/>
  <c r="M220" i="3315"/>
  <c r="M426" i="3315"/>
  <c r="M976" i="3315"/>
  <c r="M726" i="3315"/>
  <c r="M1008" i="3315"/>
  <c r="M935" i="3315"/>
  <c r="M187" i="3315"/>
  <c r="M881" i="3315"/>
  <c r="M157" i="3315"/>
  <c r="M228" i="3315"/>
  <c r="M936" i="3315"/>
  <c r="M318" i="3315"/>
  <c r="M847" i="3315"/>
  <c r="M599" i="3315"/>
  <c r="M608" i="3315"/>
  <c r="M617" i="3315"/>
  <c r="M918" i="3315"/>
  <c r="M170" i="3315"/>
  <c r="M866" i="3315"/>
  <c r="M583" i="3315"/>
  <c r="M556" i="3315"/>
  <c r="M433" i="3315"/>
  <c r="M151" i="3315"/>
  <c r="M215" i="3315"/>
  <c r="M279" i="3315"/>
  <c r="M1226" i="3315"/>
  <c r="M830" i="3315"/>
  <c r="M917" i="3315"/>
  <c r="M489" i="3315"/>
  <c r="M454" i="3315"/>
  <c r="M369" i="3315"/>
  <c r="M169" i="3315"/>
  <c r="M233" i="3315"/>
  <c r="M297" i="3315"/>
  <c r="M888" i="3315"/>
  <c r="M148" i="3315"/>
  <c r="M798" i="3315"/>
  <c r="M434" i="3315"/>
  <c r="M1203" i="3315"/>
  <c r="M304" i="3315"/>
  <c r="M458" i="3315"/>
  <c r="M300" i="3315"/>
  <c r="M224" i="3315"/>
  <c r="M60" i="3315"/>
  <c r="M896" i="3315"/>
  <c r="M776" i="3315"/>
  <c r="M883" i="3315"/>
  <c r="M155" i="3315"/>
  <c r="M835" i="3315"/>
  <c r="M343" i="3315"/>
  <c r="M449" i="3315"/>
  <c r="M924" i="3315"/>
  <c r="M695" i="3315"/>
  <c r="M56" i="3315"/>
  <c r="M1205" i="3315"/>
  <c r="M606" i="3315"/>
  <c r="M115" i="3315"/>
  <c r="M719" i="3315"/>
  <c r="M1044" i="3315"/>
  <c r="M609" i="3315"/>
  <c r="M162" i="3315"/>
  <c r="M76" i="3315"/>
  <c r="M1188" i="3315"/>
  <c r="M742" i="3315"/>
  <c r="M70" i="3315"/>
  <c r="M1004" i="3315"/>
  <c r="M382" i="3315"/>
  <c r="M444" i="3315"/>
  <c r="M839" i="3315"/>
  <c r="M209" i="3315"/>
  <c r="M1035" i="3315"/>
  <c r="M545" i="3315"/>
  <c r="M570" i="3315"/>
  <c r="M338" i="3315"/>
  <c r="M128" i="3315"/>
  <c r="M269" i="3315"/>
  <c r="M406" i="3315"/>
  <c r="M135" i="3315"/>
  <c r="M651" i="3315"/>
  <c r="M902" i="3315"/>
  <c r="M837" i="3315"/>
  <c r="M552" i="3315"/>
  <c r="M147" i="3315"/>
  <c r="M275" i="3315"/>
  <c r="M826" i="3315"/>
  <c r="M477" i="3315"/>
  <c r="M365" i="3315"/>
  <c r="M229" i="3315"/>
  <c r="M872" i="3315"/>
  <c r="M650" i="3315"/>
  <c r="M125" i="3315"/>
  <c r="M564" i="3315"/>
  <c r="M208" i="3315"/>
  <c r="M442" i="3315"/>
  <c r="M860" i="3315"/>
  <c r="M251" i="3315"/>
  <c r="M221" i="3315"/>
  <c r="M188" i="3315"/>
  <c r="M1179" i="3315"/>
  <c r="M94" i="3315"/>
  <c r="M667" i="3315"/>
  <c r="M768" i="3315"/>
  <c r="M234" i="3315"/>
  <c r="M487" i="3315"/>
  <c r="M367" i="3315"/>
  <c r="M231" i="3315"/>
  <c r="M1039" i="3315"/>
  <c r="M933" i="3315"/>
  <c r="M403" i="3315"/>
  <c r="M185" i="3315"/>
  <c r="M110" i="3315"/>
  <c r="M212" i="3315"/>
  <c r="M152" i="3315"/>
  <c r="M833" i="3315"/>
  <c r="M821" i="3315"/>
  <c r="M356" i="3315"/>
  <c r="M785" i="3315"/>
  <c r="M219" i="3315"/>
  <c r="M189" i="3315"/>
  <c r="M863" i="3315"/>
  <c r="M43" i="3315"/>
  <c r="M600" i="3315"/>
  <c r="M781" i="3315"/>
  <c r="M644" i="3315"/>
  <c r="M577" i="3315"/>
  <c r="M402" i="3315"/>
  <c r="M905" i="3315"/>
  <c r="M256" i="3315"/>
  <c r="M660" i="3315"/>
  <c r="M927" i="3315"/>
  <c r="M179" i="3315"/>
  <c r="M873" i="3315"/>
  <c r="M324" i="3315"/>
  <c r="M950" i="3315"/>
  <c r="M156" i="3315"/>
  <c r="M90" i="3315"/>
  <c r="M671" i="3315"/>
  <c r="M912" i="3315"/>
  <c r="M720" i="3315"/>
  <c r="M95" i="3315"/>
  <c r="M982" i="3315"/>
  <c r="M610" i="3315"/>
  <c r="M540" i="3315"/>
  <c r="M263" i="3315"/>
  <c r="M465" i="3315"/>
  <c r="M217" i="3315"/>
  <c r="M940" i="3315"/>
  <c r="M492" i="3315"/>
  <c r="M679" i="3315"/>
  <c r="M1242" i="3315"/>
  <c r="M868" i="3315"/>
  <c r="M408" i="3315"/>
  <c r="M995" i="3315"/>
  <c r="M955" i="3315"/>
  <c r="M446" i="3315"/>
  <c r="M109" i="3315"/>
  <c r="M421" i="3315"/>
  <c r="M829" i="3315"/>
  <c r="M706" i="3315"/>
  <c r="M601" i="3315"/>
  <c r="M579" i="3315"/>
  <c r="M211" i="3315"/>
  <c r="M1210" i="3315"/>
  <c r="M450" i="3315"/>
  <c r="M293" i="3315"/>
  <c r="M418" i="3315"/>
  <c r="M284" i="3315"/>
  <c r="M1017" i="3315"/>
  <c r="M469" i="3315"/>
  <c r="M488" i="3315"/>
  <c r="M747" i="3315"/>
  <c r="M915" i="3315"/>
  <c r="M295" i="3315"/>
  <c r="M524" i="3315"/>
  <c r="M249" i="3315"/>
  <c r="M900" i="3315"/>
  <c r="M884" i="3315"/>
  <c r="M898" i="3315"/>
  <c r="M921" i="3315"/>
  <c r="M292" i="3315"/>
  <c r="M63" i="3315"/>
  <c r="M730" i="3315"/>
  <c r="M857" i="3315"/>
  <c r="M771" i="3315"/>
  <c r="M521" i="3315"/>
  <c r="M737" i="3315"/>
  <c r="M907" i="3315"/>
  <c r="M1183" i="3315"/>
  <c r="M377" i="3315"/>
  <c r="M380" i="3315"/>
  <c r="M240" i="3315"/>
  <c r="M1213" i="3315"/>
  <c r="M203" i="3315"/>
  <c r="M139" i="3315"/>
  <c r="M614" i="3315"/>
  <c r="M817" i="3315"/>
  <c r="M282" i="3315"/>
  <c r="M499" i="3315"/>
  <c r="M379" i="3315"/>
  <c r="M243" i="3315"/>
  <c r="M638" i="3315"/>
  <c r="M945" i="3315"/>
  <c r="M415" i="3315"/>
  <c r="M197" i="3315"/>
  <c r="M122" i="3315"/>
  <c r="M260" i="3315"/>
  <c r="M200" i="3315"/>
  <c r="M904" i="3315"/>
  <c r="M576" i="3315"/>
  <c r="M999" i="3315"/>
  <c r="M340" i="3315"/>
  <c r="M357" i="3315"/>
  <c r="M390" i="3315"/>
  <c r="M55" i="3315"/>
  <c r="M1243" i="3315"/>
  <c r="M991" i="3315"/>
  <c r="M370" i="3315"/>
  <c r="M947" i="3315"/>
  <c r="M417" i="3315"/>
  <c r="M199" i="3315"/>
  <c r="M124" i="3315"/>
  <c r="M901" i="3315"/>
  <c r="M558" i="3315"/>
  <c r="M153" i="3315"/>
  <c r="M281" i="3315"/>
  <c r="M430" i="3315"/>
  <c r="M557" i="3315"/>
  <c r="M160" i="3315"/>
  <c r="M236" i="3315"/>
  <c r="M766" i="3315"/>
  <c r="M437" i="3315"/>
  <c r="M407" i="3315"/>
  <c r="M168" i="3315"/>
  <c r="M1217" i="3315"/>
  <c r="M762" i="3315"/>
  <c r="M246" i="3315"/>
  <c r="M159" i="3315"/>
  <c r="M289" i="3315"/>
  <c r="M268" i="3315"/>
  <c r="M47" i="3315"/>
  <c r="M956" i="3315"/>
  <c r="M476" i="3315"/>
  <c r="M683" i="3315"/>
  <c r="M560" i="3315"/>
  <c r="M397" i="3315"/>
  <c r="M307" i="3315"/>
  <c r="M538" i="3315"/>
  <c r="M261" i="3315"/>
  <c r="M536" i="3315"/>
  <c r="M496" i="3315"/>
  <c r="M111" i="3315"/>
  <c r="M831" i="3315"/>
  <c r="M326" i="3315"/>
  <c r="M802" i="3315"/>
  <c r="M435" i="3315"/>
  <c r="M782" i="3315"/>
  <c r="M280" i="3315"/>
  <c r="M376" i="3315"/>
  <c r="M186" i="3315"/>
  <c r="M114" i="3315"/>
  <c r="M910" i="3315"/>
  <c r="M855" i="3315"/>
  <c r="M662" i="3315"/>
  <c r="M255" i="3315"/>
  <c r="M842" i="3315"/>
  <c r="M176" i="3315"/>
  <c r="M546" i="3315"/>
  <c r="M154" i="3315"/>
  <c r="M429" i="3315"/>
  <c r="M913" i="3315"/>
  <c r="M165" i="3315"/>
  <c r="M323" i="3315"/>
  <c r="M272" i="3315"/>
  <c r="M526" i="3315"/>
  <c r="M759" i="3315"/>
  <c r="M490" i="3315"/>
  <c r="M452" i="3315"/>
  <c r="M167" i="3315"/>
  <c r="M859" i="3315"/>
  <c r="M337" i="3315"/>
  <c r="M580" i="3315"/>
  <c r="M372" i="3315"/>
  <c r="M467" i="3315"/>
  <c r="N1137" i="3315"/>
  <c r="V1137" i="3315" s="1"/>
  <c r="N1077" i="3315"/>
  <c r="V1077" i="3315" s="1"/>
  <c r="N1132" i="3315"/>
  <c r="V1132" i="3315" s="1"/>
  <c r="N1107" i="3315"/>
  <c r="V1107" i="3315" s="1"/>
  <c r="N1063" i="3315"/>
  <c r="V1063" i="3315" s="1"/>
  <c r="N1074" i="3315"/>
  <c r="V1074" i="3315" s="1"/>
  <c r="N1128" i="3315"/>
  <c r="V1128" i="3315" s="1"/>
  <c r="N1136" i="3315"/>
  <c r="V1136" i="3315" s="1"/>
  <c r="N1145" i="3315"/>
  <c r="V1145" i="3315" s="1"/>
  <c r="N1073" i="3315"/>
  <c r="V1073" i="3315" s="1"/>
  <c r="N1135" i="3315"/>
  <c r="V1135" i="3315" s="1"/>
  <c r="N1080" i="3315"/>
  <c r="V1080" i="3315" s="1"/>
  <c r="N1150" i="3315"/>
  <c r="M1155" i="3315"/>
  <c r="M1156" i="3315" s="1"/>
  <c r="N1081" i="3315"/>
  <c r="V1081" i="3315" s="1"/>
  <c r="N1057" i="3315"/>
  <c r="V1057" i="3315" s="1"/>
  <c r="N1158" i="3315"/>
  <c r="M1162" i="3315"/>
  <c r="N1115" i="3315"/>
  <c r="V1115" i="3315" s="1"/>
  <c r="N1161" i="3315"/>
  <c r="V1161" i="3315" s="1"/>
  <c r="N1079" i="3315"/>
  <c r="V1079" i="3315" s="1"/>
  <c r="N1129" i="3315"/>
  <c r="V1129" i="3315" s="1"/>
  <c r="N1121" i="3315"/>
  <c r="V1121" i="3315" s="1"/>
  <c r="N1130" i="3315"/>
  <c r="V1130" i="3315" s="1"/>
  <c r="N1076" i="3315"/>
  <c r="V1076" i="3315" s="1"/>
  <c r="X575" i="3315" l="1"/>
  <c r="I1050" i="3315"/>
  <c r="W1117" i="3315"/>
  <c r="W606" i="3315"/>
  <c r="W369" i="3315"/>
  <c r="W937" i="3315"/>
  <c r="W945" i="3315"/>
  <c r="W249" i="3315"/>
  <c r="W1239" i="3315"/>
  <c r="W748" i="3315"/>
  <c r="W1030" i="3315"/>
  <c r="W990" i="3315"/>
  <c r="W194" i="3315"/>
  <c r="W679" i="3315"/>
  <c r="W328" i="3315"/>
  <c r="W1039" i="3315"/>
  <c r="W487" i="3315"/>
  <c r="W901" i="3315"/>
  <c r="W1115" i="3315"/>
  <c r="W409" i="3315"/>
  <c r="W669" i="3315"/>
  <c r="W1033" i="3315"/>
  <c r="W522" i="3315"/>
  <c r="W259" i="3315"/>
  <c r="W714" i="3315"/>
  <c r="W178" i="3315"/>
  <c r="W255" i="3315"/>
  <c r="W525" i="3315"/>
  <c r="W550" i="3315"/>
  <c r="W208" i="3315"/>
  <c r="W1160" i="3315"/>
  <c r="W802" i="3315"/>
  <c r="W890" i="3315"/>
  <c r="W184" i="3315"/>
  <c r="W185" i="3315"/>
  <c r="W375" i="3315"/>
  <c r="W216" i="3315"/>
  <c r="W878" i="3315"/>
  <c r="W261" i="3315"/>
  <c r="W1134" i="3315"/>
  <c r="I1156" i="3315"/>
  <c r="W1243" i="3315"/>
  <c r="W853" i="3315"/>
  <c r="W729" i="3315"/>
  <c r="W722" i="3315"/>
  <c r="W373" i="3315"/>
  <c r="W417" i="3315"/>
  <c r="W281" i="3315"/>
  <c r="W840" i="3315"/>
  <c r="W493" i="3315"/>
  <c r="W692" i="3315"/>
  <c r="W1135" i="3315"/>
  <c r="W777" i="3315"/>
  <c r="W228" i="3315"/>
  <c r="W847" i="3315"/>
  <c r="W886" i="3315"/>
  <c r="W1145" i="3315"/>
  <c r="W1064" i="3315"/>
  <c r="W910" i="3315"/>
  <c r="W327" i="3315"/>
  <c r="W181" i="3315"/>
  <c r="W273" i="3315"/>
  <c r="W936" i="3315"/>
  <c r="W931" i="3315"/>
  <c r="W76" i="3315"/>
  <c r="W289" i="3315"/>
  <c r="W616" i="3315"/>
  <c r="W180" i="3315"/>
  <c r="W1077" i="3315"/>
  <c r="W999" i="3315"/>
  <c r="W77" i="3315"/>
  <c r="W809" i="3315"/>
  <c r="W739" i="3315"/>
  <c r="W707" i="3315"/>
  <c r="W891" i="3315"/>
  <c r="W448" i="3315"/>
  <c r="W779" i="3315"/>
  <c r="W1060" i="3315"/>
  <c r="U585" i="3315"/>
  <c r="AF439" i="3315"/>
  <c r="AF461" i="3315"/>
  <c r="AF1055" i="3315"/>
  <c r="U1055" i="3315"/>
  <c r="X1055" i="3315" s="1"/>
  <c r="AF1152" i="3315"/>
  <c r="U1152" i="3315"/>
  <c r="X1152" i="3315" s="1"/>
  <c r="U1108" i="3315"/>
  <c r="AF1108" i="3315"/>
  <c r="AF1056" i="3315"/>
  <c r="U1056" i="3315"/>
  <c r="X1056" i="3315" s="1"/>
  <c r="U966" i="3315"/>
  <c r="U973" i="3315" s="1"/>
  <c r="U353" i="3315"/>
  <c r="U331" i="3315"/>
  <c r="U461" i="3315"/>
  <c r="AF1145" i="3315"/>
  <c r="U1145" i="3315"/>
  <c r="AF1122" i="3315"/>
  <c r="U1122" i="3315"/>
  <c r="X1122" i="3315" s="1"/>
  <c r="U1061" i="3315"/>
  <c r="AF1061" i="3315"/>
  <c r="AF1098" i="3315"/>
  <c r="U1098" i="3315"/>
  <c r="AF1080" i="3315"/>
  <c r="U1080" i="3315"/>
  <c r="X1080" i="3315" s="1"/>
  <c r="AF1143" i="3315"/>
  <c r="U1143" i="3315"/>
  <c r="X1143" i="3315" s="1"/>
  <c r="AF1115" i="3315"/>
  <c r="U1115" i="3315"/>
  <c r="AF1250" i="3315"/>
  <c r="AF1097" i="3315"/>
  <c r="U1097" i="3315"/>
  <c r="X1097" i="3315" s="1"/>
  <c r="AF1110" i="3315"/>
  <c r="U1110" i="3315"/>
  <c r="X1110" i="3315" s="1"/>
  <c r="AF1130" i="3315"/>
  <c r="U1130" i="3315"/>
  <c r="J1147" i="3315"/>
  <c r="AF1141" i="3315"/>
  <c r="U1141" i="3315"/>
  <c r="AF966" i="3315"/>
  <c r="AF973" i="3315" s="1"/>
  <c r="AF1048" i="3315"/>
  <c r="AF1049" i="3315" s="1"/>
  <c r="AG590" i="3315"/>
  <c r="AG1050" i="3315" s="1"/>
  <c r="U1062" i="3315"/>
  <c r="AF1062" i="3315"/>
  <c r="AF1116" i="3315"/>
  <c r="U1116" i="3315"/>
  <c r="X1116" i="3315" s="1"/>
  <c r="AF1071" i="3315"/>
  <c r="U1071" i="3315"/>
  <c r="X1071" i="3315" s="1"/>
  <c r="U1144" i="3315"/>
  <c r="AF1144" i="3315"/>
  <c r="AF1059" i="3315"/>
  <c r="U1059" i="3315"/>
  <c r="AF1079" i="3315"/>
  <c r="U1079" i="3315"/>
  <c r="AF1142" i="3315"/>
  <c r="U1142" i="3315"/>
  <c r="X1142" i="3315" s="1"/>
  <c r="AF1105" i="3315"/>
  <c r="U1105" i="3315"/>
  <c r="AF1154" i="3315"/>
  <c r="U1154" i="3315"/>
  <c r="AF1117" i="3315"/>
  <c r="U1117" i="3315"/>
  <c r="U1114" i="3315"/>
  <c r="X1114" i="3315" s="1"/>
  <c r="AF1114" i="3315"/>
  <c r="AF1054" i="3315"/>
  <c r="U1054" i="3315"/>
  <c r="X1054" i="3315" s="1"/>
  <c r="U567" i="3315"/>
  <c r="AF1124" i="3315"/>
  <c r="U1124" i="3315"/>
  <c r="X1124" i="3315" s="1"/>
  <c r="AG1138" i="3315"/>
  <c r="AF1101" i="3315"/>
  <c r="U1101" i="3315"/>
  <c r="AG1147" i="3315"/>
  <c r="AG1148" i="3315" s="1"/>
  <c r="U57" i="3315"/>
  <c r="AF1057" i="3315"/>
  <c r="U1057" i="3315"/>
  <c r="AF1150" i="3315"/>
  <c r="U1150" i="3315"/>
  <c r="J1155" i="3315"/>
  <c r="AF1070" i="3315"/>
  <c r="U1070" i="3315"/>
  <c r="X1070" i="3315" s="1"/>
  <c r="AF1136" i="3315"/>
  <c r="U1136" i="3315"/>
  <c r="X1136" i="3315" s="1"/>
  <c r="U1161" i="3315"/>
  <c r="X1161" i="3315" s="1"/>
  <c r="AF1161" i="3315"/>
  <c r="AF1096" i="3315"/>
  <c r="U1096" i="3315"/>
  <c r="X1096" i="3315" s="1"/>
  <c r="AF1053" i="3315"/>
  <c r="J1091" i="3315"/>
  <c r="U1053" i="3315"/>
  <c r="AF1085" i="3315"/>
  <c r="U1085" i="3315"/>
  <c r="X1085" i="3315" s="1"/>
  <c r="AF1099" i="3315"/>
  <c r="U1099" i="3315"/>
  <c r="U385" i="3315"/>
  <c r="AG1049" i="3315"/>
  <c r="Q1156" i="3315"/>
  <c r="AF132" i="3315"/>
  <c r="U1131" i="3315"/>
  <c r="AF1131" i="3315"/>
  <c r="U1087" i="3315"/>
  <c r="AF1087" i="3315"/>
  <c r="U1068" i="3315"/>
  <c r="X1068" i="3315" s="1"/>
  <c r="AF1068" i="3315"/>
  <c r="AF1146" i="3315"/>
  <c r="U1146" i="3315"/>
  <c r="X1146" i="3315" s="1"/>
  <c r="U1137" i="3315"/>
  <c r="X1137" i="3315" s="1"/>
  <c r="AF1137" i="3315"/>
  <c r="U1133" i="3315"/>
  <c r="X1133" i="3315" s="1"/>
  <c r="AF1133" i="3315"/>
  <c r="AF1060" i="3315"/>
  <c r="U1060" i="3315"/>
  <c r="U1250" i="3315"/>
  <c r="U1253" i="3315" s="1"/>
  <c r="AF1106" i="3315"/>
  <c r="U1106" i="3315"/>
  <c r="U1159" i="3315"/>
  <c r="X1159" i="3315" s="1"/>
  <c r="AF1159" i="3315"/>
  <c r="J590" i="3315"/>
  <c r="U1095" i="3315"/>
  <c r="X1095" i="3315" s="1"/>
  <c r="AF1095" i="3315"/>
  <c r="U1065" i="3315"/>
  <c r="X1065" i="3315" s="1"/>
  <c r="AF1065" i="3315"/>
  <c r="U1048" i="3315"/>
  <c r="U1049" i="3315" s="1"/>
  <c r="AF57" i="3315"/>
  <c r="AF353" i="3315"/>
  <c r="U1102" i="3315"/>
  <c r="X1102" i="3315" s="1"/>
  <c r="AF1102" i="3315"/>
  <c r="U1121" i="3315"/>
  <c r="AF1121" i="3315"/>
  <c r="AF1063" i="3315"/>
  <c r="U1063" i="3315"/>
  <c r="X1063" i="3315" s="1"/>
  <c r="AF1112" i="3315"/>
  <c r="U1112" i="3315"/>
  <c r="X1112" i="3315" s="1"/>
  <c r="AG1162" i="3315"/>
  <c r="AF331" i="3315"/>
  <c r="U1125" i="3315"/>
  <c r="X1125" i="3315" s="1"/>
  <c r="AF1125" i="3315"/>
  <c r="AG1155" i="3315"/>
  <c r="AG1156" i="3315" s="1"/>
  <c r="U1151" i="3315"/>
  <c r="AF1151" i="3315"/>
  <c r="AF1086" i="3315"/>
  <c r="U1086" i="3315"/>
  <c r="X1086" i="3315" s="1"/>
  <c r="AF1103" i="3315"/>
  <c r="U1103" i="3315"/>
  <c r="X1103" i="3315" s="1"/>
  <c r="U1082" i="3315"/>
  <c r="X1082" i="3315" s="1"/>
  <c r="AF1082" i="3315"/>
  <c r="AF1088" i="3315"/>
  <c r="U1088" i="3315"/>
  <c r="X1088" i="3315" s="1"/>
  <c r="AG1091" i="3315"/>
  <c r="AF1081" i="3315"/>
  <c r="U1081" i="3315"/>
  <c r="X1081" i="3315" s="1"/>
  <c r="U1135" i="3315"/>
  <c r="AF1135" i="3315"/>
  <c r="J1138" i="3315"/>
  <c r="AF1094" i="3315"/>
  <c r="U1094" i="3315"/>
  <c r="AF1111" i="3315"/>
  <c r="U1111" i="3315"/>
  <c r="U1107" i="3315"/>
  <c r="AF1107" i="3315"/>
  <c r="AF1067" i="3315"/>
  <c r="U1067" i="3315"/>
  <c r="U1153" i="3315"/>
  <c r="X1153" i="3315" s="1"/>
  <c r="AF1153" i="3315"/>
  <c r="U1123" i="3315"/>
  <c r="AF1123" i="3315"/>
  <c r="U1074" i="3315"/>
  <c r="X1074" i="3315" s="1"/>
  <c r="AF1074" i="3315"/>
  <c r="AF309" i="3315"/>
  <c r="AF1077" i="3315"/>
  <c r="U1077" i="3315"/>
  <c r="U1134" i="3315"/>
  <c r="AF1134" i="3315"/>
  <c r="U1084" i="3315"/>
  <c r="X1084" i="3315" s="1"/>
  <c r="AF1084" i="3315"/>
  <c r="AF1069" i="3315"/>
  <c r="U1069" i="3315"/>
  <c r="X1069" i="3315" s="1"/>
  <c r="I1163" i="3315"/>
  <c r="I1164" i="3315"/>
  <c r="AF385" i="3315"/>
  <c r="U439" i="3315"/>
  <c r="U132" i="3315"/>
  <c r="AF1073" i="3315"/>
  <c r="U1073" i="3315"/>
  <c r="X1073" i="3315" s="1"/>
  <c r="AF1089" i="3315"/>
  <c r="U1089" i="3315"/>
  <c r="U1104" i="3315"/>
  <c r="X1104" i="3315" s="1"/>
  <c r="AF1104" i="3315"/>
  <c r="AF1119" i="3315"/>
  <c r="U1119" i="3315"/>
  <c r="X1119" i="3315" s="1"/>
  <c r="AF1113" i="3315"/>
  <c r="U1113" i="3315"/>
  <c r="X1113" i="3315" s="1"/>
  <c r="AF1118" i="3315"/>
  <c r="U1118" i="3315"/>
  <c r="AF1083" i="3315"/>
  <c r="U1083" i="3315"/>
  <c r="X1083" i="3315" s="1"/>
  <c r="J1253" i="3315"/>
  <c r="U309" i="3315"/>
  <c r="U1129" i="3315"/>
  <c r="X1129" i="3315" s="1"/>
  <c r="AF1129" i="3315"/>
  <c r="AF585" i="3315"/>
  <c r="U1078" i="3315"/>
  <c r="X1078" i="3315" s="1"/>
  <c r="AF1078" i="3315"/>
  <c r="AF1100" i="3315"/>
  <c r="U1100" i="3315"/>
  <c r="AF1132" i="3315"/>
  <c r="U1132" i="3315"/>
  <c r="X1132" i="3315" s="1"/>
  <c r="U1072" i="3315"/>
  <c r="X1072" i="3315" s="1"/>
  <c r="AF1072" i="3315"/>
  <c r="I1148" i="3315"/>
  <c r="AF1128" i="3315"/>
  <c r="U1128" i="3315"/>
  <c r="AG1253" i="3315"/>
  <c r="U1075" i="3315"/>
  <c r="X1075" i="3315" s="1"/>
  <c r="AF1075" i="3315"/>
  <c r="AF1090" i="3315"/>
  <c r="U1090" i="3315"/>
  <c r="AF1126" i="3315"/>
  <c r="U1126" i="3315"/>
  <c r="X1126" i="3315" s="1"/>
  <c r="AF1120" i="3315"/>
  <c r="U1120" i="3315"/>
  <c r="X1120" i="3315" s="1"/>
  <c r="U1064" i="3315"/>
  <c r="AF1064" i="3315"/>
  <c r="U1066" i="3315"/>
  <c r="X1066" i="3315" s="1"/>
  <c r="AF1066" i="3315"/>
  <c r="AF1158" i="3315"/>
  <c r="J1162" i="3315"/>
  <c r="J1163" i="3315" s="1"/>
  <c r="U1158" i="3315"/>
  <c r="AF1160" i="3315"/>
  <c r="U1160" i="3315"/>
  <c r="AF567" i="3315"/>
  <c r="AF1058" i="3315"/>
  <c r="U1058" i="3315"/>
  <c r="X1058" i="3315" s="1"/>
  <c r="AF1127" i="3315"/>
  <c r="U1127" i="3315"/>
  <c r="AF1109" i="3315"/>
  <c r="U1109" i="3315"/>
  <c r="X1109" i="3315" s="1"/>
  <c r="AF1076" i="3315"/>
  <c r="U1076" i="3315"/>
  <c r="X1076" i="3315" s="1"/>
  <c r="W601" i="3315"/>
  <c r="W451" i="3315"/>
  <c r="W646" i="3315"/>
  <c r="W521" i="3315"/>
  <c r="W678" i="3315"/>
  <c r="W1213" i="3315"/>
  <c r="W717" i="3315"/>
  <c r="W1191" i="3315"/>
  <c r="R461" i="3315"/>
  <c r="W442" i="3315"/>
  <c r="W737" i="3315"/>
  <c r="W658" i="3315"/>
  <c r="W496" i="3315"/>
  <c r="W782" i="3315"/>
  <c r="W337" i="3315"/>
  <c r="W976" i="3315"/>
  <c r="R1048" i="3315"/>
  <c r="W1059" i="3315"/>
  <c r="W1144" i="3315"/>
  <c r="W911" i="3315"/>
  <c r="W850" i="3315"/>
  <c r="W946" i="3315"/>
  <c r="W253" i="3315"/>
  <c r="W928" i="3315"/>
  <c r="W709" i="3315"/>
  <c r="W298" i="3315"/>
  <c r="W413" i="3315"/>
  <c r="W457" i="3315"/>
  <c r="W399" i="3315"/>
  <c r="W291" i="3315"/>
  <c r="W666" i="3315"/>
  <c r="R132" i="3315"/>
  <c r="W60" i="3315"/>
  <c r="W158" i="3315"/>
  <c r="W1128" i="3315"/>
  <c r="W539" i="3315"/>
  <c r="W851" i="3315"/>
  <c r="W1227" i="3315"/>
  <c r="W1181" i="3315"/>
  <c r="W221" i="3315"/>
  <c r="W621" i="3315"/>
  <c r="W206" i="3315"/>
  <c r="W173" i="3315"/>
  <c r="W202" i="3315"/>
  <c r="W95" i="3315"/>
  <c r="W169" i="3315"/>
  <c r="W712" i="3315"/>
  <c r="W472" i="3315"/>
  <c r="W51" i="3315"/>
  <c r="W682" i="3315"/>
  <c r="W1107" i="3315"/>
  <c r="W1099" i="3315"/>
  <c r="W1210" i="3315"/>
  <c r="W943" i="3315"/>
  <c r="W74" i="3315"/>
  <c r="W264" i="3315"/>
  <c r="W648" i="3315"/>
  <c r="W614" i="3315"/>
  <c r="W46" i="3315"/>
  <c r="W1234" i="3315"/>
  <c r="W799" i="3315"/>
  <c r="W920" i="3315"/>
  <c r="W927" i="3315"/>
  <c r="W125" i="3315"/>
  <c r="W888" i="3315"/>
  <c r="W307" i="3315"/>
  <c r="W252" i="3315"/>
  <c r="W203" i="3315"/>
  <c r="W1067" i="3315"/>
  <c r="W1061" i="3315"/>
  <c r="W849" i="3315"/>
  <c r="W1237" i="3315"/>
  <c r="W1028" i="3315"/>
  <c r="W645" i="3315"/>
  <c r="W1240" i="3315"/>
  <c r="W161" i="3315"/>
  <c r="W762" i="3315"/>
  <c r="W85" i="3315"/>
  <c r="W45" i="3315"/>
  <c r="W50" i="3315"/>
  <c r="W84" i="3315"/>
  <c r="W279" i="3315"/>
  <c r="W706" i="3315"/>
  <c r="W488" i="3315"/>
  <c r="W1100" i="3315"/>
  <c r="W100" i="3315"/>
  <c r="W450" i="3315"/>
  <c r="W366" i="3315"/>
  <c r="W552" i="3315"/>
  <c r="W581" i="3315"/>
  <c r="W1193" i="3315"/>
  <c r="W93" i="3315"/>
  <c r="W70" i="3315"/>
  <c r="W771" i="3315"/>
  <c r="W244" i="3315"/>
  <c r="Q590" i="3315"/>
  <c r="W166" i="3315"/>
  <c r="W940" i="3315"/>
  <c r="W159" i="3315"/>
  <c r="W1062" i="3315"/>
  <c r="W1053" i="3315"/>
  <c r="R1091" i="3315"/>
  <c r="W797" i="3315"/>
  <c r="W724" i="3315"/>
  <c r="W1013" i="3315"/>
  <c r="W925" i="3315"/>
  <c r="W499" i="3315"/>
  <c r="W981" i="3315"/>
  <c r="W364" i="3315"/>
  <c r="W935" i="3315"/>
  <c r="W187" i="3315"/>
  <c r="W470" i="3315"/>
  <c r="W1042" i="3315"/>
  <c r="W294" i="3315"/>
  <c r="W154" i="3315"/>
  <c r="W627" i="3315"/>
  <c r="W239" i="3315"/>
  <c r="W1118" i="3315"/>
  <c r="W1127" i="3315"/>
  <c r="W103" i="3315"/>
  <c r="W1023" i="3315"/>
  <c r="W415" i="3315"/>
  <c r="W693" i="3315"/>
  <c r="W894" i="3315"/>
  <c r="W114" i="3315"/>
  <c r="W860" i="3315"/>
  <c r="W211" i="3315"/>
  <c r="W899" i="3315"/>
  <c r="W83" i="3315"/>
  <c r="W870" i="3315"/>
  <c r="W713" i="3315"/>
  <c r="W548" i="3315"/>
  <c r="W582" i="3315"/>
  <c r="W151" i="3315"/>
  <c r="W527" i="3315"/>
  <c r="W1224" i="3315"/>
  <c r="W1098" i="3315"/>
  <c r="Q1148" i="3315"/>
  <c r="W942" i="3315"/>
  <c r="W720" i="3315"/>
  <c r="W72" i="3315"/>
  <c r="W52" i="3315"/>
  <c r="W232" i="3315"/>
  <c r="W1001" i="3315"/>
  <c r="W299" i="3315"/>
  <c r="W1231" i="3315"/>
  <c r="W671" i="3315"/>
  <c r="W1204" i="3315"/>
  <c r="W950" i="3315"/>
  <c r="W147" i="3315"/>
  <c r="W998" i="3315"/>
  <c r="W235" i="3315"/>
  <c r="R1155" i="3315"/>
  <c r="W1150" i="3315"/>
  <c r="W1090" i="3315"/>
  <c r="W1079" i="3315"/>
  <c r="W1108" i="3315"/>
  <c r="W892" i="3315"/>
  <c r="W1045" i="3315"/>
  <c r="W551" i="3315"/>
  <c r="W893" i="3315"/>
  <c r="W749" i="3315"/>
  <c r="W805" i="3315"/>
  <c r="W276" i="3315"/>
  <c r="W819" i="3315"/>
  <c r="W113" i="3315"/>
  <c r="W526" i="3315"/>
  <c r="W570" i="3315"/>
  <c r="R585" i="3315"/>
  <c r="W716" i="3315"/>
  <c r="W263" i="3315"/>
  <c r="W250" i="3315"/>
  <c r="W201" i="3315"/>
  <c r="W1131" i="3315"/>
  <c r="W474" i="3315"/>
  <c r="W774" i="3315"/>
  <c r="W730" i="3315"/>
  <c r="W815" i="3315"/>
  <c r="W431" i="3315"/>
  <c r="W1187" i="3315"/>
  <c r="W44" i="3315"/>
  <c r="W922" i="3315"/>
  <c r="W347" i="3315"/>
  <c r="W933" i="3315"/>
  <c r="W426" i="3315"/>
  <c r="W269" i="3315"/>
  <c r="W641" i="3315"/>
  <c r="W1015" i="3315"/>
  <c r="W659" i="3315"/>
  <c r="W1121" i="3315"/>
  <c r="W1130" i="3315"/>
  <c r="W897" i="3315"/>
  <c r="W1246" i="3315"/>
  <c r="W602" i="3315"/>
  <c r="W400" i="3315"/>
  <c r="W1011" i="3315"/>
  <c r="W780" i="3315"/>
  <c r="W226" i="3315"/>
  <c r="W192" i="3315"/>
  <c r="W101" i="3315"/>
  <c r="W111" i="3315"/>
  <c r="W701" i="3315"/>
  <c r="W718" i="3315"/>
  <c r="W305" i="3315"/>
  <c r="W866" i="3315"/>
  <c r="W453" i="3315"/>
  <c r="W1057" i="3315"/>
  <c r="Q1163" i="3315"/>
  <c r="Q1164" i="3315"/>
  <c r="W1106" i="3315"/>
  <c r="W1111" i="3315"/>
  <c r="W66" i="3315"/>
  <c r="W747" i="3315"/>
  <c r="W876" i="3315"/>
  <c r="W107" i="3315"/>
  <c r="W65" i="3315"/>
  <c r="W404" i="3315"/>
  <c r="W1236" i="3315"/>
  <c r="W64" i="3315"/>
  <c r="W623" i="3315"/>
  <c r="W190" i="3315"/>
  <c r="W152" i="3315"/>
  <c r="W689" i="3315"/>
  <c r="W280" i="3315"/>
  <c r="Q1049" i="3315"/>
  <c r="W1101" i="3315"/>
  <c r="W1105" i="3315"/>
  <c r="W533" i="3315"/>
  <c r="W798" i="3315"/>
  <c r="W1219" i="3315"/>
  <c r="W697" i="3315"/>
  <c r="W157" i="3315"/>
  <c r="W225" i="3315"/>
  <c r="W444" i="3315"/>
  <c r="W136" i="3315"/>
  <c r="W329" i="3315"/>
  <c r="W156" i="3315"/>
  <c r="W69" i="3315"/>
  <c r="W734" i="3315"/>
  <c r="W139" i="3315"/>
  <c r="W808" i="3315"/>
  <c r="W1151" i="3315"/>
  <c r="W760" i="3315"/>
  <c r="W1241" i="3315"/>
  <c r="W915" i="3315"/>
  <c r="W750" i="3315"/>
  <c r="W708" i="3315"/>
  <c r="W796" i="3315"/>
  <c r="W129" i="3315"/>
  <c r="W900" i="3315"/>
  <c r="W647" i="3315"/>
  <c r="W71" i="3315"/>
  <c r="W836" i="3315"/>
  <c r="W615" i="3315"/>
  <c r="W153" i="3315"/>
  <c r="W657" i="3315"/>
  <c r="W1154" i="3315"/>
  <c r="W1123" i="3315"/>
  <c r="W62" i="3315"/>
  <c r="W764" i="3315"/>
  <c r="W948" i="3315"/>
  <c r="W242" i="3315"/>
  <c r="W783" i="3315"/>
  <c r="W790" i="3315"/>
  <c r="W102" i="3315"/>
  <c r="W1232" i="3315"/>
  <c r="W863" i="3315"/>
  <c r="W149" i="3315"/>
  <c r="W123" i="3315"/>
  <c r="W349" i="3315"/>
  <c r="W580" i="3315"/>
  <c r="W324" i="3315"/>
  <c r="W163" i="3315"/>
  <c r="W1087" i="3315"/>
  <c r="W1089" i="3315"/>
  <c r="W437" i="3315"/>
  <c r="R567" i="3315"/>
  <c r="W465" i="3315"/>
  <c r="R309" i="3315"/>
  <c r="W135" i="3315"/>
  <c r="W1179" i="3315"/>
  <c r="R1250" i="3315"/>
  <c r="Q973" i="3315"/>
  <c r="R353" i="3315"/>
  <c r="W334" i="3315"/>
  <c r="W1094" i="3315"/>
  <c r="R1138" i="3315"/>
  <c r="R966" i="3315"/>
  <c r="W594" i="3315"/>
  <c r="W43" i="3315"/>
  <c r="R57" i="3315"/>
  <c r="W312" i="3315"/>
  <c r="R331" i="3315"/>
  <c r="R439" i="3315"/>
  <c r="W389" i="3315"/>
  <c r="W356" i="3315"/>
  <c r="R385" i="3315"/>
  <c r="R1162" i="3315"/>
  <c r="R1163" i="3315" s="1"/>
  <c r="W1158" i="3315"/>
  <c r="R1147" i="3315"/>
  <c r="R1148" i="3315" s="1"/>
  <c r="W1141" i="3315"/>
  <c r="M1163" i="3315"/>
  <c r="M1164" i="3315"/>
  <c r="N337" i="3315"/>
  <c r="V337" i="3315" s="1"/>
  <c r="N490" i="3315"/>
  <c r="V490" i="3315" s="1"/>
  <c r="X490" i="3315" s="1"/>
  <c r="N165" i="3315"/>
  <c r="V165" i="3315" s="1"/>
  <c r="X165" i="3315" s="1"/>
  <c r="N842" i="3315"/>
  <c r="V842" i="3315" s="1"/>
  <c r="X842" i="3315" s="1"/>
  <c r="N910" i="3315"/>
  <c r="V910" i="3315" s="1"/>
  <c r="N435" i="3315"/>
  <c r="V435" i="3315" s="1"/>
  <c r="X435" i="3315" s="1"/>
  <c r="N496" i="3315"/>
  <c r="V496" i="3315" s="1"/>
  <c r="N307" i="3315"/>
  <c r="N476" i="3315"/>
  <c r="V476" i="3315" s="1"/>
  <c r="X476" i="3315" s="1"/>
  <c r="N289" i="3315"/>
  <c r="V289" i="3315" s="1"/>
  <c r="N1217" i="3315"/>
  <c r="V1217" i="3315" s="1"/>
  <c r="X1217" i="3315" s="1"/>
  <c r="N437" i="3315"/>
  <c r="V437" i="3315" s="1"/>
  <c r="N430" i="3315"/>
  <c r="N901" i="3315"/>
  <c r="V901" i="3315" s="1"/>
  <c r="N947" i="3315"/>
  <c r="V947" i="3315" s="1"/>
  <c r="X947" i="3315" s="1"/>
  <c r="N55" i="3315"/>
  <c r="V55" i="3315" s="1"/>
  <c r="X55" i="3315" s="1"/>
  <c r="N340" i="3315"/>
  <c r="V340" i="3315" s="1"/>
  <c r="X340" i="3315" s="1"/>
  <c r="N260" i="3315"/>
  <c r="V260" i="3315" s="1"/>
  <c r="X260" i="3315" s="1"/>
  <c r="N945" i="3315"/>
  <c r="V945" i="3315" s="1"/>
  <c r="N499" i="3315"/>
  <c r="V499" i="3315" s="1"/>
  <c r="N1213" i="3315"/>
  <c r="V1213" i="3315" s="1"/>
  <c r="N380" i="3315"/>
  <c r="V380" i="3315" s="1"/>
  <c r="X380" i="3315" s="1"/>
  <c r="N737" i="3315"/>
  <c r="V737" i="3315" s="1"/>
  <c r="N730" i="3315"/>
  <c r="V730" i="3315" s="1"/>
  <c r="N898" i="3315"/>
  <c r="N249" i="3315"/>
  <c r="V249" i="3315" s="1"/>
  <c r="N1017" i="3315"/>
  <c r="V1017" i="3315" s="1"/>
  <c r="X1017" i="3315" s="1"/>
  <c r="N293" i="3315"/>
  <c r="V293" i="3315" s="1"/>
  <c r="X293" i="3315" s="1"/>
  <c r="N579" i="3315"/>
  <c r="V579" i="3315" s="1"/>
  <c r="X579" i="3315" s="1"/>
  <c r="N421" i="3315"/>
  <c r="V421" i="3315" s="1"/>
  <c r="X421" i="3315" s="1"/>
  <c r="N955" i="3315"/>
  <c r="V955" i="3315" s="1"/>
  <c r="X955" i="3315" s="1"/>
  <c r="N1242" i="3315"/>
  <c r="V1242" i="3315" s="1"/>
  <c r="X1242" i="3315" s="1"/>
  <c r="N940" i="3315"/>
  <c r="V940" i="3315" s="1"/>
  <c r="N540" i="3315"/>
  <c r="V540" i="3315" s="1"/>
  <c r="X540" i="3315" s="1"/>
  <c r="N720" i="3315"/>
  <c r="V720" i="3315" s="1"/>
  <c r="N873" i="3315"/>
  <c r="V873" i="3315" s="1"/>
  <c r="X873" i="3315" s="1"/>
  <c r="N256" i="3315"/>
  <c r="V256" i="3315" s="1"/>
  <c r="X256" i="3315" s="1"/>
  <c r="N577" i="3315"/>
  <c r="V577" i="3315" s="1"/>
  <c r="X577" i="3315" s="1"/>
  <c r="M57" i="3315"/>
  <c r="N43" i="3315"/>
  <c r="N785" i="3315"/>
  <c r="V785" i="3315" s="1"/>
  <c r="X785" i="3315" s="1"/>
  <c r="N821" i="3315"/>
  <c r="V821" i="3315" s="1"/>
  <c r="X821" i="3315" s="1"/>
  <c r="N110" i="3315"/>
  <c r="V110" i="3315" s="1"/>
  <c r="X110" i="3315" s="1"/>
  <c r="N1039" i="3315"/>
  <c r="N234" i="3315"/>
  <c r="V234" i="3315" s="1"/>
  <c r="X234" i="3315" s="1"/>
  <c r="M1250" i="3315"/>
  <c r="M1251" i="3315" s="1"/>
  <c r="N1179" i="3315"/>
  <c r="N860" i="3315"/>
  <c r="V860" i="3315" s="1"/>
  <c r="N208" i="3315"/>
  <c r="V208" i="3315" s="1"/>
  <c r="N872" i="3315"/>
  <c r="V872" i="3315" s="1"/>
  <c r="X872" i="3315" s="1"/>
  <c r="N826" i="3315"/>
  <c r="V826" i="3315" s="1"/>
  <c r="X826" i="3315" s="1"/>
  <c r="N837" i="3315"/>
  <c r="V837" i="3315" s="1"/>
  <c r="X837" i="3315" s="1"/>
  <c r="N406" i="3315"/>
  <c r="M585" i="3315"/>
  <c r="N570" i="3315"/>
  <c r="N209" i="3315"/>
  <c r="V209" i="3315" s="1"/>
  <c r="X209" i="3315" s="1"/>
  <c r="N382" i="3315"/>
  <c r="V382" i="3315" s="1"/>
  <c r="X382" i="3315" s="1"/>
  <c r="N1188" i="3315"/>
  <c r="V1188" i="3315" s="1"/>
  <c r="X1188" i="3315" s="1"/>
  <c r="N609" i="3315"/>
  <c r="N606" i="3315"/>
  <c r="V606" i="3315" s="1"/>
  <c r="N343" i="3315"/>
  <c r="V343" i="3315" s="1"/>
  <c r="X343" i="3315" s="1"/>
  <c r="N776" i="3315"/>
  <c r="V776" i="3315" s="1"/>
  <c r="X776" i="3315" s="1"/>
  <c r="N300" i="3315"/>
  <c r="N434" i="3315"/>
  <c r="V434" i="3315" s="1"/>
  <c r="X434" i="3315" s="1"/>
  <c r="N297" i="3315"/>
  <c r="N454" i="3315"/>
  <c r="V454" i="3315" s="1"/>
  <c r="X454" i="3315" s="1"/>
  <c r="N1226" i="3315"/>
  <c r="V1226" i="3315" s="1"/>
  <c r="X1226" i="3315" s="1"/>
  <c r="N433" i="3315"/>
  <c r="V433" i="3315" s="1"/>
  <c r="X433" i="3315" s="1"/>
  <c r="N170" i="3315"/>
  <c r="V170" i="3315" s="1"/>
  <c r="X170" i="3315" s="1"/>
  <c r="N599" i="3315"/>
  <c r="V599" i="3315" s="1"/>
  <c r="X599" i="3315" s="1"/>
  <c r="N157" i="3315"/>
  <c r="N1008" i="3315"/>
  <c r="V1008" i="3315" s="1"/>
  <c r="X1008" i="3315" s="1"/>
  <c r="N426" i="3315"/>
  <c r="V426" i="3315" s="1"/>
  <c r="N264" i="3315"/>
  <c r="V264" i="3315" s="1"/>
  <c r="N630" i="3315"/>
  <c r="V630" i="3315" s="1"/>
  <c r="X630" i="3315" s="1"/>
  <c r="N431" i="3315"/>
  <c r="V431" i="3315" s="1"/>
  <c r="N786" i="3315"/>
  <c r="V786" i="3315" s="1"/>
  <c r="X786" i="3315" s="1"/>
  <c r="N322" i="3315"/>
  <c r="V322" i="3315" s="1"/>
  <c r="X322" i="3315" s="1"/>
  <c r="N984" i="3315"/>
  <c r="N1227" i="3315"/>
  <c r="V1227" i="3315" s="1"/>
  <c r="N598" i="3315"/>
  <c r="V598" i="3315" s="1"/>
  <c r="X598" i="3315" s="1"/>
  <c r="N267" i="3315"/>
  <c r="V267" i="3315" s="1"/>
  <c r="X267" i="3315" s="1"/>
  <c r="N880" i="3315"/>
  <c r="V880" i="3315" s="1"/>
  <c r="X880" i="3315" s="1"/>
  <c r="N161" i="3315"/>
  <c r="N471" i="3315"/>
  <c r="V471" i="3315" s="1"/>
  <c r="X471" i="3315" s="1"/>
  <c r="N400" i="3315"/>
  <c r="V400" i="3315" s="1"/>
  <c r="N673" i="3315"/>
  <c r="N1022" i="3315"/>
  <c r="V1022" i="3315" s="1"/>
  <c r="X1022" i="3315" s="1"/>
  <c r="N619" i="3315"/>
  <c r="N342" i="3315"/>
  <c r="V342" i="3315" s="1"/>
  <c r="X342" i="3315" s="1"/>
  <c r="N283" i="3315"/>
  <c r="V283" i="3315" s="1"/>
  <c r="X283" i="3315" s="1"/>
  <c r="N334" i="3315"/>
  <c r="M353" i="3315"/>
  <c r="N920" i="3315"/>
  <c r="V920" i="3315" s="1"/>
  <c r="N276" i="3315"/>
  <c r="V276" i="3315" s="1"/>
  <c r="N201" i="3315"/>
  <c r="V201" i="3315" s="1"/>
  <c r="N954" i="3315"/>
  <c r="V954" i="3315" s="1"/>
  <c r="X954" i="3315" s="1"/>
  <c r="N247" i="3315"/>
  <c r="V247" i="3315" s="1"/>
  <c r="X247" i="3315" s="1"/>
  <c r="N522" i="3315"/>
  <c r="N1246" i="3315"/>
  <c r="N694" i="3315"/>
  <c r="V694" i="3315" s="1"/>
  <c r="X694" i="3315" s="1"/>
  <c r="N445" i="3315"/>
  <c r="V445" i="3315" s="1"/>
  <c r="X445" i="3315" s="1"/>
  <c r="N112" i="3315"/>
  <c r="V112" i="3315" s="1"/>
  <c r="X112" i="3315" s="1"/>
  <c r="N438" i="3315"/>
  <c r="V438" i="3315" s="1"/>
  <c r="X438" i="3315" s="1"/>
  <c r="N876" i="3315"/>
  <c r="V876" i="3315" s="1"/>
  <c r="N245" i="3315"/>
  <c r="N519" i="3315"/>
  <c r="V519" i="3315" s="1"/>
  <c r="X519" i="3315" s="1"/>
  <c r="N291" i="3315"/>
  <c r="V291" i="3315" s="1"/>
  <c r="N448" i="3315"/>
  <c r="V448" i="3315" s="1"/>
  <c r="N466" i="3315"/>
  <c r="V466" i="3315" s="1"/>
  <c r="X466" i="3315" s="1"/>
  <c r="N895" i="3315"/>
  <c r="N1222" i="3315"/>
  <c r="V1222" i="3315" s="1"/>
  <c r="X1222" i="3315" s="1"/>
  <c r="N761" i="3315"/>
  <c r="V761" i="3315" s="1"/>
  <c r="X761" i="3315" s="1"/>
  <c r="N932" i="3315"/>
  <c r="V932" i="3315" s="1"/>
  <c r="X932" i="3315" s="1"/>
  <c r="N909" i="3315"/>
  <c r="V909" i="3315" s="1"/>
  <c r="X909" i="3315" s="1"/>
  <c r="N635" i="3315"/>
  <c r="N629" i="3315"/>
  <c r="V629" i="3315" s="1"/>
  <c r="X629" i="3315" s="1"/>
  <c r="N290" i="3315"/>
  <c r="N887" i="3315"/>
  <c r="V887" i="3315" s="1"/>
  <c r="X887" i="3315" s="1"/>
  <c r="N733" i="3315"/>
  <c r="V733" i="3315" s="1"/>
  <c r="X733" i="3315" s="1"/>
  <c r="N751" i="3315"/>
  <c r="V751" i="3315" s="1"/>
  <c r="X751" i="3315" s="1"/>
  <c r="N1238" i="3315"/>
  <c r="V1238" i="3315" s="1"/>
  <c r="X1238" i="3315" s="1"/>
  <c r="N528" i="3315"/>
  <c r="V528" i="3315" s="1"/>
  <c r="X528" i="3315" s="1"/>
  <c r="N457" i="3315"/>
  <c r="V457" i="3315" s="1"/>
  <c r="N725" i="3315"/>
  <c r="N410" i="3315"/>
  <c r="V410" i="3315" s="1"/>
  <c r="X410" i="3315" s="1"/>
  <c r="N248" i="3315"/>
  <c r="V248" i="3315" s="1"/>
  <c r="X248" i="3315" s="1"/>
  <c r="N1005" i="3315"/>
  <c r="V1005" i="3315" s="1"/>
  <c r="X1005" i="3315" s="1"/>
  <c r="N550" i="3315"/>
  <c r="V550" i="3315" s="1"/>
  <c r="N223" i="3315"/>
  <c r="V223" i="3315" s="1"/>
  <c r="X223" i="3315" s="1"/>
  <c r="N658" i="3315"/>
  <c r="V658" i="3315" s="1"/>
  <c r="N1234" i="3315"/>
  <c r="V1234" i="3315" s="1"/>
  <c r="N790" i="3315"/>
  <c r="V790" i="3315" s="1"/>
  <c r="N1232" i="3315"/>
  <c r="V1232" i="3315" s="1"/>
  <c r="N681" i="3315"/>
  <c r="V681" i="3315" s="1"/>
  <c r="X681" i="3315" s="1"/>
  <c r="N983" i="3315"/>
  <c r="V983" i="3315" s="1"/>
  <c r="X983" i="3315" s="1"/>
  <c r="N54" i="3315"/>
  <c r="N789" i="3315"/>
  <c r="V789" i="3315" s="1"/>
  <c r="X789" i="3315" s="1"/>
  <c r="N844" i="3315"/>
  <c r="V844" i="3315" s="1"/>
  <c r="X844" i="3315" s="1"/>
  <c r="N1019" i="3315"/>
  <c r="V1019" i="3315" s="1"/>
  <c r="X1019" i="3315" s="1"/>
  <c r="N192" i="3315"/>
  <c r="V192" i="3315" s="1"/>
  <c r="N173" i="3315"/>
  <c r="N235" i="3315"/>
  <c r="V235" i="3315" s="1"/>
  <c r="N637" i="3315"/>
  <c r="N666" i="3315"/>
  <c r="V666" i="3315" s="1"/>
  <c r="N180" i="3315"/>
  <c r="V180" i="3315" s="1"/>
  <c r="N145" i="3315"/>
  <c r="V145" i="3315" s="1"/>
  <c r="X145" i="3315" s="1"/>
  <c r="N992" i="3315"/>
  <c r="V992" i="3315" s="1"/>
  <c r="X992" i="3315" s="1"/>
  <c r="N939" i="3315"/>
  <c r="V939" i="3315" s="1"/>
  <c r="X939" i="3315" s="1"/>
  <c r="N741" i="3315"/>
  <c r="V741" i="3315" s="1"/>
  <c r="X741" i="3315" s="1"/>
  <c r="N555" i="3315"/>
  <c r="V555" i="3315" s="1"/>
  <c r="X555" i="3315" s="1"/>
  <c r="N804" i="3315"/>
  <c r="N684" i="3315"/>
  <c r="V684" i="3315" s="1"/>
  <c r="X684" i="3315" s="1"/>
  <c r="N474" i="3315"/>
  <c r="V474" i="3315" s="1"/>
  <c r="N345" i="3315"/>
  <c r="V345" i="3315" s="1"/>
  <c r="X345" i="3315" s="1"/>
  <c r="N993" i="3315"/>
  <c r="V993" i="3315" s="1"/>
  <c r="X993" i="3315" s="1"/>
  <c r="N143" i="3315"/>
  <c r="V143" i="3315" s="1"/>
  <c r="X143" i="3315" s="1"/>
  <c r="N820" i="3315"/>
  <c r="V820" i="3315" s="1"/>
  <c r="X820" i="3315" s="1"/>
  <c r="N1015" i="3315"/>
  <c r="V1015" i="3315" s="1"/>
  <c r="N698" i="3315"/>
  <c r="N230" i="3315"/>
  <c r="V230" i="3315" s="1"/>
  <c r="X230" i="3315" s="1"/>
  <c r="N478" i="3315"/>
  <c r="V478" i="3315" s="1"/>
  <c r="X478" i="3315" s="1"/>
  <c r="N764" i="3315"/>
  <c r="V764" i="3315" s="1"/>
  <c r="N755" i="3315"/>
  <c r="N627" i="3315"/>
  <c r="V627" i="3315" s="1"/>
  <c r="N100" i="3315"/>
  <c r="V100" i="3315" s="1"/>
  <c r="N646" i="3315"/>
  <c r="V646" i="3315" s="1"/>
  <c r="N840" i="3315"/>
  <c r="N990" i="3315"/>
  <c r="V990" i="3315" s="1"/>
  <c r="N85" i="3315"/>
  <c r="V85" i="3315" s="1"/>
  <c r="N688" i="3315"/>
  <c r="V688" i="3315" s="1"/>
  <c r="X688" i="3315" s="1"/>
  <c r="N547" i="3315"/>
  <c r="V547" i="3315" s="1"/>
  <c r="X547" i="3315" s="1"/>
  <c r="N796" i="3315"/>
  <c r="V796" i="3315" s="1"/>
  <c r="N1018" i="3315"/>
  <c r="V1018" i="3315" s="1"/>
  <c r="X1018" i="3315" s="1"/>
  <c r="N740" i="3315"/>
  <c r="V740" i="3315" s="1"/>
  <c r="X740" i="3315" s="1"/>
  <c r="N349" i="3315"/>
  <c r="N869" i="3315"/>
  <c r="V869" i="3315" s="1"/>
  <c r="X869" i="3315" s="1"/>
  <c r="N175" i="3315"/>
  <c r="V175" i="3315" s="1"/>
  <c r="X175" i="3315" s="1"/>
  <c r="N923" i="3315"/>
  <c r="V923" i="3315" s="1"/>
  <c r="X923" i="3315" s="1"/>
  <c r="N792" i="3315"/>
  <c r="V792" i="3315" s="1"/>
  <c r="X792" i="3315" s="1"/>
  <c r="N724" i="3315"/>
  <c r="V724" i="3315" s="1"/>
  <c r="N262" i="3315"/>
  <c r="V262" i="3315" s="1"/>
  <c r="X262" i="3315" s="1"/>
  <c r="N539" i="3315"/>
  <c r="V539" i="3315" s="1"/>
  <c r="N797" i="3315"/>
  <c r="N788" i="3315"/>
  <c r="V788" i="3315" s="1"/>
  <c r="X788" i="3315" s="1"/>
  <c r="N779" i="3315"/>
  <c r="V779" i="3315" s="1"/>
  <c r="N101" i="3315"/>
  <c r="V101" i="3315" s="1"/>
  <c r="N875" i="3315"/>
  <c r="N926" i="3315"/>
  <c r="V926" i="3315" s="1"/>
  <c r="X926" i="3315" s="1"/>
  <c r="N616" i="3315"/>
  <c r="V616" i="3315" s="1"/>
  <c r="N748" i="3315"/>
  <c r="V748" i="3315" s="1"/>
  <c r="N75" i="3315"/>
  <c r="N424" i="3315"/>
  <c r="V424" i="3315" s="1"/>
  <c r="X424" i="3315" s="1"/>
  <c r="N1233" i="3315"/>
  <c r="V1233" i="3315" s="1"/>
  <c r="X1233" i="3315" s="1"/>
  <c r="N1215" i="3315"/>
  <c r="V1215" i="3315" s="1"/>
  <c r="X1215" i="3315" s="1"/>
  <c r="N677" i="3315"/>
  <c r="V677" i="3315" s="1"/>
  <c r="X677" i="3315" s="1"/>
  <c r="N1032" i="3315"/>
  <c r="V1032" i="3315" s="1"/>
  <c r="X1032" i="3315" s="1"/>
  <c r="N53" i="3315"/>
  <c r="N735" i="3315"/>
  <c r="V735" i="3315" s="1"/>
  <c r="X735" i="3315" s="1"/>
  <c r="N746" i="3315"/>
  <c r="V746" i="3315" s="1"/>
  <c r="X746" i="3315" s="1"/>
  <c r="N119" i="3315"/>
  <c r="V119" i="3315" s="1"/>
  <c r="X119" i="3315" s="1"/>
  <c r="N412" i="3315"/>
  <c r="N622" i="3315"/>
  <c r="V622" i="3315" s="1"/>
  <c r="X622" i="3315" s="1"/>
  <c r="N1221" i="3315"/>
  <c r="V1221" i="3315" s="1"/>
  <c r="X1221" i="3315" s="1"/>
  <c r="N1212" i="3315"/>
  <c r="V1212" i="3315" s="1"/>
  <c r="X1212" i="3315" s="1"/>
  <c r="N1192" i="3315"/>
  <c r="V1192" i="3315" s="1"/>
  <c r="X1192" i="3315" s="1"/>
  <c r="N709" i="3315"/>
  <c r="N734" i="3315"/>
  <c r="V734" i="3315" s="1"/>
  <c r="N62" i="3315"/>
  <c r="V62" i="3315" s="1"/>
  <c r="N222" i="3315"/>
  <c r="V222" i="3315" s="1"/>
  <c r="X222" i="3315" s="1"/>
  <c r="N470" i="3315"/>
  <c r="N756" i="3315"/>
  <c r="V756" i="3315" s="1"/>
  <c r="X756" i="3315" s="1"/>
  <c r="N664" i="3315"/>
  <c r="V664" i="3315" s="1"/>
  <c r="X664" i="3315" s="1"/>
  <c r="N655" i="3315"/>
  <c r="V655" i="3315" s="1"/>
  <c r="X655" i="3315" s="1"/>
  <c r="N722" i="3315"/>
  <c r="V722" i="3315" s="1"/>
  <c r="N699" i="3315"/>
  <c r="V699" i="3315" s="1"/>
  <c r="X699" i="3315" s="1"/>
  <c r="N663" i="3315"/>
  <c r="V663" i="3315" s="1"/>
  <c r="X663" i="3315" s="1"/>
  <c r="N315" i="3315"/>
  <c r="V315" i="3315" s="1"/>
  <c r="X315" i="3315" s="1"/>
  <c r="N731" i="3315"/>
  <c r="N828" i="3315"/>
  <c r="V828" i="3315" s="1"/>
  <c r="X828" i="3315" s="1"/>
  <c r="N146" i="3315"/>
  <c r="V146" i="3315" s="1"/>
  <c r="X146" i="3315" s="1"/>
  <c r="N886" i="3315"/>
  <c r="V886" i="3315" s="1"/>
  <c r="N1046" i="3315"/>
  <c r="V1046" i="3315" s="1"/>
  <c r="X1046" i="3315" s="1"/>
  <c r="N1037" i="3315"/>
  <c r="V1037" i="3315" s="1"/>
  <c r="X1037" i="3315" s="1"/>
  <c r="N1014" i="3315"/>
  <c r="V1014" i="3315" s="1"/>
  <c r="X1014" i="3315" s="1"/>
  <c r="N68" i="3315"/>
  <c r="V68" i="3315" s="1"/>
  <c r="X68" i="3315" s="1"/>
  <c r="N894" i="3315"/>
  <c r="N849" i="3315"/>
  <c r="V849" i="3315" s="1"/>
  <c r="N302" i="3315"/>
  <c r="V302" i="3315" s="1"/>
  <c r="X302" i="3315" s="1"/>
  <c r="N460" i="3315"/>
  <c r="V460" i="3315" s="1"/>
  <c r="X460" i="3315" s="1"/>
  <c r="N980" i="3315"/>
  <c r="V980" i="3315" s="1"/>
  <c r="X980" i="3315" s="1"/>
  <c r="N1190" i="3315"/>
  <c r="N1181" i="3315"/>
  <c r="V1181" i="3315" s="1"/>
  <c r="N1028" i="3315"/>
  <c r="V1028" i="3315" s="1"/>
  <c r="N82" i="3315"/>
  <c r="V82" i="3315" s="1"/>
  <c r="X82" i="3315" s="1"/>
  <c r="N718" i="3315"/>
  <c r="V718" i="3315" s="1"/>
  <c r="N48" i="3315"/>
  <c r="N1162" i="3315"/>
  <c r="N1163" i="3315" s="1"/>
  <c r="V1158" i="3315"/>
  <c r="N859" i="3315"/>
  <c r="V859" i="3315" s="1"/>
  <c r="X859" i="3315" s="1"/>
  <c r="N759" i="3315"/>
  <c r="V759" i="3315" s="1"/>
  <c r="X759" i="3315" s="1"/>
  <c r="N913" i="3315"/>
  <c r="N546" i="3315"/>
  <c r="V546" i="3315" s="1"/>
  <c r="X546" i="3315" s="1"/>
  <c r="N255" i="3315"/>
  <c r="N376" i="3315"/>
  <c r="V376" i="3315" s="1"/>
  <c r="X376" i="3315" s="1"/>
  <c r="N802" i="3315"/>
  <c r="V802" i="3315" s="1"/>
  <c r="N111" i="3315"/>
  <c r="V111" i="3315" s="1"/>
  <c r="N536" i="3315"/>
  <c r="V536" i="3315" s="1"/>
  <c r="X536" i="3315" s="1"/>
  <c r="N397" i="3315"/>
  <c r="V397" i="3315" s="1"/>
  <c r="X397" i="3315" s="1"/>
  <c r="N956" i="3315"/>
  <c r="V956" i="3315" s="1"/>
  <c r="X956" i="3315" s="1"/>
  <c r="N159" i="3315"/>
  <c r="V159" i="3315" s="1"/>
  <c r="N766" i="3315"/>
  <c r="V766" i="3315" s="1"/>
  <c r="X766" i="3315" s="1"/>
  <c r="N236" i="3315"/>
  <c r="V236" i="3315" s="1"/>
  <c r="X236" i="3315" s="1"/>
  <c r="N281" i="3315"/>
  <c r="V281" i="3315" s="1"/>
  <c r="N124" i="3315"/>
  <c r="V124" i="3315" s="1"/>
  <c r="X124" i="3315" s="1"/>
  <c r="N370" i="3315"/>
  <c r="V370" i="3315" s="1"/>
  <c r="X370" i="3315" s="1"/>
  <c r="N999" i="3315"/>
  <c r="V999" i="3315" s="1"/>
  <c r="N576" i="3315"/>
  <c r="N122" i="3315"/>
  <c r="V122" i="3315" s="1"/>
  <c r="X122" i="3315" s="1"/>
  <c r="N638" i="3315"/>
  <c r="N282" i="3315"/>
  <c r="V282" i="3315" s="1"/>
  <c r="X282" i="3315" s="1"/>
  <c r="N614" i="3315"/>
  <c r="V614" i="3315" s="1"/>
  <c r="N377" i="3315"/>
  <c r="N521" i="3315"/>
  <c r="V521" i="3315" s="1"/>
  <c r="N63" i="3315"/>
  <c r="V63" i="3315" s="1"/>
  <c r="X63" i="3315" s="1"/>
  <c r="N524" i="3315"/>
  <c r="V524" i="3315" s="1"/>
  <c r="X524" i="3315" s="1"/>
  <c r="N747" i="3315"/>
  <c r="V747" i="3315" s="1"/>
  <c r="N450" i="3315"/>
  <c r="V450" i="3315" s="1"/>
  <c r="N601" i="3315"/>
  <c r="V601" i="3315" s="1"/>
  <c r="N995" i="3315"/>
  <c r="V995" i="3315" s="1"/>
  <c r="X995" i="3315" s="1"/>
  <c r="N679" i="3315"/>
  <c r="N217" i="3315"/>
  <c r="V217" i="3315" s="1"/>
  <c r="X217" i="3315" s="1"/>
  <c r="N610" i="3315"/>
  <c r="N912" i="3315"/>
  <c r="V912" i="3315" s="1"/>
  <c r="X912" i="3315" s="1"/>
  <c r="N156" i="3315"/>
  <c r="V156" i="3315" s="1"/>
  <c r="N179" i="3315"/>
  <c r="N905" i="3315"/>
  <c r="V905" i="3315" s="1"/>
  <c r="X905" i="3315" s="1"/>
  <c r="N644" i="3315"/>
  <c r="V644" i="3315" s="1"/>
  <c r="X644" i="3315" s="1"/>
  <c r="N863" i="3315"/>
  <c r="V863" i="3315" s="1"/>
  <c r="N356" i="3315"/>
  <c r="M385" i="3315"/>
  <c r="N833" i="3315"/>
  <c r="V833" i="3315" s="1"/>
  <c r="X833" i="3315" s="1"/>
  <c r="N185" i="3315"/>
  <c r="V185" i="3315" s="1"/>
  <c r="N231" i="3315"/>
  <c r="V231" i="3315" s="1"/>
  <c r="X231" i="3315" s="1"/>
  <c r="N768" i="3315"/>
  <c r="V768" i="3315" s="1"/>
  <c r="X768" i="3315" s="1"/>
  <c r="N188" i="3315"/>
  <c r="V188" i="3315" s="1"/>
  <c r="X188" i="3315" s="1"/>
  <c r="N442" i="3315"/>
  <c r="M461" i="3315"/>
  <c r="N564" i="3315"/>
  <c r="V564" i="3315" s="1"/>
  <c r="X564" i="3315" s="1"/>
  <c r="N229" i="3315"/>
  <c r="V229" i="3315" s="1"/>
  <c r="X229" i="3315" s="1"/>
  <c r="N275" i="3315"/>
  <c r="N902" i="3315"/>
  <c r="V902" i="3315" s="1"/>
  <c r="X902" i="3315" s="1"/>
  <c r="N269" i="3315"/>
  <c r="N839" i="3315"/>
  <c r="V839" i="3315" s="1"/>
  <c r="X839" i="3315" s="1"/>
  <c r="N1004" i="3315"/>
  <c r="V1004" i="3315" s="1"/>
  <c r="X1004" i="3315" s="1"/>
  <c r="N1044" i="3315"/>
  <c r="V1044" i="3315" s="1"/>
  <c r="X1044" i="3315" s="1"/>
  <c r="N1205" i="3315"/>
  <c r="V1205" i="3315" s="1"/>
  <c r="X1205" i="3315" s="1"/>
  <c r="N835" i="3315"/>
  <c r="N896" i="3315"/>
  <c r="V896" i="3315" s="1"/>
  <c r="X896" i="3315" s="1"/>
  <c r="N458" i="3315"/>
  <c r="V458" i="3315" s="1"/>
  <c r="X458" i="3315" s="1"/>
  <c r="N798" i="3315"/>
  <c r="V798" i="3315" s="1"/>
  <c r="N233" i="3315"/>
  <c r="V233" i="3315" s="1"/>
  <c r="X233" i="3315" s="1"/>
  <c r="N489" i="3315"/>
  <c r="V489" i="3315" s="1"/>
  <c r="X489" i="3315" s="1"/>
  <c r="N279" i="3315"/>
  <c r="V279" i="3315" s="1"/>
  <c r="N556" i="3315"/>
  <c r="V556" i="3315" s="1"/>
  <c r="X556" i="3315" s="1"/>
  <c r="N918" i="3315"/>
  <c r="V918" i="3315" s="1"/>
  <c r="X918" i="3315" s="1"/>
  <c r="N881" i="3315"/>
  <c r="V881" i="3315" s="1"/>
  <c r="X881" i="3315" s="1"/>
  <c r="N726" i="3315"/>
  <c r="N220" i="3315"/>
  <c r="V220" i="3315" s="1"/>
  <c r="X220" i="3315" s="1"/>
  <c r="N541" i="3315"/>
  <c r="V541" i="3315" s="1"/>
  <c r="X541" i="3315" s="1"/>
  <c r="N277" i="3315"/>
  <c r="V277" i="3315" s="1"/>
  <c r="X277" i="3315" s="1"/>
  <c r="N554" i="3315"/>
  <c r="N120" i="3315"/>
  <c r="V120" i="3315" s="1"/>
  <c r="X120" i="3315" s="1"/>
  <c r="N413" i="3315"/>
  <c r="V413" i="3315" s="1"/>
  <c r="N436" i="3315"/>
  <c r="V436" i="3315" s="1"/>
  <c r="X436" i="3315" s="1"/>
  <c r="N729" i="3315"/>
  <c r="N164" i="3315"/>
  <c r="V164" i="3315" s="1"/>
  <c r="X164" i="3315" s="1"/>
  <c r="N544" i="3315"/>
  <c r="V544" i="3315" s="1"/>
  <c r="X544" i="3315" s="1"/>
  <c r="N184" i="3315"/>
  <c r="V184" i="3315" s="1"/>
  <c r="N497" i="3315"/>
  <c r="V497" i="3315" s="1"/>
  <c r="X497" i="3315" s="1"/>
  <c r="N653" i="3315"/>
  <c r="V653" i="3315" s="1"/>
  <c r="X653" i="3315" s="1"/>
  <c r="N1013" i="3315"/>
  <c r="V1013" i="3315" s="1"/>
  <c r="N92" i="3315"/>
  <c r="N317" i="3315"/>
  <c r="V317" i="3315" s="1"/>
  <c r="X317" i="3315" s="1"/>
  <c r="N744" i="3315"/>
  <c r="V744" i="3315" s="1"/>
  <c r="X744" i="3315" s="1"/>
  <c r="N916" i="3315"/>
  <c r="V916" i="3315" s="1"/>
  <c r="X916" i="3315" s="1"/>
  <c r="N562" i="3315"/>
  <c r="N549" i="3315"/>
  <c r="V549" i="3315" s="1"/>
  <c r="X549" i="3315" s="1"/>
  <c r="N553" i="3315"/>
  <c r="V553" i="3315" s="1"/>
  <c r="X553" i="3315" s="1"/>
  <c r="N328" i="3315"/>
  <c r="V328" i="3315" s="1"/>
  <c r="N877" i="3315"/>
  <c r="N183" i="3315"/>
  <c r="V183" i="3315" s="1"/>
  <c r="X183" i="3315" s="1"/>
  <c r="N931" i="3315"/>
  <c r="V931" i="3315" s="1"/>
  <c r="N1186" i="3315"/>
  <c r="V1186" i="3315" s="1"/>
  <c r="X1186" i="3315" s="1"/>
  <c r="N702" i="3315"/>
  <c r="V702" i="3315" s="1"/>
  <c r="X702" i="3315" s="1"/>
  <c r="N232" i="3315"/>
  <c r="N405" i="3315"/>
  <c r="V405" i="3315" s="1"/>
  <c r="X405" i="3315" s="1"/>
  <c r="N814" i="3315"/>
  <c r="V814" i="3315" s="1"/>
  <c r="X814" i="3315" s="1"/>
  <c r="N196" i="3315"/>
  <c r="V196" i="3315" s="1"/>
  <c r="X196" i="3315" s="1"/>
  <c r="N181" i="3315"/>
  <c r="V181" i="3315" s="1"/>
  <c r="N929" i="3315"/>
  <c r="V929" i="3315" s="1"/>
  <c r="X929" i="3315" s="1"/>
  <c r="N227" i="3315"/>
  <c r="V227" i="3315" s="1"/>
  <c r="X227" i="3315" s="1"/>
  <c r="N475" i="3315"/>
  <c r="N669" i="3315"/>
  <c r="V669" i="3315" s="1"/>
  <c r="N423" i="3315"/>
  <c r="V423" i="3315" s="1"/>
  <c r="X423" i="3315" s="1"/>
  <c r="N1193" i="3315"/>
  <c r="V1193" i="3315" s="1"/>
  <c r="N500" i="3315"/>
  <c r="V500" i="3315" s="1"/>
  <c r="X500" i="3315" s="1"/>
  <c r="N287" i="3315"/>
  <c r="N879" i="3315"/>
  <c r="V879" i="3315" s="1"/>
  <c r="X879" i="3315" s="1"/>
  <c r="N620" i="3315"/>
  <c r="V620" i="3315" s="1"/>
  <c r="X620" i="3315" s="1"/>
  <c r="N1214" i="3315"/>
  <c r="V1214" i="3315" s="1"/>
  <c r="X1214" i="3315" s="1"/>
  <c r="N938" i="3315"/>
  <c r="N1045" i="3315"/>
  <c r="V1045" i="3315" s="1"/>
  <c r="N86" i="3315"/>
  <c r="V86" i="3315" s="1"/>
  <c r="X86" i="3315" s="1"/>
  <c r="N144" i="3315"/>
  <c r="V144" i="3315" s="1"/>
  <c r="X144" i="3315" s="1"/>
  <c r="N825" i="3315"/>
  <c r="V825" i="3315" s="1"/>
  <c r="X825" i="3315" s="1"/>
  <c r="N864" i="3315"/>
  <c r="V864" i="3315" s="1"/>
  <c r="X864" i="3315" s="1"/>
  <c r="N919" i="3315"/>
  <c r="V919" i="3315" s="1"/>
  <c r="X919" i="3315" s="1"/>
  <c r="N65" i="3315"/>
  <c r="V65" i="3315" s="1"/>
  <c r="N204" i="3315"/>
  <c r="N523" i="3315"/>
  <c r="V523" i="3315" s="1"/>
  <c r="X523" i="3315" s="1"/>
  <c r="N273" i="3315"/>
  <c r="V273" i="3315" s="1"/>
  <c r="N925" i="3315"/>
  <c r="V925" i="3315" s="1"/>
  <c r="N346" i="3315"/>
  <c r="V346" i="3315" s="1"/>
  <c r="X346" i="3315" s="1"/>
  <c r="N1220" i="3315"/>
  <c r="N214" i="3315"/>
  <c r="V214" i="3315" s="1"/>
  <c r="X214" i="3315" s="1"/>
  <c r="N665" i="3315"/>
  <c r="V665" i="3315" s="1"/>
  <c r="X665" i="3315" s="1"/>
  <c r="N611" i="3315"/>
  <c r="V611" i="3315" s="1"/>
  <c r="X611" i="3315" s="1"/>
  <c r="N1031" i="3315"/>
  <c r="V1031" i="3315" s="1"/>
  <c r="X1031" i="3315" s="1"/>
  <c r="N1244" i="3315"/>
  <c r="N99" i="3315"/>
  <c r="V99" i="3315" s="1"/>
  <c r="X99" i="3315" s="1"/>
  <c r="N780" i="3315"/>
  <c r="N676" i="3315"/>
  <c r="V676" i="3315" s="1"/>
  <c r="X676" i="3315" s="1"/>
  <c r="N739" i="3315"/>
  <c r="V739" i="3315" s="1"/>
  <c r="N453" i="3315"/>
  <c r="N459" i="3315"/>
  <c r="V459" i="3315" s="1"/>
  <c r="X459" i="3315" s="1"/>
  <c r="N371" i="3315"/>
  <c r="V371" i="3315" s="1"/>
  <c r="X371" i="3315" s="1"/>
  <c r="N989" i="3315"/>
  <c r="N288" i="3315"/>
  <c r="V288" i="3315" s="1"/>
  <c r="X288" i="3315" s="1"/>
  <c r="N765" i="3315"/>
  <c r="V765" i="3315" s="1"/>
  <c r="X765" i="3315" s="1"/>
  <c r="N928" i="3315"/>
  <c r="N392" i="3315"/>
  <c r="V392" i="3315" s="1"/>
  <c r="X392" i="3315" s="1"/>
  <c r="N271" i="3315"/>
  <c r="V271" i="3315" s="1"/>
  <c r="X271" i="3315" s="1"/>
  <c r="N420" i="3315"/>
  <c r="V420" i="3315" s="1"/>
  <c r="X420" i="3315" s="1"/>
  <c r="N832" i="3315"/>
  <c r="V832" i="3315" s="1"/>
  <c r="X832" i="3315" s="1"/>
  <c r="N890" i="3315"/>
  <c r="V890" i="3315" s="1"/>
  <c r="N1041" i="3315"/>
  <c r="V1041" i="3315" s="1"/>
  <c r="X1041" i="3315" s="1"/>
  <c r="N750" i="3315"/>
  <c r="V750" i="3315" s="1"/>
  <c r="N760" i="3315"/>
  <c r="N674" i="3315"/>
  <c r="V674" i="3315" s="1"/>
  <c r="X674" i="3315" s="1"/>
  <c r="N865" i="3315"/>
  <c r="N723" i="3315"/>
  <c r="V723" i="3315" s="1"/>
  <c r="X723" i="3315" s="1"/>
  <c r="N425" i="3315"/>
  <c r="V425" i="3315" s="1"/>
  <c r="X425" i="3315" s="1"/>
  <c r="N329" i="3315"/>
  <c r="V329" i="3315" s="1"/>
  <c r="N1006" i="3315"/>
  <c r="V1006" i="3315" s="1"/>
  <c r="X1006" i="3315" s="1"/>
  <c r="N862" i="3315"/>
  <c r="V862" i="3315" s="1"/>
  <c r="X862" i="3315" s="1"/>
  <c r="N166" i="3315"/>
  <c r="N914" i="3315"/>
  <c r="V914" i="3315" s="1"/>
  <c r="X914" i="3315" s="1"/>
  <c r="N613" i="3315"/>
  <c r="V613" i="3315" s="1"/>
  <c r="X613" i="3315" s="1"/>
  <c r="N604" i="3315"/>
  <c r="V604" i="3315" s="1"/>
  <c r="X604" i="3315" s="1"/>
  <c r="N1204" i="3315"/>
  <c r="V1204" i="3315" s="1"/>
  <c r="N45" i="3315"/>
  <c r="V45" i="3315" s="1"/>
  <c r="N242" i="3315"/>
  <c r="V242" i="3315" s="1"/>
  <c r="N777" i="3315"/>
  <c r="N758" i="3315"/>
  <c r="V758" i="3315" s="1"/>
  <c r="X758" i="3315" s="1"/>
  <c r="N738" i="3315"/>
  <c r="N824" i="3315"/>
  <c r="V824" i="3315" s="1"/>
  <c r="X824" i="3315" s="1"/>
  <c r="N882" i="3315"/>
  <c r="V882" i="3315" s="1"/>
  <c r="X882" i="3315" s="1"/>
  <c r="N1033" i="3315"/>
  <c r="V1033" i="3315" s="1"/>
  <c r="N678" i="3315"/>
  <c r="V678" i="3315" s="1"/>
  <c r="N714" i="3315"/>
  <c r="V714" i="3315" s="1"/>
  <c r="N411" i="3315"/>
  <c r="N618" i="3315"/>
  <c r="V618" i="3315" s="1"/>
  <c r="X618" i="3315" s="1"/>
  <c r="N375" i="3315"/>
  <c r="V375" i="3315" s="1"/>
  <c r="N266" i="3315"/>
  <c r="V266" i="3315" s="1"/>
  <c r="X266" i="3315" s="1"/>
  <c r="N783" i="3315"/>
  <c r="V783" i="3315" s="1"/>
  <c r="N903" i="3315"/>
  <c r="V903" i="3315" s="1"/>
  <c r="X903" i="3315" s="1"/>
  <c r="N198" i="3315"/>
  <c r="V198" i="3315" s="1"/>
  <c r="X198" i="3315" s="1"/>
  <c r="N946" i="3315"/>
  <c r="V946" i="3315" s="1"/>
  <c r="N649" i="3315"/>
  <c r="N640" i="3315"/>
  <c r="V640" i="3315" s="1"/>
  <c r="X640" i="3315" s="1"/>
  <c r="N1002" i="3315"/>
  <c r="V1002" i="3315" s="1"/>
  <c r="X1002" i="3315" s="1"/>
  <c r="N854" i="3315"/>
  <c r="V854" i="3315" s="1"/>
  <c r="X854" i="3315" s="1"/>
  <c r="N306" i="3315"/>
  <c r="N997" i="3315"/>
  <c r="V997" i="3315" s="1"/>
  <c r="X997" i="3315" s="1"/>
  <c r="N1185" i="3315"/>
  <c r="V1185" i="3315" s="1"/>
  <c r="X1185" i="3315" s="1"/>
  <c r="N716" i="3315"/>
  <c r="N78" i="3315"/>
  <c r="V78" i="3315" s="1"/>
  <c r="X78" i="3315" s="1"/>
  <c r="N572" i="3315"/>
  <c r="V572" i="3315" s="1"/>
  <c r="X572" i="3315" s="1"/>
  <c r="N648" i="3315"/>
  <c r="V648" i="3315" s="1"/>
  <c r="N689" i="3315"/>
  <c r="V689" i="3315" s="1"/>
  <c r="N1223" i="3315"/>
  <c r="N710" i="3315"/>
  <c r="V710" i="3315" s="1"/>
  <c r="X710" i="3315" s="1"/>
  <c r="N74" i="3315"/>
  <c r="N72" i="3315"/>
  <c r="V72" i="3315" s="1"/>
  <c r="N258" i="3315"/>
  <c r="V258" i="3315" s="1"/>
  <c r="X258" i="3315" s="1"/>
  <c r="N534" i="3315"/>
  <c r="V534" i="3315" s="1"/>
  <c r="X534" i="3315" s="1"/>
  <c r="N793" i="3315"/>
  <c r="V793" i="3315" s="1"/>
  <c r="X793" i="3315" s="1"/>
  <c r="N784" i="3315"/>
  <c r="V784" i="3315" s="1"/>
  <c r="X784" i="3315" s="1"/>
  <c r="N775" i="3315"/>
  <c r="N321" i="3315"/>
  <c r="V321" i="3315" s="1"/>
  <c r="X321" i="3315" s="1"/>
  <c r="N103" i="3315"/>
  <c r="V103" i="3315" s="1"/>
  <c r="N841" i="3315"/>
  <c r="V841" i="3315" s="1"/>
  <c r="X841" i="3315" s="1"/>
  <c r="N158" i="3315"/>
  <c r="V158" i="3315" s="1"/>
  <c r="N906" i="3315"/>
  <c r="V906" i="3315" s="1"/>
  <c r="X906" i="3315" s="1"/>
  <c r="N605" i="3315"/>
  <c r="V605" i="3315" s="1"/>
  <c r="X605" i="3315" s="1"/>
  <c r="N596" i="3315"/>
  <c r="V596" i="3315" s="1"/>
  <c r="X596" i="3315" s="1"/>
  <c r="N1040" i="3315"/>
  <c r="N707" i="3315"/>
  <c r="V707" i="3315" s="1"/>
  <c r="N91" i="3315"/>
  <c r="N102" i="3315"/>
  <c r="V102" i="3315" s="1"/>
  <c r="N595" i="3315"/>
  <c r="V595" i="3315" s="1"/>
  <c r="X595" i="3315" s="1"/>
  <c r="N71" i="3315"/>
  <c r="V71" i="3315" s="1"/>
  <c r="N104" i="3315"/>
  <c r="V104" i="3315" s="1"/>
  <c r="X104" i="3315" s="1"/>
  <c r="N49" i="3315"/>
  <c r="N1218" i="3315"/>
  <c r="V1218" i="3315" s="1"/>
  <c r="X1218" i="3315" s="1"/>
  <c r="N428" i="3315"/>
  <c r="V428" i="3315" s="1"/>
  <c r="X428" i="3315" s="1"/>
  <c r="N774" i="3315"/>
  <c r="N1237" i="3315"/>
  <c r="V1237" i="3315" s="1"/>
  <c r="N1228" i="3315"/>
  <c r="V1228" i="3315" s="1"/>
  <c r="X1228" i="3315" s="1"/>
  <c r="N1219" i="3315"/>
  <c r="V1219" i="3315" s="1"/>
  <c r="N691" i="3315"/>
  <c r="V691" i="3315" s="1"/>
  <c r="X691" i="3315" s="1"/>
  <c r="N79" i="3315"/>
  <c r="N711" i="3315"/>
  <c r="V711" i="3315" s="1"/>
  <c r="X711" i="3315" s="1"/>
  <c r="N238" i="3315"/>
  <c r="V238" i="3315" s="1"/>
  <c r="X238" i="3315" s="1"/>
  <c r="N494" i="3315"/>
  <c r="V494" i="3315" s="1"/>
  <c r="X494" i="3315" s="1"/>
  <c r="N772" i="3315"/>
  <c r="N763" i="3315"/>
  <c r="V763" i="3315" s="1"/>
  <c r="X763" i="3315" s="1"/>
  <c r="N754" i="3315"/>
  <c r="V754" i="3315" s="1"/>
  <c r="X754" i="3315" s="1"/>
  <c r="N67" i="3315"/>
  <c r="V67" i="3315" s="1"/>
  <c r="X67" i="3315" s="1"/>
  <c r="N87" i="3315"/>
  <c r="V87" i="3315" s="1"/>
  <c r="X87" i="3315" s="1"/>
  <c r="V1150" i="3315"/>
  <c r="N1155" i="3315"/>
  <c r="N372" i="3315"/>
  <c r="V372" i="3315" s="1"/>
  <c r="X372" i="3315" s="1"/>
  <c r="N167" i="3315"/>
  <c r="V167" i="3315" s="1"/>
  <c r="X167" i="3315" s="1"/>
  <c r="N272" i="3315"/>
  <c r="N429" i="3315"/>
  <c r="V429" i="3315" s="1"/>
  <c r="X429" i="3315" s="1"/>
  <c r="N662" i="3315"/>
  <c r="V662" i="3315" s="1"/>
  <c r="X662" i="3315" s="1"/>
  <c r="N114" i="3315"/>
  <c r="V114" i="3315" s="1"/>
  <c r="N280" i="3315"/>
  <c r="V280" i="3315" s="1"/>
  <c r="N326" i="3315"/>
  <c r="N261" i="3315"/>
  <c r="V261" i="3315" s="1"/>
  <c r="N560" i="3315"/>
  <c r="V560" i="3315" s="1"/>
  <c r="X560" i="3315" s="1"/>
  <c r="N47" i="3315"/>
  <c r="V47" i="3315" s="1"/>
  <c r="X47" i="3315" s="1"/>
  <c r="N246" i="3315"/>
  <c r="V246" i="3315" s="1"/>
  <c r="X246" i="3315" s="1"/>
  <c r="N168" i="3315"/>
  <c r="V168" i="3315" s="1"/>
  <c r="X168" i="3315" s="1"/>
  <c r="N160" i="3315"/>
  <c r="N153" i="3315"/>
  <c r="V153" i="3315" s="1"/>
  <c r="N199" i="3315"/>
  <c r="N991" i="3315"/>
  <c r="V991" i="3315" s="1"/>
  <c r="X991" i="3315" s="1"/>
  <c r="N390" i="3315"/>
  <c r="V390" i="3315" s="1"/>
  <c r="X390" i="3315" s="1"/>
  <c r="N904" i="3315"/>
  <c r="V904" i="3315" s="1"/>
  <c r="X904" i="3315" s="1"/>
  <c r="N197" i="3315"/>
  <c r="V197" i="3315" s="1"/>
  <c r="X197" i="3315" s="1"/>
  <c r="N243" i="3315"/>
  <c r="V243" i="3315" s="1"/>
  <c r="X243" i="3315" s="1"/>
  <c r="N817" i="3315"/>
  <c r="V817" i="3315" s="1"/>
  <c r="X817" i="3315" s="1"/>
  <c r="N139" i="3315"/>
  <c r="V139" i="3315" s="1"/>
  <c r="N1183" i="3315"/>
  <c r="V1183" i="3315" s="1"/>
  <c r="X1183" i="3315" s="1"/>
  <c r="N771" i="3315"/>
  <c r="N292" i="3315"/>
  <c r="V292" i="3315" s="1"/>
  <c r="X292" i="3315" s="1"/>
  <c r="N884" i="3315"/>
  <c r="V884" i="3315" s="1"/>
  <c r="X884" i="3315" s="1"/>
  <c r="N295" i="3315"/>
  <c r="N488" i="3315"/>
  <c r="V488" i="3315" s="1"/>
  <c r="N284" i="3315"/>
  <c r="V284" i="3315" s="1"/>
  <c r="X284" i="3315" s="1"/>
  <c r="N1210" i="3315"/>
  <c r="V1210" i="3315" s="1"/>
  <c r="N706" i="3315"/>
  <c r="V706" i="3315" s="1"/>
  <c r="N109" i="3315"/>
  <c r="N408" i="3315"/>
  <c r="V408" i="3315" s="1"/>
  <c r="X408" i="3315" s="1"/>
  <c r="N465" i="3315"/>
  <c r="M567" i="3315"/>
  <c r="N982" i="3315"/>
  <c r="N671" i="3315"/>
  <c r="V671" i="3315" s="1"/>
  <c r="N950" i="3315"/>
  <c r="V950" i="3315" s="1"/>
  <c r="N927" i="3315"/>
  <c r="V927" i="3315" s="1"/>
  <c r="N781" i="3315"/>
  <c r="N189" i="3315"/>
  <c r="V189" i="3315" s="1"/>
  <c r="X189" i="3315" s="1"/>
  <c r="N152" i="3315"/>
  <c r="V152" i="3315" s="1"/>
  <c r="N403" i="3315"/>
  <c r="V403" i="3315" s="1"/>
  <c r="X403" i="3315" s="1"/>
  <c r="N367" i="3315"/>
  <c r="N667" i="3315"/>
  <c r="V667" i="3315" s="1"/>
  <c r="X667" i="3315" s="1"/>
  <c r="N221" i="3315"/>
  <c r="V221" i="3315" s="1"/>
  <c r="N125" i="3315"/>
  <c r="V125" i="3315" s="1"/>
  <c r="N365" i="3315"/>
  <c r="V365" i="3315" s="1"/>
  <c r="X365" i="3315" s="1"/>
  <c r="N147" i="3315"/>
  <c r="V147" i="3315" s="1"/>
  <c r="N651" i="3315"/>
  <c r="V651" i="3315" s="1"/>
  <c r="X651" i="3315" s="1"/>
  <c r="N128" i="3315"/>
  <c r="V128" i="3315" s="1"/>
  <c r="X128" i="3315" s="1"/>
  <c r="N545" i="3315"/>
  <c r="N444" i="3315"/>
  <c r="V444" i="3315" s="1"/>
  <c r="N70" i="3315"/>
  <c r="V70" i="3315" s="1"/>
  <c r="N76" i="3315"/>
  <c r="V76" i="3315" s="1"/>
  <c r="N719" i="3315"/>
  <c r="N56" i="3315"/>
  <c r="V56" i="3315" s="1"/>
  <c r="X56" i="3315" s="1"/>
  <c r="N924" i="3315"/>
  <c r="V924" i="3315" s="1"/>
  <c r="X924" i="3315" s="1"/>
  <c r="N155" i="3315"/>
  <c r="V155" i="3315" s="1"/>
  <c r="X155" i="3315" s="1"/>
  <c r="M132" i="3315"/>
  <c r="N60" i="3315"/>
  <c r="N304" i="3315"/>
  <c r="N148" i="3315"/>
  <c r="V148" i="3315" s="1"/>
  <c r="X148" i="3315" s="1"/>
  <c r="N169" i="3315"/>
  <c r="V169" i="3315" s="1"/>
  <c r="N917" i="3315"/>
  <c r="V917" i="3315" s="1"/>
  <c r="X917" i="3315" s="1"/>
  <c r="N215" i="3315"/>
  <c r="V215" i="3315" s="1"/>
  <c r="X215" i="3315" s="1"/>
  <c r="N583" i="3315"/>
  <c r="V583" i="3315" s="1"/>
  <c r="X583" i="3315" s="1"/>
  <c r="N617" i="3315"/>
  <c r="V617" i="3315" s="1"/>
  <c r="X617" i="3315" s="1"/>
  <c r="N847" i="3315"/>
  <c r="V847" i="3315" s="1"/>
  <c r="N936" i="3315"/>
  <c r="V936" i="3315" s="1"/>
  <c r="N187" i="3315"/>
  <c r="V187" i="3315" s="1"/>
  <c r="N976" i="3315"/>
  <c r="M1048" i="3315"/>
  <c r="N468" i="3315"/>
  <c r="V468" i="3315" s="1"/>
  <c r="X468" i="3315" s="1"/>
  <c r="N121" i="3315"/>
  <c r="N213" i="3315"/>
  <c r="V213" i="3315" s="1"/>
  <c r="X213" i="3315" s="1"/>
  <c r="N581" i="3315"/>
  <c r="N259" i="3315"/>
  <c r="V259" i="3315" s="1"/>
  <c r="N535" i="3315"/>
  <c r="V535" i="3315" s="1"/>
  <c r="X535" i="3315" s="1"/>
  <c r="N806" i="3315"/>
  <c r="V806" i="3315" s="1"/>
  <c r="X806" i="3315" s="1"/>
  <c r="N205" i="3315"/>
  <c r="V205" i="3315" s="1"/>
  <c r="X205" i="3315" s="1"/>
  <c r="N1043" i="3315"/>
  <c r="V1043" i="3315" s="1"/>
  <c r="X1043" i="3315" s="1"/>
  <c r="N244" i="3315"/>
  <c r="N769" i="3315"/>
  <c r="V769" i="3315" s="1"/>
  <c r="X769" i="3315" s="1"/>
  <c r="N73" i="3315"/>
  <c r="V73" i="3315" s="1"/>
  <c r="X73" i="3315" s="1"/>
  <c r="N1206" i="3315"/>
  <c r="N447" i="3315"/>
  <c r="V447" i="3315" s="1"/>
  <c r="X447" i="3315" s="1"/>
  <c r="N190" i="3315"/>
  <c r="N253" i="3315"/>
  <c r="V253" i="3315" s="1"/>
  <c r="N934" i="3315"/>
  <c r="V934" i="3315" s="1"/>
  <c r="X934" i="3315" s="1"/>
  <c r="N531" i="3315"/>
  <c r="V531" i="3315" s="1"/>
  <c r="X531" i="3315" s="1"/>
  <c r="N216" i="3315"/>
  <c r="V216" i="3315" s="1"/>
  <c r="N126" i="3315"/>
  <c r="V126" i="3315" s="1"/>
  <c r="X126" i="3315" s="1"/>
  <c r="N419" i="3315"/>
  <c r="V419" i="3315" s="1"/>
  <c r="X419" i="3315" s="1"/>
  <c r="N654" i="3315"/>
  <c r="V654" i="3315" s="1"/>
  <c r="X654" i="3315" s="1"/>
  <c r="N383" i="3315"/>
  <c r="N298" i="3315"/>
  <c r="V298" i="3315" s="1"/>
  <c r="N815" i="3315"/>
  <c r="V815" i="3315" s="1"/>
  <c r="N721" i="3315"/>
  <c r="V721" i="3315" s="1"/>
  <c r="X721" i="3315" s="1"/>
  <c r="N301" i="3315"/>
  <c r="V301" i="3315" s="1"/>
  <c r="X301" i="3315" s="1"/>
  <c r="N404" i="3315"/>
  <c r="V404" i="3315" s="1"/>
  <c r="N117" i="3315"/>
  <c r="N838" i="3315"/>
  <c r="V838" i="3315" s="1"/>
  <c r="X838" i="3315" s="1"/>
  <c r="N944" i="3315"/>
  <c r="V944" i="3315" s="1"/>
  <c r="X944" i="3315" s="1"/>
  <c r="N381" i="3315"/>
  <c r="V381" i="3315" s="1"/>
  <c r="X381" i="3315" s="1"/>
  <c r="N843" i="3315"/>
  <c r="N163" i="3315"/>
  <c r="V163" i="3315" s="1"/>
  <c r="N911" i="3315"/>
  <c r="V911" i="3315" s="1"/>
  <c r="N1236" i="3315"/>
  <c r="V1236" i="3315" s="1"/>
  <c r="N113" i="3315"/>
  <c r="V113" i="3315" s="1"/>
  <c r="N818" i="3315"/>
  <c r="V818" i="3315" s="1"/>
  <c r="X818" i="3315" s="1"/>
  <c r="N312" i="3315"/>
  <c r="M331" i="3315"/>
  <c r="N137" i="3315"/>
  <c r="N241" i="3315"/>
  <c r="V241" i="3315" s="1"/>
  <c r="X241" i="3315" s="1"/>
  <c r="N359" i="3315"/>
  <c r="V359" i="3315" s="1"/>
  <c r="X359" i="3315" s="1"/>
  <c r="N182" i="3315"/>
  <c r="V182" i="3315" s="1"/>
  <c r="X182" i="3315" s="1"/>
  <c r="N985" i="3315"/>
  <c r="N807" i="3315"/>
  <c r="V807" i="3315" s="1"/>
  <c r="X807" i="3315" s="1"/>
  <c r="N628" i="3315"/>
  <c r="V628" i="3315" s="1"/>
  <c r="X628" i="3315" s="1"/>
  <c r="N1036" i="3315"/>
  <c r="V1036" i="3315" s="1"/>
  <c r="X1036" i="3315" s="1"/>
  <c r="N527" i="3315"/>
  <c r="N237" i="3315"/>
  <c r="V237" i="3315" s="1"/>
  <c r="X237" i="3315" s="1"/>
  <c r="N299" i="3315"/>
  <c r="V299" i="3315" s="1"/>
  <c r="N525" i="3315"/>
  <c r="V525" i="3315" s="1"/>
  <c r="N957" i="3315"/>
  <c r="V957" i="3315" s="1"/>
  <c r="X957" i="3315" s="1"/>
  <c r="N81" i="3315"/>
  <c r="V81" i="3315" s="1"/>
  <c r="X81" i="3315" s="1"/>
  <c r="N177" i="3315"/>
  <c r="V177" i="3315" s="1"/>
  <c r="X177" i="3315" s="1"/>
  <c r="N822" i="3315"/>
  <c r="V822" i="3315" s="1"/>
  <c r="X822" i="3315" s="1"/>
  <c r="N530" i="3315"/>
  <c r="N851" i="3315"/>
  <c r="V851" i="3315" s="1"/>
  <c r="N432" i="3315"/>
  <c r="V432" i="3315" s="1"/>
  <c r="X432" i="3315" s="1"/>
  <c r="N1241" i="3315"/>
  <c r="V1241" i="3315" s="1"/>
  <c r="N362" i="3315"/>
  <c r="V362" i="3315" s="1"/>
  <c r="X362" i="3315" s="1"/>
  <c r="N1235" i="3315"/>
  <c r="V1235" i="3315" s="1"/>
  <c r="X1235" i="3315" s="1"/>
  <c r="N254" i="3315"/>
  <c r="V254" i="3315" s="1"/>
  <c r="X254" i="3315" s="1"/>
  <c r="N770" i="3315"/>
  <c r="V770" i="3315" s="1"/>
  <c r="X770" i="3315" s="1"/>
  <c r="N808" i="3315"/>
  <c r="V808" i="3315" s="1"/>
  <c r="N69" i="3315"/>
  <c r="V69" i="3315" s="1"/>
  <c r="N364" i="3315"/>
  <c r="V364" i="3315" s="1"/>
  <c r="N937" i="3315"/>
  <c r="V937" i="3315" s="1"/>
  <c r="N491" i="3315"/>
  <c r="V491" i="3315" s="1"/>
  <c r="X491" i="3315" s="1"/>
  <c r="N899" i="3315"/>
  <c r="V899" i="3315" s="1"/>
  <c r="N129" i="3315"/>
  <c r="V129" i="3315" s="1"/>
  <c r="N384" i="3315"/>
  <c r="V384" i="3315" s="1"/>
  <c r="X384" i="3315" s="1"/>
  <c r="N305" i="3315"/>
  <c r="V305" i="3315" s="1"/>
  <c r="N473" i="3315"/>
  <c r="V473" i="3315" s="1"/>
  <c r="X473" i="3315" s="1"/>
  <c r="N191" i="3315"/>
  <c r="V191" i="3315" s="1"/>
  <c r="X191" i="3315" s="1"/>
  <c r="N1229" i="3315"/>
  <c r="V1229" i="3315" s="1"/>
  <c r="X1229" i="3315" s="1"/>
  <c r="N278" i="3315"/>
  <c r="N813" i="3315"/>
  <c r="V813" i="3315" s="1"/>
  <c r="X813" i="3315" s="1"/>
  <c r="N795" i="3315"/>
  <c r="V795" i="3315" s="1"/>
  <c r="X795" i="3315" s="1"/>
  <c r="N846" i="3315"/>
  <c r="V846" i="3315" s="1"/>
  <c r="X846" i="3315" s="1"/>
  <c r="N668" i="3315"/>
  <c r="V668" i="3315" s="1"/>
  <c r="X668" i="3315" s="1"/>
  <c r="N749" i="3315"/>
  <c r="V749" i="3315" s="1"/>
  <c r="N1012" i="3315"/>
  <c r="V1012" i="3315" s="1"/>
  <c r="X1012" i="3315" s="1"/>
  <c r="N717" i="3315"/>
  <c r="V717" i="3315" s="1"/>
  <c r="N548" i="3315"/>
  <c r="N878" i="3315"/>
  <c r="V878" i="3315" s="1"/>
  <c r="N88" i="3315"/>
  <c r="V88" i="3315" s="1"/>
  <c r="X88" i="3315" s="1"/>
  <c r="N1047" i="3315"/>
  <c r="V1047" i="3315" s="1"/>
  <c r="X1047" i="3315" s="1"/>
  <c r="N366" i="3315"/>
  <c r="V366" i="3315" s="1"/>
  <c r="N827" i="3315"/>
  <c r="V827" i="3315" s="1"/>
  <c r="X827" i="3315" s="1"/>
  <c r="N987" i="3315"/>
  <c r="V987" i="3315" s="1"/>
  <c r="X987" i="3315" s="1"/>
  <c r="N977" i="3315"/>
  <c r="V977" i="3315" s="1"/>
  <c r="X977" i="3315" s="1"/>
  <c r="N852" i="3315"/>
  <c r="N378" i="3315"/>
  <c r="V378" i="3315" s="1"/>
  <c r="X378" i="3315" s="1"/>
  <c r="N1000" i="3315"/>
  <c r="V1000" i="3315" s="1"/>
  <c r="X1000" i="3315" s="1"/>
  <c r="N981" i="3315"/>
  <c r="V981" i="3315" s="1"/>
  <c r="N701" i="3315"/>
  <c r="N270" i="3315"/>
  <c r="V270" i="3315" s="1"/>
  <c r="X270" i="3315" s="1"/>
  <c r="N805" i="3315"/>
  <c r="V805" i="3315" s="1"/>
  <c r="N787" i="3315"/>
  <c r="V787" i="3315" s="1"/>
  <c r="X787" i="3315" s="1"/>
  <c r="N314" i="3315"/>
  <c r="N257" i="3315"/>
  <c r="V257" i="3315" s="1"/>
  <c r="X257" i="3315" s="1"/>
  <c r="N533" i="3315"/>
  <c r="N303" i="3315"/>
  <c r="V303" i="3315" s="1"/>
  <c r="X303" i="3315" s="1"/>
  <c r="M439" i="3315"/>
  <c r="N389" i="3315"/>
  <c r="N543" i="3315"/>
  <c r="V543" i="3315" s="1"/>
  <c r="X543" i="3315" s="1"/>
  <c r="N1023" i="3315"/>
  <c r="V1023" i="3315" s="1"/>
  <c r="N810" i="3315"/>
  <c r="V810" i="3315" s="1"/>
  <c r="X810" i="3315" s="1"/>
  <c r="N325" i="3315"/>
  <c r="V325" i="3315" s="1"/>
  <c r="X325" i="3315" s="1"/>
  <c r="N874" i="3315"/>
  <c r="V874" i="3315" s="1"/>
  <c r="X874" i="3315" s="1"/>
  <c r="N1034" i="3315"/>
  <c r="V1034" i="3315" s="1"/>
  <c r="X1034" i="3315" s="1"/>
  <c r="N1011" i="3315"/>
  <c r="V1011" i="3315" s="1"/>
  <c r="N1029" i="3315"/>
  <c r="V1029" i="3315" s="1"/>
  <c r="X1029" i="3315" s="1"/>
  <c r="N708" i="3315"/>
  <c r="V708" i="3315" s="1"/>
  <c r="N178" i="3315"/>
  <c r="V178" i="3315" s="1"/>
  <c r="N625" i="3315"/>
  <c r="V625" i="3315" s="1"/>
  <c r="X625" i="3315" s="1"/>
  <c r="N607" i="3315"/>
  <c r="V607" i="3315" s="1"/>
  <c r="X607" i="3315" s="1"/>
  <c r="N64" i="3315"/>
  <c r="V64" i="3315" s="1"/>
  <c r="N1191" i="3315"/>
  <c r="V1191" i="3315" s="1"/>
  <c r="N757" i="3315"/>
  <c r="N1224" i="3315"/>
  <c r="V1224" i="3315" s="1"/>
  <c r="N732" i="3315"/>
  <c r="V732" i="3315" s="1"/>
  <c r="X732" i="3315" s="1"/>
  <c r="N83" i="3315"/>
  <c r="V83" i="3315" s="1"/>
  <c r="N1026" i="3315"/>
  <c r="V1026" i="3315" s="1"/>
  <c r="X1026" i="3315" s="1"/>
  <c r="N675" i="3315"/>
  <c r="V675" i="3315" s="1"/>
  <c r="X675" i="3315" s="1"/>
  <c r="N96" i="3315"/>
  <c r="V96" i="3315" s="1"/>
  <c r="X96" i="3315" s="1"/>
  <c r="N891" i="3315"/>
  <c r="V891" i="3315" s="1"/>
  <c r="N194" i="3315"/>
  <c r="V194" i="3315" s="1"/>
  <c r="N942" i="3315"/>
  <c r="N645" i="3315"/>
  <c r="V645" i="3315" s="1"/>
  <c r="N636" i="3315"/>
  <c r="V636" i="3315" s="1"/>
  <c r="X636" i="3315" s="1"/>
  <c r="N623" i="3315"/>
  <c r="V623" i="3315" s="1"/>
  <c r="N696" i="3315"/>
  <c r="V696" i="3315" s="1"/>
  <c r="X696" i="3315" s="1"/>
  <c r="N745" i="3315"/>
  <c r="V745" i="3315" s="1"/>
  <c r="X745" i="3315" s="1"/>
  <c r="N1001" i="3315"/>
  <c r="V1001" i="3315" s="1"/>
  <c r="N358" i="3315"/>
  <c r="V358" i="3315" s="1"/>
  <c r="X358" i="3315" s="1"/>
  <c r="N819" i="3315"/>
  <c r="V819" i="3315" s="1"/>
  <c r="N979" i="3315"/>
  <c r="V979" i="3315" s="1"/>
  <c r="X979" i="3315" s="1"/>
  <c r="N1240" i="3315"/>
  <c r="V1240" i="3315" s="1"/>
  <c r="N1231" i="3315"/>
  <c r="V1231" i="3315" s="1"/>
  <c r="N46" i="3315"/>
  <c r="V46" i="3315" s="1"/>
  <c r="N848" i="3315"/>
  <c r="V848" i="3315" s="1"/>
  <c r="X848" i="3315" s="1"/>
  <c r="N672" i="3315"/>
  <c r="V672" i="3315" s="1"/>
  <c r="X672" i="3315" s="1"/>
  <c r="N1239" i="3315"/>
  <c r="V1239" i="3315" s="1"/>
  <c r="N320" i="3315"/>
  <c r="V320" i="3315" s="1"/>
  <c r="X320" i="3315" s="1"/>
  <c r="N89" i="3315"/>
  <c r="V89" i="3315" s="1"/>
  <c r="X89" i="3315" s="1"/>
  <c r="N704" i="3315"/>
  <c r="V704" i="3315" s="1"/>
  <c r="X704" i="3315" s="1"/>
  <c r="N274" i="3315"/>
  <c r="V274" i="3315" s="1"/>
  <c r="X274" i="3315" s="1"/>
  <c r="N551" i="3315"/>
  <c r="V551" i="3315" s="1"/>
  <c r="N809" i="3315"/>
  <c r="V809" i="3315" s="1"/>
  <c r="N800" i="3315"/>
  <c r="V800" i="3315" s="1"/>
  <c r="X800" i="3315" s="1"/>
  <c r="N791" i="3315"/>
  <c r="V791" i="3315" s="1"/>
  <c r="X791" i="3315" s="1"/>
  <c r="N1025" i="3315"/>
  <c r="N50" i="3315"/>
  <c r="V50" i="3315" s="1"/>
  <c r="N692" i="3315"/>
  <c r="V692" i="3315" s="1"/>
  <c r="N871" i="3315"/>
  <c r="V871" i="3315" s="1"/>
  <c r="X871" i="3315" s="1"/>
  <c r="N174" i="3315"/>
  <c r="V174" i="3315" s="1"/>
  <c r="X174" i="3315" s="1"/>
  <c r="N922" i="3315"/>
  <c r="V922" i="3315" s="1"/>
  <c r="N621" i="3315"/>
  <c r="V621" i="3315" s="1"/>
  <c r="N612" i="3315"/>
  <c r="V612" i="3315" s="1"/>
  <c r="X612" i="3315" s="1"/>
  <c r="N603" i="3315"/>
  <c r="V603" i="3315" s="1"/>
  <c r="X603" i="3315" s="1"/>
  <c r="N680" i="3315"/>
  <c r="V680" i="3315" s="1"/>
  <c r="X680" i="3315" s="1"/>
  <c r="N693" i="3315"/>
  <c r="V693" i="3315" s="1"/>
  <c r="N1147" i="3315"/>
  <c r="V1141" i="3315"/>
  <c r="N1138" i="3315"/>
  <c r="V1094" i="3315"/>
  <c r="V1053" i="3315"/>
  <c r="N1091" i="3315"/>
  <c r="N467" i="3315"/>
  <c r="N580" i="3315"/>
  <c r="V580" i="3315" s="1"/>
  <c r="N452" i="3315"/>
  <c r="V452" i="3315" s="1"/>
  <c r="X452" i="3315" s="1"/>
  <c r="N526" i="3315"/>
  <c r="V526" i="3315" s="1"/>
  <c r="N323" i="3315"/>
  <c r="V323" i="3315" s="1"/>
  <c r="X323" i="3315" s="1"/>
  <c r="N154" i="3315"/>
  <c r="V154" i="3315" s="1"/>
  <c r="N176" i="3315"/>
  <c r="V176" i="3315" s="1"/>
  <c r="X176" i="3315" s="1"/>
  <c r="N855" i="3315"/>
  <c r="V855" i="3315" s="1"/>
  <c r="X855" i="3315" s="1"/>
  <c r="N186" i="3315"/>
  <c r="V186" i="3315" s="1"/>
  <c r="X186" i="3315" s="1"/>
  <c r="N782" i="3315"/>
  <c r="V782" i="3315" s="1"/>
  <c r="N831" i="3315"/>
  <c r="V831" i="3315" s="1"/>
  <c r="X831" i="3315" s="1"/>
  <c r="N538" i="3315"/>
  <c r="V538" i="3315" s="1"/>
  <c r="X538" i="3315" s="1"/>
  <c r="N683" i="3315"/>
  <c r="V683" i="3315" s="1"/>
  <c r="X683" i="3315" s="1"/>
  <c r="N268" i="3315"/>
  <c r="V268" i="3315" s="1"/>
  <c r="X268" i="3315" s="1"/>
  <c r="N762" i="3315"/>
  <c r="V762" i="3315" s="1"/>
  <c r="N407" i="3315"/>
  <c r="V407" i="3315" s="1"/>
  <c r="X407" i="3315" s="1"/>
  <c r="N557" i="3315"/>
  <c r="V557" i="3315" s="1"/>
  <c r="X557" i="3315" s="1"/>
  <c r="N558" i="3315"/>
  <c r="V558" i="3315" s="1"/>
  <c r="X558" i="3315" s="1"/>
  <c r="N417" i="3315"/>
  <c r="V417" i="3315" s="1"/>
  <c r="N1243" i="3315"/>
  <c r="V1243" i="3315" s="1"/>
  <c r="N357" i="3315"/>
  <c r="V357" i="3315" s="1"/>
  <c r="X357" i="3315" s="1"/>
  <c r="N200" i="3315"/>
  <c r="V200" i="3315" s="1"/>
  <c r="X200" i="3315" s="1"/>
  <c r="N415" i="3315"/>
  <c r="V415" i="3315" s="1"/>
  <c r="N379" i="3315"/>
  <c r="V379" i="3315" s="1"/>
  <c r="X379" i="3315" s="1"/>
  <c r="N203" i="3315"/>
  <c r="V203" i="3315" s="1"/>
  <c r="N240" i="3315"/>
  <c r="V240" i="3315" s="1"/>
  <c r="X240" i="3315" s="1"/>
  <c r="N907" i="3315"/>
  <c r="V907" i="3315" s="1"/>
  <c r="X907" i="3315" s="1"/>
  <c r="N857" i="3315"/>
  <c r="V857" i="3315" s="1"/>
  <c r="X857" i="3315" s="1"/>
  <c r="N921" i="3315"/>
  <c r="V921" i="3315" s="1"/>
  <c r="X921" i="3315" s="1"/>
  <c r="N900" i="3315"/>
  <c r="V900" i="3315" s="1"/>
  <c r="N915" i="3315"/>
  <c r="V915" i="3315" s="1"/>
  <c r="N469" i="3315"/>
  <c r="V469" i="3315" s="1"/>
  <c r="X469" i="3315" s="1"/>
  <c r="N418" i="3315"/>
  <c r="V418" i="3315" s="1"/>
  <c r="X418" i="3315" s="1"/>
  <c r="N211" i="3315"/>
  <c r="V211" i="3315" s="1"/>
  <c r="N829" i="3315"/>
  <c r="N446" i="3315"/>
  <c r="V446" i="3315" s="1"/>
  <c r="X446" i="3315" s="1"/>
  <c r="N868" i="3315"/>
  <c r="V868" i="3315" s="1"/>
  <c r="X868" i="3315" s="1"/>
  <c r="N492" i="3315"/>
  <c r="V492" i="3315" s="1"/>
  <c r="X492" i="3315" s="1"/>
  <c r="N263" i="3315"/>
  <c r="V263" i="3315" s="1"/>
  <c r="N95" i="3315"/>
  <c r="V95" i="3315" s="1"/>
  <c r="N90" i="3315"/>
  <c r="V90" i="3315" s="1"/>
  <c r="X90" i="3315" s="1"/>
  <c r="N324" i="3315"/>
  <c r="V324" i="3315" s="1"/>
  <c r="N660" i="3315"/>
  <c r="V660" i="3315" s="1"/>
  <c r="X660" i="3315" s="1"/>
  <c r="N402" i="3315"/>
  <c r="V402" i="3315" s="1"/>
  <c r="X402" i="3315" s="1"/>
  <c r="N600" i="3315"/>
  <c r="V600" i="3315" s="1"/>
  <c r="X600" i="3315" s="1"/>
  <c r="N219" i="3315"/>
  <c r="V219" i="3315" s="1"/>
  <c r="X219" i="3315" s="1"/>
  <c r="N212" i="3315"/>
  <c r="V212" i="3315" s="1"/>
  <c r="X212" i="3315" s="1"/>
  <c r="N933" i="3315"/>
  <c r="V933" i="3315" s="1"/>
  <c r="N487" i="3315"/>
  <c r="N94" i="3315"/>
  <c r="V94" i="3315" s="1"/>
  <c r="X94" i="3315" s="1"/>
  <c r="N251" i="3315"/>
  <c r="V251" i="3315" s="1"/>
  <c r="X251" i="3315" s="1"/>
  <c r="N650" i="3315"/>
  <c r="V650" i="3315" s="1"/>
  <c r="X650" i="3315" s="1"/>
  <c r="N477" i="3315"/>
  <c r="V477" i="3315" s="1"/>
  <c r="X477" i="3315" s="1"/>
  <c r="N552" i="3315"/>
  <c r="V552" i="3315" s="1"/>
  <c r="M309" i="3315"/>
  <c r="N135" i="3315"/>
  <c r="N338" i="3315"/>
  <c r="N1035" i="3315"/>
  <c r="V1035" i="3315" s="1"/>
  <c r="X1035" i="3315" s="1"/>
  <c r="N742" i="3315"/>
  <c r="V742" i="3315" s="1"/>
  <c r="X742" i="3315" s="1"/>
  <c r="N162" i="3315"/>
  <c r="V162" i="3315" s="1"/>
  <c r="X162" i="3315" s="1"/>
  <c r="N115" i="3315"/>
  <c r="V115" i="3315" s="1"/>
  <c r="X115" i="3315" s="1"/>
  <c r="N695" i="3315"/>
  <c r="V695" i="3315" s="1"/>
  <c r="X695" i="3315" s="1"/>
  <c r="N449" i="3315"/>
  <c r="V449" i="3315" s="1"/>
  <c r="X449" i="3315" s="1"/>
  <c r="N883" i="3315"/>
  <c r="V883" i="3315" s="1"/>
  <c r="X883" i="3315" s="1"/>
  <c r="N224" i="3315"/>
  <c r="V224" i="3315" s="1"/>
  <c r="X224" i="3315" s="1"/>
  <c r="N1203" i="3315"/>
  <c r="N888" i="3315"/>
  <c r="V888" i="3315" s="1"/>
  <c r="N369" i="3315"/>
  <c r="V369" i="3315" s="1"/>
  <c r="N830" i="3315"/>
  <c r="V830" i="3315" s="1"/>
  <c r="X830" i="3315" s="1"/>
  <c r="N151" i="3315"/>
  <c r="V151" i="3315" s="1"/>
  <c r="N866" i="3315"/>
  <c r="V866" i="3315" s="1"/>
  <c r="N608" i="3315"/>
  <c r="V608" i="3315" s="1"/>
  <c r="X608" i="3315" s="1"/>
  <c r="N318" i="3315"/>
  <c r="V318" i="3315" s="1"/>
  <c r="X318" i="3315" s="1"/>
  <c r="N228" i="3315"/>
  <c r="V228" i="3315" s="1"/>
  <c r="N935" i="3315"/>
  <c r="V935" i="3315" s="1"/>
  <c r="N347" i="3315"/>
  <c r="V347" i="3315" s="1"/>
  <c r="N414" i="3315"/>
  <c r="V414" i="3315" s="1"/>
  <c r="X414" i="3315" s="1"/>
  <c r="N149" i="3315"/>
  <c r="V149" i="3315" s="1"/>
  <c r="N889" i="3315"/>
  <c r="V889" i="3315" s="1"/>
  <c r="X889" i="3315" s="1"/>
  <c r="N195" i="3315"/>
  <c r="V195" i="3315" s="1"/>
  <c r="X195" i="3315" s="1"/>
  <c r="N943" i="3315"/>
  <c r="V943" i="3315" s="1"/>
  <c r="N1245" i="3315"/>
  <c r="V1245" i="3315" s="1"/>
  <c r="X1245" i="3315" s="1"/>
  <c r="N571" i="3315"/>
  <c r="V571" i="3315" s="1"/>
  <c r="X571" i="3315" s="1"/>
  <c r="N728" i="3315"/>
  <c r="V728" i="3315" s="1"/>
  <c r="X728" i="3315" s="1"/>
  <c r="N908" i="3315"/>
  <c r="V908" i="3315" s="1"/>
  <c r="X908" i="3315" s="1"/>
  <c r="N118" i="3315"/>
  <c r="V118" i="3315" s="1"/>
  <c r="X118" i="3315" s="1"/>
  <c r="N207" i="3315"/>
  <c r="V207" i="3315" s="1"/>
  <c r="X207" i="3315" s="1"/>
  <c r="N107" i="3315"/>
  <c r="V107" i="3315" s="1"/>
  <c r="N1189" i="3315"/>
  <c r="V1189" i="3315" s="1"/>
  <c r="X1189" i="3315" s="1"/>
  <c r="N816" i="3315"/>
  <c r="V816" i="3315" s="1"/>
  <c r="X816" i="3315" s="1"/>
  <c r="N641" i="3315"/>
  <c r="V641" i="3315" s="1"/>
  <c r="N493" i="3315"/>
  <c r="V493" i="3315" s="1"/>
  <c r="N1184" i="3315"/>
  <c r="V1184" i="3315" s="1"/>
  <c r="X1184" i="3315" s="1"/>
  <c r="N172" i="3315"/>
  <c r="V172" i="3315" s="1"/>
  <c r="X172" i="3315" s="1"/>
  <c r="N584" i="3315"/>
  <c r="V584" i="3315" s="1"/>
  <c r="X584" i="3315" s="1"/>
  <c r="N265" i="3315"/>
  <c r="V265" i="3315" s="1"/>
  <c r="X265" i="3315" s="1"/>
  <c r="N542" i="3315"/>
  <c r="V542" i="3315" s="1"/>
  <c r="X542" i="3315" s="1"/>
  <c r="N108" i="3315"/>
  <c r="V108" i="3315" s="1"/>
  <c r="X108" i="3315" s="1"/>
  <c r="N401" i="3315"/>
  <c r="V401" i="3315" s="1"/>
  <c r="X401" i="3315" s="1"/>
  <c r="N456" i="3315"/>
  <c r="V456" i="3315" s="1"/>
  <c r="X456" i="3315" s="1"/>
  <c r="N1024" i="3315"/>
  <c r="V1024" i="3315" s="1"/>
  <c r="X1024" i="3315" s="1"/>
  <c r="N565" i="3315"/>
  <c r="V565" i="3315" s="1"/>
  <c r="X565" i="3315" s="1"/>
  <c r="N615" i="3315"/>
  <c r="V615" i="3315" s="1"/>
  <c r="X615" i="3315" s="1"/>
  <c r="N988" i="3315"/>
  <c r="V988" i="3315" s="1"/>
  <c r="X988" i="3315" s="1"/>
  <c r="N327" i="3315"/>
  <c r="V327" i="3315" s="1"/>
  <c r="N106" i="3315"/>
  <c r="V106" i="3315" s="1"/>
  <c r="X106" i="3315" s="1"/>
  <c r="N399" i="3315"/>
  <c r="V399" i="3315" s="1"/>
  <c r="N1009" i="3315"/>
  <c r="V1009" i="3315" s="1"/>
  <c r="X1009" i="3315" s="1"/>
  <c r="N363" i="3315"/>
  <c r="V363" i="3315" s="1"/>
  <c r="X363" i="3315" s="1"/>
  <c r="N218" i="3315"/>
  <c r="V218" i="3315" s="1"/>
  <c r="X218" i="3315" s="1"/>
  <c r="N98" i="3315"/>
  <c r="V98" i="3315" s="1"/>
  <c r="X98" i="3315" s="1"/>
  <c r="N368" i="3315"/>
  <c r="V368" i="3315" s="1"/>
  <c r="X368" i="3315" s="1"/>
  <c r="N136" i="3315"/>
  <c r="V136" i="3315" s="1"/>
  <c r="N472" i="3315"/>
  <c r="V472" i="3315" s="1"/>
  <c r="N427" i="3315"/>
  <c r="V427" i="3315" s="1"/>
  <c r="X427" i="3315" s="1"/>
  <c r="N202" i="3315"/>
  <c r="V202" i="3315" s="1"/>
  <c r="N930" i="3315"/>
  <c r="V930" i="3315" s="1"/>
  <c r="X930" i="3315" s="1"/>
  <c r="N66" i="3315"/>
  <c r="V66" i="3315" s="1"/>
  <c r="N685" i="3315"/>
  <c r="V685" i="3315" s="1"/>
  <c r="X685" i="3315" s="1"/>
  <c r="N97" i="3315"/>
  <c r="V97" i="3315" s="1"/>
  <c r="X97" i="3315" s="1"/>
  <c r="N296" i="3315"/>
  <c r="V296" i="3315" s="1"/>
  <c r="X296" i="3315" s="1"/>
  <c r="N373" i="3315"/>
  <c r="V373" i="3315" s="1"/>
  <c r="N171" i="3315"/>
  <c r="V171" i="3315" s="1"/>
  <c r="X171" i="3315" s="1"/>
  <c r="N624" i="3315"/>
  <c r="V624" i="3315" s="1"/>
  <c r="X624" i="3315" s="1"/>
  <c r="N360" i="3315"/>
  <c r="V360" i="3315" s="1"/>
  <c r="X360" i="3315" s="1"/>
  <c r="N398" i="3315"/>
  <c r="V398" i="3315" s="1"/>
  <c r="X398" i="3315" s="1"/>
  <c r="N361" i="3315"/>
  <c r="V361" i="3315" s="1"/>
  <c r="X361" i="3315" s="1"/>
  <c r="N116" i="3315"/>
  <c r="V116" i="3315" s="1"/>
  <c r="X116" i="3315" s="1"/>
  <c r="N127" i="3315"/>
  <c r="V127" i="3315" s="1"/>
  <c r="X127" i="3315" s="1"/>
  <c r="N743" i="3315"/>
  <c r="V743" i="3315" s="1"/>
  <c r="X743" i="3315" s="1"/>
  <c r="N582" i="3315"/>
  <c r="V582" i="3315" s="1"/>
  <c r="N656" i="3315"/>
  <c r="V656" i="3315" s="1"/>
  <c r="X656" i="3315" s="1"/>
  <c r="N712" i="3315"/>
  <c r="V712" i="3315" s="1"/>
  <c r="N823" i="3315"/>
  <c r="V823" i="3315" s="1"/>
  <c r="X823" i="3315" s="1"/>
  <c r="N77" i="3315"/>
  <c r="V77" i="3315" s="1"/>
  <c r="N529" i="3315"/>
  <c r="V529" i="3315" s="1"/>
  <c r="X529" i="3315" s="1"/>
  <c r="N1021" i="3315"/>
  <c r="V1021" i="3315" s="1"/>
  <c r="X1021" i="3315" s="1"/>
  <c r="N799" i="3315"/>
  <c r="V799" i="3315" s="1"/>
  <c r="N892" i="3315"/>
  <c r="V892" i="3315" s="1"/>
  <c r="N252" i="3315"/>
  <c r="V252" i="3315" s="1"/>
  <c r="N285" i="3315"/>
  <c r="V285" i="3315" s="1"/>
  <c r="X285" i="3315" s="1"/>
  <c r="N602" i="3315"/>
  <c r="V602" i="3315" s="1"/>
  <c r="N250" i="3315"/>
  <c r="V250" i="3315" s="1"/>
  <c r="M966" i="3315"/>
  <c r="N594" i="3315"/>
  <c r="N422" i="3315"/>
  <c r="V422" i="3315" s="1"/>
  <c r="X422" i="3315" s="1"/>
  <c r="N858" i="3315"/>
  <c r="V858" i="3315" s="1"/>
  <c r="X858" i="3315" s="1"/>
  <c r="N225" i="3315"/>
  <c r="V225" i="3315" s="1"/>
  <c r="N885" i="3315"/>
  <c r="V885" i="3315" s="1"/>
  <c r="X885" i="3315" s="1"/>
  <c r="N409" i="3315"/>
  <c r="V409" i="3315" s="1"/>
  <c r="N1211" i="3315"/>
  <c r="V1211" i="3315" s="1"/>
  <c r="X1211" i="3315" s="1"/>
  <c r="N150" i="3315"/>
  <c r="V150" i="3315" s="1"/>
  <c r="X150" i="3315" s="1"/>
  <c r="N597" i="3315"/>
  <c r="V597" i="3315" s="1"/>
  <c r="X597" i="3315" s="1"/>
  <c r="N1180" i="3315"/>
  <c r="V1180" i="3315" s="1"/>
  <c r="X1180" i="3315" s="1"/>
  <c r="N226" i="3315"/>
  <c r="V226" i="3315" s="1"/>
  <c r="N659" i="3315"/>
  <c r="V659" i="3315" s="1"/>
  <c r="N778" i="3315"/>
  <c r="V778" i="3315" s="1"/>
  <c r="X778" i="3315" s="1"/>
  <c r="N1003" i="3315"/>
  <c r="V1003" i="3315" s="1"/>
  <c r="X1003" i="3315" s="1"/>
  <c r="N319" i="3315"/>
  <c r="V319" i="3315" s="1"/>
  <c r="X319" i="3315" s="1"/>
  <c r="N574" i="3315"/>
  <c r="V574" i="3315" s="1"/>
  <c r="X574" i="3315" s="1"/>
  <c r="N1038" i="3315"/>
  <c r="V1038" i="3315" s="1"/>
  <c r="X1038" i="3315" s="1"/>
  <c r="N687" i="3315"/>
  <c r="V687" i="3315" s="1"/>
  <c r="X687" i="3315" s="1"/>
  <c r="N294" i="3315"/>
  <c r="V294" i="3315" s="1"/>
  <c r="N451" i="3315"/>
  <c r="V451" i="3315" s="1"/>
  <c r="N1230" i="3315"/>
  <c r="V1230" i="3315" s="1"/>
  <c r="X1230" i="3315" s="1"/>
  <c r="N1182" i="3315"/>
  <c r="V1182" i="3315" s="1"/>
  <c r="X1182" i="3315" s="1"/>
  <c r="N811" i="3315"/>
  <c r="V811" i="3315" s="1"/>
  <c r="X811" i="3315" s="1"/>
  <c r="N316" i="3315"/>
  <c r="V316" i="3315" s="1"/>
  <c r="X316" i="3315" s="1"/>
  <c r="N727" i="3315"/>
  <c r="V727" i="3315" s="1"/>
  <c r="X727" i="3315" s="1"/>
  <c r="N498" i="3315"/>
  <c r="V498" i="3315" s="1"/>
  <c r="X498" i="3315" s="1"/>
  <c r="N767" i="3315"/>
  <c r="V767" i="3315" s="1"/>
  <c r="X767" i="3315" s="1"/>
  <c r="N715" i="3315"/>
  <c r="V715" i="3315" s="1"/>
  <c r="X715" i="3315" s="1"/>
  <c r="N142" i="3315"/>
  <c r="V142" i="3315" s="1"/>
  <c r="X142" i="3315" s="1"/>
  <c r="N1042" i="3315"/>
  <c r="V1042" i="3315" s="1"/>
  <c r="N1010" i="3315"/>
  <c r="V1010" i="3315" s="1"/>
  <c r="X1010" i="3315" s="1"/>
  <c r="N703" i="3315"/>
  <c r="V703" i="3315" s="1"/>
  <c r="X703" i="3315" s="1"/>
  <c r="N193" i="3315"/>
  <c r="V193" i="3315" s="1"/>
  <c r="X193" i="3315" s="1"/>
  <c r="N941" i="3315"/>
  <c r="V941" i="3315" s="1"/>
  <c r="X941" i="3315" s="1"/>
  <c r="N239" i="3315"/>
  <c r="V239" i="3315" s="1"/>
  <c r="N495" i="3315"/>
  <c r="V495" i="3315" s="1"/>
  <c r="X495" i="3315" s="1"/>
  <c r="N801" i="3315"/>
  <c r="V801" i="3315" s="1"/>
  <c r="X801" i="3315" s="1"/>
  <c r="N713" i="3315"/>
  <c r="V713" i="3315" s="1"/>
  <c r="N123" i="3315"/>
  <c r="V123" i="3315" s="1"/>
  <c r="N416" i="3315"/>
  <c r="V416" i="3315" s="1"/>
  <c r="X416" i="3315" s="1"/>
  <c r="N642" i="3315"/>
  <c r="V642" i="3315" s="1"/>
  <c r="X642" i="3315" s="1"/>
  <c r="N1225" i="3315"/>
  <c r="V1225" i="3315" s="1"/>
  <c r="X1225" i="3315" s="1"/>
  <c r="N1216" i="3315"/>
  <c r="V1216" i="3315" s="1"/>
  <c r="X1216" i="3315" s="1"/>
  <c r="N700" i="3315"/>
  <c r="V700" i="3315" s="1"/>
  <c r="X700" i="3315" s="1"/>
  <c r="N682" i="3315"/>
  <c r="V682" i="3315" s="1"/>
  <c r="N396" i="3315"/>
  <c r="V396" i="3315" s="1"/>
  <c r="X396" i="3315" s="1"/>
  <c r="N1194" i="3315"/>
  <c r="V1194" i="3315" s="1"/>
  <c r="X1194" i="3315" s="1"/>
  <c r="N1016" i="3315"/>
  <c r="V1016" i="3315" s="1"/>
  <c r="X1016" i="3315" s="1"/>
  <c r="N853" i="3315"/>
  <c r="V853" i="3315" s="1"/>
  <c r="N206" i="3315"/>
  <c r="V206" i="3315" s="1"/>
  <c r="N657" i="3315"/>
  <c r="V657" i="3315" s="1"/>
  <c r="N639" i="3315"/>
  <c r="V639" i="3315" s="1"/>
  <c r="X639" i="3315" s="1"/>
  <c r="N897" i="3315"/>
  <c r="V897" i="3315" s="1"/>
  <c r="N647" i="3315"/>
  <c r="V647" i="3315" s="1"/>
  <c r="N690" i="3315"/>
  <c r="V690" i="3315" s="1"/>
  <c r="X690" i="3315" s="1"/>
  <c r="N850" i="3315"/>
  <c r="V850" i="3315" s="1"/>
  <c r="N794" i="3315"/>
  <c r="V794" i="3315" s="1"/>
  <c r="X794" i="3315" s="1"/>
  <c r="N350" i="3315"/>
  <c r="V350" i="3315" s="1"/>
  <c r="X350" i="3315" s="1"/>
  <c r="N870" i="3315"/>
  <c r="V870" i="3315" s="1"/>
  <c r="N1030" i="3315"/>
  <c r="V1030" i="3315" s="1"/>
  <c r="N1007" i="3315"/>
  <c r="V1007" i="3315" s="1"/>
  <c r="X1007" i="3315" s="1"/>
  <c r="N998" i="3315"/>
  <c r="V998" i="3315" s="1"/>
  <c r="N697" i="3315"/>
  <c r="V697" i="3315" s="1"/>
  <c r="N51" i="3315"/>
  <c r="V51" i="3315" s="1"/>
  <c r="N313" i="3315"/>
  <c r="V313" i="3315" s="1"/>
  <c r="X313" i="3315" s="1"/>
  <c r="N286" i="3315"/>
  <c r="V286" i="3315" s="1"/>
  <c r="X286" i="3315" s="1"/>
  <c r="N443" i="3315"/>
  <c r="V443" i="3315" s="1"/>
  <c r="X443" i="3315" s="1"/>
  <c r="N1187" i="3315"/>
  <c r="V1187" i="3315" s="1"/>
  <c r="N812" i="3315"/>
  <c r="V812" i="3315" s="1"/>
  <c r="X812" i="3315" s="1"/>
  <c r="N803" i="3315"/>
  <c r="V803" i="3315" s="1"/>
  <c r="X803" i="3315" s="1"/>
  <c r="N1027" i="3315"/>
  <c r="V1027" i="3315" s="1"/>
  <c r="X1027" i="3315" s="1"/>
  <c r="N948" i="3315"/>
  <c r="V948" i="3315" s="1"/>
  <c r="N893" i="3315"/>
  <c r="V893" i="3315" s="1"/>
  <c r="N44" i="3315"/>
  <c r="V44" i="3315" s="1"/>
  <c r="N1020" i="3315"/>
  <c r="V1020" i="3315" s="1"/>
  <c r="X1020" i="3315" s="1"/>
  <c r="N61" i="3315"/>
  <c r="V61" i="3315" s="1"/>
  <c r="X61" i="3315" s="1"/>
  <c r="N686" i="3315"/>
  <c r="V686" i="3315" s="1"/>
  <c r="X686" i="3315" s="1"/>
  <c r="N93" i="3315"/>
  <c r="V93" i="3315" s="1"/>
  <c r="N210" i="3315"/>
  <c r="V210" i="3315" s="1"/>
  <c r="X210" i="3315" s="1"/>
  <c r="N578" i="3315"/>
  <c r="V578" i="3315" s="1"/>
  <c r="X578" i="3315" s="1"/>
  <c r="N661" i="3315"/>
  <c r="V661" i="3315" s="1"/>
  <c r="X661" i="3315" s="1"/>
  <c r="N652" i="3315"/>
  <c r="V652" i="3315" s="1"/>
  <c r="X652" i="3315" s="1"/>
  <c r="N643" i="3315"/>
  <c r="V643" i="3315" s="1"/>
  <c r="X643" i="3315" s="1"/>
  <c r="N84" i="3315"/>
  <c r="V84" i="3315" s="1"/>
  <c r="N52" i="3315"/>
  <c r="V52" i="3315" s="1"/>
  <c r="N626" i="3315"/>
  <c r="V626" i="3315" s="1"/>
  <c r="X626" i="3315" s="1"/>
  <c r="N374" i="3315"/>
  <c r="V374" i="3315" s="1"/>
  <c r="X374" i="3315" s="1"/>
  <c r="N836" i="3315"/>
  <c r="V836" i="3315" s="1"/>
  <c r="N996" i="3315"/>
  <c r="V996" i="3315" s="1"/>
  <c r="X996" i="3315" s="1"/>
  <c r="N986" i="3315"/>
  <c r="V986" i="3315" s="1"/>
  <c r="X986" i="3315" s="1"/>
  <c r="N1247" i="3315"/>
  <c r="V1247" i="3315" s="1"/>
  <c r="X1247" i="3315" s="1"/>
  <c r="N845" i="3315"/>
  <c r="V845" i="3315" s="1"/>
  <c r="X845" i="3315" s="1"/>
  <c r="N705" i="3315"/>
  <c r="V705" i="3315" s="1"/>
  <c r="X705" i="3315" s="1"/>
  <c r="N736" i="3315"/>
  <c r="V736" i="3315" s="1"/>
  <c r="X736" i="3315" s="1"/>
  <c r="X259" i="3315" l="1"/>
  <c r="X208" i="3315"/>
  <c r="AE208" i="3315" s="1"/>
  <c r="X70" i="3315"/>
  <c r="AE70" i="3315" s="1"/>
  <c r="X1145" i="3315"/>
  <c r="AE1145" i="3315" s="1"/>
  <c r="X851" i="3315"/>
  <c r="AE851" i="3315" s="1"/>
  <c r="X552" i="3315"/>
  <c r="AE552" i="3315" s="1"/>
  <c r="X159" i="3315"/>
  <c r="X692" i="3315"/>
  <c r="AE692" i="3315" s="1"/>
  <c r="AE986" i="3315"/>
  <c r="AE578" i="3315"/>
  <c r="AE803" i="3315"/>
  <c r="AE416" i="3315"/>
  <c r="AE703" i="3315"/>
  <c r="AE715" i="3315"/>
  <c r="AE316" i="3315"/>
  <c r="AE1182" i="3315"/>
  <c r="AE319" i="3315"/>
  <c r="AE422" i="3315"/>
  <c r="AE823" i="3315"/>
  <c r="AE207" i="3315"/>
  <c r="AE571" i="3315"/>
  <c r="AE907" i="3315"/>
  <c r="AE407" i="3315"/>
  <c r="AE538" i="3315"/>
  <c r="AE612" i="3315"/>
  <c r="AE979" i="3315"/>
  <c r="AE745" i="3315"/>
  <c r="AE96" i="3315"/>
  <c r="AE732" i="3315"/>
  <c r="AE607" i="3315"/>
  <c r="AE1034" i="3315"/>
  <c r="AE987" i="3315"/>
  <c r="AE1012" i="3315"/>
  <c r="AE795" i="3315"/>
  <c r="AE254" i="3315"/>
  <c r="AE822" i="3315"/>
  <c r="AE1036" i="3315"/>
  <c r="AE182" i="3315"/>
  <c r="AE301" i="3315"/>
  <c r="AE934" i="3315"/>
  <c r="AE1183" i="3315"/>
  <c r="AE1228" i="3315"/>
  <c r="AE605" i="3315"/>
  <c r="AE258" i="3315"/>
  <c r="AE997" i="3315"/>
  <c r="AE640" i="3315"/>
  <c r="AE266" i="3315"/>
  <c r="AE824" i="3315"/>
  <c r="AE99" i="3315"/>
  <c r="AE825" i="3315"/>
  <c r="AE500" i="3315"/>
  <c r="AE1186" i="3315"/>
  <c r="AE436" i="3315"/>
  <c r="AE277" i="3315"/>
  <c r="AE556" i="3315"/>
  <c r="AE458" i="3315"/>
  <c r="AE231" i="3315"/>
  <c r="AE905" i="3315"/>
  <c r="AE159" i="3315"/>
  <c r="AE376" i="3315"/>
  <c r="AE759" i="3315"/>
  <c r="AE302" i="3315"/>
  <c r="AE1046" i="3315"/>
  <c r="AE663" i="3315"/>
  <c r="AE1221" i="3315"/>
  <c r="AE1019" i="3315"/>
  <c r="AE983" i="3315"/>
  <c r="AE466" i="3315"/>
  <c r="AE954" i="3315"/>
  <c r="AE598" i="3315"/>
  <c r="AE955" i="3315"/>
  <c r="AE476" i="3315"/>
  <c r="AE1076" i="3315"/>
  <c r="AE1126" i="3315"/>
  <c r="AE1069" i="3315"/>
  <c r="AE1116" i="3315"/>
  <c r="AE845" i="3315"/>
  <c r="AE443" i="3315"/>
  <c r="AE313" i="3315"/>
  <c r="AE690" i="3315"/>
  <c r="AE1225" i="3315"/>
  <c r="AE1230" i="3315"/>
  <c r="AE361" i="3315"/>
  <c r="AE171" i="3315"/>
  <c r="AE296" i="3315"/>
  <c r="AE930" i="3315"/>
  <c r="AE98" i="3315"/>
  <c r="AE988" i="3315"/>
  <c r="AE108" i="3315"/>
  <c r="AE1189" i="3315"/>
  <c r="AE195" i="3315"/>
  <c r="AE224" i="3315"/>
  <c r="AE115" i="3315"/>
  <c r="AE94" i="3315"/>
  <c r="AE90" i="3315"/>
  <c r="AE868" i="3315"/>
  <c r="AE921" i="3315"/>
  <c r="AE379" i="3315"/>
  <c r="AE176" i="3315"/>
  <c r="AE323" i="3315"/>
  <c r="AE800" i="3315"/>
  <c r="AE320" i="3315"/>
  <c r="AE473" i="3315"/>
  <c r="AE205" i="3315"/>
  <c r="AE148" i="3315"/>
  <c r="AE365" i="3315"/>
  <c r="AE284" i="3315"/>
  <c r="AE243" i="3315"/>
  <c r="AE904" i="3315"/>
  <c r="AE47" i="3315"/>
  <c r="AE494" i="3315"/>
  <c r="AE711" i="3315"/>
  <c r="AE104" i="3315"/>
  <c r="AE862" i="3315"/>
  <c r="AE723" i="3315"/>
  <c r="AE420" i="3315"/>
  <c r="AE765" i="3315"/>
  <c r="AE611" i="3315"/>
  <c r="AE227" i="3315"/>
  <c r="AE744" i="3315"/>
  <c r="AE1004" i="3315"/>
  <c r="AE188" i="3315"/>
  <c r="AE995" i="3315"/>
  <c r="AE119" i="3315"/>
  <c r="AE735" i="3315"/>
  <c r="AE1215" i="3315"/>
  <c r="AE792" i="3315"/>
  <c r="AE175" i="3315"/>
  <c r="AE547" i="3315"/>
  <c r="AE820" i="3315"/>
  <c r="AE993" i="3315"/>
  <c r="AE733" i="3315"/>
  <c r="AE1222" i="3315"/>
  <c r="AE694" i="3315"/>
  <c r="AE283" i="3315"/>
  <c r="AE322" i="3315"/>
  <c r="AE599" i="3315"/>
  <c r="AE776" i="3315"/>
  <c r="AE1188" i="3315"/>
  <c r="AE872" i="3315"/>
  <c r="AE110" i="3315"/>
  <c r="AE293" i="3315"/>
  <c r="AE340" i="3315"/>
  <c r="AE1217" i="3315"/>
  <c r="AE1066" i="3315"/>
  <c r="AE1120" i="3315"/>
  <c r="AE1129" i="3315"/>
  <c r="AE1083" i="3315"/>
  <c r="AE1104" i="3315"/>
  <c r="AE1074" i="3315"/>
  <c r="AE1081" i="3315"/>
  <c r="AE1063" i="3315"/>
  <c r="AE1095" i="3315"/>
  <c r="AE1137" i="3315"/>
  <c r="AE1136" i="3315"/>
  <c r="AE1143" i="3315"/>
  <c r="AE1055" i="3315"/>
  <c r="AE996" i="3315"/>
  <c r="AE661" i="3315"/>
  <c r="AE686" i="3315"/>
  <c r="AE1027" i="3315"/>
  <c r="AE396" i="3315"/>
  <c r="AE642" i="3315"/>
  <c r="AE193" i="3315"/>
  <c r="AE142" i="3315"/>
  <c r="AE727" i="3315"/>
  <c r="AE574" i="3315"/>
  <c r="AE885" i="3315"/>
  <c r="AE1021" i="3315"/>
  <c r="AE1184" i="3315"/>
  <c r="AE1245" i="3315"/>
  <c r="AE600" i="3315"/>
  <c r="AE186" i="3315"/>
  <c r="AE174" i="3315"/>
  <c r="AE636" i="3315"/>
  <c r="AE874" i="3315"/>
  <c r="AE543" i="3315"/>
  <c r="AE257" i="3315"/>
  <c r="AE270" i="3315"/>
  <c r="AE827" i="3315"/>
  <c r="AE846" i="3315"/>
  <c r="AE1229" i="3315"/>
  <c r="AE770" i="3315"/>
  <c r="AE432" i="3315"/>
  <c r="AE957" i="3315"/>
  <c r="AE628" i="3315"/>
  <c r="AE818" i="3315"/>
  <c r="AE721" i="3315"/>
  <c r="AE654" i="3315"/>
  <c r="AE531" i="3315"/>
  <c r="AE1218" i="3315"/>
  <c r="AE906" i="3315"/>
  <c r="AE784" i="3315"/>
  <c r="AE1002" i="3315"/>
  <c r="AE288" i="3315"/>
  <c r="AE144" i="3315"/>
  <c r="AE702" i="3315"/>
  <c r="AE497" i="3315"/>
  <c r="AE541" i="3315"/>
  <c r="AE233" i="3315"/>
  <c r="AE1205" i="3315"/>
  <c r="AE681" i="3315"/>
  <c r="AE1058" i="3315"/>
  <c r="AE1113" i="3315"/>
  <c r="AE1153" i="3315"/>
  <c r="AE1082" i="3315"/>
  <c r="AE1086" i="3315"/>
  <c r="AE1065" i="3315"/>
  <c r="AE1133" i="3315"/>
  <c r="AE1068" i="3315"/>
  <c r="AE1085" i="3315"/>
  <c r="AE1114" i="3315"/>
  <c r="AE1142" i="3315"/>
  <c r="AE1071" i="3315"/>
  <c r="AE1110" i="3315"/>
  <c r="AE1056" i="3315"/>
  <c r="AE626" i="3315"/>
  <c r="AE652" i="3315"/>
  <c r="AE61" i="3315"/>
  <c r="AE1216" i="3315"/>
  <c r="AE495" i="3315"/>
  <c r="AE941" i="3315"/>
  <c r="AE498" i="3315"/>
  <c r="AE1038" i="3315"/>
  <c r="AE778" i="3315"/>
  <c r="AE529" i="3315"/>
  <c r="AE656" i="3315"/>
  <c r="AE363" i="3315"/>
  <c r="AE172" i="3315"/>
  <c r="AE908" i="3315"/>
  <c r="AE402" i="3315"/>
  <c r="AE558" i="3315"/>
  <c r="AE268" i="3315"/>
  <c r="AE680" i="3315"/>
  <c r="AE871" i="3315"/>
  <c r="AE672" i="3315"/>
  <c r="AE358" i="3315"/>
  <c r="AE1026" i="3315"/>
  <c r="AE1029" i="3315"/>
  <c r="AE325" i="3315"/>
  <c r="AE1000" i="3315"/>
  <c r="AE88" i="3315"/>
  <c r="AE668" i="3315"/>
  <c r="AE81" i="3315"/>
  <c r="AE237" i="3315"/>
  <c r="AE807" i="3315"/>
  <c r="AE241" i="3315"/>
  <c r="AE381" i="3315"/>
  <c r="AE419" i="3315"/>
  <c r="AE215" i="3315"/>
  <c r="AE662" i="3315"/>
  <c r="AE372" i="3315"/>
  <c r="AE428" i="3315"/>
  <c r="AE793" i="3315"/>
  <c r="AE854" i="3315"/>
  <c r="AE903" i="3315"/>
  <c r="AE618" i="3315"/>
  <c r="AE758" i="3315"/>
  <c r="AE676" i="3315"/>
  <c r="AE346" i="3315"/>
  <c r="AE919" i="3315"/>
  <c r="AE86" i="3315"/>
  <c r="AE814" i="3315"/>
  <c r="AE653" i="3315"/>
  <c r="AE164" i="3315"/>
  <c r="AE120" i="3315"/>
  <c r="AE220" i="3315"/>
  <c r="AE881" i="3315"/>
  <c r="AE489" i="3315"/>
  <c r="AE833" i="3315"/>
  <c r="AE370" i="3315"/>
  <c r="AE397" i="3315"/>
  <c r="AE546" i="3315"/>
  <c r="AE980" i="3315"/>
  <c r="AE1014" i="3315"/>
  <c r="AE146" i="3315"/>
  <c r="AE664" i="3315"/>
  <c r="AE789" i="3315"/>
  <c r="AE248" i="3315"/>
  <c r="AE528" i="3315"/>
  <c r="AE880" i="3315"/>
  <c r="AE785" i="3315"/>
  <c r="AE380" i="3315"/>
  <c r="AE165" i="3315"/>
  <c r="AE1109" i="3315"/>
  <c r="AE1132" i="3315"/>
  <c r="AE1125" i="3315"/>
  <c r="AE1070" i="3315"/>
  <c r="AE1080" i="3315"/>
  <c r="AE736" i="3315"/>
  <c r="AE1007" i="3315"/>
  <c r="AE794" i="3315"/>
  <c r="AE1194" i="3315"/>
  <c r="AE150" i="3315"/>
  <c r="AE127" i="3315"/>
  <c r="AE360" i="3315"/>
  <c r="AE685" i="3315"/>
  <c r="AE427" i="3315"/>
  <c r="AE565" i="3315"/>
  <c r="AE456" i="3315"/>
  <c r="AE265" i="3315"/>
  <c r="AE608" i="3315"/>
  <c r="AE449" i="3315"/>
  <c r="AE742" i="3315"/>
  <c r="AE650" i="3315"/>
  <c r="AE219" i="3315"/>
  <c r="AE418" i="3315"/>
  <c r="AE240" i="3315"/>
  <c r="AE200" i="3315"/>
  <c r="AE452" i="3315"/>
  <c r="AE704" i="3315"/>
  <c r="AE384" i="3315"/>
  <c r="AE73" i="3315"/>
  <c r="AE535" i="3315"/>
  <c r="AE617" i="3315"/>
  <c r="AE924" i="3315"/>
  <c r="AE651" i="3315"/>
  <c r="AE292" i="3315"/>
  <c r="AE991" i="3315"/>
  <c r="AE168" i="3315"/>
  <c r="AE67" i="3315"/>
  <c r="AE763" i="3315"/>
  <c r="AE691" i="3315"/>
  <c r="AE595" i="3315"/>
  <c r="AE572" i="3315"/>
  <c r="AE604" i="3315"/>
  <c r="AE914" i="3315"/>
  <c r="AE674" i="3315"/>
  <c r="AE392" i="3315"/>
  <c r="AE214" i="3315"/>
  <c r="AE879" i="3315"/>
  <c r="AE553" i="3315"/>
  <c r="AE564" i="3315"/>
  <c r="AE217" i="3315"/>
  <c r="AE524" i="3315"/>
  <c r="AE622" i="3315"/>
  <c r="AE1032" i="3315"/>
  <c r="AE262" i="3315"/>
  <c r="AE1018" i="3315"/>
  <c r="AE478" i="3315"/>
  <c r="AE741" i="3315"/>
  <c r="AE992" i="3315"/>
  <c r="AE932" i="3315"/>
  <c r="AE112" i="3315"/>
  <c r="AE471" i="3315"/>
  <c r="AE1008" i="3315"/>
  <c r="AE433" i="3315"/>
  <c r="AE837" i="3315"/>
  <c r="AE234" i="3315"/>
  <c r="AE256" i="3315"/>
  <c r="AE421" i="3315"/>
  <c r="AE947" i="3315"/>
  <c r="AE1075" i="3315"/>
  <c r="AE1119" i="3315"/>
  <c r="AE1073" i="3315"/>
  <c r="AE1159" i="3315"/>
  <c r="AE1124" i="3315"/>
  <c r="AE374" i="3315"/>
  <c r="AE643" i="3315"/>
  <c r="AE210" i="3315"/>
  <c r="AE1020" i="3315"/>
  <c r="AE812" i="3315"/>
  <c r="AE700" i="3315"/>
  <c r="AE801" i="3315"/>
  <c r="AE1010" i="3315"/>
  <c r="AE767" i="3315"/>
  <c r="AE811" i="3315"/>
  <c r="AE687" i="3315"/>
  <c r="AE1003" i="3315"/>
  <c r="AE1180" i="3315"/>
  <c r="AE858" i="3315"/>
  <c r="AE1009" i="3315"/>
  <c r="AE106" i="3315"/>
  <c r="AE118" i="3315"/>
  <c r="AE728" i="3315"/>
  <c r="AE830" i="3315"/>
  <c r="AE660" i="3315"/>
  <c r="AE857" i="3315"/>
  <c r="AE557" i="3315"/>
  <c r="AE683" i="3315"/>
  <c r="AE831" i="3315"/>
  <c r="AE603" i="3315"/>
  <c r="AE848" i="3315"/>
  <c r="AE696" i="3315"/>
  <c r="AE675" i="3315"/>
  <c r="AE625" i="3315"/>
  <c r="AE810" i="3315"/>
  <c r="AE303" i="3315"/>
  <c r="AE787" i="3315"/>
  <c r="AE378" i="3315"/>
  <c r="AE977" i="3315"/>
  <c r="AE1047" i="3315"/>
  <c r="AE813" i="3315"/>
  <c r="AE491" i="3315"/>
  <c r="AE1235" i="3315"/>
  <c r="AE177" i="3315"/>
  <c r="AE359" i="3315"/>
  <c r="AE944" i="3315"/>
  <c r="AE126" i="3315"/>
  <c r="AE447" i="3315"/>
  <c r="AE917" i="3315"/>
  <c r="AE408" i="3315"/>
  <c r="AE429" i="3315"/>
  <c r="AE167" i="3315"/>
  <c r="AE596" i="3315"/>
  <c r="AE841" i="3315"/>
  <c r="AE321" i="3315"/>
  <c r="AE534" i="3315"/>
  <c r="AE710" i="3315"/>
  <c r="AE198" i="3315"/>
  <c r="AE882" i="3315"/>
  <c r="AE371" i="3315"/>
  <c r="AE523" i="3315"/>
  <c r="AE864" i="3315"/>
  <c r="AE1214" i="3315"/>
  <c r="AE196" i="3315"/>
  <c r="AE405" i="3315"/>
  <c r="AE544" i="3315"/>
  <c r="AE918" i="3315"/>
  <c r="AE896" i="3315"/>
  <c r="AE768" i="3315"/>
  <c r="AE644" i="3315"/>
  <c r="AE912" i="3315"/>
  <c r="AE282" i="3315"/>
  <c r="AE122" i="3315"/>
  <c r="AE124" i="3315"/>
  <c r="AE236" i="3315"/>
  <c r="AE956" i="3315"/>
  <c r="AE536" i="3315"/>
  <c r="AE859" i="3315"/>
  <c r="AE82" i="3315"/>
  <c r="AE460" i="3315"/>
  <c r="AE68" i="3315"/>
  <c r="AE1037" i="3315"/>
  <c r="AE828" i="3315"/>
  <c r="AE315" i="3315"/>
  <c r="AE699" i="3315"/>
  <c r="AE655" i="3315"/>
  <c r="AE756" i="3315"/>
  <c r="AE222" i="3315"/>
  <c r="AE1192" i="3315"/>
  <c r="AE1233" i="3315"/>
  <c r="AE844" i="3315"/>
  <c r="AE223" i="3315"/>
  <c r="AE1005" i="3315"/>
  <c r="AE410" i="3315"/>
  <c r="AE1238" i="3315"/>
  <c r="AE519" i="3315"/>
  <c r="AE247" i="3315"/>
  <c r="AE267" i="3315"/>
  <c r="AE1226" i="3315"/>
  <c r="AE434" i="3315"/>
  <c r="AE382" i="3315"/>
  <c r="AE821" i="3315"/>
  <c r="AE435" i="3315"/>
  <c r="AE842" i="3315"/>
  <c r="AE490" i="3315"/>
  <c r="AE705" i="3315"/>
  <c r="AE1247" i="3315"/>
  <c r="AE286" i="3315"/>
  <c r="AE350" i="3315"/>
  <c r="AE639" i="3315"/>
  <c r="AE1016" i="3315"/>
  <c r="AE597" i="3315"/>
  <c r="AE1211" i="3315"/>
  <c r="AE285" i="3315"/>
  <c r="AE743" i="3315"/>
  <c r="AE116" i="3315"/>
  <c r="AE398" i="3315"/>
  <c r="AE624" i="3315"/>
  <c r="AE97" i="3315"/>
  <c r="AE368" i="3315"/>
  <c r="AE218" i="3315"/>
  <c r="AE615" i="3315"/>
  <c r="AE1024" i="3315"/>
  <c r="AE401" i="3315"/>
  <c r="AE542" i="3315"/>
  <c r="AE584" i="3315"/>
  <c r="AE816" i="3315"/>
  <c r="AE889" i="3315"/>
  <c r="AE414" i="3315"/>
  <c r="AE318" i="3315"/>
  <c r="AE883" i="3315"/>
  <c r="AE695" i="3315"/>
  <c r="AE162" i="3315"/>
  <c r="AE1035" i="3315"/>
  <c r="AE477" i="3315"/>
  <c r="AE251" i="3315"/>
  <c r="AE212" i="3315"/>
  <c r="AE492" i="3315"/>
  <c r="AE446" i="3315"/>
  <c r="AE469" i="3315"/>
  <c r="AE357" i="3315"/>
  <c r="AE855" i="3315"/>
  <c r="AE791" i="3315"/>
  <c r="AE274" i="3315"/>
  <c r="AE89" i="3315"/>
  <c r="AE191" i="3315"/>
  <c r="AE362" i="3315"/>
  <c r="AE838" i="3315"/>
  <c r="AE769" i="3315"/>
  <c r="AE1043" i="3315"/>
  <c r="AE806" i="3315"/>
  <c r="AE259" i="3315"/>
  <c r="AE213" i="3315"/>
  <c r="AE468" i="3315"/>
  <c r="AE583" i="3315"/>
  <c r="AE155" i="3315"/>
  <c r="AE56" i="3315"/>
  <c r="AE128" i="3315"/>
  <c r="AE667" i="3315"/>
  <c r="AE403" i="3315"/>
  <c r="AE189" i="3315"/>
  <c r="AE884" i="3315"/>
  <c r="AE817" i="3315"/>
  <c r="AE197" i="3315"/>
  <c r="AE390" i="3315"/>
  <c r="AE246" i="3315"/>
  <c r="AE560" i="3315"/>
  <c r="AE87" i="3315"/>
  <c r="AE754" i="3315"/>
  <c r="AE238" i="3315"/>
  <c r="AE78" i="3315"/>
  <c r="AE1185" i="3315"/>
  <c r="AE613" i="3315"/>
  <c r="AE1006" i="3315"/>
  <c r="AE425" i="3315"/>
  <c r="AE1041" i="3315"/>
  <c r="AE832" i="3315"/>
  <c r="AE271" i="3315"/>
  <c r="AE459" i="3315"/>
  <c r="AE1031" i="3315"/>
  <c r="AE665" i="3315"/>
  <c r="AE620" i="3315"/>
  <c r="AE423" i="3315"/>
  <c r="AE929" i="3315"/>
  <c r="AE183" i="3315"/>
  <c r="AE549" i="3315"/>
  <c r="AE916" i="3315"/>
  <c r="AE317" i="3315"/>
  <c r="AE1044" i="3315"/>
  <c r="AE839" i="3315"/>
  <c r="AE902" i="3315"/>
  <c r="AE229" i="3315"/>
  <c r="AE63" i="3315"/>
  <c r="AE766" i="3315"/>
  <c r="AE1212" i="3315"/>
  <c r="AE746" i="3315"/>
  <c r="AE677" i="3315"/>
  <c r="AE424" i="3315"/>
  <c r="AE926" i="3315"/>
  <c r="AE788" i="3315"/>
  <c r="AE923" i="3315"/>
  <c r="AE869" i="3315"/>
  <c r="AE740" i="3315"/>
  <c r="AE688" i="3315"/>
  <c r="AE230" i="3315"/>
  <c r="AE143" i="3315"/>
  <c r="AE345" i="3315"/>
  <c r="AE684" i="3315"/>
  <c r="AE555" i="3315"/>
  <c r="AE939" i="3315"/>
  <c r="AE145" i="3315"/>
  <c r="AE751" i="3315"/>
  <c r="AE887" i="3315"/>
  <c r="AE629" i="3315"/>
  <c r="AE909" i="3315"/>
  <c r="AE761" i="3315"/>
  <c r="AE438" i="3315"/>
  <c r="AE445" i="3315"/>
  <c r="AE342" i="3315"/>
  <c r="AE1022" i="3315"/>
  <c r="AE786" i="3315"/>
  <c r="AE630" i="3315"/>
  <c r="AE170" i="3315"/>
  <c r="AE454" i="3315"/>
  <c r="AE343" i="3315"/>
  <c r="AE209" i="3315"/>
  <c r="AE826" i="3315"/>
  <c r="AE577" i="3315"/>
  <c r="AE873" i="3315"/>
  <c r="AE540" i="3315"/>
  <c r="AE1242" i="3315"/>
  <c r="AE579" i="3315"/>
  <c r="AE1017" i="3315"/>
  <c r="AE260" i="3315"/>
  <c r="AE55" i="3315"/>
  <c r="AE1072" i="3315"/>
  <c r="AE1078" i="3315"/>
  <c r="AE1084" i="3315"/>
  <c r="AE1088" i="3315"/>
  <c r="AE1103" i="3315"/>
  <c r="AE1112" i="3315"/>
  <c r="AE1102" i="3315"/>
  <c r="AE1146" i="3315"/>
  <c r="AE1096" i="3315"/>
  <c r="AE1161" i="3315"/>
  <c r="AE1054" i="3315"/>
  <c r="AE1097" i="3315"/>
  <c r="AE1122" i="3315"/>
  <c r="AE1152" i="3315"/>
  <c r="AE575" i="3315"/>
  <c r="X194" i="3315"/>
  <c r="X77" i="3315"/>
  <c r="X891" i="3315"/>
  <c r="X298" i="3315"/>
  <c r="X185" i="3315"/>
  <c r="X802" i="3315"/>
  <c r="X737" i="3315"/>
  <c r="X890" i="3315"/>
  <c r="X669" i="3315"/>
  <c r="X779" i="3315"/>
  <c r="X409" i="3315"/>
  <c r="X216" i="3315"/>
  <c r="X550" i="3315"/>
  <c r="X328" i="3315"/>
  <c r="X1154" i="3315"/>
  <c r="X1117" i="3315"/>
  <c r="X1115" i="3315"/>
  <c r="X623" i="3315"/>
  <c r="X582" i="3315"/>
  <c r="X525" i="3315"/>
  <c r="X946" i="3315"/>
  <c r="X714" i="3315"/>
  <c r="X1033" i="3315"/>
  <c r="X273" i="3315"/>
  <c r="X1234" i="3315"/>
  <c r="X496" i="3315"/>
  <c r="X337" i="3315"/>
  <c r="X645" i="3315"/>
  <c r="X911" i="3315"/>
  <c r="X734" i="3315"/>
  <c r="X457" i="3315"/>
  <c r="X373" i="3315"/>
  <c r="X493" i="3315"/>
  <c r="X943" i="3315"/>
  <c r="X291" i="3315"/>
  <c r="X850" i="3315"/>
  <c r="X922" i="3315"/>
  <c r="X849" i="3315"/>
  <c r="X641" i="3315"/>
  <c r="X102" i="3315"/>
  <c r="X125" i="3315"/>
  <c r="X886" i="3315"/>
  <c r="X264" i="3315"/>
  <c r="X289" i="3315"/>
  <c r="X878" i="3315"/>
  <c r="X931" i="3315"/>
  <c r="X614" i="3315"/>
  <c r="X281" i="3315"/>
  <c r="X111" i="3315"/>
  <c r="X718" i="3315"/>
  <c r="X606" i="3315"/>
  <c r="X910" i="3315"/>
  <c r="X158" i="3315"/>
  <c r="X659" i="3315"/>
  <c r="X228" i="3315"/>
  <c r="X45" i="3315"/>
  <c r="X739" i="3315"/>
  <c r="X1045" i="3315"/>
  <c r="X1243" i="3315"/>
  <c r="X1204" i="3315"/>
  <c r="X1231" i="3315"/>
  <c r="X1001" i="3315"/>
  <c r="X1060" i="3315"/>
  <c r="X809" i="3315"/>
  <c r="X1079" i="3315"/>
  <c r="X66" i="3315"/>
  <c r="X782" i="3315"/>
  <c r="X448" i="3315"/>
  <c r="X1062" i="3315"/>
  <c r="X1107" i="3315"/>
  <c r="X184" i="3315"/>
  <c r="X52" i="3315"/>
  <c r="X1130" i="3315"/>
  <c r="X1151" i="3315"/>
  <c r="X1099" i="3315"/>
  <c r="X1106" i="3315"/>
  <c r="X1131" i="3315"/>
  <c r="X1108" i="3315"/>
  <c r="X1064" i="3315"/>
  <c r="X1134" i="3315"/>
  <c r="X1160" i="3315"/>
  <c r="X893" i="3315"/>
  <c r="X853" i="3315"/>
  <c r="X713" i="3315"/>
  <c r="X1042" i="3315"/>
  <c r="X892" i="3315"/>
  <c r="X712" i="3315"/>
  <c r="X369" i="3315"/>
  <c r="X324" i="3315"/>
  <c r="X211" i="3315"/>
  <c r="X203" i="3315"/>
  <c r="X178" i="3315"/>
  <c r="X305" i="3315"/>
  <c r="X937" i="3315"/>
  <c r="X114" i="3315"/>
  <c r="X616" i="3315"/>
  <c r="X901" i="3315"/>
  <c r="X44" i="3315"/>
  <c r="X252" i="3315"/>
  <c r="X799" i="3315"/>
  <c r="X526" i="3315"/>
  <c r="X1011" i="3315"/>
  <c r="X847" i="3315"/>
  <c r="X169" i="3315"/>
  <c r="X689" i="3315"/>
  <c r="X748" i="3315"/>
  <c r="X990" i="3315"/>
  <c r="X249" i="3315"/>
  <c r="X1135" i="3315"/>
  <c r="X1059" i="3315"/>
  <c r="R1156" i="3315"/>
  <c r="X1127" i="3315"/>
  <c r="X1087" i="3315"/>
  <c r="X1090" i="3315"/>
  <c r="X1030" i="3315"/>
  <c r="X250" i="3315"/>
  <c r="X136" i="3315"/>
  <c r="X417" i="3315"/>
  <c r="X1239" i="3315"/>
  <c r="X76" i="3315"/>
  <c r="X1219" i="3315"/>
  <c r="X798" i="3315"/>
  <c r="X722" i="3315"/>
  <c r="X796" i="3315"/>
  <c r="X646" i="3315"/>
  <c r="X697" i="3315"/>
  <c r="X123" i="3315"/>
  <c r="X551" i="3315"/>
  <c r="X69" i="3315"/>
  <c r="X147" i="3315"/>
  <c r="X329" i="3315"/>
  <c r="X750" i="3315"/>
  <c r="X601" i="3315"/>
  <c r="X720" i="3315"/>
  <c r="X945" i="3315"/>
  <c r="V701" i="3315"/>
  <c r="X701" i="3315" s="1"/>
  <c r="V780" i="3315"/>
  <c r="X780" i="3315" s="1"/>
  <c r="V610" i="3315"/>
  <c r="X610" i="3315" s="1"/>
  <c r="V412" i="3315"/>
  <c r="X412" i="3315" s="1"/>
  <c r="V635" i="3315"/>
  <c r="X635" i="3315" s="1"/>
  <c r="V1203" i="3315"/>
  <c r="X1203" i="3315" s="1"/>
  <c r="V467" i="3315"/>
  <c r="X467" i="3315" s="1"/>
  <c r="N1148" i="3315"/>
  <c r="V581" i="3315"/>
  <c r="X581" i="3315" s="1"/>
  <c r="V771" i="3315"/>
  <c r="X771" i="3315" s="1"/>
  <c r="V562" i="3315"/>
  <c r="X562" i="3315" s="1"/>
  <c r="V609" i="3315"/>
  <c r="X609" i="3315" s="1"/>
  <c r="X239" i="3315"/>
  <c r="X327" i="3315"/>
  <c r="X888" i="3315"/>
  <c r="V487" i="3315"/>
  <c r="X487" i="3315" s="1"/>
  <c r="X95" i="3315"/>
  <c r="X154" i="3315"/>
  <c r="V1025" i="3315"/>
  <c r="X1025" i="3315" s="1"/>
  <c r="X46" i="3315"/>
  <c r="X83" i="3315"/>
  <c r="V985" i="3315"/>
  <c r="X985" i="3315" s="1"/>
  <c r="V1206" i="3315"/>
  <c r="X1206" i="3315" s="1"/>
  <c r="V160" i="3315"/>
  <c r="X160" i="3315" s="1"/>
  <c r="V774" i="3315"/>
  <c r="X774" i="3315" s="1"/>
  <c r="V306" i="3315"/>
  <c r="X306" i="3315" s="1"/>
  <c r="V865" i="3315"/>
  <c r="X865" i="3315" s="1"/>
  <c r="X181" i="3315"/>
  <c r="V554" i="3315"/>
  <c r="X554" i="3315" s="1"/>
  <c r="V895" i="3315"/>
  <c r="X895" i="3315" s="1"/>
  <c r="V673" i="3315"/>
  <c r="X673" i="3315" s="1"/>
  <c r="R1251" i="3315"/>
  <c r="X1128" i="3315"/>
  <c r="J1156" i="3315"/>
  <c r="V338" i="3315"/>
  <c r="X338" i="3315" s="1"/>
  <c r="V719" i="3315"/>
  <c r="X719" i="3315" s="1"/>
  <c r="V79" i="3315"/>
  <c r="X79" i="3315" s="1"/>
  <c r="V74" i="3315"/>
  <c r="X74" i="3315" s="1"/>
  <c r="V913" i="3315"/>
  <c r="X913" i="3315" s="1"/>
  <c r="V755" i="3315"/>
  <c r="X755" i="3315" s="1"/>
  <c r="V757" i="3315"/>
  <c r="X757" i="3315" s="1"/>
  <c r="V117" i="3315"/>
  <c r="X117" i="3315" s="1"/>
  <c r="V738" i="3315"/>
  <c r="X738" i="3315" s="1"/>
  <c r="V269" i="3315"/>
  <c r="X269" i="3315" s="1"/>
  <c r="V709" i="3315"/>
  <c r="X709" i="3315" s="1"/>
  <c r="V522" i="3315"/>
  <c r="X522" i="3315" s="1"/>
  <c r="R973" i="3315"/>
  <c r="X51" i="3315"/>
  <c r="V829" i="3315"/>
  <c r="X829" i="3315" s="1"/>
  <c r="X693" i="3315"/>
  <c r="X621" i="3315"/>
  <c r="V942" i="3315"/>
  <c r="X942" i="3315" s="1"/>
  <c r="X364" i="3315"/>
  <c r="X936" i="3315"/>
  <c r="V781" i="3315"/>
  <c r="X781" i="3315" s="1"/>
  <c r="X1210" i="3315"/>
  <c r="V91" i="3315"/>
  <c r="X91" i="3315" s="1"/>
  <c r="V989" i="3315"/>
  <c r="X989" i="3315" s="1"/>
  <c r="V638" i="3315"/>
  <c r="X638" i="3315" s="1"/>
  <c r="V875" i="3315"/>
  <c r="X875" i="3315" s="1"/>
  <c r="V173" i="3315"/>
  <c r="X173" i="3315" s="1"/>
  <c r="V245" i="3315"/>
  <c r="X245" i="3315" s="1"/>
  <c r="W57" i="3315"/>
  <c r="X1067" i="3315"/>
  <c r="X1144" i="3315"/>
  <c r="X152" i="3315"/>
  <c r="X139" i="3315"/>
  <c r="X648" i="3315"/>
  <c r="X375" i="3315"/>
  <c r="X678" i="3315"/>
  <c r="X1013" i="3315"/>
  <c r="X62" i="3315"/>
  <c r="X85" i="3315"/>
  <c r="X100" i="3315"/>
  <c r="X180" i="3315"/>
  <c r="X431" i="3315"/>
  <c r="X730" i="3315"/>
  <c r="X1057" i="3315"/>
  <c r="X347" i="3315"/>
  <c r="X819" i="3315"/>
  <c r="X1023" i="3315"/>
  <c r="X805" i="3315"/>
  <c r="X717" i="3315"/>
  <c r="X808" i="3315"/>
  <c r="X187" i="3315"/>
  <c r="X927" i="3315"/>
  <c r="X261" i="3315"/>
  <c r="X707" i="3315"/>
  <c r="X783" i="3315"/>
  <c r="X1193" i="3315"/>
  <c r="X279" i="3315"/>
  <c r="X999" i="3315"/>
  <c r="X1181" i="3315"/>
  <c r="X474" i="3315"/>
  <c r="X192" i="3315"/>
  <c r="X400" i="3315"/>
  <c r="X426" i="3315"/>
  <c r="X499" i="3315"/>
  <c r="X1089" i="3315"/>
  <c r="X1123" i="3315"/>
  <c r="X1118" i="3315"/>
  <c r="X1100" i="3315"/>
  <c r="X1061" i="3315"/>
  <c r="X1077" i="3315"/>
  <c r="U1251" i="3315"/>
  <c r="X1105" i="3315"/>
  <c r="AG1163" i="3315"/>
  <c r="AG1164" i="3315"/>
  <c r="J1148" i="3315"/>
  <c r="X657" i="3315"/>
  <c r="X1241" i="3315"/>
  <c r="X1111" i="3315"/>
  <c r="X1121" i="3315"/>
  <c r="AF1162" i="3315"/>
  <c r="I1166" i="3315"/>
  <c r="AF1138" i="3315"/>
  <c r="AF1091" i="3315"/>
  <c r="U590" i="3315"/>
  <c r="U1050" i="3315" s="1"/>
  <c r="J1050" i="3315"/>
  <c r="X149" i="3315"/>
  <c r="X263" i="3315"/>
  <c r="X280" i="3315"/>
  <c r="X925" i="3315"/>
  <c r="X521" i="3315"/>
  <c r="X724" i="3315"/>
  <c r="X627" i="3315"/>
  <c r="X1232" i="3315"/>
  <c r="X940" i="3315"/>
  <c r="W385" i="3315"/>
  <c r="X1098" i="3315"/>
  <c r="AF590" i="3315"/>
  <c r="AF1050" i="3315" s="1"/>
  <c r="I1165" i="3315"/>
  <c r="I1167" i="3315" s="1"/>
  <c r="U1155" i="3315"/>
  <c r="U1156" i="3315" s="1"/>
  <c r="U1147" i="3315"/>
  <c r="U1148" i="3315" s="1"/>
  <c r="J1164" i="3315"/>
  <c r="U1138" i="3315"/>
  <c r="X451" i="3315"/>
  <c r="X900" i="3315"/>
  <c r="X580" i="3315"/>
  <c r="X488" i="3315"/>
  <c r="X107" i="3315"/>
  <c r="X366" i="3315"/>
  <c r="X1236" i="3315"/>
  <c r="X71" i="3315"/>
  <c r="X242" i="3315"/>
  <c r="X764" i="3315"/>
  <c r="X235" i="3315"/>
  <c r="X790" i="3315"/>
  <c r="X201" i="3315"/>
  <c r="X437" i="3315"/>
  <c r="W353" i="3315"/>
  <c r="W567" i="3315"/>
  <c r="X1101" i="3315"/>
  <c r="U1162" i="3315"/>
  <c r="U1091" i="3315"/>
  <c r="AF1155" i="3315"/>
  <c r="AF1156" i="3315" s="1"/>
  <c r="AF1147" i="3315"/>
  <c r="AF1148" i="3315" s="1"/>
  <c r="AF1251" i="3315"/>
  <c r="AF1253" i="3315"/>
  <c r="W461" i="3315"/>
  <c r="X948" i="3315"/>
  <c r="X647" i="3315"/>
  <c r="X226" i="3315"/>
  <c r="X399" i="3315"/>
  <c r="X151" i="3315"/>
  <c r="X1240" i="3315"/>
  <c r="X1191" i="3315"/>
  <c r="X950" i="3315"/>
  <c r="X72" i="3315"/>
  <c r="X747" i="3315"/>
  <c r="X1015" i="3315"/>
  <c r="X666" i="3315"/>
  <c r="W439" i="3315"/>
  <c r="W1138" i="3315"/>
  <c r="W309" i="3315"/>
  <c r="W585" i="3315"/>
  <c r="W132" i="3315"/>
  <c r="X206" i="3315"/>
  <c r="X444" i="3315"/>
  <c r="X153" i="3315"/>
  <c r="X863" i="3315"/>
  <c r="X450" i="3315"/>
  <c r="X920" i="3315"/>
  <c r="X860" i="3315"/>
  <c r="W1147" i="3315"/>
  <c r="W1148" i="3315" s="1"/>
  <c r="W1162" i="3315"/>
  <c r="W1163" i="3315" s="1"/>
  <c r="W331" i="3315"/>
  <c r="Q1050" i="3315"/>
  <c r="Q1166" i="3315" s="1"/>
  <c r="Q1165" i="3315"/>
  <c r="R590" i="3315"/>
  <c r="X836" i="3315"/>
  <c r="X870" i="3315"/>
  <c r="X602" i="3315"/>
  <c r="X415" i="3315"/>
  <c r="X762" i="3315"/>
  <c r="X50" i="3315"/>
  <c r="X1224" i="3315"/>
  <c r="X1237" i="3315"/>
  <c r="X65" i="3315"/>
  <c r="X876" i="3315"/>
  <c r="W966" i="3315"/>
  <c r="W973" i="3315" s="1"/>
  <c r="W1155" i="3315"/>
  <c r="W1156" i="3315" s="1"/>
  <c r="W1091" i="3315"/>
  <c r="W1048" i="3315"/>
  <c r="W1049" i="3315" s="1"/>
  <c r="X84" i="3315"/>
  <c r="X1187" i="3315"/>
  <c r="X935" i="3315"/>
  <c r="X915" i="3315"/>
  <c r="X64" i="3315"/>
  <c r="X981" i="3315"/>
  <c r="X129" i="3315"/>
  <c r="X299" i="3315"/>
  <c r="X404" i="3315"/>
  <c r="X815" i="3315"/>
  <c r="X253" i="3315"/>
  <c r="X706" i="3315"/>
  <c r="X103" i="3315"/>
  <c r="X658" i="3315"/>
  <c r="X93" i="3315"/>
  <c r="X998" i="3315"/>
  <c r="X897" i="3315"/>
  <c r="X682" i="3315"/>
  <c r="X294" i="3315"/>
  <c r="X225" i="3315"/>
  <c r="X202" i="3315"/>
  <c r="X472" i="3315"/>
  <c r="X866" i="3315"/>
  <c r="X933" i="3315"/>
  <c r="X708" i="3315"/>
  <c r="X749" i="3315"/>
  <c r="X899" i="3315"/>
  <c r="X113" i="3315"/>
  <c r="X163" i="3315"/>
  <c r="X221" i="3315"/>
  <c r="X671" i="3315"/>
  <c r="X413" i="3315"/>
  <c r="X156" i="3315"/>
  <c r="X1028" i="3315"/>
  <c r="X101" i="3315"/>
  <c r="X539" i="3315"/>
  <c r="X276" i="3315"/>
  <c r="X1227" i="3315"/>
  <c r="X1213" i="3315"/>
  <c r="R1164" i="3315"/>
  <c r="W1250" i="3315"/>
  <c r="R1049" i="3315"/>
  <c r="V530" i="3315"/>
  <c r="X530" i="3315" s="1"/>
  <c r="V137" i="3315"/>
  <c r="X137" i="3315" s="1"/>
  <c r="V121" i="3315"/>
  <c r="X121" i="3315" s="1"/>
  <c r="V545" i="3315"/>
  <c r="X545" i="3315" s="1"/>
  <c r="V295" i="3315"/>
  <c r="X295" i="3315" s="1"/>
  <c r="V326" i="3315"/>
  <c r="X326" i="3315" s="1"/>
  <c r="V772" i="3315"/>
  <c r="X772" i="3315" s="1"/>
  <c r="V1040" i="3315"/>
  <c r="X1040" i="3315" s="1"/>
  <c r="V649" i="3315"/>
  <c r="X649" i="3315" s="1"/>
  <c r="V760" i="3315"/>
  <c r="X760" i="3315" s="1"/>
  <c r="V1220" i="3315"/>
  <c r="X1220" i="3315" s="1"/>
  <c r="V92" i="3315"/>
  <c r="X92" i="3315" s="1"/>
  <c r="V275" i="3315"/>
  <c r="X275" i="3315" s="1"/>
  <c r="V377" i="3315"/>
  <c r="X377" i="3315" s="1"/>
  <c r="V1190" i="3315"/>
  <c r="X1190" i="3315" s="1"/>
  <c r="V75" i="3315"/>
  <c r="X75" i="3315" s="1"/>
  <c r="V349" i="3315"/>
  <c r="X349" i="3315" s="1"/>
  <c r="V698" i="3315"/>
  <c r="X698" i="3315" s="1"/>
  <c r="V637" i="3315"/>
  <c r="X637" i="3315" s="1"/>
  <c r="V290" i="3315"/>
  <c r="X290" i="3315" s="1"/>
  <c r="V984" i="3315"/>
  <c r="X984" i="3315" s="1"/>
  <c r="V406" i="3315"/>
  <c r="X406" i="3315" s="1"/>
  <c r="V852" i="3315"/>
  <c r="X852" i="3315" s="1"/>
  <c r="V278" i="3315"/>
  <c r="X278" i="3315" s="1"/>
  <c r="V843" i="3315"/>
  <c r="X843" i="3315" s="1"/>
  <c r="V244" i="3315"/>
  <c r="X244" i="3315" s="1"/>
  <c r="V109" i="3315"/>
  <c r="X109" i="3315" s="1"/>
  <c r="V49" i="3315"/>
  <c r="X49" i="3315" s="1"/>
  <c r="V716" i="3315"/>
  <c r="X716" i="3315" s="1"/>
  <c r="V166" i="3315"/>
  <c r="X166" i="3315" s="1"/>
  <c r="V1244" i="3315"/>
  <c r="X1244" i="3315" s="1"/>
  <c r="V287" i="3315"/>
  <c r="X287" i="3315" s="1"/>
  <c r="V877" i="3315"/>
  <c r="X877" i="3315" s="1"/>
  <c r="V835" i="3315"/>
  <c r="X835" i="3315" s="1"/>
  <c r="V679" i="3315"/>
  <c r="X679" i="3315" s="1"/>
  <c r="V48" i="3315"/>
  <c r="X48" i="3315" s="1"/>
  <c r="V731" i="3315"/>
  <c r="X731" i="3315" s="1"/>
  <c r="V53" i="3315"/>
  <c r="X53" i="3315" s="1"/>
  <c r="V725" i="3315"/>
  <c r="X725" i="3315" s="1"/>
  <c r="V161" i="3315"/>
  <c r="X161" i="3315" s="1"/>
  <c r="V300" i="3315"/>
  <c r="X300" i="3315" s="1"/>
  <c r="V307" i="3315"/>
  <c r="X307" i="3315" s="1"/>
  <c r="V527" i="3315"/>
  <c r="X527" i="3315" s="1"/>
  <c r="V190" i="3315"/>
  <c r="X190" i="3315" s="1"/>
  <c r="V982" i="3315"/>
  <c r="X982" i="3315" s="1"/>
  <c r="V199" i="3315"/>
  <c r="X199" i="3315" s="1"/>
  <c r="V272" i="3315"/>
  <c r="X272" i="3315" s="1"/>
  <c r="V1223" i="3315"/>
  <c r="X1223" i="3315" s="1"/>
  <c r="V777" i="3315"/>
  <c r="X777" i="3315" s="1"/>
  <c r="V453" i="3315"/>
  <c r="X453" i="3315" s="1"/>
  <c r="V938" i="3315"/>
  <c r="X938" i="3315" s="1"/>
  <c r="V232" i="3315"/>
  <c r="X232" i="3315" s="1"/>
  <c r="V726" i="3315"/>
  <c r="X726" i="3315" s="1"/>
  <c r="V179" i="3315"/>
  <c r="X179" i="3315" s="1"/>
  <c r="V255" i="3315"/>
  <c r="X255" i="3315" s="1"/>
  <c r="V797" i="3315"/>
  <c r="X797" i="3315" s="1"/>
  <c r="V840" i="3315"/>
  <c r="X840" i="3315" s="1"/>
  <c r="V804" i="3315"/>
  <c r="X804" i="3315" s="1"/>
  <c r="V54" i="3315"/>
  <c r="X54" i="3315" s="1"/>
  <c r="V619" i="3315"/>
  <c r="X619" i="3315" s="1"/>
  <c r="V297" i="3315"/>
  <c r="X297" i="3315" s="1"/>
  <c r="V1039" i="3315"/>
  <c r="X1039" i="3315" s="1"/>
  <c r="V898" i="3315"/>
  <c r="X898" i="3315" s="1"/>
  <c r="V533" i="3315"/>
  <c r="X533" i="3315" s="1"/>
  <c r="V314" i="3315"/>
  <c r="X314" i="3315" s="1"/>
  <c r="V548" i="3315"/>
  <c r="X548" i="3315" s="1"/>
  <c r="V383" i="3315"/>
  <c r="X383" i="3315" s="1"/>
  <c r="V304" i="3315"/>
  <c r="X304" i="3315" s="1"/>
  <c r="V367" i="3315"/>
  <c r="X367" i="3315" s="1"/>
  <c r="V775" i="3315"/>
  <c r="X775" i="3315" s="1"/>
  <c r="V411" i="3315"/>
  <c r="X411" i="3315" s="1"/>
  <c r="V928" i="3315"/>
  <c r="X928" i="3315" s="1"/>
  <c r="V204" i="3315"/>
  <c r="X204" i="3315" s="1"/>
  <c r="V475" i="3315"/>
  <c r="X475" i="3315" s="1"/>
  <c r="V729" i="3315"/>
  <c r="X729" i="3315" s="1"/>
  <c r="V576" i="3315"/>
  <c r="X576" i="3315" s="1"/>
  <c r="V894" i="3315"/>
  <c r="X894" i="3315" s="1"/>
  <c r="V470" i="3315"/>
  <c r="X470" i="3315" s="1"/>
  <c r="V1246" i="3315"/>
  <c r="X1246" i="3315" s="1"/>
  <c r="V157" i="3315"/>
  <c r="X157" i="3315" s="1"/>
  <c r="V430" i="3315"/>
  <c r="X430" i="3315" s="1"/>
  <c r="V1091" i="3315"/>
  <c r="X1053" i="3315"/>
  <c r="N331" i="3315"/>
  <c r="V312" i="3315"/>
  <c r="V976" i="3315"/>
  <c r="N1048" i="3315"/>
  <c r="N1049" i="3315" s="1"/>
  <c r="V442" i="3315"/>
  <c r="N461" i="3315"/>
  <c r="V1162" i="3315"/>
  <c r="V1163" i="3315" s="1"/>
  <c r="X1158" i="3315"/>
  <c r="N585" i="3315"/>
  <c r="V570" i="3315"/>
  <c r="V594" i="3315"/>
  <c r="N966" i="3315"/>
  <c r="N973" i="3315" s="1"/>
  <c r="V389" i="3315"/>
  <c r="N439" i="3315"/>
  <c r="V1155" i="3315"/>
  <c r="V1156" i="3315" s="1"/>
  <c r="X1150" i="3315"/>
  <c r="N1164" i="3315"/>
  <c r="N353" i="3315"/>
  <c r="V334" i="3315"/>
  <c r="M590" i="3315"/>
  <c r="N1250" i="3315"/>
  <c r="N1253" i="3315" s="1"/>
  <c r="V1179" i="3315"/>
  <c r="V43" i="3315"/>
  <c r="N57" i="3315"/>
  <c r="M973" i="3315"/>
  <c r="V1138" i="3315"/>
  <c r="X1094" i="3315"/>
  <c r="X1141" i="3315"/>
  <c r="V1147" i="3315"/>
  <c r="V1148" i="3315" s="1"/>
  <c r="V356" i="3315"/>
  <c r="N385" i="3315"/>
  <c r="M1253" i="3315"/>
  <c r="M1165" i="3315"/>
  <c r="N309" i="3315"/>
  <c r="V135" i="3315"/>
  <c r="M1049" i="3315"/>
  <c r="V60" i="3315"/>
  <c r="N132" i="3315"/>
  <c r="V465" i="3315"/>
  <c r="N567" i="3315"/>
  <c r="N1156" i="3315"/>
  <c r="AE470" i="3315" l="1"/>
  <c r="AE204" i="3315"/>
  <c r="AE716" i="3315"/>
  <c r="AE984" i="3315"/>
  <c r="AE349" i="3315"/>
  <c r="AE275" i="3315"/>
  <c r="AE649" i="3315"/>
  <c r="AE295" i="3315"/>
  <c r="AE530" i="3315"/>
  <c r="AE539" i="3315"/>
  <c r="AE113" i="3315"/>
  <c r="AE225" i="3315"/>
  <c r="AE706" i="3315"/>
  <c r="AE915" i="3315"/>
  <c r="AE602" i="3315"/>
  <c r="AE153" i="3315"/>
  <c r="AE151" i="3315"/>
  <c r="AE235" i="3315"/>
  <c r="AE488" i="3315"/>
  <c r="AE263" i="3315"/>
  <c r="AE426" i="3315"/>
  <c r="AE279" i="3315"/>
  <c r="AE783" i="3315"/>
  <c r="AE805" i="3315"/>
  <c r="AE431" i="3315"/>
  <c r="AE62" i="3315"/>
  <c r="AE648" i="3315"/>
  <c r="AE1067" i="3315"/>
  <c r="AE245" i="3315"/>
  <c r="AE1210" i="3315"/>
  <c r="AE364" i="3315"/>
  <c r="AE693" i="3315"/>
  <c r="AE774" i="3315"/>
  <c r="AE1025" i="3315"/>
  <c r="AE562" i="3315"/>
  <c r="AE581" i="3315"/>
  <c r="AE467" i="3315"/>
  <c r="AE635" i="3315"/>
  <c r="AE610" i="3315"/>
  <c r="AE701" i="3315"/>
  <c r="AE601" i="3315"/>
  <c r="AE1219" i="3315"/>
  <c r="AE1059" i="3315"/>
  <c r="AE782" i="3315"/>
  <c r="AE228" i="3315"/>
  <c r="AE289" i="3315"/>
  <c r="AE273" i="3315"/>
  <c r="AE216" i="3315"/>
  <c r="AE298" i="3315"/>
  <c r="AE411" i="3315"/>
  <c r="AE367" i="3315"/>
  <c r="AE898" i="3315"/>
  <c r="AE619" i="3315"/>
  <c r="AE797" i="3315"/>
  <c r="AE232" i="3315"/>
  <c r="AE1223" i="3315"/>
  <c r="AE190" i="3315"/>
  <c r="AE679" i="3315"/>
  <c r="AE287" i="3315"/>
  <c r="AE1213" i="3315"/>
  <c r="AE671" i="3315"/>
  <c r="AE866" i="3315"/>
  <c r="AE93" i="3315"/>
  <c r="AE129" i="3315"/>
  <c r="AE50" i="3315"/>
  <c r="AE920" i="3315"/>
  <c r="AE107" i="3315"/>
  <c r="AE940" i="3315"/>
  <c r="AE521" i="3315"/>
  <c r="AE1241" i="3315"/>
  <c r="AE875" i="3315"/>
  <c r="AE522" i="3315"/>
  <c r="AE117" i="3315"/>
  <c r="AE74" i="3315"/>
  <c r="AE895" i="3315"/>
  <c r="AE554" i="3315"/>
  <c r="AE306" i="3315"/>
  <c r="AE1206" i="3315"/>
  <c r="AE83" i="3315"/>
  <c r="AE154" i="3315"/>
  <c r="AE487" i="3315"/>
  <c r="AE327" i="3315"/>
  <c r="AE551" i="3315"/>
  <c r="AE76" i="3315"/>
  <c r="AE1135" i="3315"/>
  <c r="AE990" i="3315"/>
  <c r="AE252" i="3315"/>
  <c r="AE616" i="3315"/>
  <c r="AE369" i="3315"/>
  <c r="AE713" i="3315"/>
  <c r="AE1134" i="3315"/>
  <c r="AE1106" i="3315"/>
  <c r="AE1107" i="3315"/>
  <c r="AE1045" i="3315"/>
  <c r="AE606" i="3315"/>
  <c r="AE264" i="3315"/>
  <c r="AE922" i="3315"/>
  <c r="AE291" i="3315"/>
  <c r="AE457" i="3315"/>
  <c r="AE337" i="3315"/>
  <c r="AE1154" i="3315"/>
  <c r="AE891" i="3315"/>
  <c r="AE157" i="3315"/>
  <c r="AE729" i="3315"/>
  <c r="AE928" i="3315"/>
  <c r="AE383" i="3315"/>
  <c r="AE548" i="3315"/>
  <c r="AE307" i="3315"/>
  <c r="AE161" i="3315"/>
  <c r="AE48" i="3315"/>
  <c r="AE877" i="3315"/>
  <c r="AE166" i="3315"/>
  <c r="AE109" i="3315"/>
  <c r="AE244" i="3315"/>
  <c r="AE852" i="3315"/>
  <c r="AE406" i="3315"/>
  <c r="AE290" i="3315"/>
  <c r="AE698" i="3315"/>
  <c r="AE75" i="3315"/>
  <c r="AE377" i="3315"/>
  <c r="AE92" i="3315"/>
  <c r="AE760" i="3315"/>
  <c r="AE1040" i="3315"/>
  <c r="AE326" i="3315"/>
  <c r="AE545" i="3315"/>
  <c r="AE137" i="3315"/>
  <c r="AE1227" i="3315"/>
  <c r="AE1028" i="3315"/>
  <c r="AE221" i="3315"/>
  <c r="AE749" i="3315"/>
  <c r="AE472" i="3315"/>
  <c r="AE682" i="3315"/>
  <c r="AE658" i="3315"/>
  <c r="AE815" i="3315"/>
  <c r="AE981" i="3315"/>
  <c r="AE1187" i="3315"/>
  <c r="AE65" i="3315"/>
  <c r="AE762" i="3315"/>
  <c r="AE836" i="3315"/>
  <c r="AE450" i="3315"/>
  <c r="AE206" i="3315"/>
  <c r="AE1015" i="3315"/>
  <c r="AE1191" i="3315"/>
  <c r="AE226" i="3315"/>
  <c r="AE790" i="3315"/>
  <c r="AE764" i="3315"/>
  <c r="AE900" i="3315"/>
  <c r="AE1232" i="3315"/>
  <c r="AE925" i="3315"/>
  <c r="AE657" i="3315"/>
  <c r="AE1061" i="3315"/>
  <c r="AE1089" i="3315"/>
  <c r="AE400" i="3315"/>
  <c r="AE1193" i="3315"/>
  <c r="AE707" i="3315"/>
  <c r="AE808" i="3315"/>
  <c r="AE819" i="3315"/>
  <c r="AE100" i="3315"/>
  <c r="AE678" i="3315"/>
  <c r="AE152" i="3315"/>
  <c r="AE173" i="3315"/>
  <c r="AE781" i="3315"/>
  <c r="AE942" i="3315"/>
  <c r="AE829" i="3315"/>
  <c r="AE1128" i="3315"/>
  <c r="AE673" i="3315"/>
  <c r="AE181" i="3315"/>
  <c r="AE865" i="3315"/>
  <c r="AE46" i="3315"/>
  <c r="AE888" i="3315"/>
  <c r="AE239" i="3315"/>
  <c r="AE609" i="3315"/>
  <c r="AE771" i="3315"/>
  <c r="AE1203" i="3315"/>
  <c r="AE412" i="3315"/>
  <c r="AE780" i="3315"/>
  <c r="AE945" i="3315"/>
  <c r="AE329" i="3315"/>
  <c r="AE123" i="3315"/>
  <c r="AE722" i="3315"/>
  <c r="AE1239" i="3315"/>
  <c r="AE1030" i="3315"/>
  <c r="AE1127" i="3315"/>
  <c r="AE748" i="3315"/>
  <c r="AE1011" i="3315"/>
  <c r="AE44" i="3315"/>
  <c r="AE114" i="3315"/>
  <c r="AE203" i="3315"/>
  <c r="AE712" i="3315"/>
  <c r="AE853" i="3315"/>
  <c r="AE1064" i="3315"/>
  <c r="AE1062" i="3315"/>
  <c r="AE1060" i="3315"/>
  <c r="AE1001" i="3315"/>
  <c r="AE739" i="3315"/>
  <c r="AE158" i="3315"/>
  <c r="AE718" i="3315"/>
  <c r="AE931" i="3315"/>
  <c r="AE886" i="3315"/>
  <c r="AE641" i="3315"/>
  <c r="AE493" i="3315"/>
  <c r="AE734" i="3315"/>
  <c r="AE496" i="3315"/>
  <c r="AE714" i="3315"/>
  <c r="AE623" i="3315"/>
  <c r="AE328" i="3315"/>
  <c r="AE779" i="3315"/>
  <c r="AE802" i="3315"/>
  <c r="AE77" i="3315"/>
  <c r="AE775" i="3315"/>
  <c r="AE53" i="3315"/>
  <c r="AE637" i="3315"/>
  <c r="AE1190" i="3315"/>
  <c r="AE1220" i="3315"/>
  <c r="AE772" i="3315"/>
  <c r="AE121" i="3315"/>
  <c r="AE413" i="3315"/>
  <c r="AE933" i="3315"/>
  <c r="AE998" i="3315"/>
  <c r="AE299" i="3315"/>
  <c r="AE1224" i="3315"/>
  <c r="AE860" i="3315"/>
  <c r="AE72" i="3315"/>
  <c r="AE948" i="3315"/>
  <c r="AE71" i="3315"/>
  <c r="AE724" i="3315"/>
  <c r="AE1118" i="3315"/>
  <c r="AE69" i="3315"/>
  <c r="AE646" i="3315"/>
  <c r="AE136" i="3315"/>
  <c r="AE1090" i="3315"/>
  <c r="AE249" i="3315"/>
  <c r="AE169" i="3315"/>
  <c r="AE799" i="3315"/>
  <c r="AE901" i="3315"/>
  <c r="AE305" i="3315"/>
  <c r="AE324" i="3315"/>
  <c r="AE1042" i="3315"/>
  <c r="AE1160" i="3315"/>
  <c r="AE1131" i="3315"/>
  <c r="AE1130" i="3315"/>
  <c r="AE184" i="3315"/>
  <c r="AE809" i="3315"/>
  <c r="AE1204" i="3315"/>
  <c r="AE281" i="3315"/>
  <c r="AE849" i="3315"/>
  <c r="AE645" i="3315"/>
  <c r="AE525" i="3315"/>
  <c r="AE1117" i="3315"/>
  <c r="AE890" i="3315"/>
  <c r="AE1246" i="3315"/>
  <c r="AE475" i="3315"/>
  <c r="AE314" i="3315"/>
  <c r="AE1039" i="3315"/>
  <c r="AE804" i="3315"/>
  <c r="AE179" i="3315"/>
  <c r="AE453" i="3315"/>
  <c r="AE199" i="3315"/>
  <c r="AE725" i="3315"/>
  <c r="AE843" i="3315"/>
  <c r="AE101" i="3315"/>
  <c r="AE899" i="3315"/>
  <c r="AE294" i="3315"/>
  <c r="AE253" i="3315"/>
  <c r="AE935" i="3315"/>
  <c r="AE876" i="3315"/>
  <c r="AE870" i="3315"/>
  <c r="AE444" i="3315"/>
  <c r="AE666" i="3315"/>
  <c r="AE950" i="3315"/>
  <c r="AE399" i="3315"/>
  <c r="AE580" i="3315"/>
  <c r="AE1098" i="3315"/>
  <c r="AE149" i="3315"/>
  <c r="AE1121" i="3315"/>
  <c r="AE1105" i="3315"/>
  <c r="AE1123" i="3315"/>
  <c r="AE499" i="3315"/>
  <c r="AE192" i="3315"/>
  <c r="AE999" i="3315"/>
  <c r="AE261" i="3315"/>
  <c r="AE187" i="3315"/>
  <c r="AE1023" i="3315"/>
  <c r="AE1057" i="3315"/>
  <c r="AE180" i="3315"/>
  <c r="AE1013" i="3315"/>
  <c r="AE139" i="3315"/>
  <c r="AE989" i="3315"/>
  <c r="AE269" i="3315"/>
  <c r="AE755" i="3315"/>
  <c r="AE719" i="3315"/>
  <c r="AE750" i="3315"/>
  <c r="AE796" i="3315"/>
  <c r="AE250" i="3315"/>
  <c r="AE1087" i="3315"/>
  <c r="AE847" i="3315"/>
  <c r="AE178" i="3315"/>
  <c r="AE1151" i="3315"/>
  <c r="AE66" i="3315"/>
  <c r="AE659" i="3315"/>
  <c r="AE614" i="3315"/>
  <c r="AE102" i="3315"/>
  <c r="AE850" i="3315"/>
  <c r="AE943" i="3315"/>
  <c r="AE1033" i="3315"/>
  <c r="AE582" i="3315"/>
  <c r="AE409" i="3315"/>
  <c r="AE737" i="3315"/>
  <c r="AE430" i="3315"/>
  <c r="AE894" i="3315"/>
  <c r="AE576" i="3315"/>
  <c r="AE304" i="3315"/>
  <c r="AE533" i="3315"/>
  <c r="AE297" i="3315"/>
  <c r="AE54" i="3315"/>
  <c r="AE840" i="3315"/>
  <c r="AE255" i="3315"/>
  <c r="AE726" i="3315"/>
  <c r="AE938" i="3315"/>
  <c r="AE777" i="3315"/>
  <c r="AE272" i="3315"/>
  <c r="AE982" i="3315"/>
  <c r="AE527" i="3315"/>
  <c r="AE300" i="3315"/>
  <c r="AE731" i="3315"/>
  <c r="AE835" i="3315"/>
  <c r="AE1244" i="3315"/>
  <c r="AE49" i="3315"/>
  <c r="AE278" i="3315"/>
  <c r="AE276" i="3315"/>
  <c r="AE156" i="3315"/>
  <c r="AE163" i="3315"/>
  <c r="AE708" i="3315"/>
  <c r="AE202" i="3315"/>
  <c r="AE897" i="3315"/>
  <c r="AE103" i="3315"/>
  <c r="AE404" i="3315"/>
  <c r="AE64" i="3315"/>
  <c r="AE84" i="3315"/>
  <c r="AE1237" i="3315"/>
  <c r="AE415" i="3315"/>
  <c r="AE863" i="3315"/>
  <c r="AE747" i="3315"/>
  <c r="AE1240" i="3315"/>
  <c r="AE647" i="3315"/>
  <c r="AE1101" i="3315"/>
  <c r="AE437" i="3315"/>
  <c r="AE201" i="3315"/>
  <c r="AE242" i="3315"/>
  <c r="AE1236" i="3315"/>
  <c r="AE366" i="3315"/>
  <c r="AE451" i="3315"/>
  <c r="AE627" i="3315"/>
  <c r="AE280" i="3315"/>
  <c r="AE1111" i="3315"/>
  <c r="AE1077" i="3315"/>
  <c r="AE1100" i="3315"/>
  <c r="AE474" i="3315"/>
  <c r="AE1181" i="3315"/>
  <c r="AE927" i="3315"/>
  <c r="AE717" i="3315"/>
  <c r="AE347" i="3315"/>
  <c r="AE730" i="3315"/>
  <c r="AE85" i="3315"/>
  <c r="AE375" i="3315"/>
  <c r="AE1144" i="3315"/>
  <c r="AE638" i="3315"/>
  <c r="AE91" i="3315"/>
  <c r="AE936" i="3315"/>
  <c r="AE621" i="3315"/>
  <c r="AE51" i="3315"/>
  <c r="AE709" i="3315"/>
  <c r="AE738" i="3315"/>
  <c r="AE757" i="3315"/>
  <c r="AE913" i="3315"/>
  <c r="AE79" i="3315"/>
  <c r="AE338" i="3315"/>
  <c r="AE160" i="3315"/>
  <c r="AE985" i="3315"/>
  <c r="AE95" i="3315"/>
  <c r="AE720" i="3315"/>
  <c r="AE147" i="3315"/>
  <c r="AE697" i="3315"/>
  <c r="AE798" i="3315"/>
  <c r="AE417" i="3315"/>
  <c r="AE689" i="3315"/>
  <c r="AE526" i="3315"/>
  <c r="AE937" i="3315"/>
  <c r="AE211" i="3315"/>
  <c r="AE892" i="3315"/>
  <c r="AE893" i="3315"/>
  <c r="AE1108" i="3315"/>
  <c r="AE1099" i="3315"/>
  <c r="AE52" i="3315"/>
  <c r="AE448" i="3315"/>
  <c r="AE1079" i="3315"/>
  <c r="AE1231" i="3315"/>
  <c r="AE1243" i="3315"/>
  <c r="AE45" i="3315"/>
  <c r="AE910" i="3315"/>
  <c r="AE111" i="3315"/>
  <c r="AE878" i="3315"/>
  <c r="AE125" i="3315"/>
  <c r="AE373" i="3315"/>
  <c r="AE911" i="3315"/>
  <c r="AE1234" i="3315"/>
  <c r="AE946" i="3315"/>
  <c r="AE1115" i="3315"/>
  <c r="AE550" i="3315"/>
  <c r="AE669" i="3315"/>
  <c r="AE185" i="3315"/>
  <c r="AE194" i="3315"/>
  <c r="N1165" i="3315"/>
  <c r="M1050" i="3315"/>
  <c r="M1166" i="3315" s="1"/>
  <c r="M1169" i="3315" s="1"/>
  <c r="U1164" i="3315"/>
  <c r="U1166" i="3315" s="1"/>
  <c r="U1169" i="3315" s="1"/>
  <c r="U1267" i="3315" s="1"/>
  <c r="J1165" i="3315"/>
  <c r="J1167" i="3315" s="1"/>
  <c r="J1166" i="3315"/>
  <c r="J1169" i="3315" s="1"/>
  <c r="J1267" i="3315" s="1"/>
  <c r="AG1166" i="3315"/>
  <c r="AG1169" i="3315" s="1"/>
  <c r="AG1267" i="3315" s="1"/>
  <c r="AG1165" i="3315"/>
  <c r="AG1167" i="3315" s="1"/>
  <c r="M1167" i="3315"/>
  <c r="W1251" i="3315"/>
  <c r="R1165" i="3315"/>
  <c r="U1163" i="3315"/>
  <c r="U1165" i="3315" s="1"/>
  <c r="I1169" i="3315"/>
  <c r="AF1163" i="3315"/>
  <c r="AF1164" i="3315"/>
  <c r="Q1167" i="3315"/>
  <c r="W1165" i="3315"/>
  <c r="W590" i="3315"/>
  <c r="W1050" i="3315" s="1"/>
  <c r="R1050" i="3315"/>
  <c r="R1166" i="3315" s="1"/>
  <c r="R1169" i="3315" s="1"/>
  <c r="W1164" i="3315"/>
  <c r="Q1169" i="3315"/>
  <c r="V385" i="3315"/>
  <c r="X356" i="3315"/>
  <c r="AE1094" i="3315"/>
  <c r="X1138" i="3315"/>
  <c r="X1179" i="3315"/>
  <c r="V1250" i="3315"/>
  <c r="V1253" i="3315" s="1"/>
  <c r="AE1053" i="3315"/>
  <c r="X1091" i="3315"/>
  <c r="V309" i="3315"/>
  <c r="X135" i="3315"/>
  <c r="AE1150" i="3315"/>
  <c r="X1155" i="3315"/>
  <c r="V439" i="3315"/>
  <c r="X389" i="3315"/>
  <c r="X594" i="3315"/>
  <c r="V966" i="3315"/>
  <c r="V973" i="3315" s="1"/>
  <c r="X570" i="3315"/>
  <c r="V585" i="3315"/>
  <c r="V1165" i="3315"/>
  <c r="X442" i="3315"/>
  <c r="V461" i="3315"/>
  <c r="V1048" i="3315"/>
  <c r="V1049" i="3315" s="1"/>
  <c r="X976" i="3315"/>
  <c r="V132" i="3315"/>
  <c r="X60" i="3315"/>
  <c r="V57" i="3315"/>
  <c r="X43" i="3315"/>
  <c r="V353" i="3315"/>
  <c r="X334" i="3315"/>
  <c r="N590" i="3315"/>
  <c r="N1050" i="3315" s="1"/>
  <c r="X1162" i="3315"/>
  <c r="AE1158" i="3315"/>
  <c r="X312" i="3315"/>
  <c r="V331" i="3315"/>
  <c r="V567" i="3315"/>
  <c r="X465" i="3315"/>
  <c r="X1147" i="3315"/>
  <c r="AE1141" i="3315"/>
  <c r="N1251" i="3315"/>
  <c r="V1164" i="3315"/>
  <c r="AE1155" i="3315" l="1"/>
  <c r="AE1156" i="3315" s="1"/>
  <c r="AE1147" i="3315"/>
  <c r="AE1148" i="3315" s="1"/>
  <c r="X1163" i="3315"/>
  <c r="AE1091" i="3315"/>
  <c r="AE1138" i="3315"/>
  <c r="U1167" i="3315"/>
  <c r="W1167" i="3315"/>
  <c r="N1167" i="3315"/>
  <c r="R1167" i="3315"/>
  <c r="X1156" i="3315"/>
  <c r="N1166" i="3315"/>
  <c r="N1169" i="3315" s="1"/>
  <c r="N1267" i="3315" s="1"/>
  <c r="AF1166" i="3315"/>
  <c r="AF1169" i="3315" s="1"/>
  <c r="AF1267" i="3315" s="1"/>
  <c r="I1267" i="3315"/>
  <c r="AF1165" i="3315"/>
  <c r="W1166" i="3315"/>
  <c r="W1169" i="3315" s="1"/>
  <c r="X1148" i="3315"/>
  <c r="X567" i="3315"/>
  <c r="AE465" i="3315"/>
  <c r="X57" i="3315"/>
  <c r="AE43" i="3315"/>
  <c r="X309" i="3315"/>
  <c r="AE135" i="3315"/>
  <c r="AE60" i="3315"/>
  <c r="X132" i="3315"/>
  <c r="V590" i="3315"/>
  <c r="V1050" i="3315" s="1"/>
  <c r="V1166" i="3315" s="1"/>
  <c r="V1169" i="3315" s="1"/>
  <c r="V1267" i="3315" s="1"/>
  <c r="AE594" i="3315"/>
  <c r="X966" i="3315"/>
  <c r="V1251" i="3315"/>
  <c r="X1164" i="3315"/>
  <c r="AE1162" i="3315"/>
  <c r="X353" i="3315"/>
  <c r="AE334" i="3315"/>
  <c r="AE442" i="3315"/>
  <c r="X461" i="3315"/>
  <c r="X585" i="3315"/>
  <c r="AE570" i="3315"/>
  <c r="AE389" i="3315"/>
  <c r="X439" i="3315"/>
  <c r="AE356" i="3315"/>
  <c r="X385" i="3315"/>
  <c r="AE312" i="3315"/>
  <c r="X331" i="3315"/>
  <c r="M1267" i="3315"/>
  <c r="X1048" i="3315"/>
  <c r="AE976" i="3315"/>
  <c r="AE1179" i="3315"/>
  <c r="X1250" i="3315"/>
  <c r="AE57" i="3315" l="1"/>
  <c r="AE331" i="3315"/>
  <c r="AE353" i="3315"/>
  <c r="AE309" i="3315"/>
  <c r="X1049" i="3315"/>
  <c r="AE385" i="3315"/>
  <c r="AE439" i="3315"/>
  <c r="AE461" i="3315"/>
  <c r="AE1164" i="3315"/>
  <c r="AE132" i="3315"/>
  <c r="AE567" i="3315"/>
  <c r="AF1167" i="3315"/>
  <c r="X1165" i="3315"/>
  <c r="V1167" i="3315"/>
  <c r="AE585" i="3315"/>
  <c r="X590" i="3315"/>
  <c r="AE1163" i="3315"/>
  <c r="AE1165" i="3315" s="1"/>
  <c r="AE1250" i="3315"/>
  <c r="AE1048" i="3315"/>
  <c r="AE1049" i="3315" s="1"/>
  <c r="X1251" i="3315"/>
  <c r="AE966" i="3315"/>
  <c r="AE973" i="3315" s="1"/>
  <c r="X973" i="3315"/>
  <c r="AE590" i="3315" l="1"/>
  <c r="AE1050" i="3315" s="1"/>
  <c r="AE1166" i="3315" s="1"/>
  <c r="AE1169" i="3315" s="1"/>
  <c r="X1050" i="3315"/>
  <c r="AE1251" i="3315"/>
  <c r="X1166" i="3315" l="1"/>
  <c r="AE1167" i="3315"/>
  <c r="X1167" i="3315" l="1"/>
  <c r="X1169" i="3315"/>
  <c r="P1174" i="3315" l="1"/>
  <c r="R1174" i="3315"/>
  <c r="W1174" i="3315" s="1"/>
  <c r="X1174" i="3315" l="1"/>
  <c r="Q1174" i="3315"/>
  <c r="AE1174" i="3315" l="1"/>
  <c r="R1175" i="3315"/>
  <c r="R1176" i="3315" s="1"/>
  <c r="P1175" i="3315"/>
  <c r="P1176" i="3315" s="1"/>
  <c r="R1253" i="3315" l="1"/>
  <c r="R1267" i="3315" s="1"/>
  <c r="W1175" i="3315"/>
  <c r="W1176" i="3315" s="1"/>
  <c r="Q1175" i="3315"/>
  <c r="Q1176" i="3315" s="1"/>
  <c r="P1253" i="3315"/>
  <c r="W1253" i="3315" l="1"/>
  <c r="W1267" i="3315" s="1"/>
  <c r="X1175" i="3315"/>
  <c r="AE1175" i="3315" s="1"/>
  <c r="Q1253" i="3315"/>
  <c r="P1267" i="3315"/>
  <c r="X1176" i="3315" l="1"/>
  <c r="Q1267" i="3315"/>
  <c r="AE1176" i="3315"/>
  <c r="X1253" i="3315" l="1"/>
  <c r="X1267" i="3315" s="1"/>
  <c r="AE1253" i="3315"/>
  <c r="AE1267" i="3315" s="1"/>
</calcChain>
</file>

<file path=xl/sharedStrings.xml><?xml version="1.0" encoding="utf-8"?>
<sst xmlns="http://schemas.openxmlformats.org/spreadsheetml/2006/main" count="2652" uniqueCount="1372">
  <si>
    <t>Revised Gross Annual gas Savings</t>
  </si>
  <si>
    <t>Revised Gross kWh</t>
  </si>
  <si>
    <t>Program</t>
  </si>
  <si>
    <t>Total</t>
  </si>
  <si>
    <t>Calculated</t>
  </si>
  <si>
    <t>Free rider %</t>
  </si>
  <si>
    <t>Annual unit gas savings</t>
  </si>
  <si>
    <t>Net annual gas savings</t>
  </si>
  <si>
    <t>Net m3</t>
  </si>
  <si>
    <t>Measure Life</t>
  </si>
  <si>
    <t>NPV Gas</t>
  </si>
  <si>
    <t>NPV Electric</t>
  </si>
  <si>
    <t>NPV Water</t>
  </si>
  <si>
    <t>NPV benefits</t>
  </si>
  <si>
    <t>Total incentive payments</t>
  </si>
  <si>
    <t>s</t>
  </si>
  <si>
    <t>discount rate</t>
  </si>
  <si>
    <t>water heating</t>
  </si>
  <si>
    <t>gas</t>
  </si>
  <si>
    <t>energy</t>
  </si>
  <si>
    <t>year</t>
  </si>
  <si>
    <t>NPV</t>
  </si>
  <si>
    <t>space heating</t>
  </si>
  <si>
    <t>combined space &amp;</t>
  </si>
  <si>
    <t xml:space="preserve">  water heating</t>
  </si>
  <si>
    <t>industrial</t>
  </si>
  <si>
    <t>Total TRC Costs</t>
  </si>
  <si>
    <t>Agriculture</t>
  </si>
  <si>
    <t>DSM O&amp;M</t>
  </si>
  <si>
    <t>Multi-Residential</t>
  </si>
  <si>
    <t>Large New Construction</t>
  </si>
  <si>
    <t>Unit Incremental costs</t>
  </si>
  <si>
    <t>electricity</t>
  </si>
  <si>
    <t>Space &amp; Water Heating</t>
  </si>
  <si>
    <t>¢/Kwh</t>
  </si>
  <si>
    <t>FY</t>
  </si>
  <si>
    <t>wholesale</t>
  </si>
  <si>
    <t>$ / 1000 litres</t>
  </si>
  <si>
    <t>Energy Recovery Ventilators (ERV)</t>
  </si>
  <si>
    <t>Heat Recovery Ventilator (HRV)</t>
  </si>
  <si>
    <t>Infrared Heaters</t>
  </si>
  <si>
    <t>Gross annual gas savings</t>
  </si>
  <si>
    <t>Gross kWh</t>
  </si>
  <si>
    <t>Total Net Incremental costs</t>
  </si>
  <si>
    <t>Multi - Residential Private</t>
  </si>
  <si>
    <t>Multi - Residential Non Profit</t>
  </si>
  <si>
    <t>Total Multi-Residential Water Conservation</t>
  </si>
  <si>
    <t>Universities</t>
  </si>
  <si>
    <t>Retail</t>
  </si>
  <si>
    <t>Total Multi-Residential</t>
  </si>
  <si>
    <t>Total Industrial</t>
  </si>
  <si>
    <t>S.BM.CM.NC</t>
  </si>
  <si>
    <t>w</t>
  </si>
  <si>
    <t xml:space="preserve"> </t>
  </si>
  <si>
    <t>Total Business Markets</t>
  </si>
  <si>
    <t>Schools</t>
  </si>
  <si>
    <t>Program codes</t>
  </si>
  <si>
    <t>Total Large New Construction</t>
  </si>
  <si>
    <t>Other Commercial</t>
  </si>
  <si>
    <t>Total Residential</t>
  </si>
  <si>
    <t>Demand Side Management</t>
  </si>
  <si>
    <t>Hampton Methodologies - Unit Cost Saved ($/E3M3)</t>
  </si>
  <si>
    <t>Water Heating</t>
  </si>
  <si>
    <t>Fiscal Year</t>
  </si>
  <si>
    <t>Jan 02</t>
  </si>
  <si>
    <t>May 01</t>
  </si>
  <si>
    <t>Industrial Process</t>
  </si>
  <si>
    <t>Space Heating</t>
  </si>
  <si>
    <t>Unit kWh</t>
  </si>
  <si>
    <t>Net kWh</t>
  </si>
  <si>
    <t>-</t>
  </si>
  <si>
    <t>c</t>
  </si>
  <si>
    <t xml:space="preserve">"Direct" Program costs </t>
  </si>
  <si>
    <t>Water</t>
  </si>
  <si>
    <t>Rates</t>
  </si>
  <si>
    <t>Total Low Income</t>
  </si>
  <si>
    <t>MARKET TRANSFORMATION</t>
  </si>
  <si>
    <t>Nominal Growth Rate, Dec 2004</t>
  </si>
  <si>
    <t>LOW INCOME</t>
  </si>
  <si>
    <t>Tankless Water Heaters</t>
  </si>
  <si>
    <t>Government</t>
  </si>
  <si>
    <t>Total Large Commercial</t>
  </si>
  <si>
    <t>Multi-Residential Water Conservation</t>
  </si>
  <si>
    <t>Name</t>
  </si>
  <si>
    <t>Net TRC Benefits</t>
  </si>
  <si>
    <t>2010</t>
  </si>
  <si>
    <t>2009</t>
  </si>
  <si>
    <t>2008</t>
  </si>
  <si>
    <t>Condensing Boiler</t>
  </si>
  <si>
    <t>Unit water m3</t>
  </si>
  <si>
    <t>Gross water m3</t>
  </si>
  <si>
    <t>Revised Gross water m3</t>
  </si>
  <si>
    <t>Avoided Cost Benefits</t>
  </si>
  <si>
    <t>Energy Star Dishwashers Under High temp</t>
  </si>
  <si>
    <t>Energy Star Fryers</t>
  </si>
  <si>
    <t>Energy Star Stationary Rack - HT</t>
  </si>
  <si>
    <t>Energy Star Stationary Rack - LT</t>
  </si>
  <si>
    <t>ES Rack conveyor - Single</t>
  </si>
  <si>
    <t>High Efficiency Under-Fired Broilers</t>
  </si>
  <si>
    <t>Ozone Laundry</t>
  </si>
  <si>
    <t>Front Load Washer</t>
  </si>
  <si>
    <t>Reduction Factor % for non-installs and removals</t>
  </si>
  <si>
    <t>Household</t>
  </si>
  <si>
    <t>MR Showerheads Rental</t>
  </si>
  <si>
    <t>Participant Definition for Prescriptive     Address for Custom</t>
  </si>
  <si>
    <t>SC High Efficiency Boiler under 300 MBH (Space)</t>
  </si>
  <si>
    <t>Total Commercial Prescriptive</t>
  </si>
  <si>
    <t>i</t>
  </si>
  <si>
    <t>Enbridge Gas Distribution 2012 DSM Results</t>
  </si>
  <si>
    <t>Cumulative Cubic Metres (CCM)</t>
  </si>
  <si>
    <t>Indicates updated inputs (February 2012)</t>
  </si>
  <si>
    <t>2012 Ontario CPI</t>
  </si>
  <si>
    <t>IESO, Jan 2012</t>
  </si>
  <si>
    <t>2012 Wholesale water rates ¢/1000 litres</t>
  </si>
  <si>
    <t>Source:Muhammad Akhtar, February 2012</t>
  </si>
  <si>
    <t>PIRA's Commodity Price Forecast 2011 vs 2012</t>
  </si>
  <si>
    <t>RA.UNIV.EX.002.12</t>
  </si>
  <si>
    <t>RA.UNIV.EX.004.12A</t>
  </si>
  <si>
    <t>RA.UNIV.EX.004.12M</t>
  </si>
  <si>
    <t>RA.UNIV.EX.005.12HEBO</t>
  </si>
  <si>
    <t>RA.UNIV.EX.006.12</t>
  </si>
  <si>
    <t>RA.UNIV.EX.007.12</t>
  </si>
  <si>
    <t>RA.UNIV.EX.008.12</t>
  </si>
  <si>
    <t>RA.UNIV.EX.009.12</t>
  </si>
  <si>
    <t>RA.UNIV.EX.010.12A</t>
  </si>
  <si>
    <t>RA.UNIV.EX.010.12B</t>
  </si>
  <si>
    <t>RA.UNIV.EX.010.12M</t>
  </si>
  <si>
    <t>RA.UNIV.EX.011.12</t>
  </si>
  <si>
    <t>RA.UNIV.EX.012.12</t>
  </si>
  <si>
    <t>RA.UNIV.EX.013.12</t>
  </si>
  <si>
    <t>RA.UNIV.EX.014.12</t>
  </si>
  <si>
    <t>RA.UNIV.EX</t>
  </si>
  <si>
    <t>RA.GOV.EX.001.12</t>
  </si>
  <si>
    <t>RA.GOV.EX.002.12</t>
  </si>
  <si>
    <t>RA.GOV.EX.003.12</t>
  </si>
  <si>
    <t>RA.GOV.EX.004.12</t>
  </si>
  <si>
    <t>RA.GOV.EX.005.12</t>
  </si>
  <si>
    <t>RA.GOV.EX.006.12</t>
  </si>
  <si>
    <t>RA.GOV.EX.007.12</t>
  </si>
  <si>
    <t>RA.GOV.EX.008.12</t>
  </si>
  <si>
    <t>RA.GOV.EX.009.12</t>
  </si>
  <si>
    <t>RA.GOV.EX.010.12A</t>
  </si>
  <si>
    <t>RA.GOV.EX.010.12M</t>
  </si>
  <si>
    <t>RA.GOV.EX.011.12</t>
  </si>
  <si>
    <t>RA.GOV.EX.012.12</t>
  </si>
  <si>
    <t>RA.GOV.EX.013.12HEBO</t>
  </si>
  <si>
    <t>RA.GOV.EX.015.12A</t>
  </si>
  <si>
    <t>RA.GOV.EX.015.12M</t>
  </si>
  <si>
    <t>RA.GOV.EX.016.12</t>
  </si>
  <si>
    <t>RA.GOV.EX.017.12</t>
  </si>
  <si>
    <t>RA.GOV.EX.018.12</t>
  </si>
  <si>
    <t>RA.GOV.EX</t>
  </si>
  <si>
    <t>RA.HC.EX.001.12</t>
  </si>
  <si>
    <t>RA.HC.EX.003.12</t>
  </si>
  <si>
    <t>RA.HC.EX.004.12</t>
  </si>
  <si>
    <t>RA.HC.EX.005.12</t>
  </si>
  <si>
    <t>RA.HC.EX.006.12</t>
  </si>
  <si>
    <t>RA.HC.EX.007.12</t>
  </si>
  <si>
    <t>RA.HC.EX.011.12</t>
  </si>
  <si>
    <t>RA.HC.EX.015.12</t>
  </si>
  <si>
    <t>RA.HC.EX.016.12</t>
  </si>
  <si>
    <t>RA.HC.EX.017.12</t>
  </si>
  <si>
    <t>RA.HC.EX.018.12A</t>
  </si>
  <si>
    <t>RA.HC.EX.018.12B</t>
  </si>
  <si>
    <t>RA.HC.EX.018.12M</t>
  </si>
  <si>
    <t>RA.HC.EX.019.12</t>
  </si>
  <si>
    <t>RA.HC.EX.020.12</t>
  </si>
  <si>
    <t>RA.HC.EX.021.12</t>
  </si>
  <si>
    <t>RA.HC.EX.022.12</t>
  </si>
  <si>
    <t>RA.HC.EX.023.12</t>
  </si>
  <si>
    <t>RA.HC.EX.026.12</t>
  </si>
  <si>
    <t>RA.HC.EX.027.12</t>
  </si>
  <si>
    <t>RA.HC.EX.028.12</t>
  </si>
  <si>
    <t>RA.HC.EX.029.12</t>
  </si>
  <si>
    <t>RA.HC.EX.030.12</t>
  </si>
  <si>
    <t>RA.HC.EX.031.12</t>
  </si>
  <si>
    <t>RA.HC.EX.032.12A</t>
  </si>
  <si>
    <t>RA.HC.EX.032.12M</t>
  </si>
  <si>
    <t>RA.HC.EX.034.12</t>
  </si>
  <si>
    <t>RA.HC.EX.036.12VFD</t>
  </si>
  <si>
    <t>RA.HC.EX.037.12</t>
  </si>
  <si>
    <t>RA.HC.EX</t>
  </si>
  <si>
    <t>Health Care</t>
  </si>
  <si>
    <t>Commercial - Hospitals - RA.HC.EX</t>
  </si>
  <si>
    <t>Commercial - Government - RA.GOV.EX</t>
  </si>
  <si>
    <t>Commercial - College/University - RA.UNIV.EX</t>
  </si>
  <si>
    <t xml:space="preserve"> RA.ACC.EX</t>
  </si>
  <si>
    <t>Accommodation</t>
  </si>
  <si>
    <t>Commercial - Accommodation - RA.ACC.EX</t>
  </si>
  <si>
    <t>RA.ACC.EX.001.12</t>
  </si>
  <si>
    <t>RA.ACC.EX.002.12A</t>
  </si>
  <si>
    <t>RA.ACC.EX.002.12M</t>
  </si>
  <si>
    <t>RA.ACC.EX.004.12A</t>
  </si>
  <si>
    <t>RA.ACC.EX.004.12M</t>
  </si>
  <si>
    <t>RA.ACC.EX.005.12A</t>
  </si>
  <si>
    <t>RA.ACC.EX.005.12M</t>
  </si>
  <si>
    <t>RA.ACC.EX.007.12A</t>
  </si>
  <si>
    <t>RA.ACC.EX.007.12M</t>
  </si>
  <si>
    <t>RA.ACC.EX.008.12M</t>
  </si>
  <si>
    <t>RA.ACC.EX.008.12VFD - A</t>
  </si>
  <si>
    <t>RA.ACC.EX.009.12</t>
  </si>
  <si>
    <t>RA.ACC.EX.010.12</t>
  </si>
  <si>
    <t>RA.ACC.EX.011.12</t>
  </si>
  <si>
    <t>Commercial - Multi-Res Non-Profit - LW.MR.PART3</t>
  </si>
  <si>
    <t>LW.MR.PART3</t>
  </si>
  <si>
    <t>LW.MR.PART3.001.12A</t>
  </si>
  <si>
    <t>LW.MR.PART3.001.12M</t>
  </si>
  <si>
    <t>LW.MR.PART3.002.12A</t>
  </si>
  <si>
    <t>LW.MR.PART3.002.12B</t>
  </si>
  <si>
    <t>LW.MR.PART3.002.12M</t>
  </si>
  <si>
    <t>LW.MR.PART3.003.12</t>
  </si>
  <si>
    <t>LW.MR.PART3.004.12</t>
  </si>
  <si>
    <t>LW.MR.PART3.005.12A</t>
  </si>
  <si>
    <t>LW.MR.PART3.005.12M</t>
  </si>
  <si>
    <t>LW.MR.PART3.006.12</t>
  </si>
  <si>
    <t>LW.MR.PART3.007.12</t>
  </si>
  <si>
    <t>LW.MR.PART3.008.12</t>
  </si>
  <si>
    <t>LW.MR.PART3.009.12</t>
  </si>
  <si>
    <t>LW.MR.PART3.010.12</t>
  </si>
  <si>
    <t>LW.MR.PART3.011.12A</t>
  </si>
  <si>
    <t>LW.MR.PART3.011.12M</t>
  </si>
  <si>
    <t>LW.MR.PART3.012.12HEBO A</t>
  </si>
  <si>
    <t>LW.MR.PART3.012.12HEBO M</t>
  </si>
  <si>
    <t>LW.MR.PART3.013.12HEBO</t>
  </si>
  <si>
    <t>LW.MR.PART3.014.12HEBO</t>
  </si>
  <si>
    <t>LW.MR.PART3.015.12HEBO</t>
  </si>
  <si>
    <t>LW.MR.PART3.016.12HEBO</t>
  </si>
  <si>
    <t>LW.MR.PART3.017.12HEBO</t>
  </si>
  <si>
    <t>LW.MR.PART3.019.12HEBO</t>
  </si>
  <si>
    <t>LW.MR.PART3.020.12A</t>
  </si>
  <si>
    <t>LW.MR.PART3.020.12B</t>
  </si>
  <si>
    <t>LW.MR.PART3.020.12M</t>
  </si>
  <si>
    <t>LW.MR.PART3.021.12</t>
  </si>
  <si>
    <t>LW.MR.PART3.022.12HEBO</t>
  </si>
  <si>
    <t>LW.MR.PART3.023.12HEBO</t>
  </si>
  <si>
    <t>LW.MR.PART3.024.12HEBO</t>
  </si>
  <si>
    <t>LW.MR.PART3.026.12HRV</t>
  </si>
  <si>
    <t>LW.MR.PART3.027.12</t>
  </si>
  <si>
    <t>LW.MR.PART3.030.12</t>
  </si>
  <si>
    <t>LW.MR.PART3.031.12A</t>
  </si>
  <si>
    <t>LW.MR.PART3.031.12M</t>
  </si>
  <si>
    <t>LW.MR.PART3.032.12</t>
  </si>
  <si>
    <t>LW.MR.PART3.033.12</t>
  </si>
  <si>
    <t>LW.MR.PART3.034.12</t>
  </si>
  <si>
    <t>LW.MR.PART3.035.12</t>
  </si>
  <si>
    <t>LW.MR.PART3.036.12</t>
  </si>
  <si>
    <t>LW.MR.PART3.037.12</t>
  </si>
  <si>
    <t>LW.MR.PART3.038.12</t>
  </si>
  <si>
    <t>LW.MR.PART3.039.12</t>
  </si>
  <si>
    <t>LW.MR.PART3.040.12</t>
  </si>
  <si>
    <t>LW.MR.PART3.041.12</t>
  </si>
  <si>
    <t>LW.MR.PART3.042.12</t>
  </si>
  <si>
    <t>LW.MR.PART3.043.12</t>
  </si>
  <si>
    <t>LW.MR.PART3.044.12</t>
  </si>
  <si>
    <t>LW.MR.PART3.045.12</t>
  </si>
  <si>
    <t>LW.MR.PART3.046.12</t>
  </si>
  <si>
    <t>LW.MR.PART3.047.12</t>
  </si>
  <si>
    <t>LW.MR.PART3.048.12</t>
  </si>
  <si>
    <t>LW.MR.PART3.049.12</t>
  </si>
  <si>
    <t>LW.MR.PART3.050.12</t>
  </si>
  <si>
    <t>LW.MR.PART3.051.12</t>
  </si>
  <si>
    <t>LW.MR.PART3.052.12A</t>
  </si>
  <si>
    <t>LW.MR.PART3.052.12M</t>
  </si>
  <si>
    <t>LW.MR.PART3.053.12</t>
  </si>
  <si>
    <t>LW.MR.PART3.054.12</t>
  </si>
  <si>
    <t>LW.MR.PART3.055.12</t>
  </si>
  <si>
    <t>LW.MR.PART3.056.12</t>
  </si>
  <si>
    <t>LW.MR.PART3.057.12</t>
  </si>
  <si>
    <t>LW.MR.PART3.058.12</t>
  </si>
  <si>
    <t>LW.MR.PART3.059.12</t>
  </si>
  <si>
    <t>LW.MR.PART3.060.12</t>
  </si>
  <si>
    <t>LW.MR.PART3.061.12</t>
  </si>
  <si>
    <t>LW.MR.PART3.063.12</t>
  </si>
  <si>
    <t>LW.MR.PART3.064.12</t>
  </si>
  <si>
    <t>RA.MR.EX.001.12A</t>
  </si>
  <si>
    <t>RA.MR.EX.001.12M</t>
  </si>
  <si>
    <t>RA.MR.EX.002.12</t>
  </si>
  <si>
    <t>RA.MR.EX.003.12</t>
  </si>
  <si>
    <t>RA.MR.EX.004.12</t>
  </si>
  <si>
    <t>RA.MR.EX.005.12</t>
  </si>
  <si>
    <t>RA.MR.EX.006.12</t>
  </si>
  <si>
    <t>RA.MR.EX.007.12</t>
  </si>
  <si>
    <t>RA.MR.EX.008.12</t>
  </si>
  <si>
    <t>RA.MR.EX.009.12</t>
  </si>
  <si>
    <t>RA.MR.EX.010.12</t>
  </si>
  <si>
    <t>RA.MR.EX.011.12</t>
  </si>
  <si>
    <t>RA.MR.EX.012.12</t>
  </si>
  <si>
    <t>RA.MR.EX.014.12</t>
  </si>
  <si>
    <t>RA.MR.EX.015.12A</t>
  </si>
  <si>
    <t>RA.MR.EX.015.12M</t>
  </si>
  <si>
    <t>RA.MR.EX.016.12</t>
  </si>
  <si>
    <t>RA.MR.EX.017.12</t>
  </si>
  <si>
    <t>RA.MR.EX.018.12A</t>
  </si>
  <si>
    <t>RA.MR.EX.018.12M</t>
  </si>
  <si>
    <t>RA.MR.EX.019.12</t>
  </si>
  <si>
    <t>RA.MR.EX.020.12A</t>
  </si>
  <si>
    <t>RA.MR.EX.020.12B</t>
  </si>
  <si>
    <t>RA.MR.EX.020.12M</t>
  </si>
  <si>
    <t>RA.MR.EX.021.12</t>
  </si>
  <si>
    <t>RA.MR.EX.022.12A</t>
  </si>
  <si>
    <t>RA.MR.EX.022.12M</t>
  </si>
  <si>
    <t>RA.MR.EX.023.12</t>
  </si>
  <si>
    <t>RA.MR.EX.024.12A</t>
  </si>
  <si>
    <t>RA.MR.EX.024.12M</t>
  </si>
  <si>
    <t>RA.MR.EX.025.12A</t>
  </si>
  <si>
    <t>RA.MR.EX.025.12M</t>
  </si>
  <si>
    <t>RA.MR.EX.026.12</t>
  </si>
  <si>
    <t>RA.MR.EX.027.12</t>
  </si>
  <si>
    <t>RA.MR.EX.028.12</t>
  </si>
  <si>
    <t>RA.MR.EX.029.12A</t>
  </si>
  <si>
    <t>RA.MR.EX.029.12M</t>
  </si>
  <si>
    <t>RA.MR.EX.030.12HEBO A</t>
  </si>
  <si>
    <t>RA.MR.EX.030.12HEBO B</t>
  </si>
  <si>
    <t>RA.MR.EX.030.12HEBO C</t>
  </si>
  <si>
    <t>RA.MR.EX.030.12HEBO M</t>
  </si>
  <si>
    <t>RA.MR.EX.031.12A</t>
  </si>
  <si>
    <t>RA.MR.EX.031.12M</t>
  </si>
  <si>
    <t>RA.MR.EX.032.12</t>
  </si>
  <si>
    <t>RA.MR.EX.033.12</t>
  </si>
  <si>
    <t>RA.MR.EX.034.12</t>
  </si>
  <si>
    <t>RA.MR.EX.035.12</t>
  </si>
  <si>
    <t>RA.MR.EX.036.12A</t>
  </si>
  <si>
    <t>RA.MR.EX.036.12M</t>
  </si>
  <si>
    <t>RA.MR.EX.037.12A</t>
  </si>
  <si>
    <t>RA.MR.EX.037.12B</t>
  </si>
  <si>
    <t>RA.MR.EX.037.12M</t>
  </si>
  <si>
    <t>RA.MR.EX.039.12</t>
  </si>
  <si>
    <t>RA.MR.EX.040.12</t>
  </si>
  <si>
    <t>RA.MR.EX.041.12</t>
  </si>
  <si>
    <t>RA.MR.EX.043.12</t>
  </si>
  <si>
    <t>RA.MR.EX.044.12</t>
  </si>
  <si>
    <t>RA.MR.EX.045.12</t>
  </si>
  <si>
    <t>RA.MR.EX.046.12</t>
  </si>
  <si>
    <t>RA.MR.EX.047.12</t>
  </si>
  <si>
    <t>RA.MR.EX.048.12</t>
  </si>
  <si>
    <t>RA.MR.EX.049.12</t>
  </si>
  <si>
    <t>RA.MR.EX.050.12</t>
  </si>
  <si>
    <t>RA.MR.EX.051.12</t>
  </si>
  <si>
    <t>RA.MR.EX.052.12</t>
  </si>
  <si>
    <t>RA.MR.EX.053.12</t>
  </si>
  <si>
    <t>RA.MR.EX.054.12</t>
  </si>
  <si>
    <t>RA.MR.EX.055.12</t>
  </si>
  <si>
    <t>RA.MR.EX.056.12A</t>
  </si>
  <si>
    <t>RA.MR.EX.056.12B</t>
  </si>
  <si>
    <t>RA.MR.EX.056.12M</t>
  </si>
  <si>
    <t>RA.MR.EX.057.12</t>
  </si>
  <si>
    <t>RA.MR.EX.058.12</t>
  </si>
  <si>
    <t>RA.MR.EX.059.12</t>
  </si>
  <si>
    <t>RA.MR.EX.060.12</t>
  </si>
  <si>
    <t>RA.MR.EX.061.12</t>
  </si>
  <si>
    <t>RA.MR.EX.063.12HEBO</t>
  </si>
  <si>
    <t>RA.MR.EX.064.12VFD</t>
  </si>
  <si>
    <t>RA.MR.EX.072.12</t>
  </si>
  <si>
    <t>RA.MR.EX.073.12</t>
  </si>
  <si>
    <t>RA.MR.EX.074.12VFD</t>
  </si>
  <si>
    <t>RA.MR.EX.075.12</t>
  </si>
  <si>
    <t>RA.MR.EX.076.12</t>
  </si>
  <si>
    <t>RA.MR.EX.078.12A</t>
  </si>
  <si>
    <t>RA.MR.EX.078.12M</t>
  </si>
  <si>
    <t>RA.MR.EX.079.12</t>
  </si>
  <si>
    <t>RA.MR.EX.080.12VFD</t>
  </si>
  <si>
    <t>RA.MR.EX.081.12A</t>
  </si>
  <si>
    <t>RA.MR.EX.081.12B</t>
  </si>
  <si>
    <t>RA.MR.EX.081.12M</t>
  </si>
  <si>
    <t>RA.MR.EX.082.12</t>
  </si>
  <si>
    <t>RA.MR.EX.083.12</t>
  </si>
  <si>
    <t>RA.MR.EX.084.12</t>
  </si>
  <si>
    <t>RA.MR.EX.085.12</t>
  </si>
  <si>
    <t>RA.MR.EX.086.12</t>
  </si>
  <si>
    <t>RA.MR.EX.087.12</t>
  </si>
  <si>
    <t>RA.MR.EX.088.12A</t>
  </si>
  <si>
    <t>RA.MR.EX.088.12M</t>
  </si>
  <si>
    <t>RA.MR.EX.089.12VFD</t>
  </si>
  <si>
    <t>RA.MR.EX.090.12A</t>
  </si>
  <si>
    <t>RA.MR.EX.090.12M</t>
  </si>
  <si>
    <t>RA.MR.EX.091.12</t>
  </si>
  <si>
    <t>RA.MR.EX.092.12A</t>
  </si>
  <si>
    <t>RA.MR.EX.092.12M</t>
  </si>
  <si>
    <t>RA.MR.EX.092.12VFD - B</t>
  </si>
  <si>
    <t>RA.MR.EX.093.12</t>
  </si>
  <si>
    <t>RA.MR.EX.094.12</t>
  </si>
  <si>
    <t>RA.MR.EX.095.12</t>
  </si>
  <si>
    <t>RA.MR.EX.096.12VFD</t>
  </si>
  <si>
    <t>RA.MR.EX.097.12VFD</t>
  </si>
  <si>
    <t>RA.MR.EX.098.12</t>
  </si>
  <si>
    <t>RA.MR.EX.099.12</t>
  </si>
  <si>
    <t>RA.MR.EX.100.12A</t>
  </si>
  <si>
    <t>RA.MR.EX.100.12M</t>
  </si>
  <si>
    <t>RA.MR.EX.100.12VFD - B</t>
  </si>
  <si>
    <t>RA.MR.EX.101.12A</t>
  </si>
  <si>
    <t>RA.MR.EX.101.12M</t>
  </si>
  <si>
    <t>RA.MR.EX.102.12VFD</t>
  </si>
  <si>
    <t>RA.MR.EX.103.12VFD</t>
  </si>
  <si>
    <t>RA.MR.EX.104.12VFD</t>
  </si>
  <si>
    <t>RA.MR.EX.105.12VFD</t>
  </si>
  <si>
    <t>RA.MR.EX.106.12</t>
  </si>
  <si>
    <t>RA.MR.EX.107.12A</t>
  </si>
  <si>
    <t>RA.MR.EX.107.12VFD M</t>
  </si>
  <si>
    <t>RA.MR.EX.108.12A</t>
  </si>
  <si>
    <t>RA.MR.EX.108.12B</t>
  </si>
  <si>
    <t>RA.MR.EX.108.12C</t>
  </si>
  <si>
    <t>RA.MR.EX.108.12VFD M</t>
  </si>
  <si>
    <t>RA.MR.EX.109.12VFD</t>
  </si>
  <si>
    <t>RA.MR.EX.110.12A</t>
  </si>
  <si>
    <t>RA.MR.EX.110.12M</t>
  </si>
  <si>
    <t>RA.MR.EX.110.12VFD - B</t>
  </si>
  <si>
    <t>RA.MR.EX.111.12A</t>
  </si>
  <si>
    <t>RA.MR.EX.111.12M</t>
  </si>
  <si>
    <t>RA.MR.EX.112.12A</t>
  </si>
  <si>
    <t>RA.MR.EX.112.12B</t>
  </si>
  <si>
    <t>RA.MR.EX.112.12M</t>
  </si>
  <si>
    <t>RA.MR.EX.113.12</t>
  </si>
  <si>
    <t>RA.MR.EX.114.12A</t>
  </si>
  <si>
    <t>RA.MR.EX.114.12M</t>
  </si>
  <si>
    <t>RA.MR.EX.115.12</t>
  </si>
  <si>
    <t>RA.MR.EX.116.12</t>
  </si>
  <si>
    <t>RA.MR.EX.117.12A</t>
  </si>
  <si>
    <t>RA.MR.EX.117.12M</t>
  </si>
  <si>
    <t>RA.MR.EX.118.12A</t>
  </si>
  <si>
    <t>RA.MR.EX.118.12B</t>
  </si>
  <si>
    <t>RA.MR.EX.118.12VFD - M</t>
  </si>
  <si>
    <t>RA.MR.EX.119.12M-VFD</t>
  </si>
  <si>
    <t>RA.MR.EX.119.12VFD - B</t>
  </si>
  <si>
    <t>RA.MR.EX.119.12VFD -A</t>
  </si>
  <si>
    <t>RA.MR.EX.120.12</t>
  </si>
  <si>
    <t>RA.MR.EX.121.12</t>
  </si>
  <si>
    <t>RA.MR.EX.122.12VFD</t>
  </si>
  <si>
    <t>RA.MR.EX.123.12A</t>
  </si>
  <si>
    <t>RA.MR.EX.123.12M</t>
  </si>
  <si>
    <t>RA.MR.EX.124.12</t>
  </si>
  <si>
    <t>RA.MR.EX.125.12VFD</t>
  </si>
  <si>
    <t>RA.MR.EX.126.12VFD</t>
  </si>
  <si>
    <t>RA.MR.EX.127.12HEBO A</t>
  </si>
  <si>
    <t>RA.MR.EX.127.12HEBO M</t>
  </si>
  <si>
    <t>RA.MR.EX.128.12VFD</t>
  </si>
  <si>
    <t>RA.MR.EX.129.12VFD</t>
  </si>
  <si>
    <t>RA.MR.EX.130.12VFD</t>
  </si>
  <si>
    <t>RA.MR.EX.131.12</t>
  </si>
  <si>
    <t>RA.MR.EX.132.12</t>
  </si>
  <si>
    <t>RA.MR.EX.133.12</t>
  </si>
  <si>
    <t>RA.MR.EX.134.12A</t>
  </si>
  <si>
    <t>RA.MR.EX.134.12M</t>
  </si>
  <si>
    <t>RA.MR.EX.135.12VFD</t>
  </si>
  <si>
    <t>RA.MR.EX.136.12</t>
  </si>
  <si>
    <t>RA.MR.EX.137.12VFD</t>
  </si>
  <si>
    <t>RA.MR.EX.138.12</t>
  </si>
  <si>
    <t>RA.MR.EX.139.12</t>
  </si>
  <si>
    <t>RA.MR.EX.140.12</t>
  </si>
  <si>
    <t>RA.MR.EX.141.12</t>
  </si>
  <si>
    <t>RA.MR.EX.142.12</t>
  </si>
  <si>
    <t>RA.MR.EX.143.12</t>
  </si>
  <si>
    <t>RA.MR.EX.144.12</t>
  </si>
  <si>
    <t>RA.MR.EX.145.12</t>
  </si>
  <si>
    <t>RA.MR.EX.146.12HEBO</t>
  </si>
  <si>
    <t>RA.MR.EX.147.12A</t>
  </si>
  <si>
    <t>RA.MR.EX.147.12M</t>
  </si>
  <si>
    <t>RA.MR.EX.148.12</t>
  </si>
  <si>
    <t>RA.MR.EX.149.12</t>
  </si>
  <si>
    <t>RA.MR.EX.150.12</t>
  </si>
  <si>
    <t>RA.MR.EX.151.12</t>
  </si>
  <si>
    <t>RA.MR.EX.152.12</t>
  </si>
  <si>
    <t>RA.MR.EX.153.12A</t>
  </si>
  <si>
    <t>RA.MR.EX.153.12M</t>
  </si>
  <si>
    <t>RA.MR.EX.154.12A</t>
  </si>
  <si>
    <t>RA.MR.EX.154.12M</t>
  </si>
  <si>
    <t>RA.MR.EX.155.12A</t>
  </si>
  <si>
    <t>RA.MR.EX.155.12M</t>
  </si>
  <si>
    <t>RA.MR.EX.156.12A</t>
  </si>
  <si>
    <t>RA.MR.EX.156.12M</t>
  </si>
  <si>
    <t>RA.MR.EX.157.12A</t>
  </si>
  <si>
    <t>RA.MR.EX.157.12M</t>
  </si>
  <si>
    <t>RA.MR.EX.158.12A</t>
  </si>
  <si>
    <t>RA.MR.EX.158.12M</t>
  </si>
  <si>
    <t>RA.MR.EX.159.12</t>
  </si>
  <si>
    <t>RA.MR.EX.160.12VFD</t>
  </si>
  <si>
    <t>RA.MR.EX.161.12VFD</t>
  </si>
  <si>
    <t>RA.MR.EX.162.12</t>
  </si>
  <si>
    <t>RA.MR.EX.163.12</t>
  </si>
  <si>
    <t>RA.MR.EX.164.12</t>
  </si>
  <si>
    <t>RA.MR.EX.165.12A</t>
  </si>
  <si>
    <t>RA.MR.EX.165.12M</t>
  </si>
  <si>
    <t>RA.MR.EX.166.12VFD</t>
  </si>
  <si>
    <t>RA.MR.EX.167.12VFD</t>
  </si>
  <si>
    <t>RA.MR.EX.168.12VFD</t>
  </si>
  <si>
    <t>RA.MR.EX.169.12</t>
  </si>
  <si>
    <t>RA.MR.EX.170.12VFD</t>
  </si>
  <si>
    <t>RA.MR.EX.171.12</t>
  </si>
  <si>
    <t>RA.MR.EX.172.12</t>
  </si>
  <si>
    <t>RA.MR.EX.173.12</t>
  </si>
  <si>
    <t>RA.MR.EX.174.12</t>
  </si>
  <si>
    <t>RA.MR.EX.175.12</t>
  </si>
  <si>
    <t>RA.MR.EX.176.12</t>
  </si>
  <si>
    <t>RA.MR.EX.177.12</t>
  </si>
  <si>
    <t>RA.MR.EX.178.12</t>
  </si>
  <si>
    <t>RA.MR.EX.179.12</t>
  </si>
  <si>
    <t>RA.MR.EX.180.12</t>
  </si>
  <si>
    <t>RA.MR.EX.181.12A</t>
  </si>
  <si>
    <t>RA.MR.EX.181.12VFD - M</t>
  </si>
  <si>
    <t>RA.MR.EX.182.12A</t>
  </si>
  <si>
    <t>RA.MR.EX.182.12M</t>
  </si>
  <si>
    <t>RA.MR.EX.183.12A</t>
  </si>
  <si>
    <t>RA.MR.EX.183.12M</t>
  </si>
  <si>
    <t>RA.MR.EX.184.12A - VFD</t>
  </si>
  <si>
    <t>RA.MR.EX.184.12M</t>
  </si>
  <si>
    <t>RA.MR.EX.185.12A</t>
  </si>
  <si>
    <t>RA.MR.EX.185.12M</t>
  </si>
  <si>
    <t>RA.MR.EX.186.12</t>
  </si>
  <si>
    <t>RA.MR.EX.187.12M</t>
  </si>
  <si>
    <t>RA.MR.EX.187.12VFD A</t>
  </si>
  <si>
    <t>RA.MR.EX.188.12</t>
  </si>
  <si>
    <t>RA.MR.EX.189.12</t>
  </si>
  <si>
    <t>RA.MR.EX.190.12</t>
  </si>
  <si>
    <t>RA.MR.EX.191.12A</t>
  </si>
  <si>
    <t>RA.MR.EX.191.12M</t>
  </si>
  <si>
    <t>RA.MR.EX.192.12HEBO</t>
  </si>
  <si>
    <t>RA.MR.EX.193.12A</t>
  </si>
  <si>
    <t>RA.MR.EX.193.12M</t>
  </si>
  <si>
    <t>RA.MR.EX.194.12</t>
  </si>
  <si>
    <t>RA.MR.EX.195.12</t>
  </si>
  <si>
    <t>RA.MR.EX.196.12VFD</t>
  </si>
  <si>
    <t>RA.MR.EX.197.12A</t>
  </si>
  <si>
    <t>RA.MR.EX.197.12C</t>
  </si>
  <si>
    <t>RA.MR.EX.197.12M</t>
  </si>
  <si>
    <t>RA.MR.EX.197.12VFD B</t>
  </si>
  <si>
    <t>RA.MR.EX.198.12</t>
  </si>
  <si>
    <t>RA.MR.EX.199.12A</t>
  </si>
  <si>
    <t>RA.MR.EX.199.12VFD M</t>
  </si>
  <si>
    <t>RA.MR.EX.200.12</t>
  </si>
  <si>
    <t>RA.MR.EX.201.12A</t>
  </si>
  <si>
    <t>RA.MR.EX.201.12M</t>
  </si>
  <si>
    <t>RA.MR.EX.202.12</t>
  </si>
  <si>
    <t>RA.MR.EX.203.12</t>
  </si>
  <si>
    <t>RA.MR.EX.204.12</t>
  </si>
  <si>
    <t>RA.MR.EX.205.12M</t>
  </si>
  <si>
    <t>RA.MR.EX.205.12VFD A</t>
  </si>
  <si>
    <t>RA.MR.EX.206.12</t>
  </si>
  <si>
    <t>RA.MR.EX.207.12HEBO</t>
  </si>
  <si>
    <t>RA.MR.EX.208.12A</t>
  </si>
  <si>
    <t>RA.MR.EX.208.12M</t>
  </si>
  <si>
    <t>RA.MR.EX.209.12A</t>
  </si>
  <si>
    <t>RA.MR.EX.209.12M</t>
  </si>
  <si>
    <t>RA.MR.EX.210.12HEBO</t>
  </si>
  <si>
    <t>RA.MR.EX.211.12A</t>
  </si>
  <si>
    <t>RA.MR.EX.211.12M</t>
  </si>
  <si>
    <t>RA.MR.EX.212.12A</t>
  </si>
  <si>
    <t>RA.MR.EX.212.12M</t>
  </si>
  <si>
    <t>RA.MR.EX.213.12</t>
  </si>
  <si>
    <t>RA.MR.EX.214.12HEBO</t>
  </si>
  <si>
    <t>RA.MR.EX.215.12</t>
  </si>
  <si>
    <t>RA.MR.EX.216.12A</t>
  </si>
  <si>
    <t>RA.MR.EX.216.12B</t>
  </si>
  <si>
    <t>RA.MR.EX.216.12M</t>
  </si>
  <si>
    <t>RA.MR.EX.217.12</t>
  </si>
  <si>
    <t>RA.MR.EX.218.12A</t>
  </si>
  <si>
    <t>RA.MR.EX.218.12B</t>
  </si>
  <si>
    <t>RA.MR.EX.218.12M</t>
  </si>
  <si>
    <t>RA.MR.EX.219.12VFD A</t>
  </si>
  <si>
    <t>RA.MR.EX.219.12VFD M</t>
  </si>
  <si>
    <t>RA.MR.EX.220.12A</t>
  </si>
  <si>
    <t>RA.MR.EX.220.12M</t>
  </si>
  <si>
    <t>RA.MR.EX.221.12vfd</t>
  </si>
  <si>
    <t>RA.MR.EX.222.12</t>
  </si>
  <si>
    <t>RA.MR.EX.223.12vfd</t>
  </si>
  <si>
    <t>RA.MR.EX.224.12</t>
  </si>
  <si>
    <t>RA.MR.EX.225.12</t>
  </si>
  <si>
    <t>RA.MR.EX.226.12A</t>
  </si>
  <si>
    <t>RA.MR.EX.226.12B</t>
  </si>
  <si>
    <t>RA.MR.EX.226.12M_VFD</t>
  </si>
  <si>
    <t>RA.MR.EX.227.12</t>
  </si>
  <si>
    <t>RA.MR.EX.228.12A</t>
  </si>
  <si>
    <t>RA.MR.EX.228.12B</t>
  </si>
  <si>
    <t>RA.MR.EX.228.12M</t>
  </si>
  <si>
    <t>RA.MR.EX.229.12</t>
  </si>
  <si>
    <t>RA.MR.EX.230.12</t>
  </si>
  <si>
    <t>RA.MR.EX.231.12A</t>
  </si>
  <si>
    <t>RA.MR.EX.231.12B</t>
  </si>
  <si>
    <t>RA.MR.EX.231.12M</t>
  </si>
  <si>
    <t>RA.MR.EX.233.12</t>
  </si>
  <si>
    <t>RA.MR.EX.234.12A</t>
  </si>
  <si>
    <t>RA.MR.EX.234.12M</t>
  </si>
  <si>
    <t>RA.MR.EX.235.12</t>
  </si>
  <si>
    <t>RA.MR.EX.236.12</t>
  </si>
  <si>
    <t>RA.MR.EX.237.12</t>
  </si>
  <si>
    <t>RA.MR.EX.238.12</t>
  </si>
  <si>
    <t>RA.MR.EX.239.12A</t>
  </si>
  <si>
    <t>RA.MR.EX.239.12M</t>
  </si>
  <si>
    <t>RA.MR.EX.240.12</t>
  </si>
  <si>
    <t>RA.MR.EX.241.12</t>
  </si>
  <si>
    <t>RA.MR.EX.242.12A</t>
  </si>
  <si>
    <t>RA.MR.EX.242.12M</t>
  </si>
  <si>
    <t>RA.MR.EX.243.12</t>
  </si>
  <si>
    <t>RA.MR.EX.244.12</t>
  </si>
  <si>
    <t>RA.MR.EX.245.12A</t>
  </si>
  <si>
    <t>RA.MR.EX.245.12M</t>
  </si>
  <si>
    <t>RA.MR.EX.246.12</t>
  </si>
  <si>
    <t>RA.MR.EX.247.12A</t>
  </si>
  <si>
    <t>RA.MR.EX.247.12M</t>
  </si>
  <si>
    <t>RA.MR.EX.248.12A</t>
  </si>
  <si>
    <t>RA.MR.EX.248.12M</t>
  </si>
  <si>
    <t>RA.MR.EX.249.12</t>
  </si>
  <si>
    <t>RA.MR.EX.250.12</t>
  </si>
  <si>
    <t>RA.MR.EX.251.12VFD</t>
  </si>
  <si>
    <t>RA.MR.EX.252.12A</t>
  </si>
  <si>
    <t>RA.MR.EX.252.12M</t>
  </si>
  <si>
    <t>RA.MR.EX.253.12</t>
  </si>
  <si>
    <t>RA.MR.EX.254.12</t>
  </si>
  <si>
    <t>RA.MR.EX.255.12</t>
  </si>
  <si>
    <t>RA.MR.EX.256.12</t>
  </si>
  <si>
    <t>RA.MR.EX.257.12</t>
  </si>
  <si>
    <t>RA.MR.EX.259.12A</t>
  </si>
  <si>
    <t>RA.MR.EX.259.12M</t>
  </si>
  <si>
    <t>RA.MR.EX.260.12A</t>
  </si>
  <si>
    <t>RA.MR.EX.260.12M</t>
  </si>
  <si>
    <t>RA.MR.EX.261.12</t>
  </si>
  <si>
    <t>RA.MR.EX.262.12</t>
  </si>
  <si>
    <t>RA.MR.EX.263.12</t>
  </si>
  <si>
    <t>RA.MR.EX.264.12</t>
  </si>
  <si>
    <t>RA.MR.EX.265.12</t>
  </si>
  <si>
    <t>RA.MR.EX.266.12</t>
  </si>
  <si>
    <t>RA.MR.EX.267.12</t>
  </si>
  <si>
    <t>RA.MR.EX.268.12A</t>
  </si>
  <si>
    <t>RA.MR.EX.268.12M</t>
  </si>
  <si>
    <t>RA.MR.EX.269.12</t>
  </si>
  <si>
    <t>RA.MR.EX.270.12A</t>
  </si>
  <si>
    <t>RA.MR.EX.270.12M</t>
  </si>
  <si>
    <t>RA.MR.EX.271.12</t>
  </si>
  <si>
    <t>RA.MR.EX.272.12</t>
  </si>
  <si>
    <t>RA.MR.EX.273.12</t>
  </si>
  <si>
    <t>RA.MR.EX.274.12</t>
  </si>
  <si>
    <t>RA.MR.EX.276.12HEBO</t>
  </si>
  <si>
    <t>RA.MR.EX.277.12</t>
  </si>
  <si>
    <t>RA.MR.EX.278.12HEBO</t>
  </si>
  <si>
    <t>RA.MR.EX.279.12HEBO</t>
  </si>
  <si>
    <t>RA.MR.EX.280.12HEBO</t>
  </si>
  <si>
    <t>RA.MR.EX.281.12</t>
  </si>
  <si>
    <t>RA.MR.EX.282.12</t>
  </si>
  <si>
    <t>RA.MR.EX.283.12A</t>
  </si>
  <si>
    <t>RA.MR.EX.283.12M</t>
  </si>
  <si>
    <t>RA.MR.EX.284.13HEBO</t>
  </si>
  <si>
    <t>RA.MR.EX.285.13HEBO</t>
  </si>
  <si>
    <t>RA.MR.EX.286.13HEBO</t>
  </si>
  <si>
    <t>RA.MR.EX.287.13HEBO</t>
  </si>
  <si>
    <t>RA.MR.EX.288.13HEBO</t>
  </si>
  <si>
    <t>RA.MR.EX.289.12HEBO</t>
  </si>
  <si>
    <t>RA.MR.EX.290.12HEBO A</t>
  </si>
  <si>
    <t>RA.MR.EX.290.12HEBO M</t>
  </si>
  <si>
    <t>Commercial - Multi-Res Private - RA.MR.EX</t>
  </si>
  <si>
    <t>RA.MR.EX</t>
  </si>
  <si>
    <t>LW.SH</t>
  </si>
  <si>
    <t>Low Income Showerheads</t>
  </si>
  <si>
    <t>Load type</t>
  </si>
  <si>
    <t>LW.MR.PART9</t>
  </si>
  <si>
    <t>Residential Low Income</t>
  </si>
  <si>
    <t>Weatherization</t>
  </si>
  <si>
    <t>RA.FLW</t>
  </si>
  <si>
    <t>RA.SHA.TP</t>
  </si>
  <si>
    <t>RA.PRO.EX.001.12</t>
  </si>
  <si>
    <t>RA.PRO.EX.002.12</t>
  </si>
  <si>
    <t>RA.PRO.EX.003.12A</t>
  </si>
  <si>
    <t>RA.PRO.EX.003.12M</t>
  </si>
  <si>
    <t>RA.PRO.EX.004.12</t>
  </si>
  <si>
    <t>RA.PRO.EX.005.12</t>
  </si>
  <si>
    <t>RA.PRO.EX.006.12</t>
  </si>
  <si>
    <t>RA.PRO.EX.007.12</t>
  </si>
  <si>
    <t>RA.PRO.EX.008.12</t>
  </si>
  <si>
    <t>RA.PRO.EX.010.12</t>
  </si>
  <si>
    <t>RA.PRO.EX.011.12</t>
  </si>
  <si>
    <t>RA.PRO.EX.012.12</t>
  </si>
  <si>
    <t>RA.PRO.EX.014.12</t>
  </si>
  <si>
    <t>RA.PRO.EX.015.12</t>
  </si>
  <si>
    <t>RA.PRO.EX.016.12VFD</t>
  </si>
  <si>
    <t>RA.PRO.EX.017.12</t>
  </si>
  <si>
    <t>RA.PRO.EX.018.12VFD</t>
  </si>
  <si>
    <t>RA.PRO.EX.019.12DCV</t>
  </si>
  <si>
    <t>RA.PRO.EX.020.12A</t>
  </si>
  <si>
    <t>RA.PRO.EX.020.12M</t>
  </si>
  <si>
    <t>RA.PRO.EX.021.12HEBO</t>
  </si>
  <si>
    <t>RA.PRO.EX.022.12A</t>
  </si>
  <si>
    <t>RA.PRO.EX.022.12M</t>
  </si>
  <si>
    <t>RA.PRO.EX.023.12</t>
  </si>
  <si>
    <t>RA.PRO.EX.024.12</t>
  </si>
  <si>
    <t>RA.PRO.EX.025.12</t>
  </si>
  <si>
    <t>RA.PRO.EX.026.12</t>
  </si>
  <si>
    <t>RA.PRO.EX.027.12</t>
  </si>
  <si>
    <t>RA.PRO.EX.028.12VFD</t>
  </si>
  <si>
    <t>RA.PRO.EX.029.12</t>
  </si>
  <si>
    <t>RA.PRO.EX.030.12</t>
  </si>
  <si>
    <t>RA.PRO.EX.031.12</t>
  </si>
  <si>
    <t>RA.PRO.EX.032.12</t>
  </si>
  <si>
    <t>RA.PRO.EX.033.12</t>
  </si>
  <si>
    <t>RA.PRO.EX.034.12A</t>
  </si>
  <si>
    <t>RA.PRO.EX.034.12M</t>
  </si>
  <si>
    <t>RA.PRO.EX.035.12M</t>
  </si>
  <si>
    <t>RA.PRO.EX.035.12VFD - A</t>
  </si>
  <si>
    <t>RA.PRO.EX.036.12</t>
  </si>
  <si>
    <t>RA.PRO.EX.037.12</t>
  </si>
  <si>
    <t>RA.PRO.EX.038.12A ESC 2</t>
  </si>
  <si>
    <t>RA.PRO.EX.038.12M ESC 1</t>
  </si>
  <si>
    <t>RA.PRO.EX.039.12A</t>
  </si>
  <si>
    <t>RA.PRO.EX.039.12M</t>
  </si>
  <si>
    <t>RA.PRO.EX.040.12dcv</t>
  </si>
  <si>
    <t>RA.PRO.EX.041.12HEBO</t>
  </si>
  <si>
    <t>RA.PRO.EX.042.12</t>
  </si>
  <si>
    <t>RA.PRO.EX.043.12</t>
  </si>
  <si>
    <t>RA.PRO.EX.044.12</t>
  </si>
  <si>
    <t>RA.PRO.EX.045.12</t>
  </si>
  <si>
    <t>RA.PRO.EX.046.12</t>
  </si>
  <si>
    <t>RA.PRO.EX.047.12</t>
  </si>
  <si>
    <t>RA.PRO.EX.048.12</t>
  </si>
  <si>
    <t>RA.PRO.EX.049.12</t>
  </si>
  <si>
    <t>RA.PRO.EX.050.12</t>
  </si>
  <si>
    <t>RA.PRO.EX.051.12</t>
  </si>
  <si>
    <t>RA.PRO.EX.052.12</t>
  </si>
  <si>
    <t>RA.PRO.EX.053.12</t>
  </si>
  <si>
    <t>RA.PRO.EX.054.12</t>
  </si>
  <si>
    <t>RA.PRO.EX.055.12</t>
  </si>
  <si>
    <t>RA.PRO.EX.056.12A</t>
  </si>
  <si>
    <t>RA.PRO.EX.056.12VFD M</t>
  </si>
  <si>
    <t>RA.PRO.EX.057.12</t>
  </si>
  <si>
    <t>RA.PRO.EX.058.12</t>
  </si>
  <si>
    <t>RA.PRO.EX.059.12</t>
  </si>
  <si>
    <t>RA.PRO.EX.060.12VFD</t>
  </si>
  <si>
    <t>RA.PRO.EX.064.12</t>
  </si>
  <si>
    <t>RA.PRO.EX.065.12</t>
  </si>
  <si>
    <t>RA.PRO.EX.068.12</t>
  </si>
  <si>
    <t>RA.PRO.EX.069.12</t>
  </si>
  <si>
    <t>RA.PRO.EX.070.12HEBO</t>
  </si>
  <si>
    <t>RA.PRO.EX.071.13HEBO</t>
  </si>
  <si>
    <t>Commercial - Professional - RA.PRO.EX</t>
  </si>
  <si>
    <t xml:space="preserve"> RA.PRO.EX</t>
  </si>
  <si>
    <t>Professional</t>
  </si>
  <si>
    <t>Commercial - Other Commercial - RA.COM.EX</t>
  </si>
  <si>
    <t xml:space="preserve"> RA.COM.EX</t>
  </si>
  <si>
    <t>RA.COM.EX.001.12</t>
  </si>
  <si>
    <t>RA.COM.EX.003.12HEBO</t>
  </si>
  <si>
    <t>RA.COM.EX.004.12HEBO</t>
  </si>
  <si>
    <t>RA.COM.EX.008.12</t>
  </si>
  <si>
    <t>RA.COM.EX.028.12M</t>
  </si>
  <si>
    <t>RA.COM.EX.039.12HEBO</t>
  </si>
  <si>
    <t>RA.COM.EX.042.12</t>
  </si>
  <si>
    <t>RA.COM.EX.043.12HEBO</t>
  </si>
  <si>
    <t>RA.COM.EX.044.12A</t>
  </si>
  <si>
    <t>RA.COM.EX.045.12</t>
  </si>
  <si>
    <t>RA.COM.EX.046.12HEBO</t>
  </si>
  <si>
    <t>RA.COM.EX.047.12VFD</t>
  </si>
  <si>
    <t>RA.COM.EX.048.12</t>
  </si>
  <si>
    <t>RA.COM.EX.049.12</t>
  </si>
  <si>
    <t>RA.COM.EX.050.12HEBO</t>
  </si>
  <si>
    <t>RA.COM.EX.052.12</t>
  </si>
  <si>
    <t>RA.COM.EX.053.12</t>
  </si>
  <si>
    <t>RA.COM.EX.054.12HEBO</t>
  </si>
  <si>
    <t>RA.COM.EX.055.12HEBO</t>
  </si>
  <si>
    <t>RA.RIREC</t>
  </si>
  <si>
    <t>Run it Right / Energy Compass</t>
  </si>
  <si>
    <t>Commercial - Other Commercial - RA.RIREC</t>
  </si>
  <si>
    <t>Commercial - Recreational Non-Government - RA.REC.EX</t>
  </si>
  <si>
    <t>RA.REC.EX</t>
  </si>
  <si>
    <t xml:space="preserve">Recreational Non-Government </t>
  </si>
  <si>
    <t>RA.REC.EX.001.12HEBO</t>
  </si>
  <si>
    <t>RA.REC.EX.002.12A</t>
  </si>
  <si>
    <t>RA.REC.EX.002.12M</t>
  </si>
  <si>
    <t>RA.REC.EX.003.12HEBO</t>
  </si>
  <si>
    <t>RA.REC.EX.004.12</t>
  </si>
  <si>
    <t>RA.REC.EX.005.12HEBO</t>
  </si>
  <si>
    <t>RA.REC.EX.006.12HEBO</t>
  </si>
  <si>
    <t>RA.REC.EX.007.12HEBO</t>
  </si>
  <si>
    <t>RA.REC.EX.008.12</t>
  </si>
  <si>
    <t>RA.REC.EX.009.12</t>
  </si>
  <si>
    <t>RA.REC.EX.010.12</t>
  </si>
  <si>
    <t>RA.REC.EX.011.12</t>
  </si>
  <si>
    <t>RA.REC.EX.012.12</t>
  </si>
  <si>
    <t>RA.REC.EX.013.12</t>
  </si>
  <si>
    <t>RA.REC.EX.014.12</t>
  </si>
  <si>
    <t>RA.REC.EX.015.12</t>
  </si>
  <si>
    <t>RA.REC.EX.016.12</t>
  </si>
  <si>
    <t>RA.REC.EX.017.12</t>
  </si>
  <si>
    <t>RA.REC.EX.018.12</t>
  </si>
  <si>
    <t>RA.REC.EX.019.12</t>
  </si>
  <si>
    <t>RA.REC.EX.020.12</t>
  </si>
  <si>
    <t>RA.REC.EX.021.12</t>
  </si>
  <si>
    <t>RA.REC.EX.022.12</t>
  </si>
  <si>
    <t>RA.REC.EX.023.12</t>
  </si>
  <si>
    <t>RA.REC.EX.024.12</t>
  </si>
  <si>
    <t>RA.REC.EX.025.12</t>
  </si>
  <si>
    <t>RA.REC.EX.026.12</t>
  </si>
  <si>
    <t>RA.REC.EX.027.12</t>
  </si>
  <si>
    <t>RA.REC.EX.028.12</t>
  </si>
  <si>
    <t>RA.REC.EX.029.12</t>
  </si>
  <si>
    <t>RA.REC.EX.030.12</t>
  </si>
  <si>
    <t>RA.REC.EX.031.12</t>
  </si>
  <si>
    <t>RA.REC.EX.032.12</t>
  </si>
  <si>
    <t>RA.REC.EX.033.12</t>
  </si>
  <si>
    <t>RA.REC.EX.034.12</t>
  </si>
  <si>
    <t>RA.REC.EX.035.12</t>
  </si>
  <si>
    <t>RA.REC.EX.036.12</t>
  </si>
  <si>
    <t>RA.REC.EX.037.12</t>
  </si>
  <si>
    <t>RA.REC.EX.038.12</t>
  </si>
  <si>
    <t>RA.REC.EX.039.12</t>
  </si>
  <si>
    <t>RA.REC.EX.040.12</t>
  </si>
  <si>
    <t>RA.REC.EX.041.12</t>
  </si>
  <si>
    <t>RA.REC.EX.042.12</t>
  </si>
  <si>
    <t>RA.REC.EX.043.12</t>
  </si>
  <si>
    <t>RA.REC.EX.044.12</t>
  </si>
  <si>
    <t>RA.REC.EX.045.12</t>
  </si>
  <si>
    <t>RA.REC.EX.046.12</t>
  </si>
  <si>
    <t>RA.REC.EX.047.12</t>
  </si>
  <si>
    <t>RA.REC.EX.048.12</t>
  </si>
  <si>
    <t>RA.REC.EX.049.12</t>
  </si>
  <si>
    <t>RA.REC.EX.050.12</t>
  </si>
  <si>
    <t>RA.RET.EX.001.12DCKV</t>
  </si>
  <si>
    <t>RA.RET.EX.001.12M</t>
  </si>
  <si>
    <t>RA.RET.EX.002.12DCV</t>
  </si>
  <si>
    <t>RA.RET.EX.003.12HEBO</t>
  </si>
  <si>
    <t>RA.RET.EX.004.12DCV</t>
  </si>
  <si>
    <t>RA.RET.EX.005.12HEBO</t>
  </si>
  <si>
    <t>RA.RET.EX.006.12HEBO</t>
  </si>
  <si>
    <t>RA.RET.EX.007.12</t>
  </si>
  <si>
    <t>RA.RET.EX.008.12DCV</t>
  </si>
  <si>
    <t>RA.RET.EX.009.12DCV</t>
  </si>
  <si>
    <t>RA.RET.EX.010.12DCV</t>
  </si>
  <si>
    <t>RA.RET.EX.011.12DCV</t>
  </si>
  <si>
    <t>RA.RET.EX.012.12DCV</t>
  </si>
  <si>
    <t>RA.RET.EX.013.12DCV</t>
  </si>
  <si>
    <t>RA.RET.EX.014.12DCV</t>
  </si>
  <si>
    <t>RA.RET.EX.015.12DCV</t>
  </si>
  <si>
    <t>RA.RET.EX.016.12DCV</t>
  </si>
  <si>
    <t>RA.RET.EX.017.12DCV</t>
  </si>
  <si>
    <t>RA.RET.EX.018.12DCV</t>
  </si>
  <si>
    <t>RA.RET.EX.019.12DCV</t>
  </si>
  <si>
    <t>RA.RET.EX.020.12DCV</t>
  </si>
  <si>
    <t>RA.RET.EX.021.12DCV</t>
  </si>
  <si>
    <t>RA.RET.EX.022.12DCV</t>
  </si>
  <si>
    <t>RA.RET.EX.023.12DCV</t>
  </si>
  <si>
    <t>RA.RET.EX.024.12DCV</t>
  </si>
  <si>
    <t>RA.RET.EX.025.12DCV</t>
  </si>
  <si>
    <t>RA.RET.EX.026.12DCV</t>
  </si>
  <si>
    <t>RA.RET.EX.027.12DCV</t>
  </si>
  <si>
    <t>RA.RET.EX.028.12DCV</t>
  </si>
  <si>
    <t>RA.RET.EX.029.12DCV</t>
  </si>
  <si>
    <t>RA.RET.EX.030.12DCV</t>
  </si>
  <si>
    <t>RA.RET.EX.031.12DCV</t>
  </si>
  <si>
    <t>RA.RET.EX.032.12DCV</t>
  </si>
  <si>
    <t>RA.RET.EX.033.12DCV</t>
  </si>
  <si>
    <t>RA.RET.EX.034.12DCV</t>
  </si>
  <si>
    <t>RA.RET.EX.035.12DCV</t>
  </si>
  <si>
    <t>RA.RET.EX.036.12DCV</t>
  </si>
  <si>
    <t>RA.RET.EX.037.12DCV</t>
  </si>
  <si>
    <t>RA.RET.EX.038.12DCV</t>
  </si>
  <si>
    <t>RA.RET.EX.039.12DCV</t>
  </si>
  <si>
    <t>RA.RET.EX.040.12DCV</t>
  </si>
  <si>
    <t>RA.RET.EX.041.12DCV</t>
  </si>
  <si>
    <t>RA.RET.EX.042.12DCV</t>
  </si>
  <si>
    <t>RA.RET.EX.043.12DCV</t>
  </si>
  <si>
    <t>RA.RET.EX.044.12DCV</t>
  </si>
  <si>
    <t>RA.RET.EX.045.12DCV</t>
  </si>
  <si>
    <t>RA.RET.EX.046.12DCV</t>
  </si>
  <si>
    <t>RA.RET.EX.047.12DCV</t>
  </si>
  <si>
    <t>RA.RET.EX.048.12DCV</t>
  </si>
  <si>
    <t>RA.RET.EX.049.12DCV</t>
  </si>
  <si>
    <t>RA.RET.EX.050.12DCV</t>
  </si>
  <si>
    <t>RA.RET.EX.051.12DCV</t>
  </si>
  <si>
    <t>RA.RET.EX.052.12DCV</t>
  </si>
  <si>
    <t>RA.RET.EX.053.12DCV</t>
  </si>
  <si>
    <t>RA.RET.EX.054.12DCV</t>
  </si>
  <si>
    <t>RA.RET.EX.055.12DCV</t>
  </si>
  <si>
    <t>RA.RET.EX.056.12DCV</t>
  </si>
  <si>
    <t>RA.RET.EX.057.12DCV</t>
  </si>
  <si>
    <t>RA.RET.EX.058.12dcv</t>
  </si>
  <si>
    <t>RA.RET.EX.059.12dcv</t>
  </si>
  <si>
    <t>RA.RET.EX.060.12DCV</t>
  </si>
  <si>
    <t>RA.RET.EX.061.12dcv</t>
  </si>
  <si>
    <t>RA.RET.EX.062.12DCV</t>
  </si>
  <si>
    <t>RA.RET.EX.063.12DCV</t>
  </si>
  <si>
    <t>RA.RET.EX.064.12DCV</t>
  </si>
  <si>
    <t>RA.RET.EX.065.12DCV</t>
  </si>
  <si>
    <t>RA.RET.EX.066.12DCV</t>
  </si>
  <si>
    <t>RA.RET.EX.067.12dcv</t>
  </si>
  <si>
    <t>RA.RET.EX.068.12dcv</t>
  </si>
  <si>
    <t>RA.RET.EX.069.12dcv</t>
  </si>
  <si>
    <t>RA.RET.EX.070.12dcv</t>
  </si>
  <si>
    <t>RA.RET.EX.071.12dcv</t>
  </si>
  <si>
    <t>RA.RET.EX.072.12dcv</t>
  </si>
  <si>
    <t>RA.RET.EX.073.12dcv</t>
  </si>
  <si>
    <t>RA.RET.EX.074.12dcv</t>
  </si>
  <si>
    <t>RA.RET.EX.075.12DCV</t>
  </si>
  <si>
    <t>RA.RET.EX.076.12DCV</t>
  </si>
  <si>
    <t>RA.RET.EX.077.12DCV</t>
  </si>
  <si>
    <t>RA.RET.EX.078.12DCV</t>
  </si>
  <si>
    <t>RA.RET.EX.079.12DCV</t>
  </si>
  <si>
    <t>RA.RET.EX.080.12DCV</t>
  </si>
  <si>
    <t>RA.RET.EX.081.12DCV</t>
  </si>
  <si>
    <t>RA.RET.EX.082.12DCV</t>
  </si>
  <si>
    <t>RA.RET.EX.083.12DCV</t>
  </si>
  <si>
    <t>RA.RET.EX.084.12DCV</t>
  </si>
  <si>
    <t>RA.RET.EX.085.12DCV</t>
  </si>
  <si>
    <t>RA.RET.EX.086.12DCV</t>
  </si>
  <si>
    <t>RA.RET.EX.087.12DCV</t>
  </si>
  <si>
    <t>RA.RET.EX.088.12DCV</t>
  </si>
  <si>
    <t>RA.RET.EX.089.12DCV</t>
  </si>
  <si>
    <t>RA.RET.EX.090.12dcv</t>
  </si>
  <si>
    <t>RA.RET.EX.091.12dcv</t>
  </si>
  <si>
    <t>RA.RET.EX.092.12dcv</t>
  </si>
  <si>
    <t>RA.RET.EX.093.12dcv</t>
  </si>
  <si>
    <t>RA.RET.EX.094.12dcv</t>
  </si>
  <si>
    <t>RA.RET.EX.095.12DCV</t>
  </si>
  <si>
    <t>RA.RET.EX.096.12DCV</t>
  </si>
  <si>
    <t>RA.RET.EX.097.12DCV</t>
  </si>
  <si>
    <t>RA.RET.EX.098.12DCV</t>
  </si>
  <si>
    <t>RA.RET.EX.099.12DCV</t>
  </si>
  <si>
    <t>RA.RET.EX.100.12DCV</t>
  </si>
  <si>
    <t>RA.RET.EX.101.12DCV</t>
  </si>
  <si>
    <t>RA.RET.EX.102.12dcv</t>
  </si>
  <si>
    <t>RA.RET.EX.103.12DCV</t>
  </si>
  <si>
    <t>RA.RET.EX.104.12DCV</t>
  </si>
  <si>
    <t>RA.RET.EX.105.12DCV</t>
  </si>
  <si>
    <t>RA.RET.EX.106.12DCV</t>
  </si>
  <si>
    <t>RA.RET.EX.107.12DCV</t>
  </si>
  <si>
    <t>RA.RET.EX.108.12dcv</t>
  </si>
  <si>
    <t>RA.RET.EX.109.12dcv</t>
  </si>
  <si>
    <t>RA.RET.EX.110.12dcv</t>
  </si>
  <si>
    <t>RA.RET.EX.111.12DCV</t>
  </si>
  <si>
    <t>RA.RET.EX.112.12dcv</t>
  </si>
  <si>
    <t>RA.RET.EX.113.12dcv</t>
  </si>
  <si>
    <t>RA.RET.EX.114.12dcv</t>
  </si>
  <si>
    <t>RA.RET.EX.115.12dcv</t>
  </si>
  <si>
    <t>RA.RET.EX.116.12dcv</t>
  </si>
  <si>
    <t>RA.RET.EX.117.12dcv</t>
  </si>
  <si>
    <t>RA.RET.EX.118.12dcv</t>
  </si>
  <si>
    <t>RA.RET.EX.119.12DCV</t>
  </si>
  <si>
    <t>RA.RET.EX.120.12dcv</t>
  </si>
  <si>
    <t>RA.RET.EX.121.12dcv</t>
  </si>
  <si>
    <t>RA.RET.EX.122.12DCV</t>
  </si>
  <si>
    <t>RA.RET.EX.123.12dcv</t>
  </si>
  <si>
    <t>RA.RET.EX.124.12DCV</t>
  </si>
  <si>
    <t>RA.RET.EX.125.12DCV</t>
  </si>
  <si>
    <t>RA.RET.EX.126.12dcv</t>
  </si>
  <si>
    <t>RA.RET.EX.127.12DCV</t>
  </si>
  <si>
    <t>RA.RET.EX.128.12DCV</t>
  </si>
  <si>
    <t>RA.RET.EX.129.12DCV</t>
  </si>
  <si>
    <t>RA.RET.EX.130.12DCV</t>
  </si>
  <si>
    <t>RA.RET.EX.131.12DCV</t>
  </si>
  <si>
    <t>RA.RET.EX.132.12DCV</t>
  </si>
  <si>
    <t>RA.RET.EX.133.12DCV</t>
  </si>
  <si>
    <t>RA.RET.EX.134.12dcv</t>
  </si>
  <si>
    <t>RA.RET.EX.135.12dcv</t>
  </si>
  <si>
    <t>RA.RET.EX.136.12DCV</t>
  </si>
  <si>
    <t>RA.RET.EX.137.12DCV</t>
  </si>
  <si>
    <t>RA.RET.EX.138.12DCV</t>
  </si>
  <si>
    <t>RA.RET.EX.139.12DCV</t>
  </si>
  <si>
    <t>RA.RET.EX.140.12DCV</t>
  </si>
  <si>
    <t>RA.RET.EX.141.12DCV</t>
  </si>
  <si>
    <t>RA.RET.EX.142.12DCV</t>
  </si>
  <si>
    <t>RA.RET.EX.143.12DCV</t>
  </si>
  <si>
    <t>RA.RET.EX.144.12DCV</t>
  </si>
  <si>
    <t>RA.RET.EX.145.12DCV</t>
  </si>
  <si>
    <t>RA.RET.EX.146.12DCV</t>
  </si>
  <si>
    <t>RA.RET.EX.147.12DCV</t>
  </si>
  <si>
    <t>RA.RET.EX.148.12DCV</t>
  </si>
  <si>
    <t>RA.RET.EX.149.12DCV</t>
  </si>
  <si>
    <t>RA.RET.EX.150.12DCV</t>
  </si>
  <si>
    <t>RA.RET.EX.151.12DCV</t>
  </si>
  <si>
    <t>RA.RET.EX.152.12</t>
  </si>
  <si>
    <t>RA.RET.EX.153.12dcv</t>
  </si>
  <si>
    <t>RA.RET.EX.154.12</t>
  </si>
  <si>
    <t>RA.RET.EX.155.12</t>
  </si>
  <si>
    <t>RA.RET.EX.156.12DCV</t>
  </si>
  <si>
    <t>RA.RET.EX.157.12DCV</t>
  </si>
  <si>
    <t>RA.RET.EX.158.12DCV</t>
  </si>
  <si>
    <t>RA.RET.EX.159.12DCV</t>
  </si>
  <si>
    <t>RA.RET.EX.160.12</t>
  </si>
  <si>
    <t>RA.RET.EX.161.12DCV</t>
  </si>
  <si>
    <t>RA.RET.EX.163.12DCV</t>
  </si>
  <si>
    <t>RA.RET.EX.164.12DCV</t>
  </si>
  <si>
    <t>RA.RET.EX.165.12DCV</t>
  </si>
  <si>
    <t>RA.RET.EX.166.12DCV</t>
  </si>
  <si>
    <t>RA.RET.EX.167.12DCV</t>
  </si>
  <si>
    <t>RA.RET.EX.168.12DCV</t>
  </si>
  <si>
    <t>RA.RET.EX.169.12DCV</t>
  </si>
  <si>
    <t>RA.RET.EX.170.12DCV</t>
  </si>
  <si>
    <t>RA.RET.EX.171.12DCV</t>
  </si>
  <si>
    <t>RA.RET.EX.172.12DCV</t>
  </si>
  <si>
    <t>RA.RET.EX.173.12DCV</t>
  </si>
  <si>
    <t>RA.RET.EX.174.13HEBO</t>
  </si>
  <si>
    <t>Commercial - Retail - RA.RET.EX</t>
  </si>
  <si>
    <t>RA.RET.EX</t>
  </si>
  <si>
    <t>Commercial - School - RA.SCH.EX</t>
  </si>
  <si>
    <t xml:space="preserve"> RA.SCH.EX</t>
  </si>
  <si>
    <t>RA.SCH.EX.001.12P</t>
  </si>
  <si>
    <t>RA.SCH.EX.002.12</t>
  </si>
  <si>
    <t>RA.SCH.EX.003.12</t>
  </si>
  <si>
    <t>RA.SCH.EX.004.12</t>
  </si>
  <si>
    <t>RA.SCH.EX.005.12</t>
  </si>
  <si>
    <t>RA.SCH.EX.006.12</t>
  </si>
  <si>
    <t>RA.SCH.EX.007.12</t>
  </si>
  <si>
    <t>RA.SCH.EX.008.12</t>
  </si>
  <si>
    <t>RA.SCH.EX.009.12</t>
  </si>
  <si>
    <t>RA.SCH.EX.010.12</t>
  </si>
  <si>
    <t>RA.SCH.EX.011.12</t>
  </si>
  <si>
    <t>RA.SCH.EX.012.12</t>
  </si>
  <si>
    <t>RA.SCH.EX.013.12</t>
  </si>
  <si>
    <t>RA.SCH.EX.014.12</t>
  </si>
  <si>
    <t>RA.SCH.EX.016.12</t>
  </si>
  <si>
    <t>RA.SCH.EX.017.12P</t>
  </si>
  <si>
    <t>RA.SCH.EX.018.12P</t>
  </si>
  <si>
    <t>RA.SCH.EX.019.12P</t>
  </si>
  <si>
    <t>RA.SCH.EX.020.12P</t>
  </si>
  <si>
    <t>RA.SCH.EX.021.12P</t>
  </si>
  <si>
    <t>RA.SCH.EX.022.12P</t>
  </si>
  <si>
    <t>RA.SCH.EX.023.12P</t>
  </si>
  <si>
    <t>RA.SCH.EX.024.12P</t>
  </si>
  <si>
    <t>RA.SCH.EX.025.12</t>
  </si>
  <si>
    <t>RA.SCH.EX.026.12</t>
  </si>
  <si>
    <t>RA.SCH.EX.027.12</t>
  </si>
  <si>
    <t>RA.SCH.EX.028.12</t>
  </si>
  <si>
    <t>RA.SCH.EX.029.12</t>
  </si>
  <si>
    <t>RA.SCH.EX.030.12</t>
  </si>
  <si>
    <t>RA.SCH.EX.031.12</t>
  </si>
  <si>
    <t>RA.SCH.EX.032.12</t>
  </si>
  <si>
    <t>RA.SCH.EX.033.12</t>
  </si>
  <si>
    <t>RA.SCH.EX.034.12</t>
  </si>
  <si>
    <t>RA.SCH.EX.035.12</t>
  </si>
  <si>
    <t>RA.SCH.EX.036.12</t>
  </si>
  <si>
    <t>RA.SCH.EX.037.12</t>
  </si>
  <si>
    <t>RA.SCH.EX.038.12</t>
  </si>
  <si>
    <t>RA.SCH.EX.039.12P</t>
  </si>
  <si>
    <t>RA.SCH.EX.040.12P</t>
  </si>
  <si>
    <t>RA.SCH.EX.041.12P</t>
  </si>
  <si>
    <t>RA.SCH.EX.042.12P</t>
  </si>
  <si>
    <t>RA.SCH.EX.043.12P</t>
  </si>
  <si>
    <t>RA.SCH.EX.044.12P</t>
  </si>
  <si>
    <t>RA.SCH.EX.045.12P</t>
  </si>
  <si>
    <t>RA.SCH.EX.046.12P</t>
  </si>
  <si>
    <t>RA.SCH.EX.047.12P</t>
  </si>
  <si>
    <t>RA.SCH.EX.048.12P</t>
  </si>
  <si>
    <t>RA.SCH.EX.049.12HEBO</t>
  </si>
  <si>
    <t>RA.SCH.EX.050.12HEBO</t>
  </si>
  <si>
    <t>RA.SCH.EX.051.12P</t>
  </si>
  <si>
    <t>RA.SCH.EX.052.12P</t>
  </si>
  <si>
    <t>RA.SCH.EX.053.12P</t>
  </si>
  <si>
    <t>RA.SCH.EX.054.12P</t>
  </si>
  <si>
    <t>RA.SCH.EX.055.12P</t>
  </si>
  <si>
    <t>RA.SCH.EX.056.12P</t>
  </si>
  <si>
    <t>RA.SCH.EX.057.12</t>
  </si>
  <si>
    <t>RA.SCH.EX.058.12P</t>
  </si>
  <si>
    <t>RA.SCH.EX.059.12</t>
  </si>
  <si>
    <t>RA.SCH.EX.060.12</t>
  </si>
  <si>
    <t>RA.SCH.EX.061.12</t>
  </si>
  <si>
    <t>RA.SCH.EX.062.12</t>
  </si>
  <si>
    <t>RA.SCH.EX.063.12</t>
  </si>
  <si>
    <t>RA.SCH.EX.064.12</t>
  </si>
  <si>
    <t>RA.SCH.EX.065.12</t>
  </si>
  <si>
    <t>RA.SCH.EX.066.12</t>
  </si>
  <si>
    <t>RA.SCH.EX.067.12</t>
  </si>
  <si>
    <t>RA.SCH.EX.068.12</t>
  </si>
  <si>
    <t>RA.SCH.EX.069.12</t>
  </si>
  <si>
    <t>RA.SCH.EX.070.12P</t>
  </si>
  <si>
    <t>RA.SCH.EX.071.12</t>
  </si>
  <si>
    <t>RA.SCH.EX.072.12</t>
  </si>
  <si>
    <t>RA.SCH.EX.073.12</t>
  </si>
  <si>
    <t>RA.SCH.EX.074.12</t>
  </si>
  <si>
    <t>RA.SCH.EX.075.12P</t>
  </si>
  <si>
    <t>RA.SCH.EX.076.12</t>
  </si>
  <si>
    <t>RA.SCH.EX.077.12</t>
  </si>
  <si>
    <t>RA.SCH.EX.078.12</t>
  </si>
  <si>
    <t>RA.SCH.EX.079.12</t>
  </si>
  <si>
    <t>RA.SCH.EX.080.12</t>
  </si>
  <si>
    <t>RA.SCH.EX.081.12</t>
  </si>
  <si>
    <t>RA.SCH.EX.082.12</t>
  </si>
  <si>
    <t>RA.SCH.EX.083.12</t>
  </si>
  <si>
    <t>RA.SCH.EX.084.12</t>
  </si>
  <si>
    <t>RA.SCH.EX.085.12</t>
  </si>
  <si>
    <t>RA.SCH.EX.086.12</t>
  </si>
  <si>
    <t>RA.SCH.EX.087.12</t>
  </si>
  <si>
    <t>RA.SCH.EX.088.12</t>
  </si>
  <si>
    <t>RA.SCH.EX.089.12</t>
  </si>
  <si>
    <t>RA.SCH.EX.090.12</t>
  </si>
  <si>
    <t>RA.SCH.EX.091.12</t>
  </si>
  <si>
    <t>RA.SCH.EX.092.12</t>
  </si>
  <si>
    <t>RA.SCH.EX.093.12</t>
  </si>
  <si>
    <t>RA.SCH.EX.094.12</t>
  </si>
  <si>
    <t>RA.SCH.EX.095.12</t>
  </si>
  <si>
    <t>RA.SCH.EX.096.12</t>
  </si>
  <si>
    <t>RA.SCH.EX.097.12P</t>
  </si>
  <si>
    <t>RA.SCH.EX.098.12</t>
  </si>
  <si>
    <t>RA.SCH.EX.099.12P</t>
  </si>
  <si>
    <t>RA.SCH.EX.100.12</t>
  </si>
  <si>
    <t>RA.SCH.EX.101.12P</t>
  </si>
  <si>
    <t>RA.SCH.EX.102.12</t>
  </si>
  <si>
    <t>RA.SCH.EX.103.12</t>
  </si>
  <si>
    <t>RA.SCH.EX.104.13HEBO</t>
  </si>
  <si>
    <t>RA.LOG.EX</t>
  </si>
  <si>
    <t>Logistics</t>
  </si>
  <si>
    <t>Commercial - Logistics - RA.LOG.EX</t>
  </si>
  <si>
    <t>RA.LOG.EX.001.12</t>
  </si>
  <si>
    <t>RA.LOG.EX.002.12</t>
  </si>
  <si>
    <t>RA.LOG.EX.003.12</t>
  </si>
  <si>
    <t>RA.LOG.EX.004.12</t>
  </si>
  <si>
    <t>RA.LOG.EX.005.12</t>
  </si>
  <si>
    <t>RA.LOG.EX.006.12</t>
  </si>
  <si>
    <t>RA.LOG.EX.007.12</t>
  </si>
  <si>
    <t>RA.LOG.EX.008.12</t>
  </si>
  <si>
    <t>RA.LOG.EX.009.12</t>
  </si>
  <si>
    <t>RA.LOG.EX.010.12</t>
  </si>
  <si>
    <t>RA.LOG.EX.011.12</t>
  </si>
  <si>
    <t>RA.LOG.EX.012.12</t>
  </si>
  <si>
    <t>RA.LOG.EX.013.12</t>
  </si>
  <si>
    <t>RA.LOG.EX.014.12DCV</t>
  </si>
  <si>
    <t>RA.LOG.EX.015.12</t>
  </si>
  <si>
    <t>RA.LOG.EX.016.12</t>
  </si>
  <si>
    <t>RA.LOG.EX.017.12</t>
  </si>
  <si>
    <t>RA.LOG.EX.018.12</t>
  </si>
  <si>
    <t>RA.LOG.EX.019.13HEBO</t>
  </si>
  <si>
    <t>RA.UNIV.NC.001.12</t>
  </si>
  <si>
    <t>RA.UNIV.NC.002.12</t>
  </si>
  <si>
    <t>RA.UNIV.NC.003.12HEBO</t>
  </si>
  <si>
    <t>RA.UNIV.NC.004.12</t>
  </si>
  <si>
    <t>RA.UNIV.NC.005.12</t>
  </si>
  <si>
    <t>RA.UNIV.NC.006.12</t>
  </si>
  <si>
    <t>RA.UNIV.NC.007.12</t>
  </si>
  <si>
    <t>RA.UNIV.NC.008.12A</t>
  </si>
  <si>
    <t>RA.UNIV.NC.008.12M</t>
  </si>
  <si>
    <t>RA.GOV.NC.001.12</t>
  </si>
  <si>
    <t>RA.GOV.NC.002.12</t>
  </si>
  <si>
    <t>RA.GOV.NC.003.12</t>
  </si>
  <si>
    <t>RA.GOV.NC.004.12</t>
  </si>
  <si>
    <t>RA.GOV.NC.005.12</t>
  </si>
  <si>
    <t>RA.GOV.NC.006.12</t>
  </si>
  <si>
    <t>RA.GOV.NC.007.12</t>
  </si>
  <si>
    <t>RA.HC.NC.001.12</t>
  </si>
  <si>
    <t>RA.ACC.NC.001.12</t>
  </si>
  <si>
    <t>RA.COM.NC.001.12HEBO</t>
  </si>
  <si>
    <t>RA.COM.NC.002.12</t>
  </si>
  <si>
    <t>RA.COM.NC.003.12</t>
  </si>
  <si>
    <t>RA.COM.NC.004.12</t>
  </si>
  <si>
    <t>RA.COM.NC.005.12</t>
  </si>
  <si>
    <t>RA.COM.NC.006.12</t>
  </si>
  <si>
    <t>RA.MR.NC.001.12</t>
  </si>
  <si>
    <t>RA.MR.NC.002.12</t>
  </si>
  <si>
    <t>RA.MR.NC.003.12</t>
  </si>
  <si>
    <t>RA.MR.NC.004.12</t>
  </si>
  <si>
    <t>RA.MR.NC.005.12</t>
  </si>
  <si>
    <t>RA.MR.NC.006.12</t>
  </si>
  <si>
    <t>RA.MR.NC.007.12</t>
  </si>
  <si>
    <t>RA.MR.NC.008.12</t>
  </si>
  <si>
    <t>RA.MR.NC.009.12</t>
  </si>
  <si>
    <t>RA.MR.NC.010.12</t>
  </si>
  <si>
    <t>RA.MR.NC.011.12</t>
  </si>
  <si>
    <t>RA.MR.NC.012.12</t>
  </si>
  <si>
    <t>RA.MR.NC.013.12</t>
  </si>
  <si>
    <t>RA.MR.NC.014.12</t>
  </si>
  <si>
    <t>RA.MR.NC.015.12</t>
  </si>
  <si>
    <t>RA.MR.NC.016.12</t>
  </si>
  <si>
    <t>RA.PRO.NC.001.12</t>
  </si>
  <si>
    <t>RA.PRO.NC.002.12</t>
  </si>
  <si>
    <t>RA.REC.NC.001.12</t>
  </si>
  <si>
    <t>RA.REC.NC.002.12</t>
  </si>
  <si>
    <t>RA.REC.NC.003.12A</t>
  </si>
  <si>
    <t>RA.REC.NC.003.12M</t>
  </si>
  <si>
    <t>RA.REC.NC.004.12</t>
  </si>
  <si>
    <t>RA.REC.NC.005.12</t>
  </si>
  <si>
    <t>RA.REC.NC.006.12</t>
  </si>
  <si>
    <t>RA.RET.NC.001.12</t>
  </si>
  <si>
    <t>RA.RET.NC.002.12</t>
  </si>
  <si>
    <t>RA.RET.NC.003.12</t>
  </si>
  <si>
    <t>RA.RET.NC.004.12</t>
  </si>
  <si>
    <t>RA.RET.NC.005.12</t>
  </si>
  <si>
    <t>RA.RET.NC.006.12</t>
  </si>
  <si>
    <t>RA.RET.NC.007.12</t>
  </si>
  <si>
    <t>RA.SCH.NC.001.12</t>
  </si>
  <si>
    <t>RA.SCH.NC.002.12</t>
  </si>
  <si>
    <t>RA.AGR.EX.NRT.001.12</t>
  </si>
  <si>
    <t>RA.AGR.EX.NRT.002.12</t>
  </si>
  <si>
    <t>RA.AGR.EX.NRT.003.12</t>
  </si>
  <si>
    <t>RA.AGR.EX.NRT.004.12</t>
  </si>
  <si>
    <t>RA.AGR.EX.NRT.005.12M</t>
  </si>
  <si>
    <t>RA.AGR.EX.NRT.006.12</t>
  </si>
  <si>
    <t>Industrial - Agriculture - RA.AGR.EX.NRT</t>
  </si>
  <si>
    <t>RA.AGR.EX.RT.001.12</t>
  </si>
  <si>
    <t>RA.AGR.EX.RT.002.12</t>
  </si>
  <si>
    <t>RA.AGR.EX.RT.003.12</t>
  </si>
  <si>
    <t>RA.AGR.EX.RT.004.12A</t>
  </si>
  <si>
    <t>RA.AGR.EX.RT.004.12M</t>
  </si>
  <si>
    <t>Industrial - Agriculture - RA.AGR.EX.RT</t>
  </si>
  <si>
    <t>RA.AGR.NC.NRT.001.12</t>
  </si>
  <si>
    <t>RA.AGR.NC.NRT.002.12A</t>
  </si>
  <si>
    <t>RA.AGR.NC.NRT.002.12B</t>
  </si>
  <si>
    <t>RA.AGR.NC.NRT.002.12M</t>
  </si>
  <si>
    <t>Industrial - Agriculture - RA.AGR.NC.NRT</t>
  </si>
  <si>
    <t>RA.IND.EX.NRT.002.12</t>
  </si>
  <si>
    <t>RA.IND.EX.NRT.003.12</t>
  </si>
  <si>
    <t>RA.IND.EX.NRT.004.12</t>
  </si>
  <si>
    <t>RA.IND.EX.NRT.005.12</t>
  </si>
  <si>
    <t>RA.IND.EX.NRT.007.12</t>
  </si>
  <si>
    <t>RA.IND.EX.NRT.008.12</t>
  </si>
  <si>
    <t>RA.IND.EX.NRT.009.12</t>
  </si>
  <si>
    <t>RA.IND.EX.NRT.011.12A</t>
  </si>
  <si>
    <t>RA.IND.EX.NRT.011.12B</t>
  </si>
  <si>
    <t>RA.IND.EX.NRT.011.12M</t>
  </si>
  <si>
    <t>RA.IND.EX.NRT.012.12</t>
  </si>
  <si>
    <t>RA.IND.EX.NRT.013.12</t>
  </si>
  <si>
    <t>RA.IND.EX.NRT.015.12</t>
  </si>
  <si>
    <t>RA.IND.EX.NRT.016.12</t>
  </si>
  <si>
    <t>RA.IND.EX.NRT.017.12</t>
  </si>
  <si>
    <t>RA.IND.EX.NRT.018.12</t>
  </si>
  <si>
    <t>RA.IND.EX.NRT.019.12</t>
  </si>
  <si>
    <t>RA.IND.EX.NRT.020.12</t>
  </si>
  <si>
    <t>RA.IND.EX.NRT.022.12</t>
  </si>
  <si>
    <t>RA.IND.EX.NRT.023.12</t>
  </si>
  <si>
    <t>RA.IND.EX.NRT.024.12</t>
  </si>
  <si>
    <t>RA.IND.EX.NRT.025.12</t>
  </si>
  <si>
    <t>RA.IND.EX.NRT.026.12</t>
  </si>
  <si>
    <t>RA.IND.EX.NRT.027.12</t>
  </si>
  <si>
    <t>RA.IND.EX.NRT.028.12</t>
  </si>
  <si>
    <t>RA.IND.EX.NRT.030.12</t>
  </si>
  <si>
    <t>RA.IND.EX.NRT.031.12</t>
  </si>
  <si>
    <t>RA.IND.EX.NRT.032.12</t>
  </si>
  <si>
    <t>RA.IND.EX.NRT.034.12</t>
  </si>
  <si>
    <t>RA.IND.EX.NRT.035.12</t>
  </si>
  <si>
    <t>RA.IND.EX.NRT.036.12</t>
  </si>
  <si>
    <t>RA.IND.EX.NRT.037.12</t>
  </si>
  <si>
    <t>RA.IND.EX.NRT.038.12</t>
  </si>
  <si>
    <t>RA.IND.EX.NRT.039.12</t>
  </si>
  <si>
    <t>RA.IND.EX.NRT.040.12</t>
  </si>
  <si>
    <t>RA.IND.EX.NRT.041.12</t>
  </si>
  <si>
    <t>RA.IND.EX.NRT.042.12</t>
  </si>
  <si>
    <t>RA.IND.EX.NRT.043.12</t>
  </si>
  <si>
    <t>Industrial - Industrial - All - RA.IND.EX.NRT</t>
  </si>
  <si>
    <t>RA.IND.EX.RT.001.12</t>
  </si>
  <si>
    <t>RA.IND.EX.RT.002.12</t>
  </si>
  <si>
    <t>RA.IND.EX.RT.003.12</t>
  </si>
  <si>
    <t>RA.IND.EX.RT.005.12</t>
  </si>
  <si>
    <t>RA.IND.EX.RT.006.12</t>
  </si>
  <si>
    <t>RA.IND.EX.RT.007.12</t>
  </si>
  <si>
    <t>RA.IND.EX.RT.008.12</t>
  </si>
  <si>
    <t>RA.IND.EX.RT.009.12A</t>
  </si>
  <si>
    <t>RA.IND.EX.RT.009.12M</t>
  </si>
  <si>
    <t>RA.IND.EX.RT.010.12</t>
  </si>
  <si>
    <t>RA.IND.EX.RT.011.12</t>
  </si>
  <si>
    <t>RA.IND.EX.RT.012.12</t>
  </si>
  <si>
    <t>RA.IND.EX.RT.014.12</t>
  </si>
  <si>
    <t>RA.IND.EX.RT.015.12</t>
  </si>
  <si>
    <t>RA.IND.EX.RT.016.12</t>
  </si>
  <si>
    <t>RA.IND.EX.RT.017.12</t>
  </si>
  <si>
    <t>RA.IND.EX.RT.018.12</t>
  </si>
  <si>
    <t>RA.IND.EX.RT.020.12</t>
  </si>
  <si>
    <t>RA.IND.EX.RT.021.12</t>
  </si>
  <si>
    <t>RA.IND.EX.RT.022.12</t>
  </si>
  <si>
    <t>RA.IND.EX.RT.023.12</t>
  </si>
  <si>
    <t>RA.IND.EX.RT.024.12</t>
  </si>
  <si>
    <t>RA.IND.EX.RT.025.12</t>
  </si>
  <si>
    <t>RA.IND.EX.RT.026.12</t>
  </si>
  <si>
    <t>RA.IND.EX.RT.027.12</t>
  </si>
  <si>
    <t>RA.IND.EX.RT.028.12</t>
  </si>
  <si>
    <t>RA.IND.EX.RT.029.12</t>
  </si>
  <si>
    <t>RA.IND.EX.RT.031.12</t>
  </si>
  <si>
    <t>RA.IND.EX.RT.032.12</t>
  </si>
  <si>
    <t>RA.IND.EX.RT.033.12</t>
  </si>
  <si>
    <t>RA.IND.EX.RT.034.12</t>
  </si>
  <si>
    <t>RA.IND.EX.RT.035.12</t>
  </si>
  <si>
    <t>RA.IND.EX.RT.036.12</t>
  </si>
  <si>
    <t>RA.IND.EX.RT.037.12</t>
  </si>
  <si>
    <t>RA.IND.EX.RT.038.12</t>
  </si>
  <si>
    <t>RA.IND.EX.RT.039.12</t>
  </si>
  <si>
    <t>RA.IND.EX.RT.041.12</t>
  </si>
  <si>
    <t>RA.IND.EX.RT.042.12</t>
  </si>
  <si>
    <t>RA.IND.EX.RT.043.12</t>
  </si>
  <si>
    <t>RA.IND.EX.RT.044.12</t>
  </si>
  <si>
    <t>RA.IND.EX.RT.045.12</t>
  </si>
  <si>
    <t>RA.IND.EX.RT.046.12</t>
  </si>
  <si>
    <t>RA.IND.EX.RT.047.12</t>
  </si>
  <si>
    <t>RA.IND.EX.RT.048.12</t>
  </si>
  <si>
    <t>Industrial - Industrial - All - RA.IND.EX.RT</t>
  </si>
  <si>
    <t>RA.IND.EX.NRT</t>
  </si>
  <si>
    <t>RA.IND.EX.RT</t>
  </si>
  <si>
    <t>RA.AGR.EX.NRT</t>
  </si>
  <si>
    <t>RA.AGR.EX.RT</t>
  </si>
  <si>
    <t xml:space="preserve"> RA.AGR.NC.NRT</t>
  </si>
  <si>
    <t>RA.RE.CER</t>
  </si>
  <si>
    <t>Residential Community Energy</t>
  </si>
  <si>
    <t>RA.RE.ESK.AER BATH</t>
  </si>
  <si>
    <t>ESK Partners - Bathroom Aerators</t>
  </si>
  <si>
    <t>RA.RE.ESK.AER KIT</t>
  </si>
  <si>
    <t>ESK Partners - Kitchen Aerators</t>
  </si>
  <si>
    <t>RA.RE.ESK.SH.2.0</t>
  </si>
  <si>
    <t>ESK Partners Showerheads 2.0 - 2.5</t>
  </si>
  <si>
    <t>RA.RE.ESK.SH.2.6</t>
  </si>
  <si>
    <t>ESK Partners Showerheads 2.6+</t>
  </si>
  <si>
    <t>RA.RE.TAPS</t>
  </si>
  <si>
    <t>TAPS Showerhead 2.0 - 2.5</t>
  </si>
  <si>
    <t>RA.RE.TAPS.2.6</t>
  </si>
  <si>
    <t>TAPS Showerhead 2.6+</t>
  </si>
  <si>
    <t>RA.RE.TAPS.AER BATH</t>
  </si>
  <si>
    <t>TAPS - Bathroom Aerators</t>
  </si>
  <si>
    <t>RA.RE.TAPS.AER KIT</t>
  </si>
  <si>
    <t>TAPS - Kitchen Aerator</t>
  </si>
  <si>
    <t>RA.AIR</t>
  </si>
  <si>
    <t>Air Curtains - Single Door</t>
  </si>
  <si>
    <t>RA.AIR.2</t>
  </si>
  <si>
    <t>Air Curtains - Double Door</t>
  </si>
  <si>
    <t>RA.AIR.3</t>
  </si>
  <si>
    <t>Air Curtains - 8x8</t>
  </si>
  <si>
    <t>RA.AIR.4</t>
  </si>
  <si>
    <t>Air Curtains - 8x10</t>
  </si>
  <si>
    <t>RA.AIR.5</t>
  </si>
  <si>
    <t>Air Curtains - 10x10</t>
  </si>
  <si>
    <t>Total Commercial</t>
  </si>
  <si>
    <t>RA.DCKV.1</t>
  </si>
  <si>
    <t>Demand Control Kitchen Vent 0 to 4999</t>
  </si>
  <si>
    <t>RA.DCKV.2</t>
  </si>
  <si>
    <t>Demand Control Kitchen Vent 5000 to 9999</t>
  </si>
  <si>
    <t>RA.DCKV.3</t>
  </si>
  <si>
    <t>Demand Control Kitchen Vent 10000-15000</t>
  </si>
  <si>
    <t>RA.FS.EX</t>
  </si>
  <si>
    <t>Food Services</t>
  </si>
  <si>
    <t>RA.OZ</t>
  </si>
  <si>
    <t>RA.CB (Space Htg)</t>
  </si>
  <si>
    <t>RA.CB (Water Htg)</t>
  </si>
  <si>
    <t>RA.ERV</t>
  </si>
  <si>
    <t>RA.HEB.299</t>
  </si>
  <si>
    <t>RA.HRV</t>
  </si>
  <si>
    <t>RA.INFRD</t>
  </si>
  <si>
    <t>RA.TKL</t>
  </si>
  <si>
    <t>RA.DISH.HT</t>
  </si>
  <si>
    <t>RA.FS.FRYER</t>
  </si>
  <si>
    <t>RA.DISH.ST.RACK.HT</t>
  </si>
  <si>
    <t>RA.DISH.ST.RACK.LT</t>
  </si>
  <si>
    <t>RA.DISH.RACKCON.SINGL</t>
  </si>
  <si>
    <t>RA.FS.UFB</t>
  </si>
  <si>
    <t>Participants (# Units for Prescriptive and # Addresses for Custom)</t>
  </si>
  <si>
    <t>Residential</t>
  </si>
  <si>
    <t>MT.RE.LABEL</t>
  </si>
  <si>
    <t>Residential Label</t>
  </si>
  <si>
    <t>MT.RN.DWHR</t>
  </si>
  <si>
    <t>Residential New Construction DWHR</t>
  </si>
  <si>
    <t>MT.RN.SBD</t>
  </si>
  <si>
    <t>Residential New Construction SBD</t>
  </si>
  <si>
    <t>Residential - Residential</t>
  </si>
  <si>
    <t>MT.CN.SBD</t>
  </si>
  <si>
    <t>Commercial New Construction SBD</t>
  </si>
  <si>
    <t>Large New Construction - Other Commercial</t>
  </si>
  <si>
    <t>Total MT</t>
  </si>
  <si>
    <t>Market Transformation</t>
  </si>
  <si>
    <t>Total Resource Acquisition</t>
  </si>
  <si>
    <t>Total 2012 DSM Portfolio</t>
  </si>
  <si>
    <t>RA.MR.NC.017.11ERV 2011</t>
  </si>
  <si>
    <t>RA.MR.NC.018.11ERV 2011</t>
  </si>
  <si>
    <t>RA.MR.NC.019.11ERV 2011</t>
  </si>
  <si>
    <t>RA.MR.NC.020.11ERV 2011</t>
  </si>
  <si>
    <t>RA.MR.NC.021.11ERV 2011</t>
  </si>
  <si>
    <t>RA.MR.NC.022.11ERV 2011</t>
  </si>
  <si>
    <t>RA.MR.NC.023.12ERV 2011</t>
  </si>
  <si>
    <t>RA.MR.NC.024.12ERV 2011</t>
  </si>
  <si>
    <t>RA.MR.NC.025.12ERV 2011</t>
  </si>
  <si>
    <t>RA.MR.NC.026.11ERV 2011</t>
  </si>
  <si>
    <t>RA.MR.NC.027.11HRV 2011</t>
  </si>
  <si>
    <t>RA.MR.NC.028.12ERV 2011</t>
  </si>
  <si>
    <t>RA.MR.NC.029.12HRV 2011</t>
  </si>
  <si>
    <t>RA.MR.NC.030.12HRV 2011</t>
  </si>
  <si>
    <t>Unit</t>
  </si>
  <si>
    <t xml:space="preserve">Industrial </t>
  </si>
  <si>
    <t>Commercial Custom</t>
  </si>
  <si>
    <t>Commercial Prescriptive</t>
  </si>
  <si>
    <t>Gross actual CCM</t>
  </si>
  <si>
    <t>LW.SH.2.0</t>
  </si>
  <si>
    <t>Low Income Showerheads 2.0</t>
  </si>
  <si>
    <t>Market Transformation Administration</t>
  </si>
  <si>
    <t>Low Income Administration</t>
  </si>
  <si>
    <t>Resource Acquisition Administration</t>
  </si>
  <si>
    <t>2012 Values</t>
  </si>
  <si>
    <t>TAPS Pstats</t>
  </si>
  <si>
    <t>TAPS Water Conservation</t>
  </si>
  <si>
    <t>Avoided Gas Costs,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</si>
</sst>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_-;\-* #,##0.00_-;_-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&quot;$&quot;#,##0.00"/>
    <numFmt numFmtId="170" formatCode="&quot;$&quot;#,##0.0000"/>
    <numFmt numFmtId="171" formatCode="&quot;$&quot;#,##0.0000_);[Red]\(&quot;$&quot;#,##0.0000\)"/>
    <numFmt numFmtId="172" formatCode="0.0%"/>
    <numFmt numFmtId="173" formatCode="0.0000"/>
    <numFmt numFmtId="174" formatCode="_(&quot;$&quot;* #,##0.0000_);_(&quot;$&quot;* \(#,##0.0000\);_(&quot;$&quot;* &quot;-&quot;??_);_(@_)"/>
    <numFmt numFmtId="175" formatCode="_(&quot;$&quot;* #,##0_);_(&quot;$&quot;* \(#,##0\);_(&quot;$&quot;* &quot;-&quot;??_);_(@_)"/>
    <numFmt numFmtId="176" formatCode="0.00000"/>
    <numFmt numFmtId="177" formatCode="_(* #,##0.0000_);_(* \(#,##0.0000\);_(* &quot;-&quot;????_);_(@_)"/>
    <numFmt numFmtId="178" formatCode="_(* #,##0.0_);_(* \(#,##0.0\);_(* &quot;-&quot;_);_(@_)"/>
    <numFmt numFmtId="179" formatCode="_(* #,##0.00_);_(* \(#,##0.00\);_(* &quot;-&quot;_);_(@_)"/>
    <numFmt numFmtId="180" formatCode="#,##0.00;[Red]\(#,##0.00\)"/>
    <numFmt numFmtId="181" formatCode="#0.0%;[Red]\(#0.0%\)"/>
    <numFmt numFmtId="182" formatCode="0.000"/>
    <numFmt numFmtId="183" formatCode="_(* #,##0.000_);_(* \(#,##0.000\);_(* &quot;-&quot;??_);_(@_)"/>
    <numFmt numFmtId="184" formatCode="0.00_);[Red]\(0.00\)"/>
    <numFmt numFmtId="185" formatCode="0.0000000000"/>
    <numFmt numFmtId="186" formatCode="_(* #,##0.000_);_(* \(#,##0.000\);_(* &quot;-&quot;_);_(@_)"/>
    <numFmt numFmtId="187" formatCode="0.00_);\(0.00\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indexed="52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9"/>
      <name val="Microsoft Sans Serif"/>
      <family val="2"/>
    </font>
    <font>
      <sz val="10"/>
      <color indexed="8"/>
      <name val="Arial"/>
      <family val="2"/>
    </font>
    <font>
      <i/>
      <sz val="10"/>
      <name val="Calibri"/>
      <family val="2"/>
      <scheme val="minor"/>
    </font>
    <font>
      <i/>
      <sz val="8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6">
    <xf numFmtId="0" fontId="0" fillId="0" borderId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0" fillId="0" borderId="0"/>
    <xf numFmtId="9" fontId="16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23" fillId="0" borderId="0"/>
    <xf numFmtId="167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6" fillId="0" borderId="0"/>
    <xf numFmtId="0" fontId="9" fillId="0" borderId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2" borderId="24" applyNumberFormat="0" applyFont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6" fillId="3" borderId="0" applyNumberFormat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2" borderId="24" applyNumberFormat="0" applyFont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6" fontId="28" fillId="0" borderId="0" applyFont="0" applyFill="0" applyBorder="0" applyAlignment="0" applyProtection="0"/>
    <xf numFmtId="0" fontId="28" fillId="0" borderId="0">
      <alignment vertical="top"/>
    </xf>
    <xf numFmtId="0" fontId="27" fillId="0" borderId="0"/>
  </cellStyleXfs>
  <cellXfs count="267">
    <xf numFmtId="0" fontId="0" fillId="0" borderId="0" xfId="0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2" fontId="19" fillId="0" borderId="0" xfId="0" applyNumberFormat="1" applyFont="1" applyFill="1" applyAlignment="1">
      <alignment horizontal="center"/>
    </xf>
    <xf numFmtId="184" fontId="19" fillId="0" borderId="0" xfId="0" applyNumberFormat="1" applyFont="1" applyFill="1" applyAlignment="1">
      <alignment horizontal="center"/>
    </xf>
    <xf numFmtId="179" fontId="19" fillId="0" borderId="0" xfId="1" applyNumberFormat="1" applyFont="1" applyFill="1"/>
    <xf numFmtId="10" fontId="19" fillId="0" borderId="0" xfId="0" applyNumberFormat="1" applyFont="1" applyFill="1"/>
    <xf numFmtId="174" fontId="19" fillId="0" borderId="0" xfId="2" applyNumberFormat="1" applyFont="1" applyFill="1" applyAlignment="1">
      <alignment horizontal="center"/>
    </xf>
    <xf numFmtId="174" fontId="18" fillId="0" borderId="0" xfId="2" applyNumberFormat="1" applyFont="1" applyFill="1" applyBorder="1" applyProtection="1">
      <protection locked="0"/>
    </xf>
    <xf numFmtId="177" fontId="19" fillId="0" borderId="0" xfId="0" applyNumberFormat="1" applyFont="1" applyFill="1"/>
    <xf numFmtId="0" fontId="25" fillId="0" borderId="0" xfId="0" applyFont="1" applyFill="1" applyAlignment="1"/>
    <xf numFmtId="0" fontId="25" fillId="0" borderId="0" xfId="0" applyFont="1" applyFill="1" applyAlignment="1">
      <alignment horizontal="center"/>
    </xf>
    <xf numFmtId="175" fontId="25" fillId="0" borderId="0" xfId="2" applyNumberFormat="1" applyFont="1" applyFill="1" applyAlignment="1"/>
    <xf numFmtId="165" fontId="25" fillId="0" borderId="0" xfId="1" applyFont="1" applyFill="1" applyBorder="1" applyAlignment="1"/>
    <xf numFmtId="172" fontId="25" fillId="0" borderId="0" xfId="4" applyNumberFormat="1" applyFont="1" applyFill="1" applyBorder="1" applyAlignment="1"/>
    <xf numFmtId="10" fontId="25" fillId="0" borderId="0" xfId="4" applyNumberFormat="1" applyFont="1" applyFill="1" applyBorder="1" applyAlignment="1"/>
    <xf numFmtId="178" fontId="25" fillId="0" borderId="0" xfId="1" applyNumberFormat="1" applyFont="1" applyFill="1" applyBorder="1" applyAlignment="1"/>
    <xf numFmtId="165" fontId="25" fillId="0" borderId="0" xfId="1" applyFont="1" applyFill="1" applyAlignment="1"/>
    <xf numFmtId="183" fontId="25" fillId="0" borderId="0" xfId="1" applyNumberFormat="1" applyFont="1" applyFill="1" applyAlignment="1"/>
    <xf numFmtId="167" fontId="25" fillId="0" borderId="0" xfId="1" applyNumberFormat="1" applyFont="1" applyFill="1" applyAlignment="1"/>
    <xf numFmtId="175" fontId="25" fillId="0" borderId="0" xfId="2" applyNumberFormat="1" applyFont="1" applyFill="1" applyAlignment="1">
      <alignment wrapText="1"/>
    </xf>
    <xf numFmtId="183" fontId="25" fillId="0" borderId="0" xfId="1" applyNumberFormat="1" applyFont="1" applyFill="1" applyBorder="1" applyAlignment="1"/>
    <xf numFmtId="167" fontId="25" fillId="0" borderId="0" xfId="1" applyNumberFormat="1" applyFont="1" applyFill="1" applyBorder="1" applyAlignment="1"/>
    <xf numFmtId="165" fontId="25" fillId="0" borderId="6" xfId="1" applyFont="1" applyFill="1" applyBorder="1" applyAlignment="1"/>
    <xf numFmtId="172" fontId="25" fillId="0" borderId="6" xfId="4" applyNumberFormat="1" applyFont="1" applyFill="1" applyBorder="1" applyAlignment="1"/>
    <xf numFmtId="10" fontId="25" fillId="0" borderId="6" xfId="4" applyNumberFormat="1" applyFont="1" applyFill="1" applyBorder="1" applyAlignment="1"/>
    <xf numFmtId="178" fontId="25" fillId="0" borderId="6" xfId="1" applyNumberFormat="1" applyFont="1" applyFill="1" applyBorder="1" applyAlignment="1"/>
    <xf numFmtId="165" fontId="25" fillId="0" borderId="5" xfId="1" applyFont="1" applyFill="1" applyBorder="1" applyAlignment="1"/>
    <xf numFmtId="165" fontId="25" fillId="0" borderId="19" xfId="1" applyFont="1" applyFill="1" applyBorder="1" applyAlignment="1"/>
    <xf numFmtId="165" fontId="25" fillId="0" borderId="20" xfId="1" applyFont="1" applyFill="1" applyBorder="1" applyAlignment="1"/>
    <xf numFmtId="183" fontId="25" fillId="0" borderId="5" xfId="1" applyNumberFormat="1" applyFont="1" applyFill="1" applyBorder="1" applyAlignment="1"/>
    <xf numFmtId="167" fontId="25" fillId="0" borderId="19" xfId="1" applyNumberFormat="1" applyFont="1" applyFill="1" applyBorder="1" applyAlignment="1"/>
    <xf numFmtId="0" fontId="25" fillId="0" borderId="6" xfId="0" applyFont="1" applyFill="1" applyBorder="1" applyAlignment="1">
      <alignment horizontal="center"/>
    </xf>
    <xf numFmtId="175" fontId="25" fillId="0" borderId="13" xfId="2" applyNumberFormat="1" applyFont="1" applyFill="1" applyBorder="1" applyAlignment="1">
      <alignment horizontal="centerContinuous"/>
    </xf>
    <xf numFmtId="175" fontId="25" fillId="0" borderId="14" xfId="2" applyNumberFormat="1" applyFont="1" applyFill="1" applyBorder="1" applyAlignment="1">
      <alignment horizontal="centerContinuous"/>
    </xf>
    <xf numFmtId="175" fontId="25" fillId="0" borderId="5" xfId="2" applyNumberFormat="1" applyFont="1" applyFill="1" applyBorder="1" applyAlignment="1"/>
    <xf numFmtId="0" fontId="25" fillId="0" borderId="3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 wrapText="1"/>
    </xf>
    <xf numFmtId="165" fontId="25" fillId="0" borderId="3" xfId="1" applyFont="1" applyFill="1" applyBorder="1" applyAlignment="1">
      <alignment horizontal="center" wrapText="1"/>
    </xf>
    <xf numFmtId="172" fontId="25" fillId="0" borderId="3" xfId="4" applyNumberFormat="1" applyFont="1" applyFill="1" applyBorder="1" applyAlignment="1">
      <alignment horizontal="center" wrapText="1"/>
    </xf>
    <xf numFmtId="10" fontId="25" fillId="0" borderId="3" xfId="4" applyNumberFormat="1" applyFont="1" applyFill="1" applyBorder="1" applyAlignment="1">
      <alignment horizontal="center" wrapText="1"/>
    </xf>
    <xf numFmtId="165" fontId="25" fillId="0" borderId="11" xfId="1" applyFont="1" applyFill="1" applyBorder="1" applyAlignment="1">
      <alignment horizontal="center" wrapText="1"/>
    </xf>
    <xf numFmtId="165" fontId="25" fillId="0" borderId="4" xfId="1" applyFont="1" applyFill="1" applyBorder="1" applyAlignment="1">
      <alignment horizontal="center" wrapText="1"/>
    </xf>
    <xf numFmtId="165" fontId="25" fillId="0" borderId="12" xfId="1" applyFont="1" applyFill="1" applyBorder="1" applyAlignment="1">
      <alignment horizontal="center" wrapText="1"/>
    </xf>
    <xf numFmtId="183" fontId="25" fillId="0" borderId="11" xfId="1" applyNumberFormat="1" applyFont="1" applyFill="1" applyBorder="1" applyAlignment="1">
      <alignment horizontal="center" wrapText="1"/>
    </xf>
    <xf numFmtId="167" fontId="25" fillId="0" borderId="4" xfId="1" applyNumberFormat="1" applyFont="1" applyFill="1" applyBorder="1" applyAlignment="1">
      <alignment horizontal="center" wrapText="1"/>
    </xf>
    <xf numFmtId="175" fontId="25" fillId="0" borderId="3" xfId="2" applyNumberFormat="1" applyFont="1" applyFill="1" applyBorder="1" applyAlignment="1">
      <alignment horizontal="center"/>
    </xf>
    <xf numFmtId="175" fontId="25" fillId="0" borderId="10" xfId="2" applyNumberFormat="1" applyFont="1" applyFill="1" applyBorder="1" applyAlignment="1">
      <alignment horizontal="center" wrapText="1"/>
    </xf>
    <xf numFmtId="175" fontId="25" fillId="0" borderId="11" xfId="2" applyNumberFormat="1" applyFont="1" applyFill="1" applyBorder="1" applyAlignment="1">
      <alignment horizontal="center" wrapText="1"/>
    </xf>
    <xf numFmtId="175" fontId="25" fillId="0" borderId="3" xfId="2" applyNumberFormat="1" applyFont="1" applyFill="1" applyBorder="1" applyAlignment="1">
      <alignment horizontal="center" wrapText="1"/>
    </xf>
    <xf numFmtId="175" fontId="25" fillId="0" borderId="12" xfId="2" applyNumberFormat="1" applyFont="1" applyFill="1" applyBorder="1" applyAlignment="1">
      <alignment horizontal="center"/>
    </xf>
    <xf numFmtId="172" fontId="25" fillId="0" borderId="0" xfId="4" applyNumberFormat="1" applyFont="1" applyFill="1" applyAlignment="1"/>
    <xf numFmtId="10" fontId="25" fillId="0" borderId="0" xfId="4" applyNumberFormat="1" applyFont="1" applyFill="1" applyAlignment="1"/>
    <xf numFmtId="9" fontId="25" fillId="0" borderId="0" xfId="4" applyFont="1" applyFill="1" applyAlignment="1"/>
    <xf numFmtId="178" fontId="25" fillId="0" borderId="0" xfId="1" applyNumberFormat="1" applyFont="1" applyFill="1" applyAlignment="1"/>
    <xf numFmtId="168" fontId="25" fillId="0" borderId="0" xfId="1" applyNumberFormat="1" applyFont="1" applyFill="1" applyAlignment="1"/>
    <xf numFmtId="0" fontId="25" fillId="0" borderId="0" xfId="0" applyFont="1" applyFill="1" applyBorder="1" applyAlignment="1">
      <alignment horizontal="center"/>
    </xf>
    <xf numFmtId="175" fontId="25" fillId="0" borderId="0" xfId="2" applyNumberFormat="1" applyFont="1" applyFill="1" applyBorder="1" applyAlignment="1"/>
    <xf numFmtId="3" fontId="25" fillId="0" borderId="0" xfId="0" applyNumberFormat="1" applyFont="1" applyFill="1" applyAlignment="1"/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166" fontId="25" fillId="0" borderId="0" xfId="2" applyFont="1" applyFill="1" applyAlignment="1"/>
    <xf numFmtId="165" fontId="25" fillId="0" borderId="0" xfId="1" applyFont="1" applyFill="1" applyAlignment="1">
      <alignment horizontal="center"/>
    </xf>
    <xf numFmtId="180" fontId="25" fillId="0" borderId="2" xfId="3" applyNumberFormat="1" applyFont="1" applyFill="1" applyBorder="1" applyAlignment="1">
      <alignment horizontal="right"/>
    </xf>
    <xf numFmtId="180" fontId="25" fillId="0" borderId="2" xfId="0" applyNumberFormat="1" applyFont="1" applyFill="1" applyBorder="1" applyAlignment="1">
      <alignment horizontal="right"/>
    </xf>
    <xf numFmtId="175" fontId="25" fillId="0" borderId="2" xfId="2" applyNumberFormat="1" applyFont="1" applyFill="1" applyBorder="1" applyAlignment="1"/>
    <xf numFmtId="175" fontId="25" fillId="0" borderId="2" xfId="2" applyNumberFormat="1" applyFont="1" applyFill="1" applyBorder="1" applyAlignment="1">
      <alignment horizontal="right"/>
    </xf>
    <xf numFmtId="165" fontId="25" fillId="0" borderId="2" xfId="1" applyFont="1" applyFill="1" applyBorder="1" applyAlignment="1">
      <alignment horizontal="right"/>
    </xf>
    <xf numFmtId="0" fontId="25" fillId="0" borderId="0" xfId="3" applyFont="1" applyFill="1" applyAlignment="1">
      <alignment horizontal="right"/>
    </xf>
    <xf numFmtId="183" fontId="25" fillId="0" borderId="2" xfId="3" applyNumberFormat="1" applyFont="1" applyFill="1" applyBorder="1" applyAlignment="1">
      <alignment horizontal="right"/>
    </xf>
    <xf numFmtId="165" fontId="25" fillId="0" borderId="0" xfId="1" applyNumberFormat="1" applyFont="1" applyFill="1" applyAlignment="1"/>
    <xf numFmtId="165" fontId="25" fillId="0" borderId="0" xfId="1" applyFont="1" applyFill="1" applyBorder="1" applyAlignment="1">
      <alignment horizontal="right"/>
    </xf>
    <xf numFmtId="9" fontId="25" fillId="0" borderId="0" xfId="4" applyFont="1" applyFill="1" applyBorder="1" applyAlignment="1">
      <alignment horizontal="right"/>
    </xf>
    <xf numFmtId="10" fontId="25" fillId="0" borderId="0" xfId="4" applyNumberFormat="1" applyFont="1" applyFill="1" applyBorder="1" applyAlignment="1">
      <alignment horizontal="right"/>
    </xf>
    <xf numFmtId="186" fontId="25" fillId="0" borderId="0" xfId="1" applyNumberFormat="1" applyFont="1" applyFill="1" applyBorder="1" applyAlignment="1">
      <alignment horizontal="right"/>
    </xf>
    <xf numFmtId="180" fontId="25" fillId="0" borderId="0" xfId="3" applyNumberFormat="1" applyFont="1" applyFill="1" applyBorder="1" applyAlignment="1">
      <alignment horizontal="right"/>
    </xf>
    <xf numFmtId="165" fontId="25" fillId="0" borderId="0" xfId="1" applyFont="1" applyFill="1" applyBorder="1" applyAlignment="1">
      <alignment horizontal="center"/>
    </xf>
    <xf numFmtId="175" fontId="25" fillId="0" borderId="0" xfId="2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165" fontId="25" fillId="0" borderId="8" xfId="1" applyFont="1" applyFill="1" applyBorder="1" applyAlignment="1"/>
    <xf numFmtId="172" fontId="25" fillId="0" borderId="8" xfId="4" applyNumberFormat="1" applyFont="1" applyFill="1" applyBorder="1" applyAlignment="1"/>
    <xf numFmtId="10" fontId="25" fillId="0" borderId="8" xfId="4" applyNumberFormat="1" applyFont="1" applyFill="1" applyBorder="1" applyAlignment="1"/>
    <xf numFmtId="175" fontId="25" fillId="0" borderId="8" xfId="2" applyNumberFormat="1" applyFont="1" applyFill="1" applyBorder="1" applyAlignment="1"/>
    <xf numFmtId="0" fontId="25" fillId="0" borderId="9" xfId="0" applyFont="1" applyFill="1" applyBorder="1" applyAlignment="1"/>
    <xf numFmtId="0" fontId="25" fillId="0" borderId="9" xfId="0" applyFont="1" applyFill="1" applyBorder="1" applyAlignment="1">
      <alignment horizontal="center"/>
    </xf>
    <xf numFmtId="165" fontId="25" fillId="0" borderId="9" xfId="1" applyFont="1" applyFill="1" applyBorder="1" applyAlignment="1"/>
    <xf numFmtId="172" fontId="25" fillId="0" borderId="9" xfId="4" applyNumberFormat="1" applyFont="1" applyFill="1" applyBorder="1" applyAlignment="1"/>
    <xf numFmtId="10" fontId="25" fillId="0" borderId="9" xfId="4" applyNumberFormat="1" applyFont="1" applyFill="1" applyBorder="1" applyAlignment="1"/>
    <xf numFmtId="183" fontId="25" fillId="0" borderId="9" xfId="1" applyNumberFormat="1" applyFont="1" applyFill="1" applyBorder="1" applyAlignment="1"/>
    <xf numFmtId="175" fontId="25" fillId="0" borderId="8" xfId="2" applyNumberFormat="1" applyFont="1" applyFill="1" applyBorder="1" applyAlignment="1">
      <alignment horizontal="right"/>
    </xf>
    <xf numFmtId="180" fontId="25" fillId="0" borderId="0" xfId="0" applyNumberFormat="1" applyFont="1" applyFill="1" applyBorder="1" applyAlignment="1">
      <alignment horizontal="right"/>
    </xf>
    <xf numFmtId="183" fontId="25" fillId="0" borderId="0" xfId="3" applyNumberFormat="1" applyFont="1" applyFill="1" applyBorder="1" applyAlignment="1">
      <alignment horizontal="right"/>
    </xf>
    <xf numFmtId="175" fontId="25" fillId="0" borderId="19" xfId="2" applyNumberFormat="1" applyFont="1" applyFill="1" applyBorder="1" applyAlignment="1"/>
    <xf numFmtId="166" fontId="25" fillId="0" borderId="6" xfId="2" applyFont="1" applyFill="1" applyBorder="1" applyAlignment="1"/>
    <xf numFmtId="166" fontId="25" fillId="0" borderId="3" xfId="2" applyFont="1" applyFill="1" applyBorder="1" applyAlignment="1">
      <alignment horizontal="center" wrapText="1"/>
    </xf>
    <xf numFmtId="166" fontId="25" fillId="0" borderId="0" xfId="2" applyFont="1" applyFill="1" applyBorder="1" applyAlignment="1"/>
    <xf numFmtId="166" fontId="25" fillId="0" borderId="0" xfId="2" applyFont="1" applyFill="1" applyBorder="1" applyAlignment="1">
      <alignment horizontal="right"/>
    </xf>
    <xf numFmtId="166" fontId="25" fillId="0" borderId="9" xfId="2" applyFont="1" applyFill="1" applyBorder="1" applyAlignment="1"/>
    <xf numFmtId="166" fontId="25" fillId="0" borderId="8" xfId="2" applyFont="1" applyFill="1" applyBorder="1" applyAlignment="1"/>
    <xf numFmtId="165" fontId="25" fillId="0" borderId="25" xfId="1" applyNumberFormat="1" applyFont="1" applyFill="1" applyBorder="1" applyAlignment="1">
      <alignment horizontal="center" wrapText="1"/>
    </xf>
    <xf numFmtId="165" fontId="25" fillId="0" borderId="18" xfId="1" applyNumberFormat="1" applyFont="1" applyFill="1" applyBorder="1" applyAlignment="1"/>
    <xf numFmtId="165" fontId="25" fillId="0" borderId="2" xfId="1" applyNumberFormat="1" applyFont="1" applyFill="1" applyBorder="1" applyAlignment="1">
      <alignment horizontal="right"/>
    </xf>
    <xf numFmtId="165" fontId="25" fillId="0" borderId="18" xfId="1" applyNumberFormat="1" applyFont="1" applyFill="1" applyBorder="1" applyAlignment="1">
      <alignment horizontal="right"/>
    </xf>
    <xf numFmtId="165" fontId="25" fillId="0" borderId="22" xfId="1" applyNumberFormat="1" applyFont="1" applyFill="1" applyBorder="1" applyAlignment="1">
      <alignment horizontal="right"/>
    </xf>
    <xf numFmtId="165" fontId="25" fillId="0" borderId="22" xfId="1" applyNumberFormat="1" applyFont="1" applyFill="1" applyBorder="1" applyAlignment="1"/>
    <xf numFmtId="0" fontId="25" fillId="0" borderId="26" xfId="0" applyFont="1" applyFill="1" applyBorder="1" applyAlignment="1"/>
    <xf numFmtId="0" fontId="25" fillId="0" borderId="26" xfId="0" applyFont="1" applyFill="1" applyBorder="1" applyAlignment="1">
      <alignment horizontal="center"/>
    </xf>
    <xf numFmtId="165" fontId="25" fillId="0" borderId="26" xfId="1" applyFont="1" applyFill="1" applyBorder="1" applyAlignment="1">
      <alignment horizontal="right"/>
    </xf>
    <xf numFmtId="9" fontId="25" fillId="0" borderId="26" xfId="4" applyFont="1" applyFill="1" applyBorder="1" applyAlignment="1">
      <alignment horizontal="right"/>
    </xf>
    <xf numFmtId="10" fontId="25" fillId="0" borderId="26" xfId="4" applyNumberFormat="1" applyFont="1" applyFill="1" applyBorder="1" applyAlignment="1">
      <alignment horizontal="right"/>
    </xf>
    <xf numFmtId="165" fontId="25" fillId="0" borderId="26" xfId="1" applyFont="1" applyFill="1" applyBorder="1" applyAlignment="1"/>
    <xf numFmtId="178" fontId="25" fillId="0" borderId="26" xfId="1" applyNumberFormat="1" applyFont="1" applyFill="1" applyBorder="1" applyAlignment="1"/>
    <xf numFmtId="180" fontId="25" fillId="0" borderId="26" xfId="3" applyNumberFormat="1" applyFont="1" applyFill="1" applyBorder="1" applyAlignment="1">
      <alignment horizontal="right"/>
    </xf>
    <xf numFmtId="186" fontId="25" fillId="0" borderId="26" xfId="1" applyNumberFormat="1" applyFont="1" applyFill="1" applyBorder="1" applyAlignment="1">
      <alignment horizontal="right"/>
    </xf>
    <xf numFmtId="165" fontId="25" fillId="0" borderId="26" xfId="1" applyFont="1" applyFill="1" applyBorder="1" applyAlignment="1">
      <alignment horizontal="center"/>
    </xf>
    <xf numFmtId="175" fontId="25" fillId="0" borderId="26" xfId="2" applyNumberFormat="1" applyFont="1" applyFill="1" applyBorder="1" applyAlignment="1"/>
    <xf numFmtId="166" fontId="25" fillId="0" borderId="26" xfId="2" applyFont="1" applyFill="1" applyBorder="1" applyAlignment="1">
      <alignment horizontal="right"/>
    </xf>
    <xf numFmtId="175" fontId="25" fillId="0" borderId="26" xfId="2" applyNumberFormat="1" applyFont="1" applyFill="1" applyBorder="1" applyAlignment="1">
      <alignment horizontal="right"/>
    </xf>
    <xf numFmtId="165" fontId="25" fillId="0" borderId="26" xfId="1" applyNumberFormat="1" applyFont="1" applyFill="1" applyBorder="1" applyAlignment="1">
      <alignment horizontal="right"/>
    </xf>
    <xf numFmtId="179" fontId="25" fillId="0" borderId="26" xfId="1" applyNumberFormat="1" applyFont="1" applyFill="1" applyBorder="1" applyAlignment="1">
      <alignment horizontal="right"/>
    </xf>
    <xf numFmtId="179" fontId="25" fillId="0" borderId="0" xfId="1" applyNumberFormat="1" applyFont="1" applyFill="1" applyBorder="1" applyAlignment="1"/>
    <xf numFmtId="165" fontId="25" fillId="0" borderId="0" xfId="1" applyNumberFormat="1" applyFont="1" applyFill="1" applyBorder="1" applyAlignment="1"/>
    <xf numFmtId="167" fontId="25" fillId="0" borderId="2" xfId="1" applyNumberFormat="1" applyFont="1" applyFill="1" applyBorder="1" applyAlignment="1">
      <alignment horizontal="right"/>
    </xf>
    <xf numFmtId="9" fontId="25" fillId="0" borderId="0" xfId="4" applyNumberFormat="1" applyFont="1" applyFill="1" applyAlignment="1"/>
    <xf numFmtId="180" fontId="25" fillId="0" borderId="26" xfId="0" applyNumberFormat="1" applyFont="1" applyFill="1" applyBorder="1" applyAlignment="1">
      <alignment horizontal="right"/>
    </xf>
    <xf numFmtId="186" fontId="25" fillId="0" borderId="2" xfId="1" applyNumberFormat="1" applyFont="1" applyFill="1" applyBorder="1" applyAlignment="1">
      <alignment horizontal="right"/>
    </xf>
    <xf numFmtId="165" fontId="25" fillId="0" borderId="27" xfId="1" applyNumberFormat="1" applyFont="1" applyFill="1" applyBorder="1" applyAlignment="1">
      <alignment horizontal="center" wrapText="1"/>
    </xf>
    <xf numFmtId="175" fontId="25" fillId="0" borderId="2" xfId="2" applyNumberFormat="1" applyFont="1" applyFill="1" applyBorder="1" applyAlignment="1">
      <alignment horizontal="center"/>
    </xf>
    <xf numFmtId="165" fontId="25" fillId="0" borderId="2" xfId="1" applyNumberFormat="1" applyFont="1" applyFill="1" applyBorder="1" applyAlignment="1">
      <alignment horizontal="center"/>
    </xf>
    <xf numFmtId="10" fontId="25" fillId="0" borderId="0" xfId="88" applyNumberFormat="1" applyFont="1" applyFill="1" applyAlignment="1"/>
    <xf numFmtId="179" fontId="25" fillId="0" borderId="0" xfId="1" applyNumberFormat="1" applyFont="1" applyFill="1" applyAlignment="1"/>
    <xf numFmtId="165" fontId="25" fillId="0" borderId="15" xfId="1" applyFont="1" applyFill="1" applyBorder="1" applyAlignment="1"/>
    <xf numFmtId="172" fontId="25" fillId="0" borderId="15" xfId="4" applyNumberFormat="1" applyFont="1" applyFill="1" applyBorder="1" applyAlignment="1"/>
    <xf numFmtId="10" fontId="25" fillId="0" borderId="15" xfId="4" applyNumberFormat="1" applyFont="1" applyFill="1" applyBorder="1" applyAlignment="1"/>
    <xf numFmtId="183" fontId="25" fillId="0" borderId="15" xfId="1" applyNumberFormat="1" applyFont="1" applyFill="1" applyBorder="1" applyAlignment="1"/>
    <xf numFmtId="0" fontId="25" fillId="0" borderId="15" xfId="0" applyFont="1" applyFill="1" applyBorder="1" applyAlignment="1">
      <alignment horizontal="center"/>
    </xf>
    <xf numFmtId="166" fontId="25" fillId="0" borderId="15" xfId="2" applyFont="1" applyFill="1" applyBorder="1" applyAlignment="1"/>
    <xf numFmtId="187" fontId="25" fillId="0" borderId="2" xfId="3" applyNumberFormat="1" applyFont="1" applyFill="1" applyBorder="1" applyAlignment="1">
      <alignment horizontal="right"/>
    </xf>
    <xf numFmtId="165" fontId="25" fillId="0" borderId="2" xfId="1" applyFont="1" applyFill="1" applyBorder="1" applyAlignment="1"/>
    <xf numFmtId="0" fontId="25" fillId="0" borderId="6" xfId="0" applyFont="1" applyFill="1" applyBorder="1" applyAlignment="1"/>
    <xf numFmtId="0" fontId="25" fillId="0" borderId="0" xfId="0" applyFont="1" applyFill="1" applyAlignment="1">
      <alignment horizontal="left"/>
    </xf>
    <xf numFmtId="0" fontId="25" fillId="0" borderId="2" xfId="75" applyFont="1" applyFill="1" applyBorder="1" applyAlignment="1">
      <alignment horizontal="left"/>
    </xf>
    <xf numFmtId="0" fontId="25" fillId="0" borderId="2" xfId="75" applyFont="1" applyFill="1" applyBorder="1" applyAlignment="1">
      <alignment horizontal="right"/>
    </xf>
    <xf numFmtId="180" fontId="25" fillId="0" borderId="2" xfId="75" applyNumberFormat="1" applyFont="1" applyFill="1" applyBorder="1" applyAlignment="1">
      <alignment horizontal="right"/>
    </xf>
    <xf numFmtId="181" fontId="25" fillId="0" borderId="2" xfId="75" applyNumberFormat="1" applyFont="1" applyFill="1" applyBorder="1" applyAlignment="1">
      <alignment horizontal="right"/>
    </xf>
    <xf numFmtId="0" fontId="25" fillId="0" borderId="2" xfId="75" applyFont="1" applyFill="1" applyBorder="1" applyAlignment="1">
      <alignment horizontal="center"/>
    </xf>
    <xf numFmtId="166" fontId="25" fillId="0" borderId="2" xfId="2" applyFont="1" applyFill="1" applyBorder="1" applyAlignment="1">
      <alignment horizontal="right"/>
    </xf>
    <xf numFmtId="0" fontId="25" fillId="0" borderId="2" xfId="80" applyFont="1" applyFill="1" applyBorder="1" applyAlignment="1">
      <alignment horizontal="left"/>
    </xf>
    <xf numFmtId="0" fontId="25" fillId="0" borderId="2" xfId="80" applyFont="1" applyFill="1" applyBorder="1" applyAlignment="1">
      <alignment horizontal="right"/>
    </xf>
    <xf numFmtId="180" fontId="25" fillId="0" borderId="2" xfId="80" applyNumberFormat="1" applyFont="1" applyFill="1" applyBorder="1" applyAlignment="1">
      <alignment horizontal="right"/>
    </xf>
    <xf numFmtId="181" fontId="25" fillId="0" borderId="2" xfId="80" applyNumberFormat="1" applyFont="1" applyFill="1" applyBorder="1" applyAlignment="1">
      <alignment horizontal="right"/>
    </xf>
    <xf numFmtId="0" fontId="25" fillId="0" borderId="2" xfId="8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right"/>
    </xf>
    <xf numFmtId="181" fontId="25" fillId="0" borderId="2" xfId="0" applyNumberFormat="1" applyFont="1" applyFill="1" applyBorder="1" applyAlignment="1">
      <alignment horizontal="right"/>
    </xf>
    <xf numFmtId="0" fontId="25" fillId="0" borderId="2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181" fontId="25" fillId="0" borderId="0" xfId="0" applyNumberFormat="1" applyFont="1" applyFill="1" applyBorder="1" applyAlignment="1">
      <alignment horizontal="right"/>
    </xf>
    <xf numFmtId="0" fontId="25" fillId="0" borderId="7" xfId="0" applyFont="1" applyFill="1" applyBorder="1" applyAlignment="1"/>
    <xf numFmtId="0" fontId="25" fillId="0" borderId="7" xfId="0" applyFont="1" applyFill="1" applyBorder="1" applyAlignment="1">
      <alignment horizontal="center"/>
    </xf>
    <xf numFmtId="165" fontId="25" fillId="0" borderId="7" xfId="1" applyFont="1" applyFill="1" applyBorder="1" applyAlignment="1"/>
    <xf numFmtId="172" fontId="25" fillId="0" borderId="7" xfId="4" applyNumberFormat="1" applyFont="1" applyFill="1" applyBorder="1" applyAlignment="1"/>
    <xf numFmtId="10" fontId="25" fillId="0" borderId="7" xfId="4" applyNumberFormat="1" applyFont="1" applyFill="1" applyBorder="1" applyAlignment="1"/>
    <xf numFmtId="183" fontId="25" fillId="0" borderId="7" xfId="1" applyNumberFormat="1" applyFont="1" applyFill="1" applyBorder="1" applyAlignment="1"/>
    <xf numFmtId="166" fontId="25" fillId="0" borderId="7" xfId="2" applyFont="1" applyFill="1" applyBorder="1" applyAlignment="1"/>
    <xf numFmtId="180" fontId="25" fillId="0" borderId="0" xfId="80" applyNumberFormat="1" applyFont="1" applyFill="1" applyBorder="1" applyAlignment="1">
      <alignment horizontal="right"/>
    </xf>
    <xf numFmtId="0" fontId="25" fillId="0" borderId="0" xfId="80" applyFont="1" applyFill="1" applyBorder="1" applyAlignment="1">
      <alignment horizontal="right"/>
    </xf>
    <xf numFmtId="0" fontId="25" fillId="0" borderId="0" xfId="80" applyFont="1" applyFill="1" applyBorder="1" applyAlignment="1">
      <alignment horizontal="center"/>
    </xf>
    <xf numFmtId="0" fontId="25" fillId="0" borderId="26" xfId="0" applyFont="1" applyFill="1" applyBorder="1" applyAlignment="1">
      <alignment horizontal="left"/>
    </xf>
    <xf numFmtId="0" fontId="29" fillId="0" borderId="26" xfId="0" applyFont="1" applyFill="1" applyBorder="1" applyAlignment="1">
      <alignment horizontal="right"/>
    </xf>
    <xf numFmtId="181" fontId="25" fillId="0" borderId="26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horizontal="right"/>
    </xf>
    <xf numFmtId="164" fontId="25" fillId="0" borderId="2" xfId="0" applyNumberFormat="1" applyFont="1" applyFill="1" applyBorder="1" applyAlignment="1">
      <alignment horizontal="right"/>
    </xf>
    <xf numFmtId="0" fontId="24" fillId="0" borderId="0" xfId="0" applyFont="1" applyFill="1"/>
    <xf numFmtId="0" fontId="21" fillId="0" borderId="0" xfId="0" applyFont="1" applyFill="1" applyAlignment="1">
      <alignment horizontal="left"/>
    </xf>
    <xf numFmtId="165" fontId="19" fillId="0" borderId="0" xfId="1" applyFont="1" applyFill="1"/>
    <xf numFmtId="171" fontId="19" fillId="0" borderId="0" xfId="0" applyNumberFormat="1" applyFont="1" applyFill="1"/>
    <xf numFmtId="164" fontId="19" fillId="0" borderId="0" xfId="0" applyNumberFormat="1" applyFont="1" applyFill="1"/>
    <xf numFmtId="169" fontId="19" fillId="0" borderId="0" xfId="0" applyNumberFormat="1" applyFont="1" applyFill="1" applyAlignment="1">
      <alignment horizontal="center"/>
    </xf>
    <xf numFmtId="171" fontId="19" fillId="0" borderId="0" xfId="0" applyNumberFormat="1" applyFont="1" applyFill="1" applyAlignment="1">
      <alignment horizontal="center"/>
    </xf>
    <xf numFmtId="174" fontId="19" fillId="0" borderId="0" xfId="0" applyNumberFormat="1" applyFont="1" applyFill="1"/>
    <xf numFmtId="169" fontId="19" fillId="0" borderId="0" xfId="0" applyNumberFormat="1" applyFont="1" applyFill="1" applyAlignment="1">
      <alignment horizontal="right"/>
    </xf>
    <xf numFmtId="173" fontId="17" fillId="0" borderId="0" xfId="0" applyNumberFormat="1" applyFont="1" applyFill="1"/>
    <xf numFmtId="2" fontId="19" fillId="0" borderId="0" xfId="0" applyNumberFormat="1" applyFont="1" applyFill="1"/>
    <xf numFmtId="169" fontId="19" fillId="0" borderId="0" xfId="0" applyNumberFormat="1" applyFont="1" applyFill="1"/>
    <xf numFmtId="170" fontId="19" fillId="0" borderId="0" xfId="0" applyNumberFormat="1" applyFont="1" applyFill="1"/>
    <xf numFmtId="166" fontId="19" fillId="0" borderId="0" xfId="0" applyNumberFormat="1" applyFont="1" applyFill="1"/>
    <xf numFmtId="176" fontId="19" fillId="0" borderId="0" xfId="0" applyNumberFormat="1" applyFont="1" applyFill="1" applyAlignment="1">
      <alignment horizontal="center"/>
    </xf>
    <xf numFmtId="174" fontId="18" fillId="0" borderId="0" xfId="2" applyNumberFormat="1" applyFont="1" applyFill="1" applyBorder="1"/>
    <xf numFmtId="174" fontId="19" fillId="0" borderId="0" xfId="2" applyNumberFormat="1" applyFont="1" applyFill="1"/>
    <xf numFmtId="0" fontId="16" fillId="0" borderId="0" xfId="0" applyFont="1" applyFill="1"/>
    <xf numFmtId="164" fontId="16" fillId="0" borderId="0" xfId="0" applyNumberFormat="1" applyFont="1" applyFill="1"/>
    <xf numFmtId="174" fontId="16" fillId="0" borderId="0" xfId="0" applyNumberFormat="1" applyFont="1" applyFill="1"/>
    <xf numFmtId="171" fontId="16" fillId="0" borderId="0" xfId="0" applyNumberFormat="1" applyFont="1" applyFill="1"/>
    <xf numFmtId="0" fontId="22" fillId="0" borderId="0" xfId="0" applyFont="1" applyFill="1"/>
    <xf numFmtId="178" fontId="19" fillId="0" borderId="0" xfId="1" applyNumberFormat="1" applyFont="1" applyFill="1"/>
    <xf numFmtId="0" fontId="19" fillId="0" borderId="0" xfId="0" applyFont="1" applyFill="1" applyAlignment="1"/>
    <xf numFmtId="179" fontId="19" fillId="0" borderId="0" xfId="0" applyNumberFormat="1" applyFont="1" applyFill="1"/>
    <xf numFmtId="0" fontId="19" fillId="0" borderId="1" xfId="0" applyFont="1" applyFill="1" applyBorder="1" applyAlignment="1">
      <alignment horizontal="center"/>
    </xf>
    <xf numFmtId="16" fontId="19" fillId="0" borderId="1" xfId="0" quotePrefix="1" applyNumberFormat="1" applyFont="1" applyFill="1" applyBorder="1" applyAlignment="1">
      <alignment horizontal="center"/>
    </xf>
    <xf numFmtId="16" fontId="19" fillId="0" borderId="1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172" fontId="19" fillId="0" borderId="0" xfId="4" applyNumberFormat="1" applyFont="1" applyFill="1"/>
    <xf numFmtId="2" fontId="19" fillId="0" borderId="1" xfId="0" applyNumberFormat="1" applyFont="1" applyFill="1" applyBorder="1" applyAlignment="1">
      <alignment horizontal="center"/>
    </xf>
    <xf numFmtId="2" fontId="19" fillId="0" borderId="2" xfId="0" applyNumberFormat="1" applyFont="1" applyFill="1" applyBorder="1" applyAlignment="1">
      <alignment horizontal="center"/>
    </xf>
    <xf numFmtId="185" fontId="19" fillId="0" borderId="0" xfId="0" applyNumberFormat="1" applyFont="1" applyFill="1"/>
    <xf numFmtId="174" fontId="19" fillId="0" borderId="0" xfId="2" applyNumberFormat="1" applyFont="1" applyFill="1" applyBorder="1" applyProtection="1">
      <protection locked="0"/>
    </xf>
    <xf numFmtId="0" fontId="30" fillId="0" borderId="0" xfId="0" applyFont="1" applyFill="1" applyAlignment="1">
      <alignment horizontal="center"/>
    </xf>
    <xf numFmtId="2" fontId="30" fillId="0" borderId="0" xfId="0" applyNumberFormat="1" applyFont="1" applyFill="1" applyAlignment="1">
      <alignment horizontal="center"/>
    </xf>
    <xf numFmtId="174" fontId="19" fillId="0" borderId="0" xfId="2" applyNumberFormat="1" applyFont="1" applyFill="1" applyBorder="1"/>
    <xf numFmtId="0" fontId="31" fillId="0" borderId="0" xfId="0" applyFont="1" applyFill="1"/>
    <xf numFmtId="176" fontId="30" fillId="0" borderId="0" xfId="0" applyNumberFormat="1" applyFont="1" applyFill="1" applyAlignment="1">
      <alignment horizontal="center"/>
    </xf>
    <xf numFmtId="0" fontId="32" fillId="0" borderId="0" xfId="0" applyFont="1" applyFill="1"/>
    <xf numFmtId="0" fontId="33" fillId="0" borderId="0" xfId="0" applyFont="1" applyFill="1"/>
    <xf numFmtId="0" fontId="19" fillId="0" borderId="2" xfId="0" applyFont="1" applyFill="1" applyBorder="1" applyAlignment="1">
      <alignment horizontal="center" vertical="center" wrapText="1"/>
    </xf>
    <xf numFmtId="179" fontId="19" fillId="0" borderId="2" xfId="1" applyNumberFormat="1" applyFont="1" applyFill="1" applyBorder="1" applyAlignment="1">
      <alignment horizontal="center" vertical="center" wrapText="1"/>
    </xf>
    <xf numFmtId="178" fontId="19" fillId="0" borderId="2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84" fontId="19" fillId="0" borderId="0" xfId="0" quotePrefix="1" applyNumberFormat="1" applyFont="1" applyFill="1" applyAlignment="1">
      <alignment horizontal="center"/>
    </xf>
    <xf numFmtId="2" fontId="19" fillId="0" borderId="0" xfId="0" quotePrefix="1" applyNumberFormat="1" applyFont="1" applyFill="1" applyAlignment="1">
      <alignment horizontal="center"/>
    </xf>
    <xf numFmtId="0" fontId="34" fillId="0" borderId="0" xfId="0" applyFont="1" applyFill="1" applyAlignment="1"/>
    <xf numFmtId="0" fontId="25" fillId="0" borderId="5" xfId="0" applyFont="1" applyFill="1" applyBorder="1" applyAlignment="1">
      <alignment horizontal="center"/>
    </xf>
    <xf numFmtId="175" fontId="25" fillId="0" borderId="6" xfId="2" applyNumberFormat="1" applyFont="1" applyFill="1" applyBorder="1" applyAlignment="1">
      <alignment horizontal="center"/>
    </xf>
    <xf numFmtId="168" fontId="25" fillId="0" borderId="3" xfId="1" applyNumberFormat="1" applyFont="1" applyFill="1" applyBorder="1" applyAlignment="1">
      <alignment horizontal="center" wrapText="1"/>
    </xf>
    <xf numFmtId="0" fontId="25" fillId="0" borderId="15" xfId="0" applyFont="1" applyFill="1" applyBorder="1" applyAlignment="1"/>
    <xf numFmtId="175" fontId="25" fillId="0" borderId="15" xfId="2" applyNumberFormat="1" applyFont="1" applyFill="1" applyBorder="1" applyAlignment="1"/>
    <xf numFmtId="165" fontId="25" fillId="0" borderId="17" xfId="1" applyNumberFormat="1" applyFont="1" applyFill="1" applyBorder="1" applyAlignment="1"/>
    <xf numFmtId="182" fontId="25" fillId="0" borderId="0" xfId="1" applyNumberFormat="1" applyFont="1" applyFill="1" applyAlignment="1"/>
    <xf numFmtId="10" fontId="25" fillId="0" borderId="2" xfId="0" applyNumberFormat="1" applyFont="1" applyFill="1" applyBorder="1" applyAlignment="1">
      <alignment horizontal="right"/>
    </xf>
    <xf numFmtId="183" fontId="25" fillId="0" borderId="2" xfId="0" applyNumberFormat="1" applyFont="1" applyFill="1" applyBorder="1" applyAlignment="1">
      <alignment horizontal="right"/>
    </xf>
    <xf numFmtId="175" fontId="25" fillId="0" borderId="1" xfId="2" applyNumberFormat="1" applyFont="1" applyFill="1" applyBorder="1" applyAlignment="1">
      <alignment horizontal="right"/>
    </xf>
    <xf numFmtId="0" fontId="25" fillId="0" borderId="0" xfId="75" applyFont="1" applyFill="1" applyBorder="1" applyAlignment="1">
      <alignment horizontal="left"/>
    </xf>
    <xf numFmtId="165" fontId="25" fillId="0" borderId="2" xfId="1" applyFont="1" applyFill="1" applyBorder="1" applyAlignment="1">
      <alignment horizontal="left"/>
    </xf>
    <xf numFmtId="165" fontId="25" fillId="0" borderId="2" xfId="1" applyFont="1" applyFill="1" applyBorder="1" applyAlignment="1">
      <alignment horizontal="center"/>
    </xf>
    <xf numFmtId="0" fontId="25" fillId="0" borderId="15" xfId="0" applyFont="1" applyFill="1" applyBorder="1" applyAlignment="1">
      <alignment horizontal="left"/>
    </xf>
    <xf numFmtId="0" fontId="25" fillId="0" borderId="15" xfId="0" applyFont="1" applyFill="1" applyBorder="1" applyAlignment="1">
      <alignment horizontal="right"/>
    </xf>
    <xf numFmtId="165" fontId="25" fillId="0" borderId="15" xfId="1" applyFont="1" applyFill="1" applyBorder="1" applyAlignment="1">
      <alignment horizontal="right"/>
    </xf>
    <xf numFmtId="181" fontId="25" fillId="0" borderId="15" xfId="0" applyNumberFormat="1" applyFont="1" applyFill="1" applyBorder="1" applyAlignment="1">
      <alignment horizontal="right"/>
    </xf>
    <xf numFmtId="10" fontId="25" fillId="0" borderId="15" xfId="0" applyNumberFormat="1" applyFont="1" applyFill="1" applyBorder="1" applyAlignment="1">
      <alignment horizontal="right"/>
    </xf>
    <xf numFmtId="180" fontId="25" fillId="0" borderId="15" xfId="0" applyNumberFormat="1" applyFont="1" applyFill="1" applyBorder="1" applyAlignment="1">
      <alignment horizontal="right"/>
    </xf>
    <xf numFmtId="183" fontId="25" fillId="0" borderId="15" xfId="0" applyNumberFormat="1" applyFont="1" applyFill="1" applyBorder="1" applyAlignment="1">
      <alignment horizontal="right"/>
    </xf>
    <xf numFmtId="175" fontId="25" fillId="0" borderId="15" xfId="2" applyNumberFormat="1" applyFont="1" applyFill="1" applyBorder="1" applyAlignment="1">
      <alignment horizontal="right"/>
    </xf>
    <xf numFmtId="166" fontId="25" fillId="0" borderId="15" xfId="2" applyFont="1" applyFill="1" applyBorder="1" applyAlignment="1">
      <alignment horizontal="right"/>
    </xf>
    <xf numFmtId="165" fontId="25" fillId="0" borderId="17" xfId="1" applyNumberFormat="1" applyFont="1" applyFill="1" applyBorder="1" applyAlignment="1">
      <alignment horizontal="right"/>
    </xf>
    <xf numFmtId="165" fontId="25" fillId="0" borderId="17" xfId="2" applyNumberFormat="1" applyFont="1" applyFill="1" applyBorder="1" applyAlignment="1"/>
    <xf numFmtId="175" fontId="25" fillId="0" borderId="21" xfId="2" applyNumberFormat="1" applyFont="1" applyFill="1" applyBorder="1" applyAlignment="1">
      <alignment horizontal="right"/>
    </xf>
    <xf numFmtId="165" fontId="25" fillId="0" borderId="21" xfId="1" applyNumberFormat="1" applyFont="1" applyFill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right"/>
    </xf>
    <xf numFmtId="183" fontId="25" fillId="0" borderId="0" xfId="0" applyNumberFormat="1" applyFont="1" applyFill="1" applyBorder="1" applyAlignment="1">
      <alignment horizontal="right"/>
    </xf>
    <xf numFmtId="165" fontId="25" fillId="0" borderId="15" xfId="1" applyFont="1" applyFill="1" applyBorder="1" applyAlignment="1">
      <alignment horizontal="center"/>
    </xf>
    <xf numFmtId="0" fontId="25" fillId="0" borderId="8" xfId="0" applyFont="1" applyFill="1" applyBorder="1" applyAlignment="1">
      <alignment horizontal="left"/>
    </xf>
    <xf numFmtId="0" fontId="25" fillId="0" borderId="9" xfId="0" applyFont="1" applyFill="1" applyBorder="1" applyAlignment="1">
      <alignment horizontal="left"/>
    </xf>
    <xf numFmtId="175" fontId="25" fillId="0" borderId="9" xfId="2" applyNumberFormat="1" applyFont="1" applyFill="1" applyBorder="1" applyAlignment="1"/>
    <xf numFmtId="165" fontId="25" fillId="0" borderId="23" xfId="1" applyNumberFormat="1" applyFont="1" applyFill="1" applyBorder="1" applyAlignment="1"/>
    <xf numFmtId="10" fontId="25" fillId="0" borderId="0" xfId="4" applyNumberFormat="1" applyFont="1" applyFill="1"/>
    <xf numFmtId="0" fontId="25" fillId="0" borderId="0" xfId="0" applyFont="1" applyFill="1"/>
    <xf numFmtId="0" fontId="25" fillId="0" borderId="16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left"/>
    </xf>
    <xf numFmtId="175" fontId="25" fillId="0" borderId="7" xfId="2" applyNumberFormat="1" applyFont="1" applyFill="1" applyBorder="1" applyAlignment="1"/>
    <xf numFmtId="165" fontId="25" fillId="0" borderId="7" xfId="1" applyNumberFormat="1" applyFont="1" applyFill="1" applyBorder="1" applyAlignment="1"/>
    <xf numFmtId="165" fontId="25" fillId="0" borderId="2" xfId="0" applyNumberFormat="1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75" fontId="25" fillId="0" borderId="13" xfId="2" applyNumberFormat="1" applyFont="1" applyFill="1" applyBorder="1" applyAlignment="1"/>
    <xf numFmtId="175" fontId="25" fillId="0" borderId="14" xfId="2" applyNumberFormat="1" applyFont="1" applyFill="1" applyBorder="1" applyAlignment="1"/>
    <xf numFmtId="0" fontId="19" fillId="0" borderId="0" xfId="0" applyFont="1" applyFill="1" applyAlignment="1">
      <alignment horizontal="center"/>
    </xf>
  </cellXfs>
  <cellStyles count="106">
    <cellStyle name="20% - Accent5 2 2" xfId="90"/>
    <cellStyle name="Comma" xfId="1" builtinId="3"/>
    <cellStyle name="Comma 2" xfId="10"/>
    <cellStyle name="Comma 2 2" xfId="44"/>
    <cellStyle name="Comma 25" xfId="91"/>
    <cellStyle name="Comma 3" xfId="8"/>
    <cellStyle name="Comma 4" xfId="89"/>
    <cellStyle name="Comma 4 2" xfId="100"/>
    <cellStyle name="Currency" xfId="2" builtinId="4"/>
    <cellStyle name="Currency 2" xfId="11"/>
    <cellStyle name="Currency 2 2" xfId="45"/>
    <cellStyle name="Currency 2 3" xfId="103"/>
    <cellStyle name="Currency 3" xfId="6"/>
    <cellStyle name="Currency 4" xfId="87"/>
    <cellStyle name="Currency 4 2" xfId="98"/>
    <cellStyle name="Normal" xfId="0" builtinId="0"/>
    <cellStyle name="Normal 10" xfId="18"/>
    <cellStyle name="Normal 10 2" xfId="52"/>
    <cellStyle name="Normal 11" xfId="27"/>
    <cellStyle name="Normal 11 2" xfId="61"/>
    <cellStyle name="Normal 12" xfId="28"/>
    <cellStyle name="Normal 12 2" xfId="62"/>
    <cellStyle name="Normal 13" xfId="19"/>
    <cellStyle name="Normal 13 2" xfId="53"/>
    <cellStyle name="Normal 14" xfId="20"/>
    <cellStyle name="Normal 14 2" xfId="54"/>
    <cellStyle name="Normal 15" xfId="21"/>
    <cellStyle name="Normal 15 2" xfId="55"/>
    <cellStyle name="Normal 154" xfId="92"/>
    <cellStyle name="Normal 16" xfId="22"/>
    <cellStyle name="Normal 16 2" xfId="56"/>
    <cellStyle name="Normal 17" xfId="23"/>
    <cellStyle name="Normal 17 2" xfId="57"/>
    <cellStyle name="Normal 18" xfId="24"/>
    <cellStyle name="Normal 18 2" xfId="58"/>
    <cellStyle name="Normal 19" xfId="25"/>
    <cellStyle name="Normal 19 2" xfId="59"/>
    <cellStyle name="Normal 2" xfId="7"/>
    <cellStyle name="Normal 2 112" xfId="93"/>
    <cellStyle name="Normal 2 2" xfId="42"/>
    <cellStyle name="Normal 2 2 2" xfId="43"/>
    <cellStyle name="Normal 2 3" xfId="104"/>
    <cellStyle name="Normal 20" xfId="29"/>
    <cellStyle name="Normal 20 2" xfId="63"/>
    <cellStyle name="Normal 21" xfId="30"/>
    <cellStyle name="Normal 21 2" xfId="64"/>
    <cellStyle name="Normal 22" xfId="31"/>
    <cellStyle name="Normal 22 2" xfId="65"/>
    <cellStyle name="Normal 23" xfId="32"/>
    <cellStyle name="Normal 23 2" xfId="66"/>
    <cellStyle name="Normal 24" xfId="33"/>
    <cellStyle name="Normal 24 2" xfId="67"/>
    <cellStyle name="Normal 25" xfId="34"/>
    <cellStyle name="Normal 25 2" xfId="68"/>
    <cellStyle name="Normal 26" xfId="35"/>
    <cellStyle name="Normal 26 2" xfId="69"/>
    <cellStyle name="Normal 27" xfId="36"/>
    <cellStyle name="Normal 27 2" xfId="70"/>
    <cellStyle name="Normal 28" xfId="37"/>
    <cellStyle name="Normal 28 2" xfId="71"/>
    <cellStyle name="Normal 29" xfId="38"/>
    <cellStyle name="Normal 29 2" xfId="72"/>
    <cellStyle name="Normal 3" xfId="5"/>
    <cellStyle name="Normal 30" xfId="39"/>
    <cellStyle name="Normal 30 2" xfId="73"/>
    <cellStyle name="Normal 31" xfId="40"/>
    <cellStyle name="Normal 31 2" xfId="74"/>
    <cellStyle name="Normal 32" xfId="41"/>
    <cellStyle name="Normal 33" xfId="75"/>
    <cellStyle name="Normal 33 2" xfId="101"/>
    <cellStyle name="Normal 34" xfId="76"/>
    <cellStyle name="Normal 35" xfId="77"/>
    <cellStyle name="Normal 36" xfId="78"/>
    <cellStyle name="Normal 37" xfId="79"/>
    <cellStyle name="Normal 38" xfId="80"/>
    <cellStyle name="Normal 38 2" xfId="102"/>
    <cellStyle name="Normal 39" xfId="81"/>
    <cellStyle name="Normal 4" xfId="13"/>
    <cellStyle name="Normal 4 2" xfId="47"/>
    <cellStyle name="Normal 40" xfId="82"/>
    <cellStyle name="Normal 41" xfId="83"/>
    <cellStyle name="Normal 42" xfId="84"/>
    <cellStyle name="Normal 43" xfId="85"/>
    <cellStyle name="Normal 43 2" xfId="96"/>
    <cellStyle name="Normal 44" xfId="94"/>
    <cellStyle name="Normal 44 2" xfId="95"/>
    <cellStyle name="Normal 45" xfId="105"/>
    <cellStyle name="Normal 5" xfId="26"/>
    <cellStyle name="Normal 5 2" xfId="60"/>
    <cellStyle name="Normal 6" xfId="14"/>
    <cellStyle name="Normal 6 2" xfId="48"/>
    <cellStyle name="Normal 7" xfId="15"/>
    <cellStyle name="Normal 7 2" xfId="49"/>
    <cellStyle name="Normal 8" xfId="16"/>
    <cellStyle name="Normal 8 2" xfId="50"/>
    <cellStyle name="Normal 9" xfId="17"/>
    <cellStyle name="Normal 9 2" xfId="51"/>
    <cellStyle name="Normal_2009 DPA Final for SSM Spreadsheet" xfId="3"/>
    <cellStyle name="Note 2" xfId="86"/>
    <cellStyle name="Note 2 2" xfId="97"/>
    <cellStyle name="Percent" xfId="4" builtinId="5"/>
    <cellStyle name="Percent 2" xfId="12"/>
    <cellStyle name="Percent 2 2" xfId="46"/>
    <cellStyle name="Percent 3" xfId="9"/>
    <cellStyle name="Percent 4" xfId="88"/>
    <cellStyle name="Percent 4 2" xfId="99"/>
  </cellStyles>
  <dxfs count="193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E9CAE"/>
      <color rgb="FFFFB612"/>
      <color rgb="FF96172E"/>
      <color rgb="FF747678"/>
      <color rgb="FF9EB28F"/>
      <color rgb="FFEAE4A9"/>
      <color rgb="FF6493B5"/>
      <color rgb="FF7B1327"/>
      <color rgb="FF703D29"/>
      <color rgb="FF92A2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ontoce\Local%20Settings\Temporary%20Internet%20Files\Content.Outlook\HIWTWCLM\2011%20TRC%20Calculator%20Version%203%200%20-%20TAPS%20ESK%20LI%20TAPS%20March%2015%20-%20145000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USERS\MRS\DSM\Avoided%20Gas%20Costs\DSM%20Marcus%20Wolter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riptive (2)"/>
      <sheetName val="Prescriptive"/>
      <sheetName val="Custom"/>
      <sheetName val="Discounted Svngs Expenses"/>
      <sheetName val="Avoided Costs 2011-2019"/>
      <sheetName val="Avoided Cost inputs"/>
    </sheetNames>
    <sheetDataSet>
      <sheetData sheetId="0">
        <row r="21">
          <cell r="B21">
            <v>0</v>
          </cell>
        </row>
      </sheetData>
      <sheetData sheetId="1">
        <row r="21">
          <cell r="B21">
            <v>0.93</v>
          </cell>
        </row>
      </sheetData>
      <sheetData sheetId="2"/>
      <sheetData sheetId="3"/>
      <sheetData sheetId="4">
        <row r="5">
          <cell r="B5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  <sheetName val="Sourc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00B0F0"/>
    <pageSetUpPr fitToPage="1"/>
  </sheetPr>
  <dimension ref="A1:AG1268"/>
  <sheetViews>
    <sheetView tabSelected="1" zoomScaleNormal="100" workbookViewId="0">
      <pane xSplit="2" ySplit="3" topLeftCell="C1158" activePane="bottomRight" state="frozen"/>
      <selection pane="topRight" activeCell="D1" sqref="D1"/>
      <selection pane="bottomLeft" activeCell="A14" sqref="A14"/>
      <selection pane="bottomRight"/>
    </sheetView>
  </sheetViews>
  <sheetFormatPr defaultColWidth="9.140625" defaultRowHeight="12.75" x14ac:dyDescent="0.2"/>
  <cols>
    <col min="1" max="1" width="38.7109375" style="10" customWidth="1"/>
    <col min="2" max="2" width="48.5703125" style="10" bestFit="1" customWidth="1"/>
    <col min="3" max="3" width="27.42578125" style="11" customWidth="1"/>
    <col min="4" max="4" width="13.28515625" style="17" customWidth="1"/>
    <col min="5" max="5" width="12.140625" style="17" customWidth="1"/>
    <col min="6" max="6" width="13.42578125" style="51" customWidth="1"/>
    <col min="7" max="7" width="10" style="52" customWidth="1"/>
    <col min="8" max="8" width="16.7109375" style="17" bestFit="1" customWidth="1"/>
    <col min="9" max="9" width="23.28515625" style="17" bestFit="1" customWidth="1"/>
    <col min="10" max="10" width="20.7109375" style="17" bestFit="1" customWidth="1"/>
    <col min="11" max="11" width="11.140625" style="17" customWidth="1"/>
    <col min="12" max="12" width="14.85546875" style="17" customWidth="1"/>
    <col min="13" max="13" width="14.5703125" style="54" bestFit="1" customWidth="1"/>
    <col min="14" max="14" width="12.140625" style="17" customWidth="1"/>
    <col min="15" max="15" width="11" style="18" customWidth="1"/>
    <col min="16" max="16" width="13.140625" style="19" bestFit="1" customWidth="1"/>
    <col min="17" max="17" width="14.5703125" style="54" bestFit="1" customWidth="1"/>
    <col min="18" max="18" width="12.85546875" style="17" bestFit="1" customWidth="1"/>
    <col min="19" max="19" width="7.5703125" style="17" customWidth="1"/>
    <col min="20" max="20" width="5.7109375" style="11" customWidth="1"/>
    <col min="21" max="21" width="13.140625" style="12" customWidth="1"/>
    <col min="22" max="22" width="12.7109375" style="12" customWidth="1"/>
    <col min="23" max="23" width="13" style="12" customWidth="1"/>
    <col min="24" max="24" width="13.140625" style="12" customWidth="1"/>
    <col min="25" max="25" width="20.85546875" style="61" bestFit="1" customWidth="1"/>
    <col min="26" max="26" width="20.42578125" style="12" bestFit="1" customWidth="1"/>
    <col min="27" max="27" width="21.42578125" style="12" bestFit="1" customWidth="1"/>
    <col min="28" max="28" width="17.28515625" style="12" customWidth="1"/>
    <col min="29" max="29" width="17.5703125" style="12" bestFit="1" customWidth="1"/>
    <col min="30" max="30" width="17.85546875" style="12" bestFit="1" customWidth="1"/>
    <col min="31" max="31" width="19.140625" style="12" bestFit="1" customWidth="1"/>
    <col min="32" max="32" width="23.5703125" style="70" bestFit="1" customWidth="1"/>
    <col min="33" max="33" width="19.85546875" style="70" bestFit="1" customWidth="1"/>
    <col min="34" max="16384" width="9.140625" style="10"/>
  </cols>
  <sheetData>
    <row r="1" spans="1:33" ht="19.5" thickBot="1" x14ac:dyDescent="0.35">
      <c r="A1" s="220" t="s">
        <v>108</v>
      </c>
      <c r="E1" s="13"/>
      <c r="F1" s="15"/>
      <c r="G1" s="13"/>
      <c r="H1" s="13"/>
      <c r="I1" s="13"/>
      <c r="K1" s="15"/>
      <c r="L1" s="13"/>
      <c r="M1" s="16"/>
      <c r="O1" s="15"/>
      <c r="P1" s="13"/>
      <c r="Q1" s="16"/>
      <c r="AB1" s="20"/>
      <c r="AC1" s="20"/>
    </row>
    <row r="2" spans="1:33" x14ac:dyDescent="0.2">
      <c r="A2" s="139"/>
      <c r="B2" s="221" t="s">
        <v>2</v>
      </c>
      <c r="C2" s="221"/>
      <c r="D2" s="23"/>
      <c r="E2" s="23"/>
      <c r="F2" s="24"/>
      <c r="G2" s="25"/>
      <c r="H2" s="23"/>
      <c r="I2" s="23"/>
      <c r="J2" s="23"/>
      <c r="K2" s="27"/>
      <c r="L2" s="28"/>
      <c r="M2" s="26"/>
      <c r="N2" s="29"/>
      <c r="O2" s="30"/>
      <c r="P2" s="31"/>
      <c r="Q2" s="26"/>
      <c r="R2" s="29"/>
      <c r="S2" s="23"/>
      <c r="T2" s="32"/>
      <c r="U2" s="33" t="s">
        <v>92</v>
      </c>
      <c r="V2" s="33"/>
      <c r="W2" s="34"/>
      <c r="X2" s="222" t="s">
        <v>3</v>
      </c>
      <c r="Y2" s="93"/>
      <c r="Z2" s="35"/>
      <c r="AA2" s="264"/>
      <c r="AB2" s="264"/>
      <c r="AC2" s="265"/>
      <c r="AD2" s="92"/>
      <c r="AE2" s="127" t="s">
        <v>4</v>
      </c>
      <c r="AF2" s="128" t="s">
        <v>4</v>
      </c>
      <c r="AG2" s="128" t="s">
        <v>4</v>
      </c>
    </row>
    <row r="3" spans="1:33" ht="77.25" thickBot="1" x14ac:dyDescent="0.25">
      <c r="A3" s="223" t="s">
        <v>56</v>
      </c>
      <c r="B3" s="36" t="s">
        <v>83</v>
      </c>
      <c r="C3" s="37" t="s">
        <v>104</v>
      </c>
      <c r="D3" s="38" t="s">
        <v>1328</v>
      </c>
      <c r="E3" s="38" t="s">
        <v>6</v>
      </c>
      <c r="F3" s="39" t="s">
        <v>5</v>
      </c>
      <c r="G3" s="40" t="s">
        <v>101</v>
      </c>
      <c r="H3" s="38" t="s">
        <v>41</v>
      </c>
      <c r="I3" s="38" t="s">
        <v>0</v>
      </c>
      <c r="J3" s="38" t="s">
        <v>7</v>
      </c>
      <c r="K3" s="41" t="s">
        <v>68</v>
      </c>
      <c r="L3" s="42" t="s">
        <v>42</v>
      </c>
      <c r="M3" s="38" t="s">
        <v>1</v>
      </c>
      <c r="N3" s="43" t="s">
        <v>69</v>
      </c>
      <c r="O3" s="44" t="s">
        <v>89</v>
      </c>
      <c r="P3" s="45" t="s">
        <v>90</v>
      </c>
      <c r="Q3" s="38" t="s">
        <v>91</v>
      </c>
      <c r="R3" s="43" t="s">
        <v>8</v>
      </c>
      <c r="S3" s="38" t="s">
        <v>9</v>
      </c>
      <c r="T3" s="37" t="s">
        <v>650</v>
      </c>
      <c r="U3" s="46" t="s">
        <v>10</v>
      </c>
      <c r="V3" s="46" t="s">
        <v>11</v>
      </c>
      <c r="W3" s="46" t="s">
        <v>12</v>
      </c>
      <c r="X3" s="47" t="s">
        <v>13</v>
      </c>
      <c r="Y3" s="94" t="s">
        <v>31</v>
      </c>
      <c r="Z3" s="48" t="s">
        <v>43</v>
      </c>
      <c r="AA3" s="49" t="s">
        <v>14</v>
      </c>
      <c r="AB3" s="49" t="s">
        <v>72</v>
      </c>
      <c r="AC3" s="49" t="s">
        <v>28</v>
      </c>
      <c r="AD3" s="50" t="s">
        <v>26</v>
      </c>
      <c r="AE3" s="48" t="s">
        <v>84</v>
      </c>
      <c r="AF3" s="99" t="s">
        <v>109</v>
      </c>
      <c r="AG3" s="126" t="s">
        <v>1362</v>
      </c>
    </row>
    <row r="4" spans="1:33" x14ac:dyDescent="0.2">
      <c r="A4" s="59"/>
      <c r="B4" s="10" t="s">
        <v>1329</v>
      </c>
      <c r="AF4" s="100"/>
      <c r="AG4" s="100"/>
    </row>
    <row r="5" spans="1:33" x14ac:dyDescent="0.2">
      <c r="A5" s="140" t="s">
        <v>1279</v>
      </c>
      <c r="B5" s="10" t="s">
        <v>1280</v>
      </c>
      <c r="C5" s="11" t="s">
        <v>102</v>
      </c>
      <c r="D5" s="17">
        <v>9332</v>
      </c>
      <c r="E5" s="17">
        <v>10</v>
      </c>
      <c r="F5" s="53">
        <v>0.31</v>
      </c>
      <c r="G5" s="129">
        <v>0.65299996272759464</v>
      </c>
      <c r="H5" s="17">
        <f>D5*E5</f>
        <v>93320</v>
      </c>
      <c r="I5" s="17">
        <f t="shared" ref="I5:I13" si="0">H5</f>
        <v>93320</v>
      </c>
      <c r="J5" s="121">
        <f t="shared" ref="J5:J13" si="1">(E5*D5)*(1-F5)*(1-G5)</f>
        <v>22343.609999999997</v>
      </c>
      <c r="K5" s="17">
        <v>0</v>
      </c>
      <c r="L5" s="13">
        <v>0</v>
      </c>
      <c r="M5" s="54">
        <f>L5</f>
        <v>0</v>
      </c>
      <c r="N5" s="54">
        <f>M5</f>
        <v>0</v>
      </c>
      <c r="O5" s="18">
        <v>3.4350000000000001</v>
      </c>
      <c r="P5" s="13">
        <v>32055</v>
      </c>
      <c r="Q5" s="54">
        <f t="shared" ref="Q5:Q13" si="2">P5</f>
        <v>32055</v>
      </c>
      <c r="R5" s="13">
        <f t="shared" ref="R5:R13" si="3">(O5*D5)*(1-F5)*(1-G5)</f>
        <v>7675.0300349999998</v>
      </c>
      <c r="S5" s="55">
        <v>10</v>
      </c>
      <c r="T5" s="56" t="s">
        <v>52</v>
      </c>
      <c r="U5" s="12">
        <f>SUMIF('Avoided Costs 2012-2020_EGD'!$A:$A,'2012 Actuals_Auditor'!T5&amp;'2012 Actuals_Auditor'!S5,'Avoided Costs 2012-2020_EGD'!$E:$E)*J5</f>
        <v>36097.741421039063</v>
      </c>
      <c r="V5" s="12">
        <f>SUMIF('Avoided Costs 2012-2020_EGD'!$A:$A,'2012 Actuals_Auditor'!T5&amp;'2012 Actuals_Auditor'!S5,'Avoided Costs 2012-2020_EGD'!$K:$K)*N5</f>
        <v>0</v>
      </c>
      <c r="W5" s="12">
        <f>SUMIF('Avoided Costs 2012-2020_EGD'!$A:$A,'2012 Actuals_Auditor'!T5&amp;'2012 Actuals_Auditor'!S5,'Avoided Costs 2012-2020_EGD'!$M:$M)*R5</f>
        <v>141154.5719103486</v>
      </c>
      <c r="X5" s="12">
        <f t="shared" ref="X5:X12" si="4">SUM(U5:W5)</f>
        <v>177252.31333138768</v>
      </c>
      <c r="Y5" s="61">
        <v>0.55000000000000004</v>
      </c>
      <c r="Z5" s="57">
        <f t="shared" ref="Z5:Z13" si="5">(Y5*D5)*(1-F5)</f>
        <v>3541.4940000000001</v>
      </c>
      <c r="AA5" s="12">
        <v>0</v>
      </c>
      <c r="AB5" s="12">
        <v>0</v>
      </c>
      <c r="AC5" s="12">
        <f t="shared" ref="AC5:AC13" si="6">AB5+AA5</f>
        <v>0</v>
      </c>
      <c r="AD5" s="12">
        <f t="shared" ref="AD5:AD13" si="7">Z5+AB5</f>
        <v>3541.4940000000001</v>
      </c>
      <c r="AE5" s="12">
        <f t="shared" ref="AE5:AE13" si="8">X5-AD5</f>
        <v>173710.81933138767</v>
      </c>
      <c r="AF5" s="100">
        <f t="shared" ref="AF5:AF13" si="9">J5*S5</f>
        <v>223436.09999999998</v>
      </c>
      <c r="AG5" s="100">
        <f t="shared" ref="AG5:AG13" si="10">(I5*S5)</f>
        <v>933200</v>
      </c>
    </row>
    <row r="6" spans="1:33" x14ac:dyDescent="0.2">
      <c r="A6" s="140" t="s">
        <v>1281</v>
      </c>
      <c r="B6" s="10" t="s">
        <v>1282</v>
      </c>
      <c r="C6" s="11" t="s">
        <v>102</v>
      </c>
      <c r="D6" s="17">
        <v>4666</v>
      </c>
      <c r="E6" s="17">
        <v>23</v>
      </c>
      <c r="F6" s="53">
        <v>0.31</v>
      </c>
      <c r="G6" s="129">
        <v>0.49499996083696535</v>
      </c>
      <c r="H6" s="17">
        <f t="shared" ref="H6:H12" si="11">D6*E6</f>
        <v>107318</v>
      </c>
      <c r="I6" s="17">
        <f t="shared" si="0"/>
        <v>107318</v>
      </c>
      <c r="J6" s="121">
        <f t="shared" si="1"/>
        <v>37394.960000000006</v>
      </c>
      <c r="K6" s="17">
        <v>0</v>
      </c>
      <c r="L6" s="13">
        <v>0</v>
      </c>
      <c r="M6" s="54">
        <f t="shared" ref="M6:M13" si="12">L6</f>
        <v>0</v>
      </c>
      <c r="N6" s="54">
        <f t="shared" ref="N6:N12" si="13">M6</f>
        <v>0</v>
      </c>
      <c r="O6" s="18">
        <v>7.7969999999999997</v>
      </c>
      <c r="P6" s="13">
        <v>36381</v>
      </c>
      <c r="Q6" s="54">
        <f t="shared" si="2"/>
        <v>36381</v>
      </c>
      <c r="R6" s="13">
        <f t="shared" si="3"/>
        <v>12676.891439999999</v>
      </c>
      <c r="S6" s="55">
        <v>10</v>
      </c>
      <c r="T6" s="56" t="s">
        <v>52</v>
      </c>
      <c r="U6" s="12">
        <f>SUMIF('Avoided Costs 2012-2020_EGD'!$A:$A,'2012 Actuals_Auditor'!T6&amp;'2012 Actuals_Auditor'!S6,'Avoided Costs 2012-2020_EGD'!$E:$E)*J6</f>
        <v>60414.301741307667</v>
      </c>
      <c r="V6" s="12">
        <f>SUMIF('Avoided Costs 2012-2020_EGD'!$A:$A,'2012 Actuals_Auditor'!T6&amp;'2012 Actuals_Auditor'!S6,'Avoided Costs 2012-2020_EGD'!$K:$K)*N6</f>
        <v>0</v>
      </c>
      <c r="W6" s="12">
        <f>SUMIF('Avoided Costs 2012-2020_EGD'!$A:$A,'2012 Actuals_Auditor'!T6&amp;'2012 Actuals_Auditor'!S6,'Avoided Costs 2012-2020_EGD'!$M:$M)*R6</f>
        <v>233145.82173712141</v>
      </c>
      <c r="X6" s="12">
        <f t="shared" si="4"/>
        <v>293560.1234784291</v>
      </c>
      <c r="Y6" s="61">
        <v>1</v>
      </c>
      <c r="Z6" s="57">
        <f t="shared" si="5"/>
        <v>3219.54</v>
      </c>
      <c r="AA6" s="12">
        <v>0</v>
      </c>
      <c r="AB6" s="12">
        <v>0</v>
      </c>
      <c r="AC6" s="12">
        <f t="shared" si="6"/>
        <v>0</v>
      </c>
      <c r="AD6" s="12">
        <f t="shared" si="7"/>
        <v>3219.54</v>
      </c>
      <c r="AE6" s="12">
        <f t="shared" si="8"/>
        <v>290340.58347842912</v>
      </c>
      <c r="AF6" s="100">
        <f t="shared" si="9"/>
        <v>373949.60000000009</v>
      </c>
      <c r="AG6" s="100">
        <f t="shared" si="10"/>
        <v>1073180</v>
      </c>
    </row>
    <row r="7" spans="1:33" x14ac:dyDescent="0.2">
      <c r="A7" s="140" t="s">
        <v>1283</v>
      </c>
      <c r="B7" s="10" t="s">
        <v>1284</v>
      </c>
      <c r="C7" s="11" t="s">
        <v>102</v>
      </c>
      <c r="D7" s="17">
        <v>1493</v>
      </c>
      <c r="E7" s="17">
        <v>50</v>
      </c>
      <c r="F7" s="53">
        <v>0.1</v>
      </c>
      <c r="G7" s="129">
        <v>0.44199999999999989</v>
      </c>
      <c r="H7" s="17">
        <f t="shared" si="11"/>
        <v>74650</v>
      </c>
      <c r="I7" s="17">
        <f t="shared" si="0"/>
        <v>74650</v>
      </c>
      <c r="J7" s="13">
        <f t="shared" si="1"/>
        <v>37489.230000000003</v>
      </c>
      <c r="K7" s="17">
        <v>0</v>
      </c>
      <c r="L7" s="13">
        <v>0</v>
      </c>
      <c r="M7" s="54">
        <f t="shared" si="12"/>
        <v>0</v>
      </c>
      <c r="N7" s="54">
        <f t="shared" si="13"/>
        <v>0</v>
      </c>
      <c r="O7" s="18">
        <v>16.631</v>
      </c>
      <c r="P7" s="13">
        <v>24830</v>
      </c>
      <c r="Q7" s="54">
        <f t="shared" si="2"/>
        <v>24830</v>
      </c>
      <c r="R7" s="13">
        <f t="shared" si="3"/>
        <v>12469.667682600002</v>
      </c>
      <c r="S7" s="55">
        <v>10</v>
      </c>
      <c r="T7" s="56" t="s">
        <v>52</v>
      </c>
      <c r="U7" s="12">
        <f>SUMIF('Avoided Costs 2012-2020_EGD'!$A:$A,'2012 Actuals_Auditor'!T7&amp;'2012 Actuals_Auditor'!S7,'Avoided Costs 2012-2020_EGD'!$E:$E)*J7</f>
        <v>60566.601843384327</v>
      </c>
      <c r="V7" s="12">
        <f>SUMIF('Avoided Costs 2012-2020_EGD'!$A:$A,'2012 Actuals_Auditor'!T7&amp;'2012 Actuals_Auditor'!S7,'Avoided Costs 2012-2020_EGD'!$K:$K)*N7</f>
        <v>0</v>
      </c>
      <c r="W7" s="12">
        <f>SUMIF('Avoided Costs 2012-2020_EGD'!$A:$A,'2012 Actuals_Auditor'!T7&amp;'2012 Actuals_Auditor'!S7,'Avoided Costs 2012-2020_EGD'!$M:$M)*R7</f>
        <v>229334.68606311613</v>
      </c>
      <c r="X7" s="12">
        <f t="shared" si="4"/>
        <v>289901.28790650045</v>
      </c>
      <c r="Y7" s="61">
        <v>19</v>
      </c>
      <c r="Z7" s="57">
        <f t="shared" si="5"/>
        <v>25530.3</v>
      </c>
      <c r="AA7" s="12">
        <v>0</v>
      </c>
      <c r="AB7" s="12">
        <v>0</v>
      </c>
      <c r="AC7" s="12">
        <f t="shared" si="6"/>
        <v>0</v>
      </c>
      <c r="AD7" s="12">
        <f t="shared" si="7"/>
        <v>25530.3</v>
      </c>
      <c r="AE7" s="12">
        <f t="shared" si="8"/>
        <v>264370.98790650046</v>
      </c>
      <c r="AF7" s="100">
        <f t="shared" si="9"/>
        <v>374892.30000000005</v>
      </c>
      <c r="AG7" s="100">
        <f t="shared" si="10"/>
        <v>746500</v>
      </c>
    </row>
    <row r="8" spans="1:33" x14ac:dyDescent="0.2">
      <c r="A8" s="140" t="s">
        <v>1285</v>
      </c>
      <c r="B8" s="10" t="s">
        <v>1286</v>
      </c>
      <c r="C8" s="11" t="s">
        <v>102</v>
      </c>
      <c r="D8" s="17">
        <v>3173</v>
      </c>
      <c r="E8" s="17">
        <v>82</v>
      </c>
      <c r="F8" s="53">
        <v>0.1</v>
      </c>
      <c r="G8" s="129">
        <v>0.44199999658364053</v>
      </c>
      <c r="H8" s="17">
        <f t="shared" si="11"/>
        <v>260186</v>
      </c>
      <c r="I8" s="17">
        <f t="shared" si="0"/>
        <v>260186</v>
      </c>
      <c r="J8" s="13">
        <f t="shared" si="1"/>
        <v>130665.41000000002</v>
      </c>
      <c r="K8" s="17">
        <v>0</v>
      </c>
      <c r="L8" s="13">
        <v>0</v>
      </c>
      <c r="M8" s="54">
        <f t="shared" si="12"/>
        <v>0</v>
      </c>
      <c r="N8" s="54">
        <f t="shared" si="13"/>
        <v>0</v>
      </c>
      <c r="O8" s="18">
        <v>23.37</v>
      </c>
      <c r="P8" s="13">
        <v>74166</v>
      </c>
      <c r="Q8" s="54">
        <f t="shared" si="2"/>
        <v>74166</v>
      </c>
      <c r="R8" s="13">
        <f t="shared" si="3"/>
        <v>37239.641850000015</v>
      </c>
      <c r="S8" s="55">
        <v>10</v>
      </c>
      <c r="T8" s="56" t="s">
        <v>52</v>
      </c>
      <c r="U8" s="12">
        <f>SUMIF('Avoided Costs 2012-2020_EGD'!$A:$A,'2012 Actuals_Auditor'!T8&amp;'2012 Actuals_Auditor'!S8,'Avoided Costs 2012-2020_EGD'!$E:$E)*J8</f>
        <v>211099.55745083507</v>
      </c>
      <c r="V8" s="12">
        <f>SUMIF('Avoided Costs 2012-2020_EGD'!$A:$A,'2012 Actuals_Auditor'!T8&amp;'2012 Actuals_Auditor'!S8,'Avoided Costs 2012-2020_EGD'!$K:$K)*N8</f>
        <v>0</v>
      </c>
      <c r="W8" s="12">
        <f>SUMIF('Avoided Costs 2012-2020_EGD'!$A:$A,'2012 Actuals_Auditor'!T8&amp;'2012 Actuals_Auditor'!S8,'Avoided Costs 2012-2020_EGD'!$M:$M)*R8</f>
        <v>684889.26811495598</v>
      </c>
      <c r="X8" s="12">
        <f t="shared" si="4"/>
        <v>895988.82556579099</v>
      </c>
      <c r="Y8" s="61">
        <v>19</v>
      </c>
      <c r="Z8" s="57">
        <f t="shared" si="5"/>
        <v>54258.3</v>
      </c>
      <c r="AA8" s="12">
        <v>0</v>
      </c>
      <c r="AB8" s="12">
        <v>0</v>
      </c>
      <c r="AC8" s="12">
        <f t="shared" si="6"/>
        <v>0</v>
      </c>
      <c r="AD8" s="12">
        <f t="shared" si="7"/>
        <v>54258.3</v>
      </c>
      <c r="AE8" s="12">
        <f t="shared" si="8"/>
        <v>841730.52556579094</v>
      </c>
      <c r="AF8" s="100">
        <f t="shared" si="9"/>
        <v>1306654.1000000001</v>
      </c>
      <c r="AG8" s="100">
        <f t="shared" si="10"/>
        <v>2601860</v>
      </c>
    </row>
    <row r="9" spans="1:33" x14ac:dyDescent="0.2">
      <c r="A9" s="140" t="s">
        <v>1287</v>
      </c>
      <c r="B9" s="10" t="s">
        <v>1288</v>
      </c>
      <c r="C9" s="11" t="s">
        <v>102</v>
      </c>
      <c r="D9" s="17">
        <f>82325*0.32</f>
        <v>26344</v>
      </c>
      <c r="E9" s="17">
        <v>50</v>
      </c>
      <c r="F9" s="53">
        <v>0.1</v>
      </c>
      <c r="G9" s="129">
        <v>0.59299999999999997</v>
      </c>
      <c r="H9" s="17">
        <f t="shared" si="11"/>
        <v>1317200</v>
      </c>
      <c r="I9" s="17">
        <f t="shared" si="0"/>
        <v>1317200</v>
      </c>
      <c r="J9" s="120">
        <f t="shared" si="1"/>
        <v>482490.36000000004</v>
      </c>
      <c r="K9" s="17">
        <v>0</v>
      </c>
      <c r="L9" s="13">
        <v>0</v>
      </c>
      <c r="M9" s="54">
        <f t="shared" si="12"/>
        <v>0</v>
      </c>
      <c r="N9" s="54">
        <f t="shared" si="13"/>
        <v>0</v>
      </c>
      <c r="O9" s="18">
        <v>16.631</v>
      </c>
      <c r="P9" s="13">
        <v>427482</v>
      </c>
      <c r="Q9" s="54">
        <f t="shared" si="2"/>
        <v>427482</v>
      </c>
      <c r="R9" s="13">
        <f t="shared" si="3"/>
        <v>160485.94354320003</v>
      </c>
      <c r="S9" s="55">
        <v>10</v>
      </c>
      <c r="T9" s="56" t="s">
        <v>52</v>
      </c>
      <c r="U9" s="12">
        <f>SUMIF('Avoided Costs 2012-2020_EGD'!$A:$A,'2012 Actuals_Auditor'!T9&amp;'2012 Actuals_Auditor'!S9,'Avoided Costs 2012-2020_EGD'!$E:$E)*J9</f>
        <v>779498.57938909845</v>
      </c>
      <c r="V9" s="12">
        <f>SUMIF('Avoided Costs 2012-2020_EGD'!$A:$A,'2012 Actuals_Auditor'!T9&amp;'2012 Actuals_Auditor'!S9,'Avoided Costs 2012-2020_EGD'!$K:$K)*N9</f>
        <v>0</v>
      </c>
      <c r="W9" s="12">
        <f>SUMIF('Avoided Costs 2012-2020_EGD'!$A:$A,'2012 Actuals_Auditor'!T9&amp;'2012 Actuals_Auditor'!S9,'Avoided Costs 2012-2020_EGD'!$M:$M)*R9</f>
        <v>2951561.694894237</v>
      </c>
      <c r="X9" s="12">
        <f t="shared" si="4"/>
        <v>3731060.2742833355</v>
      </c>
      <c r="Y9" s="61">
        <v>4.26</v>
      </c>
      <c r="Z9" s="57">
        <f t="shared" si="5"/>
        <v>101002.89599999999</v>
      </c>
      <c r="AA9" s="12">
        <f>1894935.08+70800</f>
        <v>1965735.08</v>
      </c>
      <c r="AB9" s="12">
        <f>112960.27+8350</f>
        <v>121310.27</v>
      </c>
      <c r="AC9" s="12">
        <f t="shared" si="6"/>
        <v>2087045.35</v>
      </c>
      <c r="AD9" s="12">
        <f t="shared" si="7"/>
        <v>222313.166</v>
      </c>
      <c r="AE9" s="12">
        <f t="shared" si="8"/>
        <v>3508747.1082833353</v>
      </c>
      <c r="AF9" s="100">
        <f t="shared" si="9"/>
        <v>4824903.6000000006</v>
      </c>
      <c r="AG9" s="100">
        <f t="shared" si="10"/>
        <v>13172000</v>
      </c>
    </row>
    <row r="10" spans="1:33" x14ac:dyDescent="0.2">
      <c r="A10" s="140" t="s">
        <v>1289</v>
      </c>
      <c r="B10" s="10" t="s">
        <v>1290</v>
      </c>
      <c r="C10" s="11" t="s">
        <v>102</v>
      </c>
      <c r="D10" s="58">
        <f>0.68*82325</f>
        <v>55981.000000000007</v>
      </c>
      <c r="E10" s="17">
        <v>82</v>
      </c>
      <c r="F10" s="53">
        <v>0.1</v>
      </c>
      <c r="G10" s="129">
        <v>0.59299999999999997</v>
      </c>
      <c r="H10" s="17">
        <f t="shared" si="11"/>
        <v>4590442.0000000009</v>
      </c>
      <c r="I10" s="17">
        <f t="shared" si="0"/>
        <v>4590442.0000000009</v>
      </c>
      <c r="J10" s="13">
        <f t="shared" si="1"/>
        <v>1681478.9046000005</v>
      </c>
      <c r="K10" s="17">
        <v>0</v>
      </c>
      <c r="L10" s="13">
        <v>0</v>
      </c>
      <c r="M10" s="54">
        <f t="shared" si="12"/>
        <v>0</v>
      </c>
      <c r="N10" s="54">
        <f t="shared" si="13"/>
        <v>0</v>
      </c>
      <c r="O10" s="18">
        <v>23.373999999999999</v>
      </c>
      <c r="P10" s="13">
        <v>1276688</v>
      </c>
      <c r="Q10" s="54">
        <f t="shared" si="2"/>
        <v>1276688</v>
      </c>
      <c r="R10" s="13">
        <f t="shared" si="3"/>
        <v>479303.51117220003</v>
      </c>
      <c r="S10" s="55">
        <v>10</v>
      </c>
      <c r="T10" s="56" t="s">
        <v>52</v>
      </c>
      <c r="U10" s="12">
        <f>SUMIF('Avoided Costs 2012-2020_EGD'!$A:$A,'2012 Actuals_Auditor'!T10&amp;'2012 Actuals_Auditor'!S10,'Avoided Costs 2012-2020_EGD'!$E:$E)*J10</f>
        <v>2716552.5491710086</v>
      </c>
      <c r="V10" s="12">
        <f>SUMIF('Avoided Costs 2012-2020_EGD'!$A:$A,'2012 Actuals_Auditor'!T10&amp;'2012 Actuals_Auditor'!S10,'Avoided Costs 2012-2020_EGD'!$K:$K)*N10</f>
        <v>0</v>
      </c>
      <c r="W10" s="12">
        <f>SUMIF('Avoided Costs 2012-2020_EGD'!$A:$A,'2012 Actuals_Auditor'!T10&amp;'2012 Actuals_Auditor'!S10,'Avoided Costs 2012-2020_EGD'!$M:$M)*R10</f>
        <v>8815064.1269300114</v>
      </c>
      <c r="X10" s="12">
        <f t="shared" si="4"/>
        <v>11531616.67610102</v>
      </c>
      <c r="Y10" s="61">
        <v>4.26</v>
      </c>
      <c r="Z10" s="57">
        <f t="shared" si="5"/>
        <v>214631.15400000004</v>
      </c>
      <c r="AA10" s="12">
        <v>0</v>
      </c>
      <c r="AB10" s="12">
        <v>0</v>
      </c>
      <c r="AC10" s="12">
        <f t="shared" si="6"/>
        <v>0</v>
      </c>
      <c r="AD10" s="12">
        <f t="shared" si="7"/>
        <v>214631.15400000004</v>
      </c>
      <c r="AE10" s="12">
        <f t="shared" si="8"/>
        <v>11316985.52210102</v>
      </c>
      <c r="AF10" s="100">
        <f t="shared" si="9"/>
        <v>16814789.046000004</v>
      </c>
      <c r="AG10" s="100">
        <f t="shared" si="10"/>
        <v>45904420.000000007</v>
      </c>
    </row>
    <row r="11" spans="1:33" x14ac:dyDescent="0.2">
      <c r="A11" s="140" t="s">
        <v>1291</v>
      </c>
      <c r="B11" s="10" t="s">
        <v>1292</v>
      </c>
      <c r="C11" s="11" t="s">
        <v>102</v>
      </c>
      <c r="D11" s="58">
        <f>82325*2</f>
        <v>164650</v>
      </c>
      <c r="E11" s="17">
        <v>10</v>
      </c>
      <c r="F11" s="53">
        <v>0.31</v>
      </c>
      <c r="G11" s="129">
        <v>0.77500000000000002</v>
      </c>
      <c r="H11" s="17">
        <f>D11*E11</f>
        <v>1646500</v>
      </c>
      <c r="I11" s="17">
        <f t="shared" si="0"/>
        <v>1646500</v>
      </c>
      <c r="J11" s="13">
        <f t="shared" si="1"/>
        <v>255619.12499999997</v>
      </c>
      <c r="K11" s="17">
        <v>0</v>
      </c>
      <c r="L11" s="13">
        <v>0</v>
      </c>
      <c r="M11" s="54">
        <f t="shared" si="12"/>
        <v>0</v>
      </c>
      <c r="N11" s="54">
        <f t="shared" si="13"/>
        <v>0</v>
      </c>
      <c r="O11" s="18">
        <v>3.4350000000000001</v>
      </c>
      <c r="P11" s="13">
        <v>551826</v>
      </c>
      <c r="Q11" s="54">
        <f t="shared" si="2"/>
        <v>551826</v>
      </c>
      <c r="R11" s="13">
        <f t="shared" si="3"/>
        <v>87805.169437499979</v>
      </c>
      <c r="S11" s="55">
        <v>10</v>
      </c>
      <c r="T11" s="56" t="s">
        <v>52</v>
      </c>
      <c r="U11" s="12">
        <f>SUMIF('Avoided Costs 2012-2020_EGD'!$A:$A,'2012 Actuals_Auditor'!T11&amp;'2012 Actuals_Auditor'!S11,'Avoided Costs 2012-2020_EGD'!$E:$E)*J11</f>
        <v>412971.45253261499</v>
      </c>
      <c r="V11" s="12">
        <f>SUMIF('Avoided Costs 2012-2020_EGD'!$A:$A,'2012 Actuals_Auditor'!T11&amp;'2012 Actuals_Auditor'!S11,'Avoided Costs 2012-2020_EGD'!$K:$K)*N11</f>
        <v>0</v>
      </c>
      <c r="W11" s="12">
        <f>SUMIF('Avoided Costs 2012-2020_EGD'!$A:$A,'2012 Actuals_Auditor'!T11&amp;'2012 Actuals_Auditor'!S11,'Avoided Costs 2012-2020_EGD'!$M:$M)*R11</f>
        <v>1614860.2737638582</v>
      </c>
      <c r="X11" s="12">
        <f t="shared" si="4"/>
        <v>2027831.7262964733</v>
      </c>
      <c r="Y11" s="61">
        <v>0.55000000000000004</v>
      </c>
      <c r="Z11" s="57">
        <f t="shared" si="5"/>
        <v>62484.675000000003</v>
      </c>
      <c r="AA11" s="12">
        <v>0</v>
      </c>
      <c r="AB11" s="12">
        <v>0</v>
      </c>
      <c r="AC11" s="12">
        <f t="shared" si="6"/>
        <v>0</v>
      </c>
      <c r="AD11" s="12">
        <f t="shared" si="7"/>
        <v>62484.675000000003</v>
      </c>
      <c r="AE11" s="12">
        <f t="shared" si="8"/>
        <v>1965347.0512964732</v>
      </c>
      <c r="AF11" s="100">
        <f t="shared" si="9"/>
        <v>2556191.2499999995</v>
      </c>
      <c r="AG11" s="100">
        <f t="shared" si="10"/>
        <v>16465000</v>
      </c>
    </row>
    <row r="12" spans="1:33" x14ac:dyDescent="0.2">
      <c r="A12" s="140" t="s">
        <v>1293</v>
      </c>
      <c r="B12" s="10" t="s">
        <v>1294</v>
      </c>
      <c r="C12" s="11" t="s">
        <v>102</v>
      </c>
      <c r="D12" s="58">
        <v>82325</v>
      </c>
      <c r="E12" s="17">
        <v>23</v>
      </c>
      <c r="F12" s="53">
        <v>0.31</v>
      </c>
      <c r="G12" s="129">
        <v>0.66800000000000004</v>
      </c>
      <c r="H12" s="17">
        <f t="shared" si="11"/>
        <v>1893475</v>
      </c>
      <c r="I12" s="17">
        <f t="shared" si="0"/>
        <v>1893475</v>
      </c>
      <c r="J12" s="13">
        <f t="shared" si="1"/>
        <v>433757.25299999997</v>
      </c>
      <c r="K12" s="17">
        <v>0</v>
      </c>
      <c r="L12" s="13">
        <v>0</v>
      </c>
      <c r="M12" s="54">
        <f t="shared" si="12"/>
        <v>0</v>
      </c>
      <c r="N12" s="54">
        <f t="shared" si="13"/>
        <v>0</v>
      </c>
      <c r="O12" s="18">
        <v>7.7969999999999997</v>
      </c>
      <c r="P12" s="13">
        <v>628477</v>
      </c>
      <c r="Q12" s="54">
        <f t="shared" si="2"/>
        <v>628477</v>
      </c>
      <c r="R12" s="13">
        <f t="shared" si="3"/>
        <v>147043.70876699997</v>
      </c>
      <c r="S12" s="55">
        <v>10</v>
      </c>
      <c r="T12" s="56" t="s">
        <v>52</v>
      </c>
      <c r="U12" s="12">
        <f>SUMIF('Avoided Costs 2012-2020_EGD'!$A:$A,'2012 Actuals_Auditor'!T12&amp;'2012 Actuals_Auditor'!S12,'Avoided Costs 2012-2020_EGD'!$E:$E)*J12</f>
        <v>700766.66923089966</v>
      </c>
      <c r="V12" s="12">
        <f>SUMIF('Avoided Costs 2012-2020_EGD'!$A:$A,'2012 Actuals_Auditor'!T12&amp;'2012 Actuals_Auditor'!S12,'Avoided Costs 2012-2020_EGD'!$K:$K)*N12</f>
        <v>0</v>
      </c>
      <c r="W12" s="12">
        <f>SUMIF('Avoided Costs 2012-2020_EGD'!$A:$A,'2012 Actuals_Auditor'!T12&amp;'2012 Actuals_Auditor'!S12,'Avoided Costs 2012-2020_EGD'!$M:$M)*R12</f>
        <v>2704340.1352781621</v>
      </c>
      <c r="X12" s="12">
        <f t="shared" si="4"/>
        <v>3405106.8045090619</v>
      </c>
      <c r="Y12" s="61">
        <v>1</v>
      </c>
      <c r="Z12" s="57">
        <f t="shared" si="5"/>
        <v>56804.249999999993</v>
      </c>
      <c r="AA12" s="12">
        <v>0</v>
      </c>
      <c r="AB12" s="12">
        <v>0</v>
      </c>
      <c r="AC12" s="12">
        <f t="shared" si="6"/>
        <v>0</v>
      </c>
      <c r="AD12" s="12">
        <f t="shared" si="7"/>
        <v>56804.249999999993</v>
      </c>
      <c r="AE12" s="12">
        <f t="shared" si="8"/>
        <v>3348302.5545090619</v>
      </c>
      <c r="AF12" s="100">
        <f t="shared" si="9"/>
        <v>4337572.5299999993</v>
      </c>
      <c r="AG12" s="100">
        <f t="shared" si="10"/>
        <v>18934750</v>
      </c>
    </row>
    <row r="13" spans="1:33" x14ac:dyDescent="0.2">
      <c r="A13" s="140" t="s">
        <v>1277</v>
      </c>
      <c r="B13" s="10" t="s">
        <v>1278</v>
      </c>
      <c r="C13" s="11" t="s">
        <v>102</v>
      </c>
      <c r="D13" s="58">
        <f>271</f>
        <v>271</v>
      </c>
      <c r="E13" s="130">
        <f>H13/D13</f>
        <v>977.17712177121768</v>
      </c>
      <c r="F13" s="53">
        <v>0</v>
      </c>
      <c r="G13" s="52">
        <v>0</v>
      </c>
      <c r="H13" s="17">
        <v>264815</v>
      </c>
      <c r="I13" s="17">
        <f t="shared" si="0"/>
        <v>264815</v>
      </c>
      <c r="J13" s="13">
        <f t="shared" si="1"/>
        <v>264815</v>
      </c>
      <c r="K13" s="19">
        <v>100.38880000000002</v>
      </c>
      <c r="L13" s="13">
        <f>K13*D13</f>
        <v>27205.364800000003</v>
      </c>
      <c r="M13" s="54">
        <f t="shared" si="12"/>
        <v>27205.364800000003</v>
      </c>
      <c r="N13" s="17">
        <f>(K13*D13)*(1-F13)*(1-G13)</f>
        <v>27205.364800000003</v>
      </c>
      <c r="O13" s="18">
        <v>0</v>
      </c>
      <c r="P13" s="13"/>
      <c r="Q13" s="54">
        <f t="shared" si="2"/>
        <v>0</v>
      </c>
      <c r="R13" s="13">
        <f t="shared" si="3"/>
        <v>0</v>
      </c>
      <c r="S13" s="55">
        <v>20</v>
      </c>
      <c r="T13" s="56" t="s">
        <v>15</v>
      </c>
      <c r="U13" s="12">
        <f>SUMIF('Avoided Costs 2012-2020_EGD'!$A:$A,'2012 Actuals_Auditor'!T13&amp;'2012 Actuals_Auditor'!S13,'Avoided Costs 2012-2020_EGD'!$E:$E)*J13</f>
        <v>792254.77941288322</v>
      </c>
      <c r="V13" s="12">
        <f>SUMIF('Avoided Costs 2012-2020_EGD'!$A:$A,'2012 Actuals_Auditor'!T13&amp;'2012 Actuals_Auditor'!S13,'Avoided Costs 2012-2020_EGD'!$K:$K)*N13</f>
        <v>33751.743149681752</v>
      </c>
      <c r="W13" s="12">
        <f>SUMIF('Avoided Costs 2012-2020_EGD'!$A:$A,'2012 Actuals_Auditor'!T13&amp;'2012 Actuals_Auditor'!S13,'Avoided Costs 2012-2020_EGD'!$M:$M)*R13</f>
        <v>0</v>
      </c>
      <c r="X13" s="12">
        <f t="shared" ref="X13" si="14">SUM(U13:W13)</f>
        <v>826006.52256256493</v>
      </c>
      <c r="Y13" s="61">
        <v>3374.6643911439119</v>
      </c>
      <c r="Z13" s="57">
        <f t="shared" si="5"/>
        <v>914534.05000000016</v>
      </c>
      <c r="AA13" s="12">
        <v>401352</v>
      </c>
      <c r="AB13" s="12">
        <v>415357.38</v>
      </c>
      <c r="AC13" s="12">
        <f t="shared" si="6"/>
        <v>816709.38</v>
      </c>
      <c r="AD13" s="12">
        <f t="shared" si="7"/>
        <v>1329891.4300000002</v>
      </c>
      <c r="AE13" s="12">
        <f t="shared" si="8"/>
        <v>-503884.90743743523</v>
      </c>
      <c r="AF13" s="100">
        <f t="shared" si="9"/>
        <v>5296300</v>
      </c>
      <c r="AG13" s="100">
        <f t="shared" si="10"/>
        <v>5296300</v>
      </c>
    </row>
    <row r="14" spans="1:33" x14ac:dyDescent="0.2">
      <c r="A14" s="224" t="s">
        <v>59</v>
      </c>
      <c r="B14" s="224"/>
      <c r="C14" s="135"/>
      <c r="D14" s="131">
        <f>SUM(D5:D13)</f>
        <v>348235</v>
      </c>
      <c r="E14" s="131"/>
      <c r="F14" s="132"/>
      <c r="G14" s="133"/>
      <c r="H14" s="131">
        <f>SUM(H5:H13)</f>
        <v>10247906</v>
      </c>
      <c r="I14" s="131">
        <f>SUM(I5:I13)</f>
        <v>10247906</v>
      </c>
      <c r="J14" s="131">
        <f>SUM(J5:J13)</f>
        <v>3346053.8526000003</v>
      </c>
      <c r="K14" s="131"/>
      <c r="L14" s="131">
        <f>SUM(L5:L13)</f>
        <v>27205.364800000003</v>
      </c>
      <c r="M14" s="131">
        <f>SUM(M5:M13)</f>
        <v>27205.364800000003</v>
      </c>
      <c r="N14" s="131">
        <f>SUM(N5:N13)</f>
        <v>27205.364800000003</v>
      </c>
      <c r="O14" s="134"/>
      <c r="P14" s="131">
        <f>SUM(P5:P13)</f>
        <v>3051905</v>
      </c>
      <c r="Q14" s="131">
        <f>SUM(Q5:Q13)</f>
        <v>3051905</v>
      </c>
      <c r="R14" s="131">
        <f>SUM(R5:R13)</f>
        <v>944699.56392750004</v>
      </c>
      <c r="S14" s="131"/>
      <c r="T14" s="135"/>
      <c r="U14" s="131">
        <f>SUM(U5:U13)</f>
        <v>5770222.2321930714</v>
      </c>
      <c r="V14" s="131">
        <f>SUM(V5:V13)</f>
        <v>33751.743149681752</v>
      </c>
      <c r="W14" s="131">
        <f>SUM(W5:W13)</f>
        <v>17374350.57869181</v>
      </c>
      <c r="X14" s="131">
        <f>SUM(X5:X13)</f>
        <v>23178324.554034561</v>
      </c>
      <c r="Y14" s="136"/>
      <c r="Z14" s="131">
        <f>SUM(Z5:Z13)</f>
        <v>1436006.6590000002</v>
      </c>
      <c r="AA14" s="225">
        <f t="shared" ref="AA14:AG14" si="15">SUM(AA5:AA13)</f>
        <v>2367087.08</v>
      </c>
      <c r="AB14" s="225">
        <f t="shared" si="15"/>
        <v>536667.65</v>
      </c>
      <c r="AC14" s="225">
        <f t="shared" si="15"/>
        <v>2903754.73</v>
      </c>
      <c r="AD14" s="225">
        <f t="shared" si="15"/>
        <v>1972674.3090000004</v>
      </c>
      <c r="AE14" s="225">
        <f>SUM(AE5:AE13)</f>
        <v>21205650.245034564</v>
      </c>
      <c r="AF14" s="226">
        <f t="shared" si="15"/>
        <v>36108688.526000008</v>
      </c>
      <c r="AG14" s="226">
        <f t="shared" si="15"/>
        <v>105127210</v>
      </c>
    </row>
    <row r="15" spans="1:33" x14ac:dyDescent="0.2">
      <c r="A15" s="140"/>
      <c r="B15" s="10" t="s">
        <v>1361</v>
      </c>
      <c r="D15" s="17">
        <f>SUM(D5:D13)-D14</f>
        <v>0</v>
      </c>
      <c r="E15" s="17">
        <f t="shared" ref="E15:I15" si="16">SUM(E5:E13)-E14</f>
        <v>1307.1771217712176</v>
      </c>
      <c r="F15" s="17">
        <f t="shared" si="16"/>
        <v>1.6400000000000001</v>
      </c>
      <c r="G15" s="17">
        <v>4.6609999201481997</v>
      </c>
      <c r="H15" s="17">
        <f t="shared" si="16"/>
        <v>0</v>
      </c>
      <c r="I15" s="17">
        <f t="shared" si="16"/>
        <v>0</v>
      </c>
      <c r="M15" s="17"/>
      <c r="O15" s="17"/>
      <c r="P15" s="17"/>
      <c r="Q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x14ac:dyDescent="0.2">
      <c r="A16" s="140" t="s">
        <v>1295</v>
      </c>
      <c r="B16" s="60" t="s">
        <v>1296</v>
      </c>
      <c r="C16" s="11" t="s">
        <v>1358</v>
      </c>
      <c r="D16" s="17">
        <v>8</v>
      </c>
      <c r="E16" s="17">
        <v>667</v>
      </c>
      <c r="F16" s="53">
        <v>0.05</v>
      </c>
      <c r="G16" s="52">
        <v>0</v>
      </c>
      <c r="H16" s="17">
        <f>D16*E16</f>
        <v>5336</v>
      </c>
      <c r="I16" s="17">
        <f t="shared" ref="I16:I37" si="17">H16</f>
        <v>5336</v>
      </c>
      <c r="J16" s="13">
        <f t="shared" ref="J16:J37" si="18">(E16*D16)*(1-F16)*(1-G16)</f>
        <v>5069.2</v>
      </c>
      <c r="K16" s="17">
        <v>172</v>
      </c>
      <c r="L16" s="13">
        <f t="shared" ref="L16:L26" si="19">K16*D16</f>
        <v>1376</v>
      </c>
      <c r="M16" s="54">
        <f>L16</f>
        <v>1376</v>
      </c>
      <c r="N16" s="17">
        <f t="shared" ref="N16:N37" si="20">(K16*D16)*(1-F16)*(1-G16)</f>
        <v>1307.2</v>
      </c>
      <c r="O16" s="18">
        <v>0</v>
      </c>
      <c r="P16" s="13">
        <f t="shared" ref="P16:P26" si="21">O16*D16</f>
        <v>0</v>
      </c>
      <c r="Q16" s="54">
        <f t="shared" ref="Q16:Q37" si="22">P16</f>
        <v>0</v>
      </c>
      <c r="R16" s="13">
        <f t="shared" ref="R16:R37" si="23">(O16*D16)*(1-F16)*(1-G16)</f>
        <v>0</v>
      </c>
      <c r="S16" s="17">
        <v>15</v>
      </c>
      <c r="T16" s="11" t="s">
        <v>15</v>
      </c>
      <c r="U16" s="12">
        <f>SUMIF('Avoided Costs 2012-2020_EGD'!$A:$A,'2012 Actuals_Auditor'!T16&amp;'2012 Actuals_Auditor'!S16,'Avoided Costs 2012-2020_EGD'!$E:$E)*J16</f>
        <v>12317.668730000501</v>
      </c>
      <c r="V16" s="12">
        <f>SUMIF('Avoided Costs 2012-2020_EGD'!$A:$A,'2012 Actuals_Auditor'!T16&amp;'2012 Actuals_Auditor'!S16,'Avoided Costs 2012-2020_EGD'!$K:$K)*N16</f>
        <v>1346.1328943281719</v>
      </c>
      <c r="W16" s="12">
        <f>SUMIF('Avoided Costs 2012-2020_EGD'!$A:$A,'2012 Actuals_Auditor'!T16&amp;'2012 Actuals_Auditor'!S16,'Avoided Costs 2012-2020_EGD'!$M:$M)*R16</f>
        <v>0</v>
      </c>
      <c r="X16" s="12">
        <f t="shared" ref="X16:X36" si="24">SUM(U16:W16)</f>
        <v>13663.801624328673</v>
      </c>
      <c r="Y16" s="61">
        <v>1650</v>
      </c>
      <c r="Z16" s="57">
        <f t="shared" ref="Z16:Z37" si="25">(Y16*D16)*(1-F16)</f>
        <v>12540</v>
      </c>
      <c r="AB16" s="12">
        <v>0</v>
      </c>
      <c r="AC16" s="57">
        <f t="shared" ref="AC16:AC25" si="26">AB16+AA16</f>
        <v>0</v>
      </c>
      <c r="AD16" s="57">
        <f t="shared" ref="AD16:AD38" si="27">Z16+AB16</f>
        <v>12540</v>
      </c>
      <c r="AE16" s="57">
        <f t="shared" ref="AE16:AE38" si="28">X16-AD16</f>
        <v>1123.8016243286729</v>
      </c>
      <c r="AF16" s="100">
        <f t="shared" ref="AF16:AF38" si="29">J16*S16</f>
        <v>76038</v>
      </c>
      <c r="AG16" s="100">
        <f t="shared" ref="AG16:AG38" si="30">(I16*S16)</f>
        <v>80040</v>
      </c>
    </row>
    <row r="17" spans="1:33" x14ac:dyDescent="0.2">
      <c r="A17" s="140" t="s">
        <v>1297</v>
      </c>
      <c r="B17" s="60" t="s">
        <v>1298</v>
      </c>
      <c r="C17" s="11" t="s">
        <v>1358</v>
      </c>
      <c r="D17" s="17">
        <v>38</v>
      </c>
      <c r="E17" s="17">
        <v>1529</v>
      </c>
      <c r="F17" s="53">
        <v>0.05</v>
      </c>
      <c r="G17" s="52">
        <v>0</v>
      </c>
      <c r="H17" s="17">
        <f>D17*E17</f>
        <v>58102</v>
      </c>
      <c r="I17" s="17">
        <f t="shared" si="17"/>
        <v>58102</v>
      </c>
      <c r="J17" s="13">
        <f t="shared" si="18"/>
        <v>55196.899999999994</v>
      </c>
      <c r="K17" s="17">
        <v>1023</v>
      </c>
      <c r="L17" s="13">
        <f t="shared" si="19"/>
        <v>38874</v>
      </c>
      <c r="M17" s="54">
        <f t="shared" ref="M17:M37" si="31">L17</f>
        <v>38874</v>
      </c>
      <c r="N17" s="17">
        <f t="shared" si="20"/>
        <v>36930.299999999996</v>
      </c>
      <c r="O17" s="18">
        <v>0</v>
      </c>
      <c r="P17" s="13">
        <f t="shared" si="21"/>
        <v>0</v>
      </c>
      <c r="Q17" s="54">
        <f t="shared" si="22"/>
        <v>0</v>
      </c>
      <c r="R17" s="13">
        <f t="shared" si="23"/>
        <v>0</v>
      </c>
      <c r="S17" s="17">
        <v>15</v>
      </c>
      <c r="T17" s="11" t="s">
        <v>15</v>
      </c>
      <c r="U17" s="12">
        <f>SUMIF('Avoided Costs 2012-2020_EGD'!$A:$A,'2012 Actuals_Auditor'!T17&amp;'2012 Actuals_Auditor'!S17,'Avoided Costs 2012-2020_EGD'!$E:$E)*J17</f>
        <v>134123.16127258042</v>
      </c>
      <c r="V17" s="12">
        <f>SUMIF('Avoided Costs 2012-2020_EGD'!$A:$A,'2012 Actuals_Auditor'!T17&amp;'2012 Actuals_Auditor'!S17,'Avoided Costs 2012-2020_EGD'!$K:$K)*N17</f>
        <v>38030.210853280048</v>
      </c>
      <c r="W17" s="12">
        <f>SUMIF('Avoided Costs 2012-2020_EGD'!$A:$A,'2012 Actuals_Auditor'!T17&amp;'2012 Actuals_Auditor'!S17,'Avoided Costs 2012-2020_EGD'!$M:$M)*R17</f>
        <v>0</v>
      </c>
      <c r="X17" s="12">
        <f t="shared" ref="X17:X22" si="32">SUM(U17:W17)</f>
        <v>172153.37212586048</v>
      </c>
      <c r="Y17" s="61">
        <v>2500</v>
      </c>
      <c r="Z17" s="57">
        <f t="shared" si="25"/>
        <v>90250</v>
      </c>
      <c r="AB17" s="12">
        <v>0</v>
      </c>
      <c r="AC17" s="57">
        <f t="shared" si="26"/>
        <v>0</v>
      </c>
      <c r="AD17" s="57">
        <f t="shared" si="27"/>
        <v>90250</v>
      </c>
      <c r="AE17" s="57">
        <f t="shared" si="28"/>
        <v>81903.372125860478</v>
      </c>
      <c r="AF17" s="100">
        <f t="shared" si="29"/>
        <v>827953.49999999988</v>
      </c>
      <c r="AG17" s="100">
        <f t="shared" si="30"/>
        <v>871530</v>
      </c>
    </row>
    <row r="18" spans="1:33" x14ac:dyDescent="0.2">
      <c r="A18" s="140" t="s">
        <v>1299</v>
      </c>
      <c r="B18" s="60" t="s">
        <v>1300</v>
      </c>
      <c r="C18" s="11" t="s">
        <v>1358</v>
      </c>
      <c r="D18" s="17">
        <v>1</v>
      </c>
      <c r="E18" s="17">
        <v>7565</v>
      </c>
      <c r="F18" s="53">
        <v>0.05</v>
      </c>
      <c r="G18" s="52">
        <v>0</v>
      </c>
      <c r="H18" s="17">
        <f>D18*E18</f>
        <v>7565</v>
      </c>
      <c r="I18" s="17">
        <f t="shared" si="17"/>
        <v>7565</v>
      </c>
      <c r="J18" s="13">
        <f t="shared" si="18"/>
        <v>7186.75</v>
      </c>
      <c r="K18" s="17">
        <v>-5380</v>
      </c>
      <c r="L18" s="13">
        <f t="shared" si="19"/>
        <v>-5380</v>
      </c>
      <c r="M18" s="54">
        <f t="shared" si="31"/>
        <v>-5380</v>
      </c>
      <c r="N18" s="17">
        <f t="shared" si="20"/>
        <v>-5111</v>
      </c>
      <c r="O18" s="18">
        <v>0</v>
      </c>
      <c r="P18" s="13">
        <f t="shared" si="21"/>
        <v>0</v>
      </c>
      <c r="Q18" s="54">
        <f t="shared" si="22"/>
        <v>0</v>
      </c>
      <c r="R18" s="13">
        <f t="shared" si="23"/>
        <v>0</v>
      </c>
      <c r="S18" s="17">
        <v>15</v>
      </c>
      <c r="T18" s="11" t="s">
        <v>15</v>
      </c>
      <c r="U18" s="12">
        <f>SUMIF('Avoided Costs 2012-2020_EGD'!$A:$A,'2012 Actuals_Auditor'!T18&amp;'2012 Actuals_Auditor'!S18,'Avoided Costs 2012-2020_EGD'!$E:$E)*J18</f>
        <v>17463.111683368403</v>
      </c>
      <c r="V18" s="12">
        <f>SUMIF('Avoided Costs 2012-2020_EGD'!$A:$A,'2012 Actuals_Auditor'!T18&amp;'2012 Actuals_Auditor'!S18,'Avoided Costs 2012-2020_EGD'!$K:$K)*N18</f>
        <v>-5263.2230897424161</v>
      </c>
      <c r="W18" s="12">
        <f>SUMIF('Avoided Costs 2012-2020_EGD'!$A:$A,'2012 Actuals_Auditor'!T18&amp;'2012 Actuals_Auditor'!S18,'Avoided Costs 2012-2020_EGD'!$M:$M)*R18</f>
        <v>0</v>
      </c>
      <c r="X18" s="12">
        <f t="shared" si="32"/>
        <v>12199.888593625987</v>
      </c>
      <c r="Y18" s="61">
        <v>8242</v>
      </c>
      <c r="Z18" s="57">
        <f t="shared" si="25"/>
        <v>7829.9</v>
      </c>
      <c r="AB18" s="12">
        <v>0</v>
      </c>
      <c r="AC18" s="57">
        <f t="shared" si="26"/>
        <v>0</v>
      </c>
      <c r="AD18" s="57">
        <f t="shared" si="27"/>
        <v>7829.9</v>
      </c>
      <c r="AE18" s="57">
        <f t="shared" si="28"/>
        <v>4369.9885936259871</v>
      </c>
      <c r="AF18" s="100">
        <f t="shared" si="29"/>
        <v>107801.25</v>
      </c>
      <c r="AG18" s="100">
        <f t="shared" si="30"/>
        <v>113475</v>
      </c>
    </row>
    <row r="19" spans="1:33" x14ac:dyDescent="0.2">
      <c r="A19" s="140" t="s">
        <v>1301</v>
      </c>
      <c r="B19" s="60" t="s">
        <v>1302</v>
      </c>
      <c r="C19" s="11" t="s">
        <v>1358</v>
      </c>
      <c r="D19" s="17">
        <v>0</v>
      </c>
      <c r="E19" s="17">
        <v>9457</v>
      </c>
      <c r="F19" s="123">
        <v>0.05</v>
      </c>
      <c r="G19" s="52">
        <v>0</v>
      </c>
      <c r="H19" s="17">
        <f>D19*E19</f>
        <v>0</v>
      </c>
      <c r="I19" s="17">
        <f t="shared" si="17"/>
        <v>0</v>
      </c>
      <c r="J19" s="13">
        <f t="shared" si="18"/>
        <v>0</v>
      </c>
      <c r="K19" s="17">
        <v>-5220</v>
      </c>
      <c r="L19" s="13">
        <f t="shared" si="19"/>
        <v>0</v>
      </c>
      <c r="M19" s="54">
        <f t="shared" si="31"/>
        <v>0</v>
      </c>
      <c r="N19" s="17">
        <f t="shared" si="20"/>
        <v>0</v>
      </c>
      <c r="O19" s="18">
        <v>0</v>
      </c>
      <c r="P19" s="13">
        <f t="shared" si="21"/>
        <v>0</v>
      </c>
      <c r="Q19" s="54">
        <f t="shared" si="22"/>
        <v>0</v>
      </c>
      <c r="R19" s="13">
        <f t="shared" si="23"/>
        <v>0</v>
      </c>
      <c r="S19" s="17">
        <v>15</v>
      </c>
      <c r="T19" s="11" t="s">
        <v>15</v>
      </c>
      <c r="U19" s="12">
        <f>SUMIF('Avoided Costs 2012-2020_EGD'!$A:$A,'2012 Actuals_Auditor'!T19&amp;'2012 Actuals_Auditor'!S19,'Avoided Costs 2012-2020_EGD'!$E:$E)*J19</f>
        <v>0</v>
      </c>
      <c r="V19" s="12">
        <f>SUMIF('Avoided Costs 2012-2020_EGD'!$A:$A,'2012 Actuals_Auditor'!T19&amp;'2012 Actuals_Auditor'!S19,'Avoided Costs 2012-2020_EGD'!$K:$K)*N19</f>
        <v>0</v>
      </c>
      <c r="W19" s="12">
        <f>SUMIF('Avoided Costs 2012-2020_EGD'!$A:$A,'2012 Actuals_Auditor'!T19&amp;'2012 Actuals_Auditor'!S19,'Avoided Costs 2012-2020_EGD'!$M:$M)*R19</f>
        <v>0</v>
      </c>
      <c r="X19" s="12">
        <f t="shared" si="32"/>
        <v>0</v>
      </c>
      <c r="Y19" s="61">
        <v>8242</v>
      </c>
      <c r="Z19" s="57">
        <f t="shared" si="25"/>
        <v>0</v>
      </c>
      <c r="AB19" s="12">
        <v>0</v>
      </c>
      <c r="AC19" s="57">
        <f t="shared" si="26"/>
        <v>0</v>
      </c>
      <c r="AD19" s="57">
        <f t="shared" si="27"/>
        <v>0</v>
      </c>
      <c r="AE19" s="57">
        <f t="shared" si="28"/>
        <v>0</v>
      </c>
      <c r="AF19" s="100">
        <f t="shared" si="29"/>
        <v>0</v>
      </c>
      <c r="AG19" s="100">
        <f t="shared" si="30"/>
        <v>0</v>
      </c>
    </row>
    <row r="20" spans="1:33" x14ac:dyDescent="0.2">
      <c r="A20" s="140" t="s">
        <v>1303</v>
      </c>
      <c r="B20" s="60" t="s">
        <v>1304</v>
      </c>
      <c r="C20" s="11" t="s">
        <v>1358</v>
      </c>
      <c r="D20" s="17">
        <v>12</v>
      </c>
      <c r="E20" s="17">
        <v>20605</v>
      </c>
      <c r="F20" s="123">
        <v>0.05</v>
      </c>
      <c r="G20" s="52">
        <v>0</v>
      </c>
      <c r="H20" s="17">
        <f>D20*E20</f>
        <v>247260</v>
      </c>
      <c r="I20" s="17">
        <f t="shared" si="17"/>
        <v>247260</v>
      </c>
      <c r="J20" s="13">
        <f t="shared" si="18"/>
        <v>234897</v>
      </c>
      <c r="K20" s="17">
        <v>-936</v>
      </c>
      <c r="L20" s="13">
        <f t="shared" si="19"/>
        <v>-11232</v>
      </c>
      <c r="M20" s="54">
        <f t="shared" si="31"/>
        <v>-11232</v>
      </c>
      <c r="N20" s="17">
        <f t="shared" si="20"/>
        <v>-10670.4</v>
      </c>
      <c r="O20" s="18">
        <v>0</v>
      </c>
      <c r="P20" s="13">
        <f t="shared" si="21"/>
        <v>0</v>
      </c>
      <c r="Q20" s="54">
        <f t="shared" si="22"/>
        <v>0</v>
      </c>
      <c r="R20" s="13">
        <f t="shared" si="23"/>
        <v>0</v>
      </c>
      <c r="S20" s="17">
        <v>15</v>
      </c>
      <c r="T20" s="11" t="s">
        <v>15</v>
      </c>
      <c r="U20" s="12">
        <f>SUMIF('Avoided Costs 2012-2020_EGD'!$A:$A,'2012 Actuals_Auditor'!T20&amp;'2012 Actuals_Auditor'!S20,'Avoided Costs 2012-2020_EGD'!$E:$E)*J20</f>
        <v>570777.13084331411</v>
      </c>
      <c r="V20" s="12">
        <f>SUMIF('Avoided Costs 2012-2020_EGD'!$A:$A,'2012 Actuals_Auditor'!T20&amp;'2012 Actuals_Auditor'!S20,'Avoided Costs 2012-2020_EGD'!$K:$K)*N20</f>
        <v>-10988.201067655542</v>
      </c>
      <c r="W20" s="12">
        <f>SUMIF('Avoided Costs 2012-2020_EGD'!$A:$A,'2012 Actuals_Auditor'!T20&amp;'2012 Actuals_Auditor'!S20,'Avoided Costs 2012-2020_EGD'!$M:$M)*R20</f>
        <v>0</v>
      </c>
      <c r="X20" s="12">
        <f t="shared" si="32"/>
        <v>559788.92977565853</v>
      </c>
      <c r="Y20" s="61">
        <v>10170</v>
      </c>
      <c r="Z20" s="57">
        <f t="shared" si="25"/>
        <v>115938</v>
      </c>
      <c r="AB20" s="12">
        <v>0</v>
      </c>
      <c r="AC20" s="57">
        <f t="shared" si="26"/>
        <v>0</v>
      </c>
      <c r="AD20" s="57">
        <f t="shared" si="27"/>
        <v>115938</v>
      </c>
      <c r="AE20" s="57">
        <f t="shared" si="28"/>
        <v>443850.92977565853</v>
      </c>
      <c r="AF20" s="100">
        <f t="shared" si="29"/>
        <v>3523455</v>
      </c>
      <c r="AG20" s="100">
        <f t="shared" si="30"/>
        <v>3708900</v>
      </c>
    </row>
    <row r="21" spans="1:33" x14ac:dyDescent="0.2">
      <c r="A21" s="140" t="s">
        <v>1315</v>
      </c>
      <c r="B21" s="60" t="s">
        <v>88</v>
      </c>
      <c r="C21" s="11" t="s">
        <v>1358</v>
      </c>
      <c r="D21" s="17">
        <v>8</v>
      </c>
      <c r="E21" s="17">
        <f>H21/D21</f>
        <v>2509.125</v>
      </c>
      <c r="F21" s="123">
        <v>0.05</v>
      </c>
      <c r="G21" s="52">
        <v>0</v>
      </c>
      <c r="H21" s="17">
        <v>20073</v>
      </c>
      <c r="I21" s="17">
        <f t="shared" si="17"/>
        <v>20073</v>
      </c>
      <c r="J21" s="13">
        <f t="shared" si="18"/>
        <v>19069.349999999999</v>
      </c>
      <c r="K21" s="17">
        <v>0</v>
      </c>
      <c r="L21" s="13">
        <f t="shared" si="19"/>
        <v>0</v>
      </c>
      <c r="M21" s="54">
        <f t="shared" si="31"/>
        <v>0</v>
      </c>
      <c r="N21" s="17">
        <f t="shared" si="20"/>
        <v>0</v>
      </c>
      <c r="O21" s="18">
        <v>0</v>
      </c>
      <c r="P21" s="13">
        <f t="shared" si="21"/>
        <v>0</v>
      </c>
      <c r="Q21" s="54">
        <f t="shared" si="22"/>
        <v>0</v>
      </c>
      <c r="R21" s="13">
        <f t="shared" si="23"/>
        <v>0</v>
      </c>
      <c r="S21" s="17">
        <v>25</v>
      </c>
      <c r="T21" s="11" t="s">
        <v>15</v>
      </c>
      <c r="U21" s="12">
        <f>SUMIF('Avoided Costs 2012-2020_EGD'!$A:$A,'2012 Actuals_Auditor'!T21&amp;'2012 Actuals_Auditor'!S21,'Avoided Costs 2012-2020_EGD'!$E:$E)*J21</f>
        <v>65484.052532512738</v>
      </c>
      <c r="V21" s="12">
        <f>SUMIF('Avoided Costs 2012-2020_EGD'!$A:$A,'2012 Actuals_Auditor'!T21&amp;'2012 Actuals_Auditor'!S21,'Avoided Costs 2012-2020_EGD'!$K:$K)*N21</f>
        <v>0</v>
      </c>
      <c r="W21" s="12">
        <f>SUMIF('Avoided Costs 2012-2020_EGD'!$A:$A,'2012 Actuals_Auditor'!T21&amp;'2012 Actuals_Auditor'!S21,'Avoided Costs 2012-2020_EGD'!$M:$M)*R21</f>
        <v>0</v>
      </c>
      <c r="X21" s="12">
        <f t="shared" si="32"/>
        <v>65484.052532512738</v>
      </c>
      <c r="Y21" s="61">
        <f>28750/D21</f>
        <v>3593.75</v>
      </c>
      <c r="Z21" s="57">
        <f t="shared" si="25"/>
        <v>27312.5</v>
      </c>
      <c r="AB21" s="12">
        <v>0</v>
      </c>
      <c r="AC21" s="57">
        <f t="shared" si="26"/>
        <v>0</v>
      </c>
      <c r="AD21" s="57">
        <f t="shared" si="27"/>
        <v>27312.5</v>
      </c>
      <c r="AE21" s="57">
        <f t="shared" si="28"/>
        <v>38171.552532512738</v>
      </c>
      <c r="AF21" s="100">
        <f t="shared" si="29"/>
        <v>476733.74999999994</v>
      </c>
      <c r="AG21" s="100">
        <f t="shared" si="30"/>
        <v>501825</v>
      </c>
    </row>
    <row r="22" spans="1:33" x14ac:dyDescent="0.2">
      <c r="A22" s="140" t="s">
        <v>1316</v>
      </c>
      <c r="B22" s="60" t="s">
        <v>88</v>
      </c>
      <c r="C22" s="11" t="s">
        <v>1358</v>
      </c>
      <c r="D22" s="17">
        <v>38</v>
      </c>
      <c r="E22" s="17">
        <f>H22/D22</f>
        <v>3164.7105263157896</v>
      </c>
      <c r="F22" s="123">
        <v>0.05</v>
      </c>
      <c r="G22" s="52">
        <v>0</v>
      </c>
      <c r="H22" s="17">
        <v>120259</v>
      </c>
      <c r="I22" s="17">
        <f t="shared" si="17"/>
        <v>120259</v>
      </c>
      <c r="J22" s="13">
        <f t="shared" si="18"/>
        <v>114246.04999999999</v>
      </c>
      <c r="K22" s="17">
        <v>0</v>
      </c>
      <c r="L22" s="13">
        <f t="shared" si="19"/>
        <v>0</v>
      </c>
      <c r="M22" s="54">
        <f t="shared" si="31"/>
        <v>0</v>
      </c>
      <c r="N22" s="17">
        <f t="shared" si="20"/>
        <v>0</v>
      </c>
      <c r="O22" s="18">
        <v>0</v>
      </c>
      <c r="P22" s="13">
        <f t="shared" si="21"/>
        <v>0</v>
      </c>
      <c r="Q22" s="54">
        <f t="shared" si="22"/>
        <v>0</v>
      </c>
      <c r="R22" s="13">
        <f t="shared" si="23"/>
        <v>0</v>
      </c>
      <c r="S22" s="17">
        <v>25</v>
      </c>
      <c r="T22" s="11" t="s">
        <v>52</v>
      </c>
      <c r="U22" s="12">
        <f>SUMIF('Avoided Costs 2012-2020_EGD'!$A:$A,'2012 Actuals_Auditor'!T22&amp;'2012 Actuals_Auditor'!S22,'Avoided Costs 2012-2020_EGD'!$E:$E)*J22</f>
        <v>368648.19651836943</v>
      </c>
      <c r="V22" s="12">
        <f>SUMIF('Avoided Costs 2012-2020_EGD'!$A:$A,'2012 Actuals_Auditor'!T22&amp;'2012 Actuals_Auditor'!S22,'Avoided Costs 2012-2020_EGD'!$K:$K)*N22</f>
        <v>0</v>
      </c>
      <c r="W22" s="12">
        <f>SUMIF('Avoided Costs 2012-2020_EGD'!$A:$A,'2012 Actuals_Auditor'!T22&amp;'2012 Actuals_Auditor'!S22,'Avoided Costs 2012-2020_EGD'!$M:$M)*R22</f>
        <v>0</v>
      </c>
      <c r="X22" s="12">
        <f t="shared" si="32"/>
        <v>368648.19651836943</v>
      </c>
      <c r="Y22" s="61">
        <f>112793/D22</f>
        <v>2968.2368421052633</v>
      </c>
      <c r="Z22" s="57">
        <f t="shared" si="25"/>
        <v>107153.34999999999</v>
      </c>
      <c r="AB22" s="12">
        <v>0</v>
      </c>
      <c r="AC22" s="57">
        <f t="shared" si="26"/>
        <v>0</v>
      </c>
      <c r="AD22" s="57">
        <f t="shared" si="27"/>
        <v>107153.34999999999</v>
      </c>
      <c r="AE22" s="57">
        <f t="shared" si="28"/>
        <v>261494.84651836945</v>
      </c>
      <c r="AF22" s="100">
        <f t="shared" si="29"/>
        <v>2856151.2499999995</v>
      </c>
      <c r="AG22" s="100">
        <f t="shared" si="30"/>
        <v>3006475</v>
      </c>
    </row>
    <row r="23" spans="1:33" x14ac:dyDescent="0.2">
      <c r="A23" s="140" t="s">
        <v>1306</v>
      </c>
      <c r="B23" s="10" t="s">
        <v>1307</v>
      </c>
      <c r="C23" s="11" t="s">
        <v>1358</v>
      </c>
      <c r="D23" s="17">
        <v>7</v>
      </c>
      <c r="E23" s="17">
        <v>4801</v>
      </c>
      <c r="F23" s="53">
        <v>0.05</v>
      </c>
      <c r="G23" s="52">
        <v>0</v>
      </c>
      <c r="H23" s="17">
        <f>D23*E23</f>
        <v>33607</v>
      </c>
      <c r="I23" s="17">
        <f t="shared" si="17"/>
        <v>33607</v>
      </c>
      <c r="J23" s="13">
        <f t="shared" si="18"/>
        <v>31926.649999999998</v>
      </c>
      <c r="K23" s="17">
        <v>13521</v>
      </c>
      <c r="L23" s="13">
        <f t="shared" si="19"/>
        <v>94647</v>
      </c>
      <c r="M23" s="54">
        <f t="shared" si="31"/>
        <v>94647</v>
      </c>
      <c r="N23" s="17">
        <f t="shared" si="20"/>
        <v>89914.65</v>
      </c>
      <c r="O23" s="18">
        <v>0</v>
      </c>
      <c r="P23" s="13">
        <f t="shared" si="21"/>
        <v>0</v>
      </c>
      <c r="Q23" s="54">
        <f t="shared" si="22"/>
        <v>0</v>
      </c>
      <c r="R23" s="13">
        <f t="shared" si="23"/>
        <v>0</v>
      </c>
      <c r="S23" s="17">
        <v>15</v>
      </c>
      <c r="T23" s="11" t="s">
        <v>15</v>
      </c>
      <c r="U23" s="12">
        <f>SUMIF('Avoided Costs 2012-2020_EGD'!$A:$A,'2012 Actuals_Auditor'!T23&amp;'2012 Actuals_Auditor'!S23,'Avoided Costs 2012-2020_EGD'!$E:$E)*J23</f>
        <v>77578.690593914333</v>
      </c>
      <c r="V23" s="12">
        <f>SUMIF('Avoided Costs 2012-2020_EGD'!$A:$A,'2012 Actuals_Auditor'!T23&amp;'2012 Actuals_Auditor'!S23,'Avoided Costs 2012-2020_EGD'!$K:$K)*N23</f>
        <v>92592.616315027946</v>
      </c>
      <c r="W23" s="12">
        <f>SUMIF('Avoided Costs 2012-2020_EGD'!$A:$A,'2012 Actuals_Auditor'!T23&amp;'2012 Actuals_Auditor'!S23,'Avoided Costs 2012-2020_EGD'!$M:$M)*R23</f>
        <v>0</v>
      </c>
      <c r="X23" s="12">
        <f t="shared" si="24"/>
        <v>170171.30690894229</v>
      </c>
      <c r="Y23" s="61">
        <v>10000</v>
      </c>
      <c r="Z23" s="57">
        <f t="shared" si="25"/>
        <v>66500</v>
      </c>
      <c r="AB23" s="12">
        <v>0</v>
      </c>
      <c r="AC23" s="57">
        <f t="shared" si="26"/>
        <v>0</v>
      </c>
      <c r="AD23" s="57">
        <f t="shared" si="27"/>
        <v>66500</v>
      </c>
      <c r="AE23" s="57">
        <f t="shared" si="28"/>
        <v>103671.30690894229</v>
      </c>
      <c r="AF23" s="100">
        <f t="shared" si="29"/>
        <v>478899.74999999994</v>
      </c>
      <c r="AG23" s="100">
        <f t="shared" si="30"/>
        <v>504105</v>
      </c>
    </row>
    <row r="24" spans="1:33" x14ac:dyDescent="0.2">
      <c r="A24" s="140" t="s">
        <v>1308</v>
      </c>
      <c r="B24" s="10" t="s">
        <v>1309</v>
      </c>
      <c r="C24" s="11" t="s">
        <v>1358</v>
      </c>
      <c r="D24" s="17">
        <v>14</v>
      </c>
      <c r="E24" s="17">
        <v>11486</v>
      </c>
      <c r="F24" s="53">
        <v>0.05</v>
      </c>
      <c r="G24" s="52">
        <v>0</v>
      </c>
      <c r="H24" s="17">
        <f>D24*E24</f>
        <v>160804</v>
      </c>
      <c r="I24" s="17">
        <f t="shared" si="17"/>
        <v>160804</v>
      </c>
      <c r="J24" s="13">
        <f t="shared" si="18"/>
        <v>152763.79999999999</v>
      </c>
      <c r="K24" s="17">
        <v>30901</v>
      </c>
      <c r="L24" s="13">
        <f t="shared" si="19"/>
        <v>432614</v>
      </c>
      <c r="M24" s="54">
        <f t="shared" si="31"/>
        <v>432614</v>
      </c>
      <c r="N24" s="17">
        <f t="shared" si="20"/>
        <v>410983.3</v>
      </c>
      <c r="O24" s="18">
        <v>0</v>
      </c>
      <c r="P24" s="13">
        <f t="shared" si="21"/>
        <v>0</v>
      </c>
      <c r="Q24" s="54">
        <f t="shared" si="22"/>
        <v>0</v>
      </c>
      <c r="R24" s="13">
        <f t="shared" si="23"/>
        <v>0</v>
      </c>
      <c r="S24" s="17">
        <v>15</v>
      </c>
      <c r="T24" s="11" t="s">
        <v>15</v>
      </c>
      <c r="U24" s="12">
        <f>SUMIF('Avoided Costs 2012-2020_EGD'!$A:$A,'2012 Actuals_Auditor'!T24&amp;'2012 Actuals_Auditor'!S24,'Avoided Costs 2012-2020_EGD'!$E:$E)*J24</f>
        <v>371201.34978616954</v>
      </c>
      <c r="V24" s="12">
        <f>SUMIF('Avoided Costs 2012-2020_EGD'!$A:$A,'2012 Actuals_Auditor'!T24&amp;'2012 Actuals_Auditor'!S24,'Avoided Costs 2012-2020_EGD'!$K:$K)*N24</f>
        <v>423223.79065907537</v>
      </c>
      <c r="W24" s="12">
        <f>SUMIF('Avoided Costs 2012-2020_EGD'!$A:$A,'2012 Actuals_Auditor'!T24&amp;'2012 Actuals_Auditor'!S24,'Avoided Costs 2012-2020_EGD'!$M:$M)*R24</f>
        <v>0</v>
      </c>
      <c r="X24" s="12">
        <f t="shared" si="24"/>
        <v>794425.14044524496</v>
      </c>
      <c r="Y24" s="61">
        <v>15000</v>
      </c>
      <c r="Z24" s="57">
        <f t="shared" si="25"/>
        <v>199500</v>
      </c>
      <c r="AB24" s="12">
        <v>0</v>
      </c>
      <c r="AC24" s="57">
        <f t="shared" si="26"/>
        <v>0</v>
      </c>
      <c r="AD24" s="57">
        <f t="shared" si="27"/>
        <v>199500</v>
      </c>
      <c r="AE24" s="57">
        <f t="shared" si="28"/>
        <v>594925.14044524496</v>
      </c>
      <c r="AF24" s="100">
        <f t="shared" si="29"/>
        <v>2291457</v>
      </c>
      <c r="AG24" s="100">
        <f t="shared" si="30"/>
        <v>2412060</v>
      </c>
    </row>
    <row r="25" spans="1:33" x14ac:dyDescent="0.2">
      <c r="A25" s="140" t="s">
        <v>1310</v>
      </c>
      <c r="B25" s="10" t="s">
        <v>1311</v>
      </c>
      <c r="C25" s="11" t="s">
        <v>1358</v>
      </c>
      <c r="D25" s="17">
        <v>5</v>
      </c>
      <c r="E25" s="17">
        <v>18924</v>
      </c>
      <c r="F25" s="53">
        <v>0.05</v>
      </c>
      <c r="G25" s="52">
        <v>0</v>
      </c>
      <c r="H25" s="17">
        <f>D25*E25</f>
        <v>94620</v>
      </c>
      <c r="I25" s="17">
        <f t="shared" si="17"/>
        <v>94620</v>
      </c>
      <c r="J25" s="13">
        <f t="shared" si="18"/>
        <v>89889</v>
      </c>
      <c r="K25" s="17">
        <v>49102</v>
      </c>
      <c r="L25" s="13">
        <f t="shared" si="19"/>
        <v>245510</v>
      </c>
      <c r="M25" s="54">
        <f t="shared" si="31"/>
        <v>245510</v>
      </c>
      <c r="N25" s="17">
        <f t="shared" si="20"/>
        <v>233234.5</v>
      </c>
      <c r="O25" s="18">
        <v>0</v>
      </c>
      <c r="P25" s="13">
        <f t="shared" si="21"/>
        <v>0</v>
      </c>
      <c r="Q25" s="54">
        <f t="shared" si="22"/>
        <v>0</v>
      </c>
      <c r="R25" s="13">
        <f t="shared" si="23"/>
        <v>0</v>
      </c>
      <c r="S25" s="17">
        <v>15</v>
      </c>
      <c r="T25" s="11" t="s">
        <v>15</v>
      </c>
      <c r="U25" s="12">
        <f>SUMIF('Avoided Costs 2012-2020_EGD'!$A:$A,'2012 Actuals_Auditor'!T25&amp;'2012 Actuals_Auditor'!S25,'Avoided Costs 2012-2020_EGD'!$E:$E)*J25</f>
        <v>218421.62954135073</v>
      </c>
      <c r="V25" s="12">
        <f>SUMIF('Avoided Costs 2012-2020_EGD'!$A:$A,'2012 Actuals_Auditor'!T25&amp;'2012 Actuals_Auditor'!S25,'Avoided Costs 2012-2020_EGD'!$K:$K)*N25</f>
        <v>240181.02244659117</v>
      </c>
      <c r="W25" s="12">
        <f>SUMIF('Avoided Costs 2012-2020_EGD'!$A:$A,'2012 Actuals_Auditor'!T25&amp;'2012 Actuals_Auditor'!S25,'Avoided Costs 2012-2020_EGD'!$M:$M)*R25</f>
        <v>0</v>
      </c>
      <c r="X25" s="12">
        <f t="shared" si="24"/>
        <v>458602.65198794194</v>
      </c>
      <c r="Y25" s="61">
        <v>20000</v>
      </c>
      <c r="Z25" s="57">
        <f t="shared" si="25"/>
        <v>95000</v>
      </c>
      <c r="AB25" s="12">
        <v>0</v>
      </c>
      <c r="AC25" s="57">
        <f t="shared" si="26"/>
        <v>0</v>
      </c>
      <c r="AD25" s="57">
        <f t="shared" si="27"/>
        <v>95000</v>
      </c>
      <c r="AE25" s="57">
        <f t="shared" si="28"/>
        <v>363602.65198794194</v>
      </c>
      <c r="AF25" s="100">
        <f t="shared" si="29"/>
        <v>1348335</v>
      </c>
      <c r="AG25" s="100">
        <f t="shared" si="30"/>
        <v>1419300</v>
      </c>
    </row>
    <row r="26" spans="1:33" x14ac:dyDescent="0.2">
      <c r="A26" s="140" t="s">
        <v>1317</v>
      </c>
      <c r="B26" s="10" t="s">
        <v>38</v>
      </c>
      <c r="C26" s="11" t="s">
        <v>1358</v>
      </c>
      <c r="D26" s="17">
        <v>24</v>
      </c>
      <c r="E26" s="17">
        <f>H26/D26</f>
        <v>6942.583333333333</v>
      </c>
      <c r="F26" s="53">
        <v>0.05</v>
      </c>
      <c r="G26" s="52">
        <v>0</v>
      </c>
      <c r="H26" s="17">
        <v>166622</v>
      </c>
      <c r="I26" s="17">
        <f t="shared" si="17"/>
        <v>166622</v>
      </c>
      <c r="J26" s="13">
        <f t="shared" si="18"/>
        <v>158290.9</v>
      </c>
      <c r="K26" s="17">
        <v>0</v>
      </c>
      <c r="L26" s="13">
        <f t="shared" si="19"/>
        <v>0</v>
      </c>
      <c r="M26" s="54">
        <f t="shared" si="31"/>
        <v>0</v>
      </c>
      <c r="N26" s="17">
        <f t="shared" si="20"/>
        <v>0</v>
      </c>
      <c r="O26" s="18">
        <v>0</v>
      </c>
      <c r="P26" s="13">
        <f t="shared" si="21"/>
        <v>0</v>
      </c>
      <c r="Q26" s="54">
        <f t="shared" si="22"/>
        <v>0</v>
      </c>
      <c r="R26" s="13">
        <f t="shared" si="23"/>
        <v>0</v>
      </c>
      <c r="S26" s="17">
        <v>14</v>
      </c>
      <c r="T26" s="62" t="s">
        <v>15</v>
      </c>
      <c r="U26" s="12">
        <f>SUMIF('Avoided Costs 2012-2020_EGD'!$A:$A,'2012 Actuals_Auditor'!T26&amp;'2012 Actuals_Auditor'!S26,'Avoided Costs 2012-2020_EGD'!$E:$E)*J26</f>
        <v>364146.29369673901</v>
      </c>
      <c r="V26" s="12">
        <f>SUMIF('Avoided Costs 2012-2020_EGD'!$A:$A,'2012 Actuals_Auditor'!T26&amp;'2012 Actuals_Auditor'!S26,'Avoided Costs 2012-2020_EGD'!$K:$K)*N26</f>
        <v>0</v>
      </c>
      <c r="W26" s="12">
        <f>SUMIF('Avoided Costs 2012-2020_EGD'!$A:$A,'2012 Actuals_Auditor'!T26&amp;'2012 Actuals_Auditor'!S26,'Avoided Costs 2012-2020_EGD'!$M:$M)*R26</f>
        <v>0</v>
      </c>
      <c r="X26" s="12">
        <f t="shared" si="24"/>
        <v>364146.29369673901</v>
      </c>
      <c r="Y26" s="61">
        <f>161840.1/D26</f>
        <v>6743.3375000000005</v>
      </c>
      <c r="Z26" s="57">
        <f t="shared" si="25"/>
        <v>153748.095</v>
      </c>
      <c r="AB26" s="12">
        <v>0</v>
      </c>
      <c r="AC26" s="57">
        <v>0</v>
      </c>
      <c r="AD26" s="57">
        <f t="shared" si="27"/>
        <v>153748.095</v>
      </c>
      <c r="AE26" s="57">
        <f t="shared" si="28"/>
        <v>210398.19869673901</v>
      </c>
      <c r="AF26" s="100">
        <f t="shared" si="29"/>
        <v>2216072.6</v>
      </c>
      <c r="AG26" s="100">
        <f t="shared" si="30"/>
        <v>2332708</v>
      </c>
    </row>
    <row r="27" spans="1:33" x14ac:dyDescent="0.2">
      <c r="A27" s="140" t="s">
        <v>1314</v>
      </c>
      <c r="B27" s="10" t="s">
        <v>99</v>
      </c>
      <c r="C27" s="11" t="s">
        <v>1358</v>
      </c>
      <c r="D27" s="17">
        <v>72</v>
      </c>
      <c r="E27" s="17">
        <f>H27/D27</f>
        <v>8330.4861111111113</v>
      </c>
      <c r="F27" s="53">
        <v>0.08</v>
      </c>
      <c r="G27" s="52">
        <v>0</v>
      </c>
      <c r="H27" s="17">
        <v>599795</v>
      </c>
      <c r="I27" s="17">
        <f t="shared" si="17"/>
        <v>599795</v>
      </c>
      <c r="J27" s="13">
        <f t="shared" si="18"/>
        <v>551811.4</v>
      </c>
      <c r="K27" s="17">
        <f>L27/D27</f>
        <v>556.20833333333337</v>
      </c>
      <c r="L27" s="13">
        <v>40047</v>
      </c>
      <c r="M27" s="54">
        <f t="shared" si="31"/>
        <v>40047</v>
      </c>
      <c r="N27" s="17">
        <f t="shared" si="20"/>
        <v>36843.240000000005</v>
      </c>
      <c r="O27" s="17">
        <f>P27/D27</f>
        <v>510.47222222222223</v>
      </c>
      <c r="P27" s="13">
        <v>36754</v>
      </c>
      <c r="Q27" s="54">
        <f t="shared" si="22"/>
        <v>36754</v>
      </c>
      <c r="R27" s="13">
        <f t="shared" si="23"/>
        <v>33813.68</v>
      </c>
      <c r="S27" s="17">
        <v>15</v>
      </c>
      <c r="T27" s="62" t="s">
        <v>52</v>
      </c>
      <c r="U27" s="12">
        <f>SUMIF('Avoided Costs 2012-2020_EGD'!$A:$A,'2012 Actuals_Auditor'!T27&amp;'2012 Actuals_Auditor'!S27,'Avoided Costs 2012-2020_EGD'!$E:$E)*J27</f>
        <v>1260888.0970865826</v>
      </c>
      <c r="V27" s="12">
        <f>SUMIF('Avoided Costs 2012-2020_EGD'!$A:$A,'2012 Actuals_Auditor'!T27&amp;'2012 Actuals_Auditor'!S27,'Avoided Costs 2012-2020_EGD'!$K:$K)*N27</f>
        <v>37940.557908221752</v>
      </c>
      <c r="W27" s="12">
        <f>SUMIF('Avoided Costs 2012-2020_EGD'!$A:$A,'2012 Actuals_Auditor'!T27&amp;'2012 Actuals_Auditor'!S27,'Avoided Costs 2012-2020_EGD'!$M:$M)*R27</f>
        <v>837958.05911248468</v>
      </c>
      <c r="X27" s="12">
        <f t="shared" si="24"/>
        <v>2136786.714107289</v>
      </c>
      <c r="Y27" s="61">
        <f>373796/D27</f>
        <v>5191.6111111111113</v>
      </c>
      <c r="Z27" s="57">
        <f t="shared" si="25"/>
        <v>343892.32</v>
      </c>
      <c r="AB27" s="12">
        <v>0</v>
      </c>
      <c r="AC27" s="57">
        <v>0</v>
      </c>
      <c r="AD27" s="57">
        <f t="shared" si="27"/>
        <v>343892.32</v>
      </c>
      <c r="AE27" s="57">
        <f t="shared" si="28"/>
        <v>1792894.3941072889</v>
      </c>
      <c r="AF27" s="100">
        <f t="shared" si="29"/>
        <v>8277171</v>
      </c>
      <c r="AG27" s="100">
        <f t="shared" si="30"/>
        <v>8996925</v>
      </c>
    </row>
    <row r="28" spans="1:33" x14ac:dyDescent="0.2">
      <c r="A28" s="140" t="s">
        <v>1318</v>
      </c>
      <c r="B28" s="10" t="s">
        <v>105</v>
      </c>
      <c r="C28" s="11" t="s">
        <v>1358</v>
      </c>
      <c r="D28" s="17">
        <v>3</v>
      </c>
      <c r="E28" s="17">
        <f>H28/D28</f>
        <v>2000.6666666666667</v>
      </c>
      <c r="F28" s="53">
        <v>0.05</v>
      </c>
      <c r="G28" s="52">
        <v>0</v>
      </c>
      <c r="H28" s="17">
        <v>6002</v>
      </c>
      <c r="I28" s="17">
        <f t="shared" si="17"/>
        <v>6002</v>
      </c>
      <c r="J28" s="13">
        <f t="shared" si="18"/>
        <v>5701.9</v>
      </c>
      <c r="K28" s="17">
        <v>0</v>
      </c>
      <c r="L28" s="13">
        <f>K28*D28</f>
        <v>0</v>
      </c>
      <c r="M28" s="54">
        <f t="shared" si="31"/>
        <v>0</v>
      </c>
      <c r="N28" s="17">
        <f t="shared" si="20"/>
        <v>0</v>
      </c>
      <c r="O28" s="17">
        <v>0</v>
      </c>
      <c r="P28" s="13">
        <f t="shared" ref="P28:P37" si="33">O28*D28</f>
        <v>0</v>
      </c>
      <c r="Q28" s="54">
        <f t="shared" si="22"/>
        <v>0</v>
      </c>
      <c r="R28" s="13">
        <f t="shared" si="23"/>
        <v>0</v>
      </c>
      <c r="S28" s="17">
        <v>25</v>
      </c>
      <c r="T28" s="62" t="s">
        <v>15</v>
      </c>
      <c r="U28" s="12">
        <f>SUMIF('Avoided Costs 2012-2020_EGD'!$A:$A,'2012 Actuals_Auditor'!T28&amp;'2012 Actuals_Auditor'!S28,'Avoided Costs 2012-2020_EGD'!$E:$E)*J28</f>
        <v>19580.296084299382</v>
      </c>
      <c r="V28" s="12">
        <f>SUMIF('Avoided Costs 2012-2020_EGD'!$A:$A,'2012 Actuals_Auditor'!T28&amp;'2012 Actuals_Auditor'!S28,'Avoided Costs 2012-2020_EGD'!$K:$K)*N28</f>
        <v>0</v>
      </c>
      <c r="W28" s="12">
        <f>SUMIF('Avoided Costs 2012-2020_EGD'!$A:$A,'2012 Actuals_Auditor'!T28&amp;'2012 Actuals_Auditor'!S28,'Avoided Costs 2012-2020_EGD'!$M:$M)*R28</f>
        <v>0</v>
      </c>
      <c r="X28" s="12">
        <f>SUM(U28:W28)</f>
        <v>19580.296084299382</v>
      </c>
      <c r="Y28" s="61">
        <f>4632/D28</f>
        <v>1544</v>
      </c>
      <c r="Z28" s="57">
        <f t="shared" si="25"/>
        <v>4400.3999999999996</v>
      </c>
      <c r="AB28" s="12">
        <v>0</v>
      </c>
      <c r="AC28" s="57">
        <v>0</v>
      </c>
      <c r="AD28" s="57">
        <f t="shared" si="27"/>
        <v>4400.3999999999996</v>
      </c>
      <c r="AE28" s="57">
        <f t="shared" si="28"/>
        <v>15179.896084299382</v>
      </c>
      <c r="AF28" s="100">
        <f t="shared" si="29"/>
        <v>142547.5</v>
      </c>
      <c r="AG28" s="100">
        <f t="shared" si="30"/>
        <v>150050</v>
      </c>
    </row>
    <row r="29" spans="1:33" x14ac:dyDescent="0.2">
      <c r="A29" s="140" t="s">
        <v>1319</v>
      </c>
      <c r="B29" s="10" t="s">
        <v>39</v>
      </c>
      <c r="C29" s="11" t="s">
        <v>1358</v>
      </c>
      <c r="D29" s="17">
        <v>8</v>
      </c>
      <c r="E29" s="17">
        <f>H29/D29</f>
        <v>3915.75</v>
      </c>
      <c r="F29" s="53">
        <v>0.05</v>
      </c>
      <c r="G29" s="52">
        <v>0</v>
      </c>
      <c r="H29" s="17">
        <v>31326</v>
      </c>
      <c r="I29" s="17">
        <f t="shared" si="17"/>
        <v>31326</v>
      </c>
      <c r="J29" s="13">
        <f t="shared" si="18"/>
        <v>29759.699999999997</v>
      </c>
      <c r="K29" s="17">
        <v>0</v>
      </c>
      <c r="L29" s="13">
        <f>K29*D29</f>
        <v>0</v>
      </c>
      <c r="M29" s="54">
        <f t="shared" si="31"/>
        <v>0</v>
      </c>
      <c r="N29" s="17">
        <f t="shared" si="20"/>
        <v>0</v>
      </c>
      <c r="O29" s="17">
        <v>0</v>
      </c>
      <c r="P29" s="13">
        <f t="shared" si="33"/>
        <v>0</v>
      </c>
      <c r="Q29" s="54">
        <f t="shared" si="22"/>
        <v>0</v>
      </c>
      <c r="R29" s="13">
        <f t="shared" si="23"/>
        <v>0</v>
      </c>
      <c r="S29" s="17">
        <v>14</v>
      </c>
      <c r="T29" s="11" t="s">
        <v>15</v>
      </c>
      <c r="U29" s="12">
        <f>SUMIF('Avoided Costs 2012-2020_EGD'!$A:$A,'2012 Actuals_Auditor'!T29&amp;'2012 Actuals_Auditor'!S29,'Avoided Costs 2012-2020_EGD'!$E:$E)*J29</f>
        <v>68461.828548115169</v>
      </c>
      <c r="V29" s="12">
        <f>SUMIF('Avoided Costs 2012-2020_EGD'!$A:$A,'2012 Actuals_Auditor'!T29&amp;'2012 Actuals_Auditor'!S29,'Avoided Costs 2012-2020_EGD'!$K:$K)*N29</f>
        <v>0</v>
      </c>
      <c r="W29" s="12">
        <f>SUMIF('Avoided Costs 2012-2020_EGD'!$A:$A,'2012 Actuals_Auditor'!T29&amp;'2012 Actuals_Auditor'!S29,'Avoided Costs 2012-2020_EGD'!$M:$M)*R29</f>
        <v>0</v>
      </c>
      <c r="X29" s="12">
        <f t="shared" si="24"/>
        <v>68461.828548115169</v>
      </c>
      <c r="Y29" s="61">
        <f>44157.52/D29</f>
        <v>5519.69</v>
      </c>
      <c r="Z29" s="57">
        <f t="shared" si="25"/>
        <v>41949.643999999993</v>
      </c>
      <c r="AB29" s="12">
        <v>0</v>
      </c>
      <c r="AC29" s="57">
        <v>0</v>
      </c>
      <c r="AD29" s="57">
        <f t="shared" si="27"/>
        <v>41949.643999999993</v>
      </c>
      <c r="AE29" s="57">
        <f t="shared" si="28"/>
        <v>26512.184548115176</v>
      </c>
      <c r="AF29" s="100">
        <f t="shared" si="29"/>
        <v>416635.79999999993</v>
      </c>
      <c r="AG29" s="100">
        <f t="shared" si="30"/>
        <v>438564</v>
      </c>
    </row>
    <row r="30" spans="1:33" x14ac:dyDescent="0.2">
      <c r="A30" s="140" t="s">
        <v>1320</v>
      </c>
      <c r="B30" s="10" t="s">
        <v>40</v>
      </c>
      <c r="C30" s="11" t="s">
        <v>1358</v>
      </c>
      <c r="D30" s="17">
        <v>739</v>
      </c>
      <c r="E30" s="17">
        <f>H30/D30</f>
        <v>1908.6332882273343</v>
      </c>
      <c r="F30" s="53">
        <v>0.33</v>
      </c>
      <c r="G30" s="52">
        <v>0</v>
      </c>
      <c r="H30" s="17">
        <v>1410480</v>
      </c>
      <c r="I30" s="17">
        <f t="shared" si="17"/>
        <v>1410480</v>
      </c>
      <c r="J30" s="13">
        <f t="shared" si="18"/>
        <v>945021.59999999986</v>
      </c>
      <c r="K30" s="54">
        <f>L30/D30</f>
        <v>487.94316644113667</v>
      </c>
      <c r="L30" s="13">
        <v>360590</v>
      </c>
      <c r="M30" s="54">
        <f t="shared" si="31"/>
        <v>360590</v>
      </c>
      <c r="N30" s="17">
        <f t="shared" si="20"/>
        <v>241595.3</v>
      </c>
      <c r="O30" s="18">
        <v>0</v>
      </c>
      <c r="P30" s="13">
        <f t="shared" si="33"/>
        <v>0</v>
      </c>
      <c r="Q30" s="54">
        <f t="shared" si="22"/>
        <v>0</v>
      </c>
      <c r="R30" s="13">
        <f t="shared" si="23"/>
        <v>0</v>
      </c>
      <c r="S30" s="17">
        <v>20</v>
      </c>
      <c r="T30" s="11" t="s">
        <v>15</v>
      </c>
      <c r="U30" s="12">
        <f>SUMIF('Avoided Costs 2012-2020_EGD'!$A:$A,'2012 Actuals_Auditor'!T30&amp;'2012 Actuals_Auditor'!S30,'Avoided Costs 2012-2020_EGD'!$E:$E)*J30</f>
        <v>2827248.7557291309</v>
      </c>
      <c r="V30" s="12">
        <f>SUMIF('Avoided Costs 2012-2020_EGD'!$A:$A,'2012 Actuals_Auditor'!T30&amp;'2012 Actuals_Auditor'!S30,'Avoided Costs 2012-2020_EGD'!$K:$K)*N30</f>
        <v>299729.94560875383</v>
      </c>
      <c r="W30" s="12">
        <f>SUMIF('Avoided Costs 2012-2020_EGD'!$A:$A,'2012 Actuals_Auditor'!T30&amp;'2012 Actuals_Auditor'!S30,'Avoided Costs 2012-2020_EGD'!$M:$M)*R30</f>
        <v>0</v>
      </c>
      <c r="X30" s="12">
        <f t="shared" si="24"/>
        <v>3126978.7013378846</v>
      </c>
      <c r="Y30" s="61">
        <f>1176355.8/D30</f>
        <v>1591.8211096075779</v>
      </c>
      <c r="Z30" s="57">
        <f t="shared" si="25"/>
        <v>788158.38599999994</v>
      </c>
      <c r="AB30" s="12">
        <v>0</v>
      </c>
      <c r="AC30" s="57">
        <v>0</v>
      </c>
      <c r="AD30" s="57">
        <f t="shared" si="27"/>
        <v>788158.38599999994</v>
      </c>
      <c r="AE30" s="57">
        <f t="shared" si="28"/>
        <v>2338820.3153378847</v>
      </c>
      <c r="AF30" s="100">
        <f t="shared" si="29"/>
        <v>18900431.999999996</v>
      </c>
      <c r="AG30" s="100">
        <f t="shared" si="30"/>
        <v>28209600</v>
      </c>
    </row>
    <row r="31" spans="1:33" x14ac:dyDescent="0.2">
      <c r="A31" s="140" t="s">
        <v>1321</v>
      </c>
      <c r="B31" s="10" t="s">
        <v>79</v>
      </c>
      <c r="C31" s="11" t="s">
        <v>1358</v>
      </c>
      <c r="D31" s="17">
        <v>3</v>
      </c>
      <c r="E31" s="17">
        <v>154</v>
      </c>
      <c r="F31" s="53">
        <v>0.02</v>
      </c>
      <c r="G31" s="52">
        <v>0</v>
      </c>
      <c r="H31" s="17">
        <f t="shared" ref="H31:H37" si="34">D31*E31</f>
        <v>462</v>
      </c>
      <c r="I31" s="17">
        <f t="shared" si="17"/>
        <v>462</v>
      </c>
      <c r="J31" s="13">
        <f t="shared" si="18"/>
        <v>452.76</v>
      </c>
      <c r="K31" s="17">
        <v>0</v>
      </c>
      <c r="L31" s="13">
        <f t="shared" ref="L31:L37" si="35">K31*D31</f>
        <v>0</v>
      </c>
      <c r="M31" s="54">
        <f>L31</f>
        <v>0</v>
      </c>
      <c r="N31" s="17">
        <f t="shared" si="20"/>
        <v>0</v>
      </c>
      <c r="O31" s="17">
        <v>0</v>
      </c>
      <c r="P31" s="13">
        <f t="shared" si="33"/>
        <v>0</v>
      </c>
      <c r="Q31" s="54">
        <f t="shared" si="22"/>
        <v>0</v>
      </c>
      <c r="R31" s="13">
        <f t="shared" si="23"/>
        <v>0</v>
      </c>
      <c r="S31" s="17">
        <v>18</v>
      </c>
      <c r="T31" s="11" t="s">
        <v>52</v>
      </c>
      <c r="U31" s="12">
        <f>SUMIF('Avoided Costs 2012-2020_EGD'!$A:$A,'2012 Actuals_Auditor'!T31&amp;'2012 Actuals_Auditor'!S31,'Avoided Costs 2012-2020_EGD'!$E:$E)*J31</f>
        <v>1184.4980917680741</v>
      </c>
      <c r="V31" s="12">
        <f>SUMIF('Avoided Costs 2012-2020_EGD'!$A:$A,'2012 Actuals_Auditor'!T31&amp;'2012 Actuals_Auditor'!S31,'Avoided Costs 2012-2020_EGD'!$K:$K)*N31</f>
        <v>0</v>
      </c>
      <c r="W31" s="12">
        <f>SUMIF('Avoided Costs 2012-2020_EGD'!$A:$A,'2012 Actuals_Auditor'!T31&amp;'2012 Actuals_Auditor'!S31,'Avoided Costs 2012-2020_EGD'!$M:$M)*R31</f>
        <v>0</v>
      </c>
      <c r="X31" s="12">
        <f>SUM(U31:W31)</f>
        <v>1184.4980917680741</v>
      </c>
      <c r="Y31" s="61">
        <v>-1102</v>
      </c>
      <c r="Z31" s="57">
        <f t="shared" si="25"/>
        <v>-3239.88</v>
      </c>
      <c r="AB31" s="12">
        <v>0</v>
      </c>
      <c r="AC31" s="57">
        <v>0</v>
      </c>
      <c r="AD31" s="57">
        <f t="shared" si="27"/>
        <v>-3239.88</v>
      </c>
      <c r="AE31" s="57">
        <f t="shared" si="28"/>
        <v>4424.3780917680742</v>
      </c>
      <c r="AF31" s="100">
        <f t="shared" si="29"/>
        <v>8149.68</v>
      </c>
      <c r="AG31" s="100">
        <f t="shared" si="30"/>
        <v>8316</v>
      </c>
    </row>
    <row r="32" spans="1:33" x14ac:dyDescent="0.2">
      <c r="A32" s="140" t="s">
        <v>1322</v>
      </c>
      <c r="B32" s="10" t="s">
        <v>93</v>
      </c>
      <c r="C32" s="11" t="s">
        <v>1358</v>
      </c>
      <c r="D32" s="17">
        <v>23</v>
      </c>
      <c r="E32" s="17">
        <v>801</v>
      </c>
      <c r="F32" s="53">
        <v>0.4</v>
      </c>
      <c r="G32" s="52">
        <v>0</v>
      </c>
      <c r="H32" s="17">
        <f t="shared" si="34"/>
        <v>18423</v>
      </c>
      <c r="I32" s="17">
        <f t="shared" si="17"/>
        <v>18423</v>
      </c>
      <c r="J32" s="13">
        <f t="shared" si="18"/>
        <v>11053.8</v>
      </c>
      <c r="K32" s="17">
        <v>3754</v>
      </c>
      <c r="L32" s="13">
        <f t="shared" si="35"/>
        <v>86342</v>
      </c>
      <c r="M32" s="54">
        <f t="shared" si="31"/>
        <v>86342</v>
      </c>
      <c r="N32" s="17">
        <f t="shared" si="20"/>
        <v>51805.2</v>
      </c>
      <c r="O32" s="18">
        <v>112.795</v>
      </c>
      <c r="P32" s="13">
        <f t="shared" si="33"/>
        <v>2594.2849999999999</v>
      </c>
      <c r="Q32" s="54">
        <f t="shared" si="22"/>
        <v>2594.2849999999999</v>
      </c>
      <c r="R32" s="13">
        <f t="shared" si="23"/>
        <v>1556.5709999999999</v>
      </c>
      <c r="S32" s="17">
        <v>10</v>
      </c>
      <c r="T32" s="11" t="s">
        <v>52</v>
      </c>
      <c r="U32" s="12">
        <f>SUMIF('Avoided Costs 2012-2020_EGD'!$A:$A,'2012 Actuals_Auditor'!T32&amp;'2012 Actuals_Auditor'!S32,'Avoided Costs 2012-2020_EGD'!$E:$E)*J32</f>
        <v>17858.224974383353</v>
      </c>
      <c r="V32" s="12">
        <f>SUMIF('Avoided Costs 2012-2020_EGD'!$A:$A,'2012 Actuals_Auditor'!T32&amp;'2012 Actuals_Auditor'!S32,'Avoided Costs 2012-2020_EGD'!$K:$K)*N32</f>
        <v>39591.711311097613</v>
      </c>
      <c r="W32" s="12">
        <f>SUMIF('Avoided Costs 2012-2020_EGD'!$A:$A,'2012 Actuals_Auditor'!T32&amp;'2012 Actuals_Auditor'!S32,'Avoided Costs 2012-2020_EGD'!$M:$M)*R32</f>
        <v>28627.524863238301</v>
      </c>
      <c r="X32" s="12">
        <f t="shared" si="24"/>
        <v>86077.461148719274</v>
      </c>
      <c r="Y32" s="61">
        <v>-13</v>
      </c>
      <c r="Z32" s="57">
        <f t="shared" si="25"/>
        <v>-179.4</v>
      </c>
      <c r="AB32" s="12">
        <v>0</v>
      </c>
      <c r="AC32" s="57">
        <v>0</v>
      </c>
      <c r="AD32" s="57">
        <f t="shared" si="27"/>
        <v>-179.4</v>
      </c>
      <c r="AE32" s="57">
        <f t="shared" si="28"/>
        <v>86256.861148719268</v>
      </c>
      <c r="AF32" s="100">
        <f t="shared" si="29"/>
        <v>110538</v>
      </c>
      <c r="AG32" s="100">
        <f t="shared" si="30"/>
        <v>184230</v>
      </c>
    </row>
    <row r="33" spans="1:33" x14ac:dyDescent="0.2">
      <c r="A33" s="140" t="s">
        <v>1323</v>
      </c>
      <c r="B33" s="10" t="s">
        <v>94</v>
      </c>
      <c r="C33" s="11" t="s">
        <v>1358</v>
      </c>
      <c r="D33" s="17">
        <v>156</v>
      </c>
      <c r="E33" s="17">
        <v>1083</v>
      </c>
      <c r="F33" s="53">
        <v>0.2</v>
      </c>
      <c r="G33" s="52">
        <v>0</v>
      </c>
      <c r="H33" s="17">
        <f t="shared" si="34"/>
        <v>168948</v>
      </c>
      <c r="I33" s="17">
        <f t="shared" si="17"/>
        <v>168948</v>
      </c>
      <c r="J33" s="13">
        <f t="shared" si="18"/>
        <v>135158.39999999999</v>
      </c>
      <c r="K33" s="17">
        <v>17</v>
      </c>
      <c r="L33" s="13">
        <f t="shared" si="35"/>
        <v>2652</v>
      </c>
      <c r="M33" s="54">
        <f t="shared" si="31"/>
        <v>2652</v>
      </c>
      <c r="N33" s="17">
        <f t="shared" si="20"/>
        <v>2121.6</v>
      </c>
      <c r="O33" s="18">
        <v>0</v>
      </c>
      <c r="P33" s="13">
        <f t="shared" si="33"/>
        <v>0</v>
      </c>
      <c r="Q33" s="54">
        <f t="shared" si="22"/>
        <v>0</v>
      </c>
      <c r="R33" s="13">
        <f t="shared" si="23"/>
        <v>0</v>
      </c>
      <c r="S33" s="17">
        <v>12</v>
      </c>
      <c r="T33" s="11" t="s">
        <v>15</v>
      </c>
      <c r="U33" s="12">
        <f>SUMIF('Avoided Costs 2012-2020_EGD'!$A:$A,'2012 Actuals_Auditor'!T33&amp;'2012 Actuals_Auditor'!S33,'Avoided Costs 2012-2020_EGD'!$E:$E)*J33</f>
        <v>273332.60040484736</v>
      </c>
      <c r="V33" s="12">
        <f>SUMIF('Avoided Costs 2012-2020_EGD'!$A:$A,'2012 Actuals_Auditor'!T33&amp;'2012 Actuals_Auditor'!S33,'Avoided Costs 2012-2020_EGD'!$K:$K)*N33</f>
        <v>1862.6198658701658</v>
      </c>
      <c r="W33" s="12">
        <f>SUMIF('Avoided Costs 2012-2020_EGD'!$A:$A,'2012 Actuals_Auditor'!T33&amp;'2012 Actuals_Auditor'!S33,'Avoided Costs 2012-2020_EGD'!$M:$M)*R33</f>
        <v>0</v>
      </c>
      <c r="X33" s="12">
        <f>SUM(U33:W33)</f>
        <v>275195.22027071752</v>
      </c>
      <c r="Y33" s="61">
        <v>1028</v>
      </c>
      <c r="Z33" s="57">
        <f t="shared" si="25"/>
        <v>128294.40000000001</v>
      </c>
      <c r="AB33" s="12">
        <v>0</v>
      </c>
      <c r="AC33" s="57">
        <v>0</v>
      </c>
      <c r="AD33" s="57">
        <f t="shared" si="27"/>
        <v>128294.40000000001</v>
      </c>
      <c r="AE33" s="57">
        <f t="shared" si="28"/>
        <v>146900.82027071749</v>
      </c>
      <c r="AF33" s="100">
        <f t="shared" si="29"/>
        <v>1621900.7999999998</v>
      </c>
      <c r="AG33" s="100">
        <f t="shared" si="30"/>
        <v>2027376</v>
      </c>
    </row>
    <row r="34" spans="1:33" x14ac:dyDescent="0.2">
      <c r="A34" s="140" t="s">
        <v>1324</v>
      </c>
      <c r="B34" s="10" t="s">
        <v>95</v>
      </c>
      <c r="C34" s="11" t="s">
        <v>1358</v>
      </c>
      <c r="D34" s="17">
        <v>82</v>
      </c>
      <c r="E34" s="17">
        <v>619</v>
      </c>
      <c r="F34" s="53">
        <v>0.2</v>
      </c>
      <c r="G34" s="52">
        <v>0</v>
      </c>
      <c r="H34" s="17">
        <f t="shared" si="34"/>
        <v>50758</v>
      </c>
      <c r="I34" s="17">
        <f t="shared" si="17"/>
        <v>50758</v>
      </c>
      <c r="J34" s="13">
        <f t="shared" si="18"/>
        <v>40606.400000000001</v>
      </c>
      <c r="K34" s="17">
        <v>3553</v>
      </c>
      <c r="L34" s="13">
        <f t="shared" si="35"/>
        <v>291346</v>
      </c>
      <c r="M34" s="54">
        <f t="shared" si="31"/>
        <v>291346</v>
      </c>
      <c r="N34" s="17">
        <f t="shared" si="20"/>
        <v>233076.80000000002</v>
      </c>
      <c r="O34" s="18">
        <v>87.119</v>
      </c>
      <c r="P34" s="13">
        <f t="shared" si="33"/>
        <v>7143.7579999999998</v>
      </c>
      <c r="Q34" s="54">
        <f t="shared" si="22"/>
        <v>7143.7579999999998</v>
      </c>
      <c r="R34" s="13">
        <f t="shared" si="23"/>
        <v>5715.0064000000002</v>
      </c>
      <c r="S34" s="17">
        <v>15</v>
      </c>
      <c r="T34" s="11" t="s">
        <v>52</v>
      </c>
      <c r="U34" s="12">
        <f>SUMIF('Avoided Costs 2012-2020_EGD'!$A:$A,'2012 Actuals_Auditor'!T34&amp;'2012 Actuals_Auditor'!S34,'Avoided Costs 2012-2020_EGD'!$E:$E)*J34</f>
        <v>92785.553951108304</v>
      </c>
      <c r="V34" s="12">
        <f>SUMIF('Avoided Costs 2012-2020_EGD'!$A:$A,'2012 Actuals_Auditor'!T34&amp;'2012 Actuals_Auditor'!S34,'Avoided Costs 2012-2020_EGD'!$K:$K)*N34</f>
        <v>240018.62560032777</v>
      </c>
      <c r="W34" s="12">
        <f>SUMIF('Avoided Costs 2012-2020_EGD'!$A:$A,'2012 Actuals_Auditor'!T34&amp;'2012 Actuals_Auditor'!S34,'Avoided Costs 2012-2020_EGD'!$M:$M)*R34</f>
        <v>141627.16600971643</v>
      </c>
      <c r="X34" s="12">
        <f>SUM(U34:W34)</f>
        <v>474431.34556115256</v>
      </c>
      <c r="Y34" s="61">
        <v>-350</v>
      </c>
      <c r="Z34" s="57">
        <f t="shared" si="25"/>
        <v>-22960</v>
      </c>
      <c r="AB34" s="12">
        <v>0</v>
      </c>
      <c r="AC34" s="57">
        <v>0</v>
      </c>
      <c r="AD34" s="57">
        <f t="shared" si="27"/>
        <v>-22960</v>
      </c>
      <c r="AE34" s="57">
        <f t="shared" si="28"/>
        <v>497391.34556115256</v>
      </c>
      <c r="AF34" s="100">
        <f t="shared" si="29"/>
        <v>609096</v>
      </c>
      <c r="AG34" s="100">
        <f t="shared" si="30"/>
        <v>761370</v>
      </c>
    </row>
    <row r="35" spans="1:33" x14ac:dyDescent="0.2">
      <c r="A35" s="140" t="s">
        <v>1325</v>
      </c>
      <c r="B35" s="10" t="s">
        <v>96</v>
      </c>
      <c r="C35" s="11" t="s">
        <v>1358</v>
      </c>
      <c r="D35" s="17">
        <v>116</v>
      </c>
      <c r="E35" s="17">
        <v>841</v>
      </c>
      <c r="F35" s="53">
        <v>0.2</v>
      </c>
      <c r="G35" s="52">
        <v>0</v>
      </c>
      <c r="H35" s="17">
        <f t="shared" si="34"/>
        <v>97556</v>
      </c>
      <c r="I35" s="17">
        <f t="shared" si="17"/>
        <v>97556</v>
      </c>
      <c r="J35" s="13">
        <f t="shared" si="18"/>
        <v>78044.800000000003</v>
      </c>
      <c r="K35" s="17">
        <v>855</v>
      </c>
      <c r="L35" s="13">
        <f t="shared" si="35"/>
        <v>99180</v>
      </c>
      <c r="M35" s="54">
        <f t="shared" si="31"/>
        <v>99180</v>
      </c>
      <c r="N35" s="17">
        <f t="shared" si="20"/>
        <v>79344</v>
      </c>
      <c r="O35" s="18">
        <v>118.369</v>
      </c>
      <c r="P35" s="13">
        <f t="shared" si="33"/>
        <v>13730.804</v>
      </c>
      <c r="Q35" s="54">
        <f t="shared" si="22"/>
        <v>13730.804</v>
      </c>
      <c r="R35" s="13">
        <f t="shared" si="23"/>
        <v>10984.6432</v>
      </c>
      <c r="S35" s="17">
        <v>15</v>
      </c>
      <c r="T35" s="11" t="s">
        <v>52</v>
      </c>
      <c r="U35" s="12">
        <f>SUMIF('Avoided Costs 2012-2020_EGD'!$A:$A,'2012 Actuals_Auditor'!T35&amp;'2012 Actuals_Auditor'!S35,'Avoided Costs 2012-2020_EGD'!$E:$E)*J35</f>
        <v>178332.2333672391</v>
      </c>
      <c r="V35" s="12">
        <f>SUMIF('Avoided Costs 2012-2020_EGD'!$A:$A,'2012 Actuals_Auditor'!T35&amp;'2012 Actuals_Auditor'!S35,'Avoided Costs 2012-2020_EGD'!$K:$K)*N35</f>
        <v>81707.136144105316</v>
      </c>
      <c r="W35" s="12">
        <f>SUMIF('Avoided Costs 2012-2020_EGD'!$A:$A,'2012 Actuals_Auditor'!T35&amp;'2012 Actuals_Auditor'!S35,'Avoided Costs 2012-2020_EGD'!$M:$M)*R35</f>
        <v>272217.34800575249</v>
      </c>
      <c r="X35" s="12">
        <f>SUM(U35:W35)</f>
        <v>532256.7175170969</v>
      </c>
      <c r="Y35" s="61">
        <v>-350</v>
      </c>
      <c r="Z35" s="57">
        <f t="shared" si="25"/>
        <v>-32480</v>
      </c>
      <c r="AB35" s="12">
        <v>0</v>
      </c>
      <c r="AC35" s="57">
        <v>0</v>
      </c>
      <c r="AD35" s="57">
        <f t="shared" si="27"/>
        <v>-32480</v>
      </c>
      <c r="AE35" s="57">
        <f t="shared" si="28"/>
        <v>564736.7175170969</v>
      </c>
      <c r="AF35" s="100">
        <f t="shared" si="29"/>
        <v>1170672</v>
      </c>
      <c r="AG35" s="100">
        <f t="shared" si="30"/>
        <v>1463340</v>
      </c>
    </row>
    <row r="36" spans="1:33" x14ac:dyDescent="0.2">
      <c r="A36" s="140" t="s">
        <v>1326</v>
      </c>
      <c r="B36" s="10" t="s">
        <v>97</v>
      </c>
      <c r="C36" s="11" t="s">
        <v>1358</v>
      </c>
      <c r="D36" s="17">
        <v>59</v>
      </c>
      <c r="E36" s="17">
        <v>2203</v>
      </c>
      <c r="F36" s="53">
        <v>0.27</v>
      </c>
      <c r="G36" s="52">
        <v>0</v>
      </c>
      <c r="H36" s="17">
        <f t="shared" si="34"/>
        <v>129977</v>
      </c>
      <c r="I36" s="17">
        <f t="shared" si="17"/>
        <v>129977</v>
      </c>
      <c r="J36" s="13">
        <f t="shared" si="18"/>
        <v>94883.209999999992</v>
      </c>
      <c r="K36" s="17">
        <v>9811</v>
      </c>
      <c r="L36" s="13">
        <f t="shared" si="35"/>
        <v>578849</v>
      </c>
      <c r="M36" s="54">
        <f t="shared" si="31"/>
        <v>578849</v>
      </c>
      <c r="N36" s="17">
        <f t="shared" si="20"/>
        <v>422559.77</v>
      </c>
      <c r="O36" s="18">
        <v>310.27100000000002</v>
      </c>
      <c r="P36" s="13">
        <f t="shared" si="33"/>
        <v>18305.989000000001</v>
      </c>
      <c r="Q36" s="54">
        <f t="shared" si="22"/>
        <v>18305.989000000001</v>
      </c>
      <c r="R36" s="13">
        <f t="shared" si="23"/>
        <v>13363.37197</v>
      </c>
      <c r="S36" s="17">
        <v>20</v>
      </c>
      <c r="T36" s="11" t="s">
        <v>52</v>
      </c>
      <c r="U36" s="12">
        <f>SUMIF('Avoided Costs 2012-2020_EGD'!$A:$A,'2012 Actuals_Auditor'!T36&amp;'2012 Actuals_Auditor'!S36,'Avoided Costs 2012-2020_EGD'!$E:$E)*J36</f>
        <v>266808.33926186332</v>
      </c>
      <c r="V36" s="12">
        <f>SUMIF('Avoided Costs 2012-2020_EGD'!$A:$A,'2012 Actuals_Auditor'!T36&amp;'2012 Actuals_Auditor'!S36,'Avoided Costs 2012-2020_EGD'!$K:$K)*N36</f>
        <v>524239.57286647358</v>
      </c>
      <c r="W36" s="12">
        <f>SUMIF('Avoided Costs 2012-2020_EGD'!$A:$A,'2012 Actuals_Auditor'!T36&amp;'2012 Actuals_Auditor'!S36,'Avoided Costs 2012-2020_EGD'!$M:$M)*R36</f>
        <v>398971.301020919</v>
      </c>
      <c r="X36" s="12">
        <f t="shared" si="24"/>
        <v>1190019.2131492561</v>
      </c>
      <c r="Y36" s="61">
        <v>2375</v>
      </c>
      <c r="Z36" s="57">
        <f t="shared" si="25"/>
        <v>102291.25</v>
      </c>
      <c r="AB36" s="12">
        <v>0</v>
      </c>
      <c r="AC36" s="57">
        <v>0</v>
      </c>
      <c r="AD36" s="57">
        <f t="shared" si="27"/>
        <v>102291.25</v>
      </c>
      <c r="AE36" s="57">
        <f t="shared" si="28"/>
        <v>1087727.9631492561</v>
      </c>
      <c r="AF36" s="100">
        <f t="shared" si="29"/>
        <v>1897664.1999999997</v>
      </c>
      <c r="AG36" s="100">
        <f t="shared" si="30"/>
        <v>2599540</v>
      </c>
    </row>
    <row r="37" spans="1:33" x14ac:dyDescent="0.2">
      <c r="A37" s="140" t="s">
        <v>1327</v>
      </c>
      <c r="B37" s="10" t="s">
        <v>98</v>
      </c>
      <c r="C37" s="11" t="s">
        <v>1358</v>
      </c>
      <c r="D37" s="17">
        <v>1</v>
      </c>
      <c r="E37" s="17">
        <v>1677</v>
      </c>
      <c r="F37" s="53">
        <v>0.2</v>
      </c>
      <c r="G37" s="52">
        <v>0</v>
      </c>
      <c r="H37" s="17">
        <f t="shared" si="34"/>
        <v>1677</v>
      </c>
      <c r="I37" s="17">
        <f t="shared" si="17"/>
        <v>1677</v>
      </c>
      <c r="J37" s="13">
        <f t="shared" si="18"/>
        <v>1341.6000000000001</v>
      </c>
      <c r="K37" s="17">
        <v>12</v>
      </c>
      <c r="L37" s="13">
        <f t="shared" si="35"/>
        <v>12</v>
      </c>
      <c r="M37" s="54">
        <f t="shared" si="31"/>
        <v>12</v>
      </c>
      <c r="N37" s="17">
        <f t="shared" si="20"/>
        <v>9.6000000000000014</v>
      </c>
      <c r="O37" s="18">
        <v>0</v>
      </c>
      <c r="P37" s="13">
        <f t="shared" si="33"/>
        <v>0</v>
      </c>
      <c r="Q37" s="54">
        <f t="shared" si="22"/>
        <v>0</v>
      </c>
      <c r="R37" s="13">
        <f t="shared" si="23"/>
        <v>0</v>
      </c>
      <c r="S37" s="17">
        <v>12</v>
      </c>
      <c r="T37" s="11" t="s">
        <v>15</v>
      </c>
      <c r="U37" s="12">
        <f>SUMIF('Avoided Costs 2012-2020_EGD'!$A:$A,'2012 Actuals_Auditor'!T37&amp;'2012 Actuals_Auditor'!S37,'Avoided Costs 2012-2020_EGD'!$E:$E)*J37</f>
        <v>2713.1352302420219</v>
      </c>
      <c r="V37" s="12">
        <f>SUMIF('Avoided Costs 2012-2020_EGD'!$A:$A,'2012 Actuals_Auditor'!T37&amp;'2012 Actuals_Auditor'!S37,'Avoided Costs 2012-2020_EGD'!$K:$K)*N37</f>
        <v>8.4281441894577647</v>
      </c>
      <c r="W37" s="12">
        <f>SUMIF('Avoided Costs 2012-2020_EGD'!$A:$A,'2012 Actuals_Auditor'!T37&amp;'2012 Actuals_Auditor'!S37,'Avoided Costs 2012-2020_EGD'!$M:$M)*R37</f>
        <v>0</v>
      </c>
      <c r="X37" s="12">
        <f>SUM(U37:W37)</f>
        <v>2721.5633744314796</v>
      </c>
      <c r="Y37" s="61">
        <v>1270</v>
      </c>
      <c r="Z37" s="57">
        <f t="shared" si="25"/>
        <v>1016</v>
      </c>
      <c r="AB37" s="12">
        <v>0</v>
      </c>
      <c r="AC37" s="57">
        <v>0</v>
      </c>
      <c r="AD37" s="57">
        <f t="shared" si="27"/>
        <v>1016</v>
      </c>
      <c r="AE37" s="57">
        <f t="shared" si="28"/>
        <v>1705.5633744314796</v>
      </c>
      <c r="AF37" s="100">
        <f t="shared" si="29"/>
        <v>16099.2</v>
      </c>
      <c r="AG37" s="100">
        <f t="shared" si="30"/>
        <v>20124</v>
      </c>
    </row>
    <row r="38" spans="1:33" x14ac:dyDescent="0.2">
      <c r="A38" s="140" t="s">
        <v>1312</v>
      </c>
      <c r="B38" s="10" t="s">
        <v>1313</v>
      </c>
      <c r="F38" s="53"/>
      <c r="J38" s="13"/>
      <c r="L38" s="13"/>
      <c r="P38" s="13"/>
      <c r="R38" s="13"/>
      <c r="T38" s="62"/>
      <c r="Z38" s="57"/>
      <c r="AB38" s="12">
        <v>23573.75</v>
      </c>
      <c r="AC38" s="57">
        <f>AB38+AA38</f>
        <v>23573.75</v>
      </c>
      <c r="AD38" s="57">
        <f t="shared" si="27"/>
        <v>23573.75</v>
      </c>
      <c r="AE38" s="57">
        <f t="shared" si="28"/>
        <v>-23573.75</v>
      </c>
      <c r="AF38" s="100">
        <f t="shared" si="29"/>
        <v>0</v>
      </c>
      <c r="AG38" s="100">
        <f t="shared" si="30"/>
        <v>0</v>
      </c>
    </row>
    <row r="39" spans="1:33" x14ac:dyDescent="0.2">
      <c r="A39" s="224" t="s">
        <v>106</v>
      </c>
      <c r="B39" s="224"/>
      <c r="C39" s="135"/>
      <c r="D39" s="131">
        <f>SUM(D16:D38)</f>
        <v>1417</v>
      </c>
      <c r="E39" s="131"/>
      <c r="F39" s="132"/>
      <c r="G39" s="133"/>
      <c r="H39" s="131">
        <f>SUM(H16:H38)</f>
        <v>3429652</v>
      </c>
      <c r="I39" s="131">
        <f>SUM(I16:I38)</f>
        <v>3429652</v>
      </c>
      <c r="J39" s="131">
        <f>SUM(J16:J38)</f>
        <v>2762371.169999999</v>
      </c>
      <c r="K39" s="131"/>
      <c r="L39" s="131">
        <f>SUM(L16:L38)</f>
        <v>2255427</v>
      </c>
      <c r="M39" s="131">
        <f>SUM(M16:M38)</f>
        <v>2255427</v>
      </c>
      <c r="N39" s="131">
        <f>SUM(N16:N38)</f>
        <v>1823944.0600000003</v>
      </c>
      <c r="O39" s="134"/>
      <c r="P39" s="131">
        <f>SUM(P16:P38)</f>
        <v>78528.83600000001</v>
      </c>
      <c r="Q39" s="131">
        <f>SUM(Q16:Q38)</f>
        <v>78528.83600000001</v>
      </c>
      <c r="R39" s="131">
        <f>SUM(R16:R38)</f>
        <v>65433.272570000001</v>
      </c>
      <c r="S39" s="131"/>
      <c r="T39" s="135"/>
      <c r="U39" s="131">
        <f>SUM(U16:U38)</f>
        <v>7209354.8479279</v>
      </c>
      <c r="V39" s="131">
        <f>SUM(V16:V38)</f>
        <v>2004220.9464599444</v>
      </c>
      <c r="W39" s="131">
        <f>SUM(W16:W38)</f>
        <v>1679401.3990121111</v>
      </c>
      <c r="X39" s="131">
        <f>SUM(X16:X38)</f>
        <v>10892977.193399953</v>
      </c>
      <c r="Y39" s="136"/>
      <c r="Z39" s="131">
        <f>SUM(Z16:Z38)</f>
        <v>2226914.9650000003</v>
      </c>
      <c r="AA39" s="225">
        <v>166244.6</v>
      </c>
      <c r="AB39" s="225">
        <f t="shared" ref="AB39:AG39" si="36">SUM(AB16:AB38)</f>
        <v>23573.75</v>
      </c>
      <c r="AC39" s="225">
        <f t="shared" si="36"/>
        <v>23573.75</v>
      </c>
      <c r="AD39" s="225">
        <f t="shared" si="36"/>
        <v>2250488.7150000003</v>
      </c>
      <c r="AE39" s="225">
        <f t="shared" si="36"/>
        <v>8642488.4783999529</v>
      </c>
      <c r="AF39" s="226">
        <f t="shared" si="36"/>
        <v>47373803.280000001</v>
      </c>
      <c r="AG39" s="226">
        <f t="shared" si="36"/>
        <v>59809853</v>
      </c>
    </row>
    <row r="40" spans="1:33" x14ac:dyDescent="0.2">
      <c r="A40" s="60"/>
      <c r="B40" s="59"/>
      <c r="C40" s="56"/>
      <c r="F40" s="17"/>
      <c r="G40" s="17"/>
      <c r="M40" s="17"/>
      <c r="O40" s="17"/>
      <c r="P40" s="17"/>
      <c r="Q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x14ac:dyDescent="0.2">
      <c r="A41" s="140"/>
      <c r="B41" s="10" t="s">
        <v>1360</v>
      </c>
      <c r="K41" s="130">
        <f>SUMPRODUCT(J624:J625,S624:S625)/SUM(J624:J625)</f>
        <v>17.964829327104212</v>
      </c>
      <c r="L41" s="130">
        <f>SUMPRODUCT(J1186:J1187,S1186:S1187)/SUM(J1186:J1187)</f>
        <v>15</v>
      </c>
      <c r="AF41" s="100"/>
      <c r="AG41" s="100"/>
    </row>
    <row r="42" spans="1:33" x14ac:dyDescent="0.2">
      <c r="A42" s="140" t="s">
        <v>186</v>
      </c>
      <c r="B42" s="10" t="s">
        <v>187</v>
      </c>
      <c r="H42" s="52">
        <v>0.95588671063153829</v>
      </c>
      <c r="K42" s="227"/>
      <c r="L42" s="52">
        <v>1</v>
      </c>
      <c r="M42" s="227"/>
      <c r="O42" s="21"/>
      <c r="P42" s="53">
        <v>1</v>
      </c>
      <c r="Q42" s="227"/>
      <c r="R42" s="13"/>
      <c r="S42" s="13"/>
      <c r="Z42" s="57"/>
      <c r="AA42" s="57"/>
      <c r="AC42" s="57"/>
      <c r="AD42" s="57"/>
      <c r="AE42" s="57"/>
      <c r="AF42" s="100"/>
      <c r="AG42" s="100"/>
    </row>
    <row r="43" spans="1:33" s="68" customFormat="1" x14ac:dyDescent="0.2">
      <c r="A43" s="141" t="s">
        <v>189</v>
      </c>
      <c r="B43" s="141"/>
      <c r="C43" s="141"/>
      <c r="D43" s="142">
        <v>1</v>
      </c>
      <c r="E43" s="143"/>
      <c r="F43" s="144">
        <v>0.12</v>
      </c>
      <c r="G43" s="144"/>
      <c r="H43" s="67">
        <v>40488</v>
      </c>
      <c r="I43" s="122">
        <f t="shared" ref="I43:I56" si="37">+$H$42*H43</f>
        <v>38701.941140049719</v>
      </c>
      <c r="J43" s="67">
        <f t="shared" ref="J43:J56" si="38">I43*(1-F43)</f>
        <v>34057.708203243754</v>
      </c>
      <c r="K43" s="143"/>
      <c r="L43" s="143">
        <v>-5900</v>
      </c>
      <c r="M43" s="63">
        <f>+$L$42*L43</f>
        <v>-5900</v>
      </c>
      <c r="N43" s="63">
        <f t="shared" ref="N43:N56" si="39">M43*(1-F43)</f>
        <v>-5192</v>
      </c>
      <c r="O43" s="143"/>
      <c r="P43" s="143">
        <v>0</v>
      </c>
      <c r="Q43" s="63">
        <f t="shared" ref="Q43:Q56" si="40">+P43*$P$42</f>
        <v>0</v>
      </c>
      <c r="R43" s="64">
        <f t="shared" ref="R43:R56" si="41">Q43*(1-F43)</f>
        <v>0</v>
      </c>
      <c r="S43" s="142">
        <v>15</v>
      </c>
      <c r="T43" s="145" t="s">
        <v>15</v>
      </c>
      <c r="U43" s="65">
        <f>SUMIF('Avoided Costs 2012-2020_EGD'!$A:$A,'2012 Actuals_Auditor'!T43&amp;'2012 Actuals_Auditor'!S43,'Avoided Costs 2012-2020_EGD'!$E:$E)*J43</f>
        <v>82756.95718270677</v>
      </c>
      <c r="V43" s="65">
        <f>SUMIF('Avoided Costs 2012-2020_EGD'!$A:$A,'2012 Actuals_Auditor'!T43&amp;'2012 Actuals_Auditor'!S43,'Avoided Costs 2012-2020_EGD'!$K:$K)*N43</f>
        <v>-5346.6355472398009</v>
      </c>
      <c r="W43" s="65">
        <f>SUMIF('Avoided Costs 2012-2020_EGD'!$A:$A,'2012 Actuals_Auditor'!T43&amp;'2012 Actuals_Auditor'!S43,'Avoided Costs 2012-2020_EGD'!$M:$M)*R43</f>
        <v>0</v>
      </c>
      <c r="X43" s="65">
        <f>SUM(U43:W43)</f>
        <v>77410.321635466971</v>
      </c>
      <c r="Y43" s="146">
        <v>25000</v>
      </c>
      <c r="Z43" s="66">
        <f t="shared" ref="Z43:Z56" si="42">Y43*(1-F43)</f>
        <v>22000</v>
      </c>
      <c r="AA43" s="66"/>
      <c r="AB43" s="66"/>
      <c r="AC43" s="66"/>
      <c r="AD43" s="66">
        <f t="shared" ref="AD43:AD57" si="43">Z43+AB43</f>
        <v>22000</v>
      </c>
      <c r="AE43" s="66">
        <f t="shared" ref="AE43:AE57" si="44">X43-AD43</f>
        <v>55410.321635466971</v>
      </c>
      <c r="AF43" s="101">
        <f t="shared" ref="AF43:AF56" si="45">J43*S43</f>
        <v>510865.62304865633</v>
      </c>
      <c r="AG43" s="101">
        <f t="shared" ref="AG43:AG56" si="46">(I43*S43)</f>
        <v>580529.11710074579</v>
      </c>
    </row>
    <row r="44" spans="1:33" s="68" customFormat="1" x14ac:dyDescent="0.2">
      <c r="A44" s="141" t="s">
        <v>190</v>
      </c>
      <c r="B44" s="141"/>
      <c r="C44" s="141"/>
      <c r="D44" s="142">
        <v>0</v>
      </c>
      <c r="E44" s="143"/>
      <c r="F44" s="144">
        <v>0.12</v>
      </c>
      <c r="G44" s="144"/>
      <c r="H44" s="67">
        <v>15875</v>
      </c>
      <c r="I44" s="67">
        <f t="shared" si="37"/>
        <v>15174.70153127567</v>
      </c>
      <c r="J44" s="67">
        <f t="shared" si="38"/>
        <v>13353.73734752259</v>
      </c>
      <c r="K44" s="143"/>
      <c r="L44" s="143">
        <v>0</v>
      </c>
      <c r="M44" s="63">
        <f t="shared" ref="M44:M56" si="47">+$L$42*L44</f>
        <v>0</v>
      </c>
      <c r="N44" s="63">
        <f t="shared" si="39"/>
        <v>0</v>
      </c>
      <c r="O44" s="143"/>
      <c r="P44" s="143">
        <v>0</v>
      </c>
      <c r="Q44" s="63">
        <f t="shared" si="40"/>
        <v>0</v>
      </c>
      <c r="R44" s="64">
        <f t="shared" si="41"/>
        <v>0</v>
      </c>
      <c r="S44" s="142">
        <v>25</v>
      </c>
      <c r="T44" s="145" t="s">
        <v>52</v>
      </c>
      <c r="U44" s="65">
        <f>SUMIF('Avoided Costs 2012-2020_EGD'!$A:$A,'2012 Actuals_Auditor'!T44&amp;'2012 Actuals_Auditor'!S44,'Avoided Costs 2012-2020_EGD'!$E:$E)*J44</f>
        <v>43089.727740645721</v>
      </c>
      <c r="V44" s="65">
        <f>SUMIF('Avoided Costs 2012-2020_EGD'!$A:$A,'2012 Actuals_Auditor'!T44&amp;'2012 Actuals_Auditor'!S44,'Avoided Costs 2012-2020_EGD'!$K:$K)*N44</f>
        <v>0</v>
      </c>
      <c r="W44" s="65">
        <f>SUMIF('Avoided Costs 2012-2020_EGD'!$A:$A,'2012 Actuals_Auditor'!T44&amp;'2012 Actuals_Auditor'!S44,'Avoided Costs 2012-2020_EGD'!$M:$M)*R44</f>
        <v>0</v>
      </c>
      <c r="X44" s="65">
        <f t="shared" ref="X44:X56" si="48">SUM(U44:W44)</f>
        <v>43089.727740645721</v>
      </c>
      <c r="Y44" s="146">
        <v>31527</v>
      </c>
      <c r="Z44" s="66">
        <f t="shared" si="42"/>
        <v>27743.759999999998</v>
      </c>
      <c r="AA44" s="66"/>
      <c r="AB44" s="66"/>
      <c r="AC44" s="66"/>
      <c r="AD44" s="66">
        <f t="shared" si="43"/>
        <v>27743.759999999998</v>
      </c>
      <c r="AE44" s="66">
        <f t="shared" si="44"/>
        <v>15345.967740645723</v>
      </c>
      <c r="AF44" s="101">
        <f t="shared" si="45"/>
        <v>333843.43368806475</v>
      </c>
      <c r="AG44" s="101">
        <f t="shared" si="46"/>
        <v>379367.53828189173</v>
      </c>
    </row>
    <row r="45" spans="1:33" s="68" customFormat="1" x14ac:dyDescent="0.2">
      <c r="A45" s="141" t="s">
        <v>191</v>
      </c>
      <c r="B45" s="141"/>
      <c r="C45" s="141"/>
      <c r="D45" s="142">
        <v>1</v>
      </c>
      <c r="E45" s="143"/>
      <c r="F45" s="144">
        <v>0.12</v>
      </c>
      <c r="G45" s="144"/>
      <c r="H45" s="67">
        <v>15875</v>
      </c>
      <c r="I45" s="67">
        <f t="shared" si="37"/>
        <v>15174.70153127567</v>
      </c>
      <c r="J45" s="67">
        <f t="shared" si="38"/>
        <v>13353.73734752259</v>
      </c>
      <c r="K45" s="143"/>
      <c r="L45" s="143">
        <v>0</v>
      </c>
      <c r="M45" s="63">
        <f t="shared" si="47"/>
        <v>0</v>
      </c>
      <c r="N45" s="63">
        <f t="shared" si="39"/>
        <v>0</v>
      </c>
      <c r="O45" s="143"/>
      <c r="P45" s="143">
        <v>0</v>
      </c>
      <c r="Q45" s="63">
        <f t="shared" si="40"/>
        <v>0</v>
      </c>
      <c r="R45" s="64">
        <f t="shared" si="41"/>
        <v>0</v>
      </c>
      <c r="S45" s="142">
        <v>15</v>
      </c>
      <c r="T45" s="145" t="s">
        <v>52</v>
      </c>
      <c r="U45" s="65">
        <f>SUMIF('Avoided Costs 2012-2020_EGD'!$A:$A,'2012 Actuals_Auditor'!T45&amp;'2012 Actuals_Auditor'!S45,'Avoided Costs 2012-2020_EGD'!$E:$E)*J45</f>
        <v>30513.266802954389</v>
      </c>
      <c r="V45" s="65">
        <f>SUMIF('Avoided Costs 2012-2020_EGD'!$A:$A,'2012 Actuals_Auditor'!T45&amp;'2012 Actuals_Auditor'!S45,'Avoided Costs 2012-2020_EGD'!$K:$K)*N45</f>
        <v>0</v>
      </c>
      <c r="W45" s="65">
        <f>SUMIF('Avoided Costs 2012-2020_EGD'!$A:$A,'2012 Actuals_Auditor'!T45&amp;'2012 Actuals_Auditor'!S45,'Avoided Costs 2012-2020_EGD'!$M:$M)*R45</f>
        <v>0</v>
      </c>
      <c r="X45" s="65">
        <f t="shared" si="48"/>
        <v>30513.266802954389</v>
      </c>
      <c r="Y45" s="146">
        <v>8588</v>
      </c>
      <c r="Z45" s="66">
        <f t="shared" si="42"/>
        <v>7557.44</v>
      </c>
      <c r="AA45" s="66"/>
      <c r="AB45" s="66"/>
      <c r="AC45" s="66"/>
      <c r="AD45" s="66">
        <f t="shared" si="43"/>
        <v>7557.44</v>
      </c>
      <c r="AE45" s="66">
        <f t="shared" si="44"/>
        <v>22955.826802954391</v>
      </c>
      <c r="AF45" s="101">
        <f t="shared" si="45"/>
        <v>200306.06021283887</v>
      </c>
      <c r="AG45" s="101">
        <f t="shared" si="46"/>
        <v>227620.52296913505</v>
      </c>
    </row>
    <row r="46" spans="1:33" s="68" customFormat="1" x14ac:dyDescent="0.2">
      <c r="A46" s="141" t="s">
        <v>192</v>
      </c>
      <c r="B46" s="141"/>
      <c r="C46" s="141"/>
      <c r="D46" s="142">
        <v>0</v>
      </c>
      <c r="E46" s="143"/>
      <c r="F46" s="144">
        <v>0.12</v>
      </c>
      <c r="G46" s="144"/>
      <c r="H46" s="67">
        <v>109293</v>
      </c>
      <c r="I46" s="67">
        <f t="shared" si="37"/>
        <v>104471.72626505271</v>
      </c>
      <c r="J46" s="67">
        <f t="shared" si="38"/>
        <v>91935.119113246386</v>
      </c>
      <c r="K46" s="143"/>
      <c r="L46" s="143">
        <v>0</v>
      </c>
      <c r="M46" s="63">
        <f t="shared" si="47"/>
        <v>0</v>
      </c>
      <c r="N46" s="63">
        <f t="shared" si="39"/>
        <v>0</v>
      </c>
      <c r="O46" s="143"/>
      <c r="P46" s="143">
        <v>0</v>
      </c>
      <c r="Q46" s="63">
        <f t="shared" si="40"/>
        <v>0</v>
      </c>
      <c r="R46" s="64">
        <f t="shared" si="41"/>
        <v>0</v>
      </c>
      <c r="S46" s="142">
        <v>15</v>
      </c>
      <c r="T46" s="145" t="s">
        <v>15</v>
      </c>
      <c r="U46" s="65">
        <f>SUMIF('Avoided Costs 2012-2020_EGD'!$A:$A,'2012 Actuals_Auditor'!T46&amp;'2012 Actuals_Auditor'!S46,'Avoided Costs 2012-2020_EGD'!$E:$E)*J46</f>
        <v>223393.50230610481</v>
      </c>
      <c r="V46" s="65">
        <f>SUMIF('Avoided Costs 2012-2020_EGD'!$A:$A,'2012 Actuals_Auditor'!T46&amp;'2012 Actuals_Auditor'!S46,'Avoided Costs 2012-2020_EGD'!$K:$K)*N46</f>
        <v>0</v>
      </c>
      <c r="W46" s="65">
        <f>SUMIF('Avoided Costs 2012-2020_EGD'!$A:$A,'2012 Actuals_Auditor'!T46&amp;'2012 Actuals_Auditor'!S46,'Avoided Costs 2012-2020_EGD'!$M:$M)*R46</f>
        <v>0</v>
      </c>
      <c r="X46" s="65">
        <f t="shared" si="48"/>
        <v>223393.50230610481</v>
      </c>
      <c r="Y46" s="146">
        <v>39610</v>
      </c>
      <c r="Z46" s="66">
        <f t="shared" si="42"/>
        <v>34856.800000000003</v>
      </c>
      <c r="AA46" s="66"/>
      <c r="AB46" s="66"/>
      <c r="AC46" s="66"/>
      <c r="AD46" s="66">
        <f t="shared" si="43"/>
        <v>34856.800000000003</v>
      </c>
      <c r="AE46" s="66">
        <f t="shared" si="44"/>
        <v>188536.70230610482</v>
      </c>
      <c r="AF46" s="101">
        <f t="shared" si="45"/>
        <v>1379026.7866986957</v>
      </c>
      <c r="AG46" s="101">
        <f t="shared" si="46"/>
        <v>1567075.8939757906</v>
      </c>
    </row>
    <row r="47" spans="1:33" s="68" customFormat="1" x14ac:dyDescent="0.2">
      <c r="A47" s="141" t="s">
        <v>193</v>
      </c>
      <c r="B47" s="141"/>
      <c r="C47" s="141"/>
      <c r="D47" s="142">
        <v>1</v>
      </c>
      <c r="E47" s="143"/>
      <c r="F47" s="144">
        <v>0.12</v>
      </c>
      <c r="G47" s="144"/>
      <c r="H47" s="67">
        <v>20674</v>
      </c>
      <c r="I47" s="67">
        <f t="shared" si="37"/>
        <v>19762.001855596423</v>
      </c>
      <c r="J47" s="67">
        <f t="shared" si="38"/>
        <v>17390.561632924851</v>
      </c>
      <c r="K47" s="143"/>
      <c r="L47" s="143">
        <v>0</v>
      </c>
      <c r="M47" s="63">
        <f t="shared" si="47"/>
        <v>0</v>
      </c>
      <c r="N47" s="63">
        <f t="shared" si="39"/>
        <v>0</v>
      </c>
      <c r="O47" s="143"/>
      <c r="P47" s="143">
        <v>0</v>
      </c>
      <c r="Q47" s="63">
        <f t="shared" si="40"/>
        <v>0</v>
      </c>
      <c r="R47" s="64">
        <f t="shared" si="41"/>
        <v>0</v>
      </c>
      <c r="S47" s="142">
        <v>25</v>
      </c>
      <c r="T47" s="145" t="s">
        <v>52</v>
      </c>
      <c r="U47" s="65">
        <f>SUMIF('Avoided Costs 2012-2020_EGD'!$A:$A,'2012 Actuals_Auditor'!T47&amp;'2012 Actuals_Auditor'!S47,'Avoided Costs 2012-2020_EGD'!$E:$E)*J47</f>
        <v>56115.718507723439</v>
      </c>
      <c r="V47" s="65">
        <f>SUMIF('Avoided Costs 2012-2020_EGD'!$A:$A,'2012 Actuals_Auditor'!T47&amp;'2012 Actuals_Auditor'!S47,'Avoided Costs 2012-2020_EGD'!$K:$K)*N47</f>
        <v>0</v>
      </c>
      <c r="W47" s="65">
        <f>SUMIF('Avoided Costs 2012-2020_EGD'!$A:$A,'2012 Actuals_Auditor'!T47&amp;'2012 Actuals_Auditor'!S47,'Avoided Costs 2012-2020_EGD'!$M:$M)*R47</f>
        <v>0</v>
      </c>
      <c r="X47" s="65">
        <f t="shared" si="48"/>
        <v>56115.718507723439</v>
      </c>
      <c r="Y47" s="146">
        <v>4211</v>
      </c>
      <c r="Z47" s="66">
        <f t="shared" si="42"/>
        <v>3705.68</v>
      </c>
      <c r="AA47" s="66"/>
      <c r="AB47" s="66"/>
      <c r="AC47" s="66"/>
      <c r="AD47" s="66">
        <f t="shared" si="43"/>
        <v>3705.68</v>
      </c>
      <c r="AE47" s="66">
        <f t="shared" si="44"/>
        <v>52410.038507723439</v>
      </c>
      <c r="AF47" s="101">
        <f t="shared" si="45"/>
        <v>434764.04082312126</v>
      </c>
      <c r="AG47" s="101">
        <f t="shared" si="46"/>
        <v>494050.04638991057</v>
      </c>
    </row>
    <row r="48" spans="1:33" s="68" customFormat="1" x14ac:dyDescent="0.2">
      <c r="A48" s="141" t="s">
        <v>194</v>
      </c>
      <c r="B48" s="141"/>
      <c r="C48" s="141"/>
      <c r="D48" s="142">
        <v>0</v>
      </c>
      <c r="E48" s="143"/>
      <c r="F48" s="144">
        <v>0.12</v>
      </c>
      <c r="G48" s="144"/>
      <c r="H48" s="67">
        <v>12469</v>
      </c>
      <c r="I48" s="67">
        <f t="shared" si="37"/>
        <v>11918.951394864651</v>
      </c>
      <c r="J48" s="67">
        <f t="shared" si="38"/>
        <v>10488.677227480894</v>
      </c>
      <c r="K48" s="143"/>
      <c r="L48" s="143">
        <v>12586</v>
      </c>
      <c r="M48" s="63">
        <f t="shared" si="47"/>
        <v>12586</v>
      </c>
      <c r="N48" s="63">
        <f t="shared" si="39"/>
        <v>11075.68</v>
      </c>
      <c r="O48" s="143"/>
      <c r="P48" s="143">
        <v>0</v>
      </c>
      <c r="Q48" s="63">
        <f t="shared" si="40"/>
        <v>0</v>
      </c>
      <c r="R48" s="64">
        <f t="shared" si="41"/>
        <v>0</v>
      </c>
      <c r="S48" s="142">
        <v>15</v>
      </c>
      <c r="T48" s="145" t="s">
        <v>15</v>
      </c>
      <c r="U48" s="65">
        <f>SUMIF('Avoided Costs 2012-2020_EGD'!$A:$A,'2012 Actuals_Auditor'!T48&amp;'2012 Actuals_Auditor'!S48,'Avoided Costs 2012-2020_EGD'!$E:$E)*J48</f>
        <v>25486.477452854448</v>
      </c>
      <c r="V48" s="65">
        <f>SUMIF('Avoided Costs 2012-2020_EGD'!$A:$A,'2012 Actuals_Auditor'!T48&amp;'2012 Actuals_Auditor'!S48,'Avoided Costs 2012-2020_EGD'!$K:$K)*N48</f>
        <v>11405.551694501719</v>
      </c>
      <c r="W48" s="65">
        <f>SUMIF('Avoided Costs 2012-2020_EGD'!$A:$A,'2012 Actuals_Auditor'!T48&amp;'2012 Actuals_Auditor'!S48,'Avoided Costs 2012-2020_EGD'!$M:$M)*R48</f>
        <v>0</v>
      </c>
      <c r="X48" s="65">
        <f t="shared" si="48"/>
        <v>36892.029147356167</v>
      </c>
      <c r="Y48" s="146">
        <v>78548</v>
      </c>
      <c r="Z48" s="66">
        <f t="shared" si="42"/>
        <v>69122.240000000005</v>
      </c>
      <c r="AA48" s="66"/>
      <c r="AB48" s="66"/>
      <c r="AC48" s="66"/>
      <c r="AD48" s="66">
        <f t="shared" si="43"/>
        <v>69122.240000000005</v>
      </c>
      <c r="AE48" s="66">
        <f t="shared" si="44"/>
        <v>-32230.210852643839</v>
      </c>
      <c r="AF48" s="101">
        <f t="shared" si="45"/>
        <v>157330.15841221341</v>
      </c>
      <c r="AG48" s="101">
        <f t="shared" si="46"/>
        <v>178784.27092296976</v>
      </c>
    </row>
    <row r="49" spans="1:33" s="68" customFormat="1" x14ac:dyDescent="0.2">
      <c r="A49" s="141" t="s">
        <v>195</v>
      </c>
      <c r="B49" s="141"/>
      <c r="C49" s="141"/>
      <c r="D49" s="142">
        <v>1</v>
      </c>
      <c r="E49" s="143"/>
      <c r="F49" s="144">
        <v>0.12</v>
      </c>
      <c r="G49" s="144"/>
      <c r="H49" s="67">
        <v>17211</v>
      </c>
      <c r="I49" s="67">
        <f t="shared" si="37"/>
        <v>16451.766176679404</v>
      </c>
      <c r="J49" s="67">
        <f t="shared" si="38"/>
        <v>14477.554235477875</v>
      </c>
      <c r="K49" s="143"/>
      <c r="L49" s="143">
        <v>0</v>
      </c>
      <c r="M49" s="63">
        <f t="shared" si="47"/>
        <v>0</v>
      </c>
      <c r="N49" s="63">
        <f t="shared" si="39"/>
        <v>0</v>
      </c>
      <c r="O49" s="143"/>
      <c r="P49" s="143">
        <v>0</v>
      </c>
      <c r="Q49" s="63">
        <f t="shared" si="40"/>
        <v>0</v>
      </c>
      <c r="R49" s="64">
        <f t="shared" si="41"/>
        <v>0</v>
      </c>
      <c r="S49" s="142">
        <v>25</v>
      </c>
      <c r="T49" s="145" t="s">
        <v>52</v>
      </c>
      <c r="U49" s="65">
        <f>SUMIF('Avoided Costs 2012-2020_EGD'!$A:$A,'2012 Actuals_Auditor'!T49&amp;'2012 Actuals_Auditor'!S49,'Avoided Costs 2012-2020_EGD'!$E:$E)*J49</f>
        <v>46716.050654756116</v>
      </c>
      <c r="V49" s="65">
        <f>SUMIF('Avoided Costs 2012-2020_EGD'!$A:$A,'2012 Actuals_Auditor'!T49&amp;'2012 Actuals_Auditor'!S49,'Avoided Costs 2012-2020_EGD'!$K:$K)*N49</f>
        <v>0</v>
      </c>
      <c r="W49" s="65">
        <f>SUMIF('Avoided Costs 2012-2020_EGD'!$A:$A,'2012 Actuals_Auditor'!T49&amp;'2012 Actuals_Auditor'!S49,'Avoided Costs 2012-2020_EGD'!$M:$M)*R49</f>
        <v>0</v>
      </c>
      <c r="X49" s="65">
        <f t="shared" si="48"/>
        <v>46716.050654756116</v>
      </c>
      <c r="Y49" s="146">
        <v>23796</v>
      </c>
      <c r="Z49" s="66">
        <f t="shared" si="42"/>
        <v>20940.48</v>
      </c>
      <c r="AA49" s="66"/>
      <c r="AB49" s="66"/>
      <c r="AC49" s="66"/>
      <c r="AD49" s="66">
        <f t="shared" si="43"/>
        <v>20940.48</v>
      </c>
      <c r="AE49" s="66">
        <f t="shared" si="44"/>
        <v>25775.570654756117</v>
      </c>
      <c r="AF49" s="101">
        <f t="shared" si="45"/>
        <v>361938.8558869469</v>
      </c>
      <c r="AG49" s="101">
        <f t="shared" si="46"/>
        <v>411294.15441698511</v>
      </c>
    </row>
    <row r="50" spans="1:33" s="68" customFormat="1" x14ac:dyDescent="0.2">
      <c r="A50" s="141" t="s">
        <v>196</v>
      </c>
      <c r="B50" s="141"/>
      <c r="C50" s="141"/>
      <c r="D50" s="142">
        <v>0</v>
      </c>
      <c r="E50" s="143"/>
      <c r="F50" s="144">
        <v>0.12</v>
      </c>
      <c r="G50" s="144"/>
      <c r="H50" s="67">
        <v>52846</v>
      </c>
      <c r="I50" s="67">
        <f t="shared" si="37"/>
        <v>50514.789110034275</v>
      </c>
      <c r="J50" s="67">
        <f t="shared" si="38"/>
        <v>44453.014416830163</v>
      </c>
      <c r="K50" s="143"/>
      <c r="L50" s="143">
        <v>0</v>
      </c>
      <c r="M50" s="63">
        <f t="shared" si="47"/>
        <v>0</v>
      </c>
      <c r="N50" s="63">
        <f t="shared" si="39"/>
        <v>0</v>
      </c>
      <c r="O50" s="143"/>
      <c r="P50" s="143">
        <v>0</v>
      </c>
      <c r="Q50" s="63">
        <f t="shared" si="40"/>
        <v>0</v>
      </c>
      <c r="R50" s="64">
        <f t="shared" si="41"/>
        <v>0</v>
      </c>
      <c r="S50" s="142">
        <v>25</v>
      </c>
      <c r="T50" s="145" t="s">
        <v>52</v>
      </c>
      <c r="U50" s="65">
        <f>SUMIF('Avoided Costs 2012-2020_EGD'!$A:$A,'2012 Actuals_Auditor'!T50&amp;'2012 Actuals_Auditor'!S50,'Avoided Costs 2012-2020_EGD'!$E:$E)*J50</f>
        <v>143440.6143106875</v>
      </c>
      <c r="V50" s="65">
        <f>SUMIF('Avoided Costs 2012-2020_EGD'!$A:$A,'2012 Actuals_Auditor'!T50&amp;'2012 Actuals_Auditor'!S50,'Avoided Costs 2012-2020_EGD'!$K:$K)*N50</f>
        <v>0</v>
      </c>
      <c r="W50" s="65">
        <f>SUMIF('Avoided Costs 2012-2020_EGD'!$A:$A,'2012 Actuals_Auditor'!T50&amp;'2012 Actuals_Auditor'!S50,'Avoided Costs 2012-2020_EGD'!$M:$M)*R50</f>
        <v>0</v>
      </c>
      <c r="X50" s="65">
        <f t="shared" si="48"/>
        <v>143440.6143106875</v>
      </c>
      <c r="Y50" s="146">
        <v>41451</v>
      </c>
      <c r="Z50" s="66">
        <f t="shared" si="42"/>
        <v>36476.879999999997</v>
      </c>
      <c r="AA50" s="66"/>
      <c r="AB50" s="66"/>
      <c r="AC50" s="66"/>
      <c r="AD50" s="66">
        <f t="shared" si="43"/>
        <v>36476.879999999997</v>
      </c>
      <c r="AE50" s="66">
        <f t="shared" si="44"/>
        <v>106963.73431068749</v>
      </c>
      <c r="AF50" s="101">
        <f t="shared" si="45"/>
        <v>1111325.3604207542</v>
      </c>
      <c r="AG50" s="101">
        <f t="shared" si="46"/>
        <v>1262869.7277508569</v>
      </c>
    </row>
    <row r="51" spans="1:33" s="68" customFormat="1" x14ac:dyDescent="0.2">
      <c r="A51" s="141" t="s">
        <v>197</v>
      </c>
      <c r="B51" s="141"/>
      <c r="C51" s="141"/>
      <c r="D51" s="142">
        <v>1</v>
      </c>
      <c r="E51" s="143"/>
      <c r="F51" s="144">
        <v>0.12</v>
      </c>
      <c r="G51" s="144"/>
      <c r="H51" s="67">
        <v>88671</v>
      </c>
      <c r="I51" s="67">
        <f t="shared" si="37"/>
        <v>84759.430518409135</v>
      </c>
      <c r="J51" s="67">
        <f t="shared" si="38"/>
        <v>74588.298856200039</v>
      </c>
      <c r="K51" s="143"/>
      <c r="L51" s="143">
        <v>0</v>
      </c>
      <c r="M51" s="63">
        <f t="shared" si="47"/>
        <v>0</v>
      </c>
      <c r="N51" s="63">
        <f t="shared" si="39"/>
        <v>0</v>
      </c>
      <c r="O51" s="143"/>
      <c r="P51" s="143">
        <v>0</v>
      </c>
      <c r="Q51" s="63">
        <f t="shared" si="40"/>
        <v>0</v>
      </c>
      <c r="R51" s="64">
        <f t="shared" si="41"/>
        <v>0</v>
      </c>
      <c r="S51" s="142">
        <v>25</v>
      </c>
      <c r="T51" s="145" t="s">
        <v>15</v>
      </c>
      <c r="U51" s="65">
        <f>SUMIF('Avoided Costs 2012-2020_EGD'!$A:$A,'2012 Actuals_Auditor'!T51&amp;'2012 Actuals_Auditor'!S51,'Avoided Costs 2012-2020_EGD'!$E:$E)*J51</f>
        <v>256135.84524958447</v>
      </c>
      <c r="V51" s="65">
        <f>SUMIF('Avoided Costs 2012-2020_EGD'!$A:$A,'2012 Actuals_Auditor'!T51&amp;'2012 Actuals_Auditor'!S51,'Avoided Costs 2012-2020_EGD'!$K:$K)*N51</f>
        <v>0</v>
      </c>
      <c r="W51" s="65">
        <f>SUMIF('Avoided Costs 2012-2020_EGD'!$A:$A,'2012 Actuals_Auditor'!T51&amp;'2012 Actuals_Auditor'!S51,'Avoided Costs 2012-2020_EGD'!$M:$M)*R51</f>
        <v>0</v>
      </c>
      <c r="X51" s="65">
        <f t="shared" si="48"/>
        <v>256135.84524958447</v>
      </c>
      <c r="Y51" s="146">
        <v>20994</v>
      </c>
      <c r="Z51" s="66">
        <f t="shared" si="42"/>
        <v>18474.72</v>
      </c>
      <c r="AA51" s="66"/>
      <c r="AB51" s="66"/>
      <c r="AC51" s="66"/>
      <c r="AD51" s="66">
        <f t="shared" si="43"/>
        <v>18474.72</v>
      </c>
      <c r="AE51" s="66">
        <f t="shared" si="44"/>
        <v>237661.12524958447</v>
      </c>
      <c r="AF51" s="101">
        <f t="shared" si="45"/>
        <v>1864707.4714050009</v>
      </c>
      <c r="AG51" s="101">
        <f t="shared" si="46"/>
        <v>2118985.7629602286</v>
      </c>
    </row>
    <row r="52" spans="1:33" s="68" customFormat="1" x14ac:dyDescent="0.2">
      <c r="A52" s="141" t="s">
        <v>198</v>
      </c>
      <c r="B52" s="141"/>
      <c r="C52" s="141"/>
      <c r="D52" s="142">
        <v>1</v>
      </c>
      <c r="E52" s="143"/>
      <c r="F52" s="144">
        <v>0.12</v>
      </c>
      <c r="G52" s="144"/>
      <c r="H52" s="67">
        <v>46226</v>
      </c>
      <c r="I52" s="67">
        <f t="shared" si="37"/>
        <v>44186.819085653486</v>
      </c>
      <c r="J52" s="67">
        <f t="shared" si="38"/>
        <v>38884.40079537507</v>
      </c>
      <c r="K52" s="143"/>
      <c r="L52" s="143">
        <v>0</v>
      </c>
      <c r="M52" s="63">
        <f t="shared" si="47"/>
        <v>0</v>
      </c>
      <c r="N52" s="63">
        <f t="shared" si="39"/>
        <v>0</v>
      </c>
      <c r="O52" s="143"/>
      <c r="P52" s="143">
        <v>0</v>
      </c>
      <c r="Q52" s="63">
        <f t="shared" si="40"/>
        <v>0</v>
      </c>
      <c r="R52" s="64">
        <f t="shared" si="41"/>
        <v>0</v>
      </c>
      <c r="S52" s="142">
        <v>25</v>
      </c>
      <c r="T52" s="145" t="s">
        <v>15</v>
      </c>
      <c r="U52" s="65">
        <f>SUMIF('Avoided Costs 2012-2020_EGD'!$A:$A,'2012 Actuals_Auditor'!T52&amp;'2012 Actuals_Auditor'!S52,'Avoided Costs 2012-2020_EGD'!$E:$E)*J52</f>
        <v>133528.83786702857</v>
      </c>
      <c r="V52" s="65">
        <f>SUMIF('Avoided Costs 2012-2020_EGD'!$A:$A,'2012 Actuals_Auditor'!T52&amp;'2012 Actuals_Auditor'!S52,'Avoided Costs 2012-2020_EGD'!$K:$K)*N52</f>
        <v>0</v>
      </c>
      <c r="W52" s="65">
        <f>SUMIF('Avoided Costs 2012-2020_EGD'!$A:$A,'2012 Actuals_Auditor'!T52&amp;'2012 Actuals_Auditor'!S52,'Avoided Costs 2012-2020_EGD'!$M:$M)*R52</f>
        <v>0</v>
      </c>
      <c r="X52" s="65">
        <f t="shared" si="48"/>
        <v>133528.83786702857</v>
      </c>
      <c r="Y52" s="146">
        <v>36015</v>
      </c>
      <c r="Z52" s="66">
        <f t="shared" si="42"/>
        <v>31693.200000000001</v>
      </c>
      <c r="AA52" s="66"/>
      <c r="AB52" s="66"/>
      <c r="AC52" s="66"/>
      <c r="AD52" s="66">
        <f t="shared" si="43"/>
        <v>31693.200000000001</v>
      </c>
      <c r="AE52" s="66">
        <f t="shared" si="44"/>
        <v>101835.63786702858</v>
      </c>
      <c r="AF52" s="101">
        <f t="shared" si="45"/>
        <v>972110.01988437679</v>
      </c>
      <c r="AG52" s="101">
        <f t="shared" si="46"/>
        <v>1104670.4771413372</v>
      </c>
    </row>
    <row r="53" spans="1:33" s="68" customFormat="1" x14ac:dyDescent="0.2">
      <c r="A53" s="141" t="s">
        <v>199</v>
      </c>
      <c r="B53" s="141"/>
      <c r="C53" s="141"/>
      <c r="D53" s="142">
        <v>0</v>
      </c>
      <c r="E53" s="143"/>
      <c r="F53" s="144">
        <v>0.12</v>
      </c>
      <c r="G53" s="144"/>
      <c r="H53" s="67">
        <v>55385</v>
      </c>
      <c r="I53" s="67">
        <f t="shared" si="37"/>
        <v>52941.785468327747</v>
      </c>
      <c r="J53" s="67">
        <f t="shared" si="38"/>
        <v>46588.77121212842</v>
      </c>
      <c r="K53" s="143"/>
      <c r="L53" s="143">
        <v>23502</v>
      </c>
      <c r="M53" s="63">
        <f t="shared" si="47"/>
        <v>23502</v>
      </c>
      <c r="N53" s="63">
        <f t="shared" si="39"/>
        <v>20681.759999999998</v>
      </c>
      <c r="O53" s="143"/>
      <c r="P53" s="143">
        <v>0</v>
      </c>
      <c r="Q53" s="63">
        <f t="shared" si="40"/>
        <v>0</v>
      </c>
      <c r="R53" s="64">
        <f t="shared" si="41"/>
        <v>0</v>
      </c>
      <c r="S53" s="142">
        <v>15</v>
      </c>
      <c r="T53" s="145" t="s">
        <v>15</v>
      </c>
      <c r="U53" s="65">
        <f>SUMIF('Avoided Costs 2012-2020_EGD'!$A:$A,'2012 Actuals_Auditor'!T53&amp;'2012 Actuals_Auditor'!S53,'Avoided Costs 2012-2020_EGD'!$E:$E)*J53</f>
        <v>113206.23576279923</v>
      </c>
      <c r="V53" s="65">
        <f>SUMIF('Avoided Costs 2012-2020_EGD'!$A:$A,'2012 Actuals_Auditor'!T53&amp;'2012 Actuals_Auditor'!S53,'Avoided Costs 2012-2020_EGD'!$K:$K)*N53</f>
        <v>21297.733666310134</v>
      </c>
      <c r="W53" s="65">
        <f>SUMIF('Avoided Costs 2012-2020_EGD'!$A:$A,'2012 Actuals_Auditor'!T53&amp;'2012 Actuals_Auditor'!S53,'Avoided Costs 2012-2020_EGD'!$M:$M)*R53</f>
        <v>0</v>
      </c>
      <c r="X53" s="65">
        <f t="shared" si="48"/>
        <v>134503.96942910936</v>
      </c>
      <c r="Y53" s="146">
        <v>7200</v>
      </c>
      <c r="Z53" s="66">
        <f t="shared" si="42"/>
        <v>6336</v>
      </c>
      <c r="AA53" s="66"/>
      <c r="AB53" s="66"/>
      <c r="AC53" s="66"/>
      <c r="AD53" s="66">
        <f t="shared" si="43"/>
        <v>6336</v>
      </c>
      <c r="AE53" s="66">
        <f t="shared" si="44"/>
        <v>128167.96942910936</v>
      </c>
      <c r="AF53" s="101">
        <f t="shared" si="45"/>
        <v>698831.56818192627</v>
      </c>
      <c r="AG53" s="101">
        <f t="shared" si="46"/>
        <v>794126.78202491626</v>
      </c>
    </row>
    <row r="54" spans="1:33" s="68" customFormat="1" x14ac:dyDescent="0.2">
      <c r="A54" s="141" t="s">
        <v>200</v>
      </c>
      <c r="B54" s="141"/>
      <c r="C54" s="141"/>
      <c r="D54" s="142">
        <v>1</v>
      </c>
      <c r="E54" s="143"/>
      <c r="F54" s="144">
        <v>0.12</v>
      </c>
      <c r="G54" s="144"/>
      <c r="H54" s="67">
        <v>9731</v>
      </c>
      <c r="I54" s="67">
        <f t="shared" si="37"/>
        <v>9301.7335811554985</v>
      </c>
      <c r="J54" s="67">
        <f t="shared" si="38"/>
        <v>8185.5255514168384</v>
      </c>
      <c r="K54" s="143"/>
      <c r="L54" s="143">
        <v>0</v>
      </c>
      <c r="M54" s="63">
        <f t="shared" si="47"/>
        <v>0</v>
      </c>
      <c r="N54" s="63">
        <f t="shared" si="39"/>
        <v>0</v>
      </c>
      <c r="O54" s="143"/>
      <c r="P54" s="143">
        <v>0</v>
      </c>
      <c r="Q54" s="63">
        <f t="shared" si="40"/>
        <v>0</v>
      </c>
      <c r="R54" s="64">
        <f t="shared" si="41"/>
        <v>0</v>
      </c>
      <c r="S54" s="142">
        <v>10</v>
      </c>
      <c r="T54" s="145" t="s">
        <v>52</v>
      </c>
      <c r="U54" s="65">
        <f>SUMIF('Avoided Costs 2012-2020_EGD'!$A:$A,'2012 Actuals_Auditor'!T54&amp;'2012 Actuals_Auditor'!S54,'Avoided Costs 2012-2020_EGD'!$E:$E)*J54</f>
        <v>13224.317142590355</v>
      </c>
      <c r="V54" s="65">
        <f>SUMIF('Avoided Costs 2012-2020_EGD'!$A:$A,'2012 Actuals_Auditor'!T54&amp;'2012 Actuals_Auditor'!S54,'Avoided Costs 2012-2020_EGD'!$K:$K)*N54</f>
        <v>0</v>
      </c>
      <c r="W54" s="65">
        <f>SUMIF('Avoided Costs 2012-2020_EGD'!$A:$A,'2012 Actuals_Auditor'!T54&amp;'2012 Actuals_Auditor'!S54,'Avoided Costs 2012-2020_EGD'!$M:$M)*R54</f>
        <v>0</v>
      </c>
      <c r="X54" s="65">
        <f t="shared" si="48"/>
        <v>13224.317142590355</v>
      </c>
      <c r="Y54" s="146">
        <v>37968</v>
      </c>
      <c r="Z54" s="66">
        <f t="shared" si="42"/>
        <v>33411.840000000004</v>
      </c>
      <c r="AA54" s="66"/>
      <c r="AB54" s="66"/>
      <c r="AC54" s="66"/>
      <c r="AD54" s="66">
        <f t="shared" si="43"/>
        <v>33411.840000000004</v>
      </c>
      <c r="AE54" s="66">
        <f t="shared" si="44"/>
        <v>-20187.522857409647</v>
      </c>
      <c r="AF54" s="101">
        <f t="shared" si="45"/>
        <v>81855.255514168384</v>
      </c>
      <c r="AG54" s="101">
        <f t="shared" si="46"/>
        <v>93017.335811554978</v>
      </c>
    </row>
    <row r="55" spans="1:33" s="68" customFormat="1" x14ac:dyDescent="0.2">
      <c r="A55" s="141" t="s">
        <v>201</v>
      </c>
      <c r="B55" s="141"/>
      <c r="C55" s="141"/>
      <c r="D55" s="142">
        <v>1</v>
      </c>
      <c r="E55" s="143"/>
      <c r="F55" s="144">
        <v>0.12</v>
      </c>
      <c r="G55" s="144"/>
      <c r="H55" s="67">
        <v>46249</v>
      </c>
      <c r="I55" s="67">
        <f t="shared" si="37"/>
        <v>44208.804479998013</v>
      </c>
      <c r="J55" s="67">
        <f t="shared" si="38"/>
        <v>38903.747942398251</v>
      </c>
      <c r="K55" s="143"/>
      <c r="L55" s="143">
        <v>0</v>
      </c>
      <c r="M55" s="63">
        <f t="shared" si="47"/>
        <v>0</v>
      </c>
      <c r="N55" s="63">
        <f t="shared" si="39"/>
        <v>0</v>
      </c>
      <c r="O55" s="143"/>
      <c r="P55" s="143">
        <v>0</v>
      </c>
      <c r="Q55" s="63">
        <f t="shared" si="40"/>
        <v>0</v>
      </c>
      <c r="R55" s="64">
        <f t="shared" si="41"/>
        <v>0</v>
      </c>
      <c r="S55" s="142">
        <v>15</v>
      </c>
      <c r="T55" s="145" t="s">
        <v>15</v>
      </c>
      <c r="U55" s="65">
        <f>SUMIF('Avoided Costs 2012-2020_EGD'!$A:$A,'2012 Actuals_Auditor'!T55&amp;'2012 Actuals_Auditor'!S55,'Avoided Costs 2012-2020_EGD'!$E:$E)*J55</f>
        <v>94532.367929831205</v>
      </c>
      <c r="V55" s="65">
        <f>SUMIF('Avoided Costs 2012-2020_EGD'!$A:$A,'2012 Actuals_Auditor'!T55&amp;'2012 Actuals_Auditor'!S55,'Avoided Costs 2012-2020_EGD'!$K:$K)*N55</f>
        <v>0</v>
      </c>
      <c r="W55" s="65">
        <f>SUMIF('Avoided Costs 2012-2020_EGD'!$A:$A,'2012 Actuals_Auditor'!T55&amp;'2012 Actuals_Auditor'!S55,'Avoided Costs 2012-2020_EGD'!$M:$M)*R55</f>
        <v>0</v>
      </c>
      <c r="X55" s="65">
        <f t="shared" si="48"/>
        <v>94532.367929831205</v>
      </c>
      <c r="Y55" s="146">
        <v>29925</v>
      </c>
      <c r="Z55" s="66">
        <f t="shared" si="42"/>
        <v>26334</v>
      </c>
      <c r="AA55" s="66"/>
      <c r="AB55" s="66"/>
      <c r="AC55" s="66"/>
      <c r="AD55" s="66">
        <f t="shared" si="43"/>
        <v>26334</v>
      </c>
      <c r="AE55" s="66">
        <f t="shared" si="44"/>
        <v>68198.367929831205</v>
      </c>
      <c r="AF55" s="101">
        <f t="shared" si="45"/>
        <v>583556.21913597372</v>
      </c>
      <c r="AG55" s="101">
        <f t="shared" si="46"/>
        <v>663132.06719997013</v>
      </c>
    </row>
    <row r="56" spans="1:33" s="68" customFormat="1" x14ac:dyDescent="0.2">
      <c r="A56" s="141" t="s">
        <v>202</v>
      </c>
      <c r="B56" s="141"/>
      <c r="C56" s="141"/>
      <c r="D56" s="142">
        <v>1</v>
      </c>
      <c r="E56" s="143"/>
      <c r="F56" s="144">
        <v>0.12</v>
      </c>
      <c r="G56" s="144"/>
      <c r="H56" s="67">
        <v>37454</v>
      </c>
      <c r="I56" s="67">
        <f t="shared" si="37"/>
        <v>35801.780859993632</v>
      </c>
      <c r="J56" s="67">
        <f t="shared" si="38"/>
        <v>31505.567156794397</v>
      </c>
      <c r="K56" s="143"/>
      <c r="L56" s="143">
        <v>0</v>
      </c>
      <c r="M56" s="63">
        <f t="shared" si="47"/>
        <v>0</v>
      </c>
      <c r="N56" s="63">
        <f t="shared" si="39"/>
        <v>0</v>
      </c>
      <c r="O56" s="143"/>
      <c r="P56" s="143">
        <v>0</v>
      </c>
      <c r="Q56" s="63">
        <f t="shared" si="40"/>
        <v>0</v>
      </c>
      <c r="R56" s="64">
        <f t="shared" si="41"/>
        <v>0</v>
      </c>
      <c r="S56" s="142">
        <v>15</v>
      </c>
      <c r="T56" s="145" t="s">
        <v>15</v>
      </c>
      <c r="U56" s="65">
        <f>SUMIF('Avoided Costs 2012-2020_EGD'!$A:$A,'2012 Actuals_Auditor'!T56&amp;'2012 Actuals_Auditor'!S56,'Avoided Costs 2012-2020_EGD'!$E:$E)*J56</f>
        <v>76555.499760943974</v>
      </c>
      <c r="V56" s="65">
        <f>SUMIF('Avoided Costs 2012-2020_EGD'!$A:$A,'2012 Actuals_Auditor'!T56&amp;'2012 Actuals_Auditor'!S56,'Avoided Costs 2012-2020_EGD'!$K:$K)*N56</f>
        <v>0</v>
      </c>
      <c r="W56" s="65">
        <f>SUMIF('Avoided Costs 2012-2020_EGD'!$A:$A,'2012 Actuals_Auditor'!T56&amp;'2012 Actuals_Auditor'!S56,'Avoided Costs 2012-2020_EGD'!$M:$M)*R56</f>
        <v>0</v>
      </c>
      <c r="X56" s="65">
        <f t="shared" si="48"/>
        <v>76555.499760943974</v>
      </c>
      <c r="Y56" s="146">
        <v>123211</v>
      </c>
      <c r="Z56" s="66">
        <f t="shared" si="42"/>
        <v>108425.68000000001</v>
      </c>
      <c r="AA56" s="66"/>
      <c r="AB56" s="66"/>
      <c r="AC56" s="66"/>
      <c r="AD56" s="66">
        <f t="shared" si="43"/>
        <v>108425.68000000001</v>
      </c>
      <c r="AE56" s="66">
        <f t="shared" si="44"/>
        <v>-31870.180239056033</v>
      </c>
      <c r="AF56" s="101">
        <f t="shared" si="45"/>
        <v>472583.50735191593</v>
      </c>
      <c r="AG56" s="101">
        <f t="shared" si="46"/>
        <v>537026.71289990447</v>
      </c>
    </row>
    <row r="57" spans="1:33" s="59" customFormat="1" x14ac:dyDescent="0.2">
      <c r="A57" s="152" t="s">
        <v>3</v>
      </c>
      <c r="B57" s="152" t="s">
        <v>188</v>
      </c>
      <c r="C57" s="155"/>
      <c r="D57" s="153">
        <f>SUM(D43:D56)</f>
        <v>9</v>
      </c>
      <c r="E57" s="67"/>
      <c r="F57" s="154"/>
      <c r="G57" s="228"/>
      <c r="H57" s="67">
        <f>SUM(H43:H56)</f>
        <v>568447</v>
      </c>
      <c r="I57" s="67">
        <f>SUM(I43:I56)</f>
        <v>543370.93299836596</v>
      </c>
      <c r="J57" s="67">
        <f>SUM(J43:J56)</f>
        <v>478166.42103856214</v>
      </c>
      <c r="K57" s="64"/>
      <c r="L57" s="67">
        <f>SUM(L43:L56)</f>
        <v>30188</v>
      </c>
      <c r="M57" s="67">
        <f>SUM(M43:M56)</f>
        <v>30188</v>
      </c>
      <c r="N57" s="67">
        <f>SUM(N43:N56)</f>
        <v>26565.439999999999</v>
      </c>
      <c r="O57" s="229"/>
      <c r="P57" s="67">
        <f>SUM(P43:P56)</f>
        <v>0</v>
      </c>
      <c r="Q57" s="67">
        <f>SUM(Q43:Q56)</f>
        <v>0</v>
      </c>
      <c r="R57" s="67">
        <f>SUM(R43:R56)</f>
        <v>0</v>
      </c>
      <c r="S57" s="153"/>
      <c r="T57" s="155"/>
      <c r="U57" s="66">
        <f>SUM(U43:U56)</f>
        <v>1338695.4186712108</v>
      </c>
      <c r="V57" s="66">
        <f>SUM(V43:V56)</f>
        <v>27356.649813572054</v>
      </c>
      <c r="W57" s="66">
        <f>SUM(W43:W56)</f>
        <v>0</v>
      </c>
      <c r="X57" s="66">
        <f>SUM(X43:X56)</f>
        <v>1366052.0684847832</v>
      </c>
      <c r="Y57" s="146"/>
      <c r="Z57" s="66">
        <f>SUM(Z43:Z56)</f>
        <v>447078.72000000003</v>
      </c>
      <c r="AA57" s="66">
        <v>134194.04</v>
      </c>
      <c r="AB57" s="66">
        <v>35372.160000000003</v>
      </c>
      <c r="AC57" s="66">
        <f>AB57+AA57</f>
        <v>169566.2</v>
      </c>
      <c r="AD57" s="66">
        <f t="shared" si="43"/>
        <v>482450.88</v>
      </c>
      <c r="AE57" s="230">
        <f t="shared" si="44"/>
        <v>883601.18848478317</v>
      </c>
      <c r="AF57" s="101">
        <f>SUM(AF43:AF56)</f>
        <v>9163044.3606646527</v>
      </c>
      <c r="AG57" s="101">
        <f>SUM(AG43:AG56)</f>
        <v>10412550.409846198</v>
      </c>
    </row>
    <row r="58" spans="1:33" s="156" customFormat="1" x14ac:dyDescent="0.2">
      <c r="A58" s="231"/>
      <c r="B58" s="231"/>
      <c r="C58" s="231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3" x14ac:dyDescent="0.2">
      <c r="A59" s="140" t="s">
        <v>729</v>
      </c>
      <c r="B59" s="10" t="s">
        <v>730</v>
      </c>
      <c r="K59" s="54"/>
      <c r="L59" s="54"/>
      <c r="O59" s="21"/>
      <c r="P59" s="22"/>
      <c r="R59" s="13"/>
      <c r="S59" s="13"/>
      <c r="Z59" s="57"/>
      <c r="AA59" s="57"/>
      <c r="AC59" s="57"/>
      <c r="AD59" s="57"/>
      <c r="AE59" s="57"/>
      <c r="AF59" s="100"/>
      <c r="AG59" s="100"/>
    </row>
    <row r="60" spans="1:33" s="68" customFormat="1" ht="11.25" customHeight="1" x14ac:dyDescent="0.2">
      <c r="A60" s="147" t="s">
        <v>656</v>
      </c>
      <c r="B60" s="147"/>
      <c r="C60" s="147"/>
      <c r="D60" s="148">
        <v>1</v>
      </c>
      <c r="E60" s="149"/>
      <c r="F60" s="150">
        <v>0.12</v>
      </c>
      <c r="G60" s="150"/>
      <c r="H60" s="67">
        <v>86031</v>
      </c>
      <c r="I60" s="122">
        <f t="shared" ref="I60:I79" si="49">+$H$42*H60</f>
        <v>82235.889602341864</v>
      </c>
      <c r="J60" s="67">
        <f t="shared" ref="J60:J91" si="50">I60*(1-F60)</f>
        <v>72367.582850060848</v>
      </c>
      <c r="K60" s="63"/>
      <c r="L60" s="149">
        <v>0</v>
      </c>
      <c r="M60" s="63">
        <f t="shared" ref="M60:M129" si="51">+$L$42*L60</f>
        <v>0</v>
      </c>
      <c r="N60" s="63">
        <f t="shared" ref="N60:N91" si="52">M60*(1-F60)</f>
        <v>0</v>
      </c>
      <c r="O60" s="69"/>
      <c r="P60" s="149">
        <v>0</v>
      </c>
      <c r="Q60" s="63">
        <f t="shared" ref="Q60:Q79" si="53">+P60*$P$42</f>
        <v>0</v>
      </c>
      <c r="R60" s="64">
        <f t="shared" ref="R60:R91" si="54">Q60*(1-F60)</f>
        <v>0</v>
      </c>
      <c r="S60" s="148">
        <v>25</v>
      </c>
      <c r="T60" s="151" t="s">
        <v>15</v>
      </c>
      <c r="U60" s="65">
        <f>SUMIF('Avoided Costs 2012-2020_EGD'!$A:$A,'2012 Actuals_Auditor'!T60&amp;'2012 Actuals_Auditor'!S60,'Avoided Costs 2012-2020_EGD'!$E:$E)*J60</f>
        <v>248509.91759049747</v>
      </c>
      <c r="V60" s="65">
        <f>SUMIF('Avoided Costs 2012-2020_EGD'!$A:$A,'2012 Actuals_Auditor'!T60&amp;'2012 Actuals_Auditor'!S60,'Avoided Costs 2012-2020_EGD'!$K:$K)*N60</f>
        <v>0</v>
      </c>
      <c r="W60" s="65">
        <f>SUMIF('Avoided Costs 2012-2020_EGD'!$A:$A,'2012 Actuals_Auditor'!T60&amp;'2012 Actuals_Auditor'!S60,'Avoided Costs 2012-2020_EGD'!$M:$M)*R60</f>
        <v>0</v>
      </c>
      <c r="X60" s="65">
        <f t="shared" ref="X60:X131" si="55">SUM(U60:W60)</f>
        <v>248509.91759049747</v>
      </c>
      <c r="Y60" s="146">
        <v>5436</v>
      </c>
      <c r="Z60" s="66">
        <f t="shared" ref="Z60:Z91" si="56">Y60*(1-F60)</f>
        <v>4783.68</v>
      </c>
      <c r="AA60" s="66"/>
      <c r="AB60" s="66"/>
      <c r="AC60" s="66"/>
      <c r="AD60" s="66">
        <f t="shared" ref="AD60:AD91" si="57">Z60+AB60</f>
        <v>4783.68</v>
      </c>
      <c r="AE60" s="66">
        <f t="shared" ref="AE60:AE91" si="58">X60-AD60</f>
        <v>243726.23759049748</v>
      </c>
      <c r="AF60" s="101">
        <f t="shared" ref="AF60:AF91" si="59">J60*S60</f>
        <v>1809189.5712515211</v>
      </c>
      <c r="AG60" s="101">
        <f t="shared" ref="AG60:AG91" si="60">(I60*S60)</f>
        <v>2055897.2400585467</v>
      </c>
    </row>
    <row r="61" spans="1:33" s="68" customFormat="1" ht="11.25" customHeight="1" x14ac:dyDescent="0.2">
      <c r="A61" s="147" t="s">
        <v>657</v>
      </c>
      <c r="B61" s="147"/>
      <c r="C61" s="147"/>
      <c r="D61" s="148">
        <v>1</v>
      </c>
      <c r="E61" s="149"/>
      <c r="F61" s="150">
        <v>0.12</v>
      </c>
      <c r="G61" s="150"/>
      <c r="H61" s="67">
        <v>80915</v>
      </c>
      <c r="I61" s="67">
        <f t="shared" si="49"/>
        <v>77345.573190750918</v>
      </c>
      <c r="J61" s="67">
        <f t="shared" si="50"/>
        <v>68064.10440786081</v>
      </c>
      <c r="K61" s="63"/>
      <c r="L61" s="149">
        <v>0</v>
      </c>
      <c r="M61" s="63">
        <f t="shared" si="51"/>
        <v>0</v>
      </c>
      <c r="N61" s="63">
        <f t="shared" si="52"/>
        <v>0</v>
      </c>
      <c r="O61" s="69"/>
      <c r="P61" s="149">
        <v>0</v>
      </c>
      <c r="Q61" s="63">
        <f t="shared" si="53"/>
        <v>0</v>
      </c>
      <c r="R61" s="64">
        <f t="shared" si="54"/>
        <v>0</v>
      </c>
      <c r="S61" s="148">
        <v>25</v>
      </c>
      <c r="T61" s="151" t="s">
        <v>15</v>
      </c>
      <c r="U61" s="65">
        <f>SUMIF('Avoided Costs 2012-2020_EGD'!$A:$A,'2012 Actuals_Auditor'!T61&amp;'2012 Actuals_Auditor'!S61,'Avoided Costs 2012-2020_EGD'!$E:$E)*J61</f>
        <v>233731.79414205463</v>
      </c>
      <c r="V61" s="65">
        <f>SUMIF('Avoided Costs 2012-2020_EGD'!$A:$A,'2012 Actuals_Auditor'!T61&amp;'2012 Actuals_Auditor'!S61,'Avoided Costs 2012-2020_EGD'!$K:$K)*N61</f>
        <v>0</v>
      </c>
      <c r="W61" s="65">
        <f>SUMIF('Avoided Costs 2012-2020_EGD'!$A:$A,'2012 Actuals_Auditor'!T61&amp;'2012 Actuals_Auditor'!S61,'Avoided Costs 2012-2020_EGD'!$M:$M)*R61</f>
        <v>0</v>
      </c>
      <c r="X61" s="65">
        <f t="shared" si="55"/>
        <v>233731.79414205463</v>
      </c>
      <c r="Y61" s="146">
        <v>5436</v>
      </c>
      <c r="Z61" s="66">
        <f t="shared" si="56"/>
        <v>4783.68</v>
      </c>
      <c r="AA61" s="66"/>
      <c r="AB61" s="66"/>
      <c r="AC61" s="66"/>
      <c r="AD61" s="66">
        <f t="shared" si="57"/>
        <v>4783.68</v>
      </c>
      <c r="AE61" s="66">
        <f t="shared" si="58"/>
        <v>228948.11414205463</v>
      </c>
      <c r="AF61" s="101">
        <f t="shared" si="59"/>
        <v>1701602.6101965203</v>
      </c>
      <c r="AG61" s="101">
        <f t="shared" si="60"/>
        <v>1933639.3297687729</v>
      </c>
    </row>
    <row r="62" spans="1:33" s="68" customFormat="1" ht="11.25" customHeight="1" x14ac:dyDescent="0.2">
      <c r="A62" s="147" t="s">
        <v>658</v>
      </c>
      <c r="B62" s="147"/>
      <c r="C62" s="147"/>
      <c r="D62" s="148">
        <v>0</v>
      </c>
      <c r="E62" s="149"/>
      <c r="F62" s="150">
        <v>0.12</v>
      </c>
      <c r="G62" s="150"/>
      <c r="H62" s="67">
        <v>80449</v>
      </c>
      <c r="I62" s="67">
        <f t="shared" si="49"/>
        <v>76900.12998359662</v>
      </c>
      <c r="J62" s="67">
        <f t="shared" si="50"/>
        <v>67672.11438556503</v>
      </c>
      <c r="K62" s="63"/>
      <c r="L62" s="149">
        <v>1608286</v>
      </c>
      <c r="M62" s="63">
        <f t="shared" si="51"/>
        <v>1608286</v>
      </c>
      <c r="N62" s="63">
        <f t="shared" si="52"/>
        <v>1415291.68</v>
      </c>
      <c r="O62" s="69"/>
      <c r="P62" s="149">
        <v>0</v>
      </c>
      <c r="Q62" s="63">
        <f t="shared" si="53"/>
        <v>0</v>
      </c>
      <c r="R62" s="64">
        <f t="shared" si="54"/>
        <v>0</v>
      </c>
      <c r="S62" s="148">
        <v>15</v>
      </c>
      <c r="T62" s="151" t="s">
        <v>15</v>
      </c>
      <c r="U62" s="65">
        <f>SUMIF('Avoided Costs 2012-2020_EGD'!$A:$A,'2012 Actuals_Auditor'!T62&amp;'2012 Actuals_Auditor'!S62,'Avoided Costs 2012-2020_EGD'!$E:$E)*J62</f>
        <v>164436.73306637962</v>
      </c>
      <c r="V62" s="65">
        <f>SUMIF('Avoided Costs 2012-2020_EGD'!$A:$A,'2012 Actuals_Auditor'!T62&amp;'2012 Actuals_Auditor'!S62,'Avoided Costs 2012-2020_EGD'!$K:$K)*N62</f>
        <v>1457443.9148691711</v>
      </c>
      <c r="W62" s="65">
        <f>SUMIF('Avoided Costs 2012-2020_EGD'!$A:$A,'2012 Actuals_Auditor'!T62&amp;'2012 Actuals_Auditor'!S62,'Avoided Costs 2012-2020_EGD'!$M:$M)*R62</f>
        <v>0</v>
      </c>
      <c r="X62" s="65">
        <f t="shared" si="55"/>
        <v>1621880.6479355507</v>
      </c>
      <c r="Y62" s="146">
        <v>194300</v>
      </c>
      <c r="Z62" s="66">
        <f t="shared" si="56"/>
        <v>170984</v>
      </c>
      <c r="AA62" s="66"/>
      <c r="AB62" s="66"/>
      <c r="AC62" s="66"/>
      <c r="AD62" s="66">
        <f t="shared" si="57"/>
        <v>170984</v>
      </c>
      <c r="AE62" s="66">
        <f t="shared" si="58"/>
        <v>1450896.6479355507</v>
      </c>
      <c r="AF62" s="101">
        <f t="shared" si="59"/>
        <v>1015081.7157834754</v>
      </c>
      <c r="AG62" s="101">
        <f t="shared" si="60"/>
        <v>1153501.9497539494</v>
      </c>
    </row>
    <row r="63" spans="1:33" s="68" customFormat="1" ht="11.25" customHeight="1" x14ac:dyDescent="0.2">
      <c r="A63" s="147" t="s">
        <v>659</v>
      </c>
      <c r="B63" s="147"/>
      <c r="C63" s="147"/>
      <c r="D63" s="148">
        <v>1</v>
      </c>
      <c r="E63" s="149"/>
      <c r="F63" s="150">
        <v>0.12</v>
      </c>
      <c r="G63" s="150"/>
      <c r="H63" s="67">
        <v>116013</v>
      </c>
      <c r="I63" s="67">
        <f t="shared" si="49"/>
        <v>110895.28496049665</v>
      </c>
      <c r="J63" s="67">
        <f t="shared" si="50"/>
        <v>97587.850765237046</v>
      </c>
      <c r="K63" s="63"/>
      <c r="L63" s="149">
        <v>0</v>
      </c>
      <c r="M63" s="63">
        <f t="shared" si="51"/>
        <v>0</v>
      </c>
      <c r="N63" s="63">
        <f t="shared" si="52"/>
        <v>0</v>
      </c>
      <c r="O63" s="69"/>
      <c r="P63" s="149">
        <v>0</v>
      </c>
      <c r="Q63" s="63">
        <f t="shared" si="53"/>
        <v>0</v>
      </c>
      <c r="R63" s="64">
        <f t="shared" si="54"/>
        <v>0</v>
      </c>
      <c r="S63" s="148">
        <v>25</v>
      </c>
      <c r="T63" s="151" t="s">
        <v>15</v>
      </c>
      <c r="U63" s="65">
        <f>SUMIF('Avoided Costs 2012-2020_EGD'!$A:$A,'2012 Actuals_Auditor'!T63&amp;'2012 Actuals_Auditor'!S63,'Avoided Costs 2012-2020_EGD'!$E:$E)*J63</f>
        <v>335116.1914824468</v>
      </c>
      <c r="V63" s="65">
        <f>SUMIF('Avoided Costs 2012-2020_EGD'!$A:$A,'2012 Actuals_Auditor'!T63&amp;'2012 Actuals_Auditor'!S63,'Avoided Costs 2012-2020_EGD'!$K:$K)*N63</f>
        <v>0</v>
      </c>
      <c r="W63" s="65">
        <f>SUMIF('Avoided Costs 2012-2020_EGD'!$A:$A,'2012 Actuals_Auditor'!T63&amp;'2012 Actuals_Auditor'!S63,'Avoided Costs 2012-2020_EGD'!$M:$M)*R63</f>
        <v>0</v>
      </c>
      <c r="X63" s="65">
        <f t="shared" si="55"/>
        <v>335116.1914824468</v>
      </c>
      <c r="Y63" s="146">
        <v>39004</v>
      </c>
      <c r="Z63" s="66">
        <f t="shared" si="56"/>
        <v>34323.519999999997</v>
      </c>
      <c r="AA63" s="66"/>
      <c r="AB63" s="66"/>
      <c r="AC63" s="66"/>
      <c r="AD63" s="66">
        <f t="shared" si="57"/>
        <v>34323.519999999997</v>
      </c>
      <c r="AE63" s="66">
        <f t="shared" si="58"/>
        <v>300792.67148244678</v>
      </c>
      <c r="AF63" s="101">
        <f t="shared" si="59"/>
        <v>2439696.2691309261</v>
      </c>
      <c r="AG63" s="101">
        <f t="shared" si="60"/>
        <v>2772382.1240124162</v>
      </c>
    </row>
    <row r="64" spans="1:33" s="68" customFormat="1" ht="11.25" customHeight="1" x14ac:dyDescent="0.2">
      <c r="A64" s="147" t="s">
        <v>660</v>
      </c>
      <c r="B64" s="147"/>
      <c r="C64" s="147"/>
      <c r="D64" s="148">
        <v>1</v>
      </c>
      <c r="E64" s="149"/>
      <c r="F64" s="150">
        <v>0.12</v>
      </c>
      <c r="G64" s="150"/>
      <c r="H64" s="67">
        <v>18028</v>
      </c>
      <c r="I64" s="67">
        <f t="shared" si="49"/>
        <v>17232.725619265373</v>
      </c>
      <c r="J64" s="67">
        <f t="shared" si="50"/>
        <v>15164.798544953528</v>
      </c>
      <c r="K64" s="63"/>
      <c r="L64" s="149">
        <v>35965</v>
      </c>
      <c r="M64" s="63">
        <f t="shared" si="51"/>
        <v>35965</v>
      </c>
      <c r="N64" s="63">
        <f t="shared" si="52"/>
        <v>31649.200000000001</v>
      </c>
      <c r="O64" s="69"/>
      <c r="P64" s="149">
        <v>0</v>
      </c>
      <c r="Q64" s="63">
        <f t="shared" si="53"/>
        <v>0</v>
      </c>
      <c r="R64" s="64">
        <f t="shared" si="54"/>
        <v>0</v>
      </c>
      <c r="S64" s="148">
        <v>15</v>
      </c>
      <c r="T64" s="151" t="s">
        <v>15</v>
      </c>
      <c r="U64" s="65">
        <f>SUMIF('Avoided Costs 2012-2020_EGD'!$A:$A,'2012 Actuals_Auditor'!T64&amp;'2012 Actuals_Auditor'!S64,'Avoided Costs 2012-2020_EGD'!$E:$E)*J64</f>
        <v>36849.002768470607</v>
      </c>
      <c r="V64" s="65">
        <f>SUMIF('Avoided Costs 2012-2020_EGD'!$A:$A,'2012 Actuals_Auditor'!T64&amp;'2012 Actuals_Auditor'!S64,'Avoided Costs 2012-2020_EGD'!$K:$K)*N64</f>
        <v>32591.821602793127</v>
      </c>
      <c r="W64" s="65">
        <f>SUMIF('Avoided Costs 2012-2020_EGD'!$A:$A,'2012 Actuals_Auditor'!T64&amp;'2012 Actuals_Auditor'!S64,'Avoided Costs 2012-2020_EGD'!$M:$M)*R64</f>
        <v>0</v>
      </c>
      <c r="X64" s="65">
        <f t="shared" si="55"/>
        <v>69440.824371263734</v>
      </c>
      <c r="Y64" s="146">
        <v>10000</v>
      </c>
      <c r="Z64" s="66">
        <f t="shared" si="56"/>
        <v>8800</v>
      </c>
      <c r="AA64" s="66"/>
      <c r="AB64" s="66"/>
      <c r="AC64" s="66"/>
      <c r="AD64" s="66">
        <f t="shared" si="57"/>
        <v>8800</v>
      </c>
      <c r="AE64" s="66">
        <f t="shared" si="58"/>
        <v>60640.824371263734</v>
      </c>
      <c r="AF64" s="101">
        <f t="shared" si="59"/>
        <v>227471.97817430293</v>
      </c>
      <c r="AG64" s="101">
        <f t="shared" si="60"/>
        <v>258490.8842889806</v>
      </c>
    </row>
    <row r="65" spans="1:33" s="68" customFormat="1" ht="11.25" customHeight="1" x14ac:dyDescent="0.2">
      <c r="A65" s="147" t="s">
        <v>661</v>
      </c>
      <c r="B65" s="147"/>
      <c r="C65" s="147"/>
      <c r="D65" s="148">
        <v>1</v>
      </c>
      <c r="E65" s="149"/>
      <c r="F65" s="150">
        <v>0.12</v>
      </c>
      <c r="G65" s="150"/>
      <c r="H65" s="67">
        <v>30531</v>
      </c>
      <c r="I65" s="67">
        <f t="shared" si="49"/>
        <v>29184.177162291497</v>
      </c>
      <c r="J65" s="67">
        <f t="shared" si="50"/>
        <v>25682.075902816516</v>
      </c>
      <c r="K65" s="63"/>
      <c r="L65" s="149">
        <v>5786</v>
      </c>
      <c r="M65" s="63">
        <f t="shared" si="51"/>
        <v>5786</v>
      </c>
      <c r="N65" s="63">
        <f t="shared" si="52"/>
        <v>5091.68</v>
      </c>
      <c r="O65" s="69"/>
      <c r="P65" s="149">
        <v>0</v>
      </c>
      <c r="Q65" s="63">
        <f t="shared" si="53"/>
        <v>0</v>
      </c>
      <c r="R65" s="64">
        <f t="shared" si="54"/>
        <v>0</v>
      </c>
      <c r="S65" s="148">
        <v>15</v>
      </c>
      <c r="T65" s="151" t="s">
        <v>15</v>
      </c>
      <c r="U65" s="65">
        <f>SUMIF('Avoided Costs 2012-2020_EGD'!$A:$A,'2012 Actuals_Auditor'!T65&amp;'2012 Actuals_Auditor'!S65,'Avoided Costs 2012-2020_EGD'!$E:$E)*J65</f>
        <v>62404.97578900466</v>
      </c>
      <c r="V65" s="65">
        <f>SUMIF('Avoided Costs 2012-2020_EGD'!$A:$A,'2012 Actuals_Auditor'!T65&amp;'2012 Actuals_Auditor'!S65,'Avoided Costs 2012-2020_EGD'!$K:$K)*N65</f>
        <v>5243.3276739541507</v>
      </c>
      <c r="W65" s="65">
        <f>SUMIF('Avoided Costs 2012-2020_EGD'!$A:$A,'2012 Actuals_Auditor'!T65&amp;'2012 Actuals_Auditor'!S65,'Avoided Costs 2012-2020_EGD'!$M:$M)*R65</f>
        <v>0</v>
      </c>
      <c r="X65" s="65">
        <f t="shared" ref="X65:X82" si="61">SUM(U65:W65)</f>
        <v>67648.303462958807</v>
      </c>
      <c r="Y65" s="146">
        <v>18050</v>
      </c>
      <c r="Z65" s="66">
        <f t="shared" si="56"/>
        <v>15884</v>
      </c>
      <c r="AA65" s="66"/>
      <c r="AB65" s="66"/>
      <c r="AC65" s="66"/>
      <c r="AD65" s="66">
        <f t="shared" si="57"/>
        <v>15884</v>
      </c>
      <c r="AE65" s="66">
        <f t="shared" si="58"/>
        <v>51764.303462958807</v>
      </c>
      <c r="AF65" s="101">
        <f t="shared" si="59"/>
        <v>385231.13854224776</v>
      </c>
      <c r="AG65" s="101">
        <f t="shared" si="60"/>
        <v>437762.65743437246</v>
      </c>
    </row>
    <row r="66" spans="1:33" s="68" customFormat="1" ht="11.25" customHeight="1" x14ac:dyDescent="0.2">
      <c r="A66" s="147" t="s">
        <v>662</v>
      </c>
      <c r="B66" s="147"/>
      <c r="C66" s="147"/>
      <c r="D66" s="148">
        <v>1</v>
      </c>
      <c r="E66" s="149"/>
      <c r="F66" s="150">
        <v>0.12</v>
      </c>
      <c r="G66" s="150"/>
      <c r="H66" s="67">
        <v>50688</v>
      </c>
      <c r="I66" s="67">
        <f t="shared" si="49"/>
        <v>48451.985588491414</v>
      </c>
      <c r="J66" s="67">
        <f t="shared" si="50"/>
        <v>42637.747317872447</v>
      </c>
      <c r="K66" s="63"/>
      <c r="L66" s="149">
        <v>29952</v>
      </c>
      <c r="M66" s="63">
        <f t="shared" si="51"/>
        <v>29952</v>
      </c>
      <c r="N66" s="63">
        <f t="shared" si="52"/>
        <v>26357.759999999998</v>
      </c>
      <c r="O66" s="69"/>
      <c r="P66" s="149">
        <v>0</v>
      </c>
      <c r="Q66" s="63">
        <f t="shared" si="53"/>
        <v>0</v>
      </c>
      <c r="R66" s="64">
        <f t="shared" si="54"/>
        <v>0</v>
      </c>
      <c r="S66" s="148">
        <v>15</v>
      </c>
      <c r="T66" s="151" t="s">
        <v>15</v>
      </c>
      <c r="U66" s="65">
        <f>SUMIF('Avoided Costs 2012-2020_EGD'!$A:$A,'2012 Actuals_Auditor'!T66&amp;'2012 Actuals_Auditor'!S66,'Avoided Costs 2012-2020_EGD'!$E:$E)*J66</f>
        <v>103605.62748658964</v>
      </c>
      <c r="V66" s="65">
        <f>SUMIF('Avoided Costs 2012-2020_EGD'!$A:$A,'2012 Actuals_Auditor'!T66&amp;'2012 Actuals_Auditor'!S66,'Avoided Costs 2012-2020_EGD'!$K:$K)*N66</f>
        <v>27142.78439168246</v>
      </c>
      <c r="W66" s="65">
        <f>SUMIF('Avoided Costs 2012-2020_EGD'!$A:$A,'2012 Actuals_Auditor'!T66&amp;'2012 Actuals_Auditor'!S66,'Avoided Costs 2012-2020_EGD'!$M:$M)*R66</f>
        <v>0</v>
      </c>
      <c r="X66" s="65">
        <f t="shared" si="61"/>
        <v>130748.41187827211</v>
      </c>
      <c r="Y66" s="146">
        <v>26550</v>
      </c>
      <c r="Z66" s="66">
        <f t="shared" si="56"/>
        <v>23364</v>
      </c>
      <c r="AA66" s="66"/>
      <c r="AB66" s="66"/>
      <c r="AC66" s="66"/>
      <c r="AD66" s="66">
        <f t="shared" si="57"/>
        <v>23364</v>
      </c>
      <c r="AE66" s="66">
        <f t="shared" si="58"/>
        <v>107384.41187827211</v>
      </c>
      <c r="AF66" s="101">
        <f t="shared" si="59"/>
        <v>639566.20976808667</v>
      </c>
      <c r="AG66" s="101">
        <f t="shared" si="60"/>
        <v>726779.7838273712</v>
      </c>
    </row>
    <row r="67" spans="1:33" s="68" customFormat="1" ht="11.25" customHeight="1" x14ac:dyDescent="0.2">
      <c r="A67" s="147" t="s">
        <v>663</v>
      </c>
      <c r="B67" s="147"/>
      <c r="C67" s="147"/>
      <c r="D67" s="148">
        <v>1</v>
      </c>
      <c r="E67" s="149"/>
      <c r="F67" s="150">
        <v>0.12</v>
      </c>
      <c r="G67" s="150"/>
      <c r="H67" s="67">
        <v>92515</v>
      </c>
      <c r="I67" s="67">
        <f t="shared" si="49"/>
        <v>88433.85903407677</v>
      </c>
      <c r="J67" s="67">
        <f t="shared" si="50"/>
        <v>77821.795949987558</v>
      </c>
      <c r="K67" s="63"/>
      <c r="L67" s="149">
        <v>7188</v>
      </c>
      <c r="M67" s="63">
        <f t="shared" si="51"/>
        <v>7188</v>
      </c>
      <c r="N67" s="63">
        <f t="shared" si="52"/>
        <v>6325.44</v>
      </c>
      <c r="O67" s="69"/>
      <c r="P67" s="149">
        <v>0</v>
      </c>
      <c r="Q67" s="63">
        <f t="shared" si="53"/>
        <v>0</v>
      </c>
      <c r="R67" s="64">
        <f t="shared" si="54"/>
        <v>0</v>
      </c>
      <c r="S67" s="148">
        <v>15</v>
      </c>
      <c r="T67" s="151" t="s">
        <v>15</v>
      </c>
      <c r="U67" s="65">
        <f>SUMIF('Avoided Costs 2012-2020_EGD'!$A:$A,'2012 Actuals_Auditor'!T67&amp;'2012 Actuals_Auditor'!S67,'Avoided Costs 2012-2020_EGD'!$E:$E)*J67</f>
        <v>189099.48364350223</v>
      </c>
      <c r="V67" s="65">
        <f>SUMIF('Avoided Costs 2012-2020_EGD'!$A:$A,'2012 Actuals_Auditor'!T67&amp;'2012 Actuals_Auditor'!S67,'Avoided Costs 2012-2020_EGD'!$K:$K)*N67</f>
        <v>6513.8332734846927</v>
      </c>
      <c r="W67" s="65">
        <f>SUMIF('Avoided Costs 2012-2020_EGD'!$A:$A,'2012 Actuals_Auditor'!T67&amp;'2012 Actuals_Auditor'!S67,'Avoided Costs 2012-2020_EGD'!$M:$M)*R67</f>
        <v>0</v>
      </c>
      <c r="X67" s="65">
        <f t="shared" si="61"/>
        <v>195613.31691698692</v>
      </c>
      <c r="Y67" s="146">
        <v>67800</v>
      </c>
      <c r="Z67" s="66">
        <f t="shared" si="56"/>
        <v>59664</v>
      </c>
      <c r="AA67" s="66"/>
      <c r="AB67" s="66"/>
      <c r="AC67" s="66"/>
      <c r="AD67" s="66">
        <f t="shared" si="57"/>
        <v>59664</v>
      </c>
      <c r="AE67" s="66">
        <f t="shared" si="58"/>
        <v>135949.31691698692</v>
      </c>
      <c r="AF67" s="101">
        <f t="shared" si="59"/>
        <v>1167326.9392498133</v>
      </c>
      <c r="AG67" s="101">
        <f t="shared" si="60"/>
        <v>1326507.8855111515</v>
      </c>
    </row>
    <row r="68" spans="1:33" s="68" customFormat="1" ht="11.25" customHeight="1" x14ac:dyDescent="0.2">
      <c r="A68" s="147" t="s">
        <v>664</v>
      </c>
      <c r="B68" s="147"/>
      <c r="C68" s="147"/>
      <c r="D68" s="148">
        <v>1</v>
      </c>
      <c r="E68" s="149"/>
      <c r="F68" s="150">
        <v>0.12</v>
      </c>
      <c r="G68" s="150"/>
      <c r="H68" s="67">
        <v>137346</v>
      </c>
      <c r="I68" s="67">
        <f t="shared" si="49"/>
        <v>131287.21615839927</v>
      </c>
      <c r="J68" s="67">
        <f t="shared" si="50"/>
        <v>115532.75021939135</v>
      </c>
      <c r="K68" s="63"/>
      <c r="L68" s="149">
        <v>0</v>
      </c>
      <c r="M68" s="63">
        <f t="shared" si="51"/>
        <v>0</v>
      </c>
      <c r="N68" s="63">
        <f t="shared" si="52"/>
        <v>0</v>
      </c>
      <c r="O68" s="69"/>
      <c r="P68" s="149">
        <v>0</v>
      </c>
      <c r="Q68" s="63">
        <f t="shared" si="53"/>
        <v>0</v>
      </c>
      <c r="R68" s="64">
        <f t="shared" si="54"/>
        <v>0</v>
      </c>
      <c r="S68" s="148">
        <v>25</v>
      </c>
      <c r="T68" s="151" t="s">
        <v>52</v>
      </c>
      <c r="U68" s="65">
        <f>SUMIF('Avoided Costs 2012-2020_EGD'!$A:$A,'2012 Actuals_Auditor'!T68&amp;'2012 Actuals_Auditor'!S68,'Avoided Costs 2012-2020_EGD'!$E:$E)*J68</f>
        <v>372800.11000105366</v>
      </c>
      <c r="V68" s="65">
        <f>SUMIF('Avoided Costs 2012-2020_EGD'!$A:$A,'2012 Actuals_Auditor'!T68&amp;'2012 Actuals_Auditor'!S68,'Avoided Costs 2012-2020_EGD'!$K:$K)*N68</f>
        <v>0</v>
      </c>
      <c r="W68" s="65">
        <f>SUMIF('Avoided Costs 2012-2020_EGD'!$A:$A,'2012 Actuals_Auditor'!T68&amp;'2012 Actuals_Auditor'!S68,'Avoided Costs 2012-2020_EGD'!$M:$M)*R68</f>
        <v>0</v>
      </c>
      <c r="X68" s="65">
        <f t="shared" si="61"/>
        <v>372800.11000105366</v>
      </c>
      <c r="Y68" s="146">
        <v>382000</v>
      </c>
      <c r="Z68" s="66">
        <f t="shared" si="56"/>
        <v>336160</v>
      </c>
      <c r="AA68" s="66"/>
      <c r="AB68" s="66"/>
      <c r="AC68" s="66"/>
      <c r="AD68" s="66">
        <f t="shared" si="57"/>
        <v>336160</v>
      </c>
      <c r="AE68" s="66">
        <f t="shared" si="58"/>
        <v>36640.110001053661</v>
      </c>
      <c r="AF68" s="101">
        <f t="shared" si="59"/>
        <v>2888318.755484784</v>
      </c>
      <c r="AG68" s="101">
        <f t="shared" si="60"/>
        <v>3282180.4039599816</v>
      </c>
    </row>
    <row r="69" spans="1:33" s="68" customFormat="1" ht="11.25" customHeight="1" x14ac:dyDescent="0.2">
      <c r="A69" s="147" t="s">
        <v>665</v>
      </c>
      <c r="B69" s="147"/>
      <c r="C69" s="147"/>
      <c r="D69" s="148">
        <v>1</v>
      </c>
      <c r="E69" s="149"/>
      <c r="F69" s="150">
        <v>0.12</v>
      </c>
      <c r="G69" s="150"/>
      <c r="H69" s="67">
        <v>150771</v>
      </c>
      <c r="I69" s="67">
        <f t="shared" si="49"/>
        <v>144119.99524862767</v>
      </c>
      <c r="J69" s="67">
        <f t="shared" si="50"/>
        <v>126825.59581879235</v>
      </c>
      <c r="K69" s="63"/>
      <c r="L69" s="149">
        <v>350000</v>
      </c>
      <c r="M69" s="63">
        <f t="shared" si="51"/>
        <v>350000</v>
      </c>
      <c r="N69" s="63">
        <f t="shared" si="52"/>
        <v>308000</v>
      </c>
      <c r="O69" s="69"/>
      <c r="P69" s="149">
        <v>0</v>
      </c>
      <c r="Q69" s="63">
        <f t="shared" si="53"/>
        <v>0</v>
      </c>
      <c r="R69" s="64">
        <f t="shared" si="54"/>
        <v>0</v>
      </c>
      <c r="S69" s="148">
        <v>5</v>
      </c>
      <c r="T69" s="151" t="s">
        <v>15</v>
      </c>
      <c r="U69" s="65">
        <f>SUMIF('Avoided Costs 2012-2020_EGD'!$A:$A,'2012 Actuals_Auditor'!T69&amp;'2012 Actuals_Auditor'!S69,'Avoided Costs 2012-2020_EGD'!$E:$E)*J69</f>
        <v>105715.76406539776</v>
      </c>
      <c r="V69" s="65">
        <f>SUMIF('Avoided Costs 2012-2020_EGD'!$A:$A,'2012 Actuals_Auditor'!T69&amp;'2012 Actuals_Auditor'!S69,'Avoided Costs 2012-2020_EGD'!$K:$K)*N69</f>
        <v>131796.35808059428</v>
      </c>
      <c r="W69" s="65">
        <f>SUMIF('Avoided Costs 2012-2020_EGD'!$A:$A,'2012 Actuals_Auditor'!T69&amp;'2012 Actuals_Auditor'!S69,'Avoided Costs 2012-2020_EGD'!$M:$M)*R69</f>
        <v>0</v>
      </c>
      <c r="X69" s="65">
        <f t="shared" si="61"/>
        <v>237512.12214599203</v>
      </c>
      <c r="Y69" s="146">
        <v>33120</v>
      </c>
      <c r="Z69" s="66">
        <f t="shared" si="56"/>
        <v>29145.599999999999</v>
      </c>
      <c r="AA69" s="66"/>
      <c r="AB69" s="66"/>
      <c r="AC69" s="66"/>
      <c r="AD69" s="66">
        <f t="shared" si="57"/>
        <v>29145.599999999999</v>
      </c>
      <c r="AE69" s="66">
        <f t="shared" si="58"/>
        <v>208366.52214599203</v>
      </c>
      <c r="AF69" s="101">
        <f t="shared" si="59"/>
        <v>634127.97909396177</v>
      </c>
      <c r="AG69" s="101">
        <f t="shared" si="60"/>
        <v>720599.97624313831</v>
      </c>
    </row>
    <row r="70" spans="1:33" s="68" customFormat="1" ht="11.25" customHeight="1" x14ac:dyDescent="0.2">
      <c r="A70" s="147" t="s">
        <v>666</v>
      </c>
      <c r="B70" s="147"/>
      <c r="C70" s="147"/>
      <c r="D70" s="148">
        <v>1</v>
      </c>
      <c r="E70" s="149"/>
      <c r="F70" s="150">
        <v>0.12</v>
      </c>
      <c r="G70" s="150"/>
      <c r="H70" s="67">
        <v>19891</v>
      </c>
      <c r="I70" s="67">
        <f t="shared" si="49"/>
        <v>19013.542561171929</v>
      </c>
      <c r="J70" s="67">
        <f t="shared" si="50"/>
        <v>16731.917453831298</v>
      </c>
      <c r="K70" s="63"/>
      <c r="L70" s="149">
        <v>0</v>
      </c>
      <c r="M70" s="63">
        <f t="shared" si="51"/>
        <v>0</v>
      </c>
      <c r="N70" s="63">
        <f t="shared" si="52"/>
        <v>0</v>
      </c>
      <c r="O70" s="69"/>
      <c r="P70" s="149">
        <v>0</v>
      </c>
      <c r="Q70" s="63">
        <f t="shared" si="53"/>
        <v>0</v>
      </c>
      <c r="R70" s="64">
        <f t="shared" si="54"/>
        <v>0</v>
      </c>
      <c r="S70" s="148">
        <v>25</v>
      </c>
      <c r="T70" s="151" t="s">
        <v>15</v>
      </c>
      <c r="U70" s="65">
        <f>SUMIF('Avoided Costs 2012-2020_EGD'!$A:$A,'2012 Actuals_Auditor'!T70&amp;'2012 Actuals_Auditor'!S70,'Avoided Costs 2012-2020_EGD'!$E:$E)*J70</f>
        <v>57457.320858674029</v>
      </c>
      <c r="V70" s="65">
        <f>SUMIF('Avoided Costs 2012-2020_EGD'!$A:$A,'2012 Actuals_Auditor'!T70&amp;'2012 Actuals_Auditor'!S70,'Avoided Costs 2012-2020_EGD'!$K:$K)*N70</f>
        <v>0</v>
      </c>
      <c r="W70" s="65">
        <f>SUMIF('Avoided Costs 2012-2020_EGD'!$A:$A,'2012 Actuals_Auditor'!T70&amp;'2012 Actuals_Auditor'!S70,'Avoided Costs 2012-2020_EGD'!$M:$M)*R70</f>
        <v>0</v>
      </c>
      <c r="X70" s="65">
        <f t="shared" si="61"/>
        <v>57457.320858674029</v>
      </c>
      <c r="Y70" s="146">
        <v>10872</v>
      </c>
      <c r="Z70" s="66">
        <f t="shared" si="56"/>
        <v>9567.36</v>
      </c>
      <c r="AA70" s="66"/>
      <c r="AB70" s="66"/>
      <c r="AC70" s="66"/>
      <c r="AD70" s="66">
        <f t="shared" si="57"/>
        <v>9567.36</v>
      </c>
      <c r="AE70" s="66">
        <f t="shared" si="58"/>
        <v>47889.960858674029</v>
      </c>
      <c r="AF70" s="101">
        <f t="shared" si="59"/>
        <v>418297.93634578248</v>
      </c>
      <c r="AG70" s="101">
        <f t="shared" si="60"/>
        <v>475338.56402929826</v>
      </c>
    </row>
    <row r="71" spans="1:33" s="68" customFormat="1" ht="11.25" customHeight="1" x14ac:dyDescent="0.2">
      <c r="A71" s="147" t="s">
        <v>667</v>
      </c>
      <c r="B71" s="147"/>
      <c r="C71" s="147"/>
      <c r="D71" s="148">
        <v>1</v>
      </c>
      <c r="E71" s="149"/>
      <c r="F71" s="150">
        <v>0.12</v>
      </c>
      <c r="G71" s="150"/>
      <c r="H71" s="67">
        <v>81227</v>
      </c>
      <c r="I71" s="67">
        <f t="shared" si="49"/>
        <v>77643.809844467964</v>
      </c>
      <c r="J71" s="67">
        <f t="shared" si="50"/>
        <v>68326.552663131806</v>
      </c>
      <c r="K71" s="63"/>
      <c r="L71" s="149">
        <v>254935</v>
      </c>
      <c r="M71" s="63">
        <f t="shared" si="51"/>
        <v>254935</v>
      </c>
      <c r="N71" s="63">
        <f t="shared" si="52"/>
        <v>224342.8</v>
      </c>
      <c r="O71" s="69"/>
      <c r="P71" s="149">
        <v>0</v>
      </c>
      <c r="Q71" s="63">
        <f t="shared" si="53"/>
        <v>0</v>
      </c>
      <c r="R71" s="64">
        <f t="shared" si="54"/>
        <v>0</v>
      </c>
      <c r="S71" s="148">
        <v>15</v>
      </c>
      <c r="T71" s="151" t="s">
        <v>15</v>
      </c>
      <c r="U71" s="65">
        <f>SUMIF('Avoided Costs 2012-2020_EGD'!$A:$A,'2012 Actuals_Auditor'!T71&amp;'2012 Actuals_Auditor'!S71,'Avoided Costs 2012-2020_EGD'!$E:$E)*J71</f>
        <v>166026.95517387186</v>
      </c>
      <c r="V71" s="65">
        <f>SUMIF('Avoided Costs 2012-2020_EGD'!$A:$A,'2012 Actuals_Auditor'!T71&amp;'2012 Actuals_Auditor'!S71,'Avoided Costs 2012-2020_EGD'!$K:$K)*N71</f>
        <v>231024.49715857263</v>
      </c>
      <c r="W71" s="65">
        <f>SUMIF('Avoided Costs 2012-2020_EGD'!$A:$A,'2012 Actuals_Auditor'!T71&amp;'2012 Actuals_Auditor'!S71,'Avoided Costs 2012-2020_EGD'!$M:$M)*R71</f>
        <v>0</v>
      </c>
      <c r="X71" s="65">
        <f t="shared" si="61"/>
        <v>397051.45233244449</v>
      </c>
      <c r="Y71" s="146">
        <v>15722</v>
      </c>
      <c r="Z71" s="66">
        <f t="shared" si="56"/>
        <v>13835.36</v>
      </c>
      <c r="AA71" s="66"/>
      <c r="AB71" s="66"/>
      <c r="AC71" s="66"/>
      <c r="AD71" s="66">
        <f t="shared" si="57"/>
        <v>13835.36</v>
      </c>
      <c r="AE71" s="66">
        <f t="shared" si="58"/>
        <v>383216.0923324445</v>
      </c>
      <c r="AF71" s="101">
        <f t="shared" si="59"/>
        <v>1024898.289946977</v>
      </c>
      <c r="AG71" s="101">
        <f t="shared" si="60"/>
        <v>1164657.1476670194</v>
      </c>
    </row>
    <row r="72" spans="1:33" s="68" customFormat="1" ht="11.25" customHeight="1" x14ac:dyDescent="0.2">
      <c r="A72" s="147" t="s">
        <v>668</v>
      </c>
      <c r="B72" s="147"/>
      <c r="C72" s="147"/>
      <c r="D72" s="148">
        <v>1</v>
      </c>
      <c r="E72" s="149"/>
      <c r="F72" s="150">
        <v>0.12</v>
      </c>
      <c r="G72" s="150"/>
      <c r="H72" s="67">
        <v>12001</v>
      </c>
      <c r="I72" s="67">
        <f t="shared" si="49"/>
        <v>11471.596414289092</v>
      </c>
      <c r="J72" s="67">
        <f t="shared" si="50"/>
        <v>10095.004844574401</v>
      </c>
      <c r="K72" s="63"/>
      <c r="L72" s="149">
        <v>0</v>
      </c>
      <c r="M72" s="63">
        <f t="shared" si="51"/>
        <v>0</v>
      </c>
      <c r="N72" s="63">
        <f t="shared" si="52"/>
        <v>0</v>
      </c>
      <c r="O72" s="69"/>
      <c r="P72" s="149">
        <v>0</v>
      </c>
      <c r="Q72" s="63">
        <f t="shared" si="53"/>
        <v>0</v>
      </c>
      <c r="R72" s="64">
        <f t="shared" si="54"/>
        <v>0</v>
      </c>
      <c r="S72" s="148">
        <v>25</v>
      </c>
      <c r="T72" s="151" t="s">
        <v>15</v>
      </c>
      <c r="U72" s="65">
        <f>SUMIF('Avoided Costs 2012-2020_EGD'!$A:$A,'2012 Actuals_Auditor'!T72&amp;'2012 Actuals_Auditor'!S72,'Avoided Costs 2012-2020_EGD'!$E:$E)*J72</f>
        <v>34666.196150266303</v>
      </c>
      <c r="V72" s="65">
        <f>SUMIF('Avoided Costs 2012-2020_EGD'!$A:$A,'2012 Actuals_Auditor'!T72&amp;'2012 Actuals_Auditor'!S72,'Avoided Costs 2012-2020_EGD'!$K:$K)*N72</f>
        <v>0</v>
      </c>
      <c r="W72" s="65">
        <f>SUMIF('Avoided Costs 2012-2020_EGD'!$A:$A,'2012 Actuals_Auditor'!T72&amp;'2012 Actuals_Auditor'!S72,'Avoided Costs 2012-2020_EGD'!$M:$M)*R72</f>
        <v>0</v>
      </c>
      <c r="X72" s="65">
        <f t="shared" si="61"/>
        <v>34666.196150266303</v>
      </c>
      <c r="Y72" s="146">
        <v>3018</v>
      </c>
      <c r="Z72" s="66">
        <f t="shared" si="56"/>
        <v>2655.84</v>
      </c>
      <c r="AA72" s="66"/>
      <c r="AB72" s="66"/>
      <c r="AC72" s="66"/>
      <c r="AD72" s="66">
        <f t="shared" si="57"/>
        <v>2655.84</v>
      </c>
      <c r="AE72" s="66">
        <f t="shared" si="58"/>
        <v>32010.356150266303</v>
      </c>
      <c r="AF72" s="101">
        <f t="shared" si="59"/>
        <v>252375.12111436002</v>
      </c>
      <c r="AG72" s="101">
        <f t="shared" si="60"/>
        <v>286789.91035722732</v>
      </c>
    </row>
    <row r="73" spans="1:33" s="68" customFormat="1" ht="11.25" customHeight="1" x14ac:dyDescent="0.2">
      <c r="A73" s="147" t="s">
        <v>669</v>
      </c>
      <c r="B73" s="147"/>
      <c r="C73" s="147"/>
      <c r="D73" s="148">
        <v>1</v>
      </c>
      <c r="E73" s="149"/>
      <c r="F73" s="150">
        <v>0.12</v>
      </c>
      <c r="G73" s="150"/>
      <c r="H73" s="67">
        <v>53774</v>
      </c>
      <c r="I73" s="67">
        <f t="shared" si="49"/>
        <v>51401.851977500337</v>
      </c>
      <c r="J73" s="67">
        <f t="shared" si="50"/>
        <v>45233.629740200297</v>
      </c>
      <c r="K73" s="63"/>
      <c r="L73" s="149">
        <v>0</v>
      </c>
      <c r="M73" s="63">
        <f t="shared" si="51"/>
        <v>0</v>
      </c>
      <c r="N73" s="63">
        <f t="shared" si="52"/>
        <v>0</v>
      </c>
      <c r="O73" s="69"/>
      <c r="P73" s="149">
        <v>0</v>
      </c>
      <c r="Q73" s="63">
        <f t="shared" si="53"/>
        <v>0</v>
      </c>
      <c r="R73" s="64">
        <f t="shared" si="54"/>
        <v>0</v>
      </c>
      <c r="S73" s="148">
        <v>15</v>
      </c>
      <c r="T73" s="151" t="s">
        <v>15</v>
      </c>
      <c r="U73" s="65">
        <f>SUMIF('Avoided Costs 2012-2020_EGD'!$A:$A,'2012 Actuals_Auditor'!T73&amp;'2012 Actuals_Auditor'!S73,'Avoided Costs 2012-2020_EGD'!$E:$E)*J73</f>
        <v>109913.37224715654</v>
      </c>
      <c r="V73" s="65">
        <f>SUMIF('Avoided Costs 2012-2020_EGD'!$A:$A,'2012 Actuals_Auditor'!T73&amp;'2012 Actuals_Auditor'!S73,'Avoided Costs 2012-2020_EGD'!$K:$K)*N73</f>
        <v>0</v>
      </c>
      <c r="W73" s="65">
        <f>SUMIF('Avoided Costs 2012-2020_EGD'!$A:$A,'2012 Actuals_Auditor'!T73&amp;'2012 Actuals_Auditor'!S73,'Avoided Costs 2012-2020_EGD'!$M:$M)*R73</f>
        <v>0</v>
      </c>
      <c r="X73" s="65">
        <f t="shared" si="61"/>
        <v>109913.37224715654</v>
      </c>
      <c r="Y73" s="146">
        <v>93564</v>
      </c>
      <c r="Z73" s="66">
        <f t="shared" si="56"/>
        <v>82336.320000000007</v>
      </c>
      <c r="AA73" s="66"/>
      <c r="AB73" s="66"/>
      <c r="AC73" s="66"/>
      <c r="AD73" s="66">
        <f t="shared" si="57"/>
        <v>82336.320000000007</v>
      </c>
      <c r="AE73" s="66">
        <f t="shared" si="58"/>
        <v>27577.052247156535</v>
      </c>
      <c r="AF73" s="101">
        <f t="shared" si="59"/>
        <v>678504.44610300451</v>
      </c>
      <c r="AG73" s="101">
        <f t="shared" si="60"/>
        <v>771027.77966250503</v>
      </c>
    </row>
    <row r="74" spans="1:33" s="68" customFormat="1" ht="11.25" customHeight="1" x14ac:dyDescent="0.2">
      <c r="A74" s="147" t="s">
        <v>670</v>
      </c>
      <c r="B74" s="147"/>
      <c r="C74" s="147"/>
      <c r="D74" s="148">
        <v>1</v>
      </c>
      <c r="E74" s="149"/>
      <c r="F74" s="150">
        <v>0.12</v>
      </c>
      <c r="G74" s="150"/>
      <c r="H74" s="67">
        <v>70437</v>
      </c>
      <c r="I74" s="67">
        <f t="shared" si="49"/>
        <v>67329.792236753667</v>
      </c>
      <c r="J74" s="67">
        <f t="shared" si="50"/>
        <v>59250.217168343224</v>
      </c>
      <c r="K74" s="63"/>
      <c r="L74" s="149">
        <v>62189</v>
      </c>
      <c r="M74" s="63">
        <f t="shared" si="51"/>
        <v>62189</v>
      </c>
      <c r="N74" s="63">
        <f t="shared" si="52"/>
        <v>54726.32</v>
      </c>
      <c r="O74" s="69"/>
      <c r="P74" s="149">
        <v>0</v>
      </c>
      <c r="Q74" s="63">
        <f t="shared" si="53"/>
        <v>0</v>
      </c>
      <c r="R74" s="64">
        <f t="shared" si="54"/>
        <v>0</v>
      </c>
      <c r="S74" s="148">
        <v>15</v>
      </c>
      <c r="T74" s="151" t="s">
        <v>15</v>
      </c>
      <c r="U74" s="65">
        <f>SUMIF('Avoided Costs 2012-2020_EGD'!$A:$A,'2012 Actuals_Auditor'!T74&amp;'2012 Actuals_Auditor'!S74,'Avoided Costs 2012-2020_EGD'!$E:$E)*J74</f>
        <v>143972.3323720193</v>
      </c>
      <c r="V74" s="65">
        <f>SUMIF('Avoided Costs 2012-2020_EGD'!$A:$A,'2012 Actuals_Auditor'!T74&amp;'2012 Actuals_Auditor'!S74,'Avoided Costs 2012-2020_EGD'!$K:$K)*N74</f>
        <v>56356.25729615186</v>
      </c>
      <c r="W74" s="65">
        <f>SUMIF('Avoided Costs 2012-2020_EGD'!$A:$A,'2012 Actuals_Auditor'!T74&amp;'2012 Actuals_Auditor'!S74,'Avoided Costs 2012-2020_EGD'!$M:$M)*R74</f>
        <v>0</v>
      </c>
      <c r="X74" s="65">
        <f t="shared" si="61"/>
        <v>200328.58966817116</v>
      </c>
      <c r="Y74" s="146">
        <v>22000</v>
      </c>
      <c r="Z74" s="66">
        <f t="shared" si="56"/>
        <v>19360</v>
      </c>
      <c r="AA74" s="66"/>
      <c r="AB74" s="66"/>
      <c r="AC74" s="66"/>
      <c r="AD74" s="66">
        <f t="shared" si="57"/>
        <v>19360</v>
      </c>
      <c r="AE74" s="66">
        <f t="shared" si="58"/>
        <v>180968.58966817116</v>
      </c>
      <c r="AF74" s="101">
        <f t="shared" si="59"/>
        <v>888753.25752514834</v>
      </c>
      <c r="AG74" s="101">
        <f t="shared" si="60"/>
        <v>1009946.883551305</v>
      </c>
    </row>
    <row r="75" spans="1:33" s="68" customFormat="1" ht="11.25" customHeight="1" x14ac:dyDescent="0.2">
      <c r="A75" s="147" t="s">
        <v>671</v>
      </c>
      <c r="B75" s="147"/>
      <c r="C75" s="147"/>
      <c r="D75" s="148">
        <v>1</v>
      </c>
      <c r="E75" s="149"/>
      <c r="F75" s="150">
        <v>0.12</v>
      </c>
      <c r="G75" s="150"/>
      <c r="H75" s="67">
        <v>18256</v>
      </c>
      <c r="I75" s="67">
        <f t="shared" si="49"/>
        <v>17450.667789289364</v>
      </c>
      <c r="J75" s="67">
        <f t="shared" si="50"/>
        <v>15356.58765457464</v>
      </c>
      <c r="K75" s="63"/>
      <c r="L75" s="149">
        <v>0</v>
      </c>
      <c r="M75" s="63">
        <f t="shared" si="51"/>
        <v>0</v>
      </c>
      <c r="N75" s="63">
        <f t="shared" si="52"/>
        <v>0</v>
      </c>
      <c r="O75" s="69"/>
      <c r="P75" s="149">
        <v>0</v>
      </c>
      <c r="Q75" s="63">
        <f t="shared" si="53"/>
        <v>0</v>
      </c>
      <c r="R75" s="64">
        <f t="shared" si="54"/>
        <v>0</v>
      </c>
      <c r="S75" s="148">
        <v>25</v>
      </c>
      <c r="T75" s="151" t="s">
        <v>15</v>
      </c>
      <c r="U75" s="65">
        <f>SUMIF('Avoided Costs 2012-2020_EGD'!$A:$A,'2012 Actuals_Auditor'!T75&amp;'2012 Actuals_Auditor'!S75,'Avoided Costs 2012-2020_EGD'!$E:$E)*J75</f>
        <v>52734.44520617128</v>
      </c>
      <c r="V75" s="65">
        <f>SUMIF('Avoided Costs 2012-2020_EGD'!$A:$A,'2012 Actuals_Auditor'!T75&amp;'2012 Actuals_Auditor'!S75,'Avoided Costs 2012-2020_EGD'!$K:$K)*N75</f>
        <v>0</v>
      </c>
      <c r="W75" s="65">
        <f>SUMIF('Avoided Costs 2012-2020_EGD'!$A:$A,'2012 Actuals_Auditor'!T75&amp;'2012 Actuals_Auditor'!S75,'Avoided Costs 2012-2020_EGD'!$M:$M)*R75</f>
        <v>0</v>
      </c>
      <c r="X75" s="65">
        <f t="shared" si="61"/>
        <v>52734.44520617128</v>
      </c>
      <c r="Y75" s="146">
        <v>27778</v>
      </c>
      <c r="Z75" s="66">
        <f t="shared" si="56"/>
        <v>24444.639999999999</v>
      </c>
      <c r="AA75" s="66"/>
      <c r="AB75" s="66"/>
      <c r="AC75" s="66"/>
      <c r="AD75" s="66">
        <f t="shared" si="57"/>
        <v>24444.639999999999</v>
      </c>
      <c r="AE75" s="66">
        <f t="shared" si="58"/>
        <v>28289.805206171281</v>
      </c>
      <c r="AF75" s="101">
        <f t="shared" si="59"/>
        <v>383914.69136436598</v>
      </c>
      <c r="AG75" s="101">
        <f t="shared" si="60"/>
        <v>436266.69473223411</v>
      </c>
    </row>
    <row r="76" spans="1:33" s="68" customFormat="1" ht="11.25" customHeight="1" x14ac:dyDescent="0.2">
      <c r="A76" s="147" t="s">
        <v>672</v>
      </c>
      <c r="B76" s="147"/>
      <c r="C76" s="147"/>
      <c r="D76" s="148">
        <v>1</v>
      </c>
      <c r="E76" s="149"/>
      <c r="F76" s="150">
        <v>0.12</v>
      </c>
      <c r="G76" s="150"/>
      <c r="H76" s="67">
        <v>40482</v>
      </c>
      <c r="I76" s="67">
        <f t="shared" si="49"/>
        <v>38696.20581978593</v>
      </c>
      <c r="J76" s="67">
        <f t="shared" si="50"/>
        <v>34052.66112141162</v>
      </c>
      <c r="K76" s="63"/>
      <c r="L76" s="149">
        <v>26140</v>
      </c>
      <c r="M76" s="63">
        <f t="shared" si="51"/>
        <v>26140</v>
      </c>
      <c r="N76" s="63">
        <f t="shared" si="52"/>
        <v>23003.200000000001</v>
      </c>
      <c r="O76" s="69"/>
      <c r="P76" s="149">
        <v>0</v>
      </c>
      <c r="Q76" s="63">
        <f t="shared" si="53"/>
        <v>0</v>
      </c>
      <c r="R76" s="64">
        <f t="shared" si="54"/>
        <v>0</v>
      </c>
      <c r="S76" s="148">
        <v>15</v>
      </c>
      <c r="T76" s="151" t="s">
        <v>15</v>
      </c>
      <c r="U76" s="65">
        <f>SUMIF('Avoided Costs 2012-2020_EGD'!$A:$A,'2012 Actuals_Auditor'!T76&amp;'2012 Actuals_Auditor'!S76,'Avoided Costs 2012-2020_EGD'!$E:$E)*J76</f>
        <v>82744.69325899861</v>
      </c>
      <c r="V76" s="65">
        <f>SUMIF('Avoided Costs 2012-2020_EGD'!$A:$A,'2012 Actuals_Auditor'!T76&amp;'2012 Actuals_Auditor'!S76,'Avoided Costs 2012-2020_EGD'!$K:$K)*N76</f>
        <v>23688.314102516677</v>
      </c>
      <c r="W76" s="65">
        <f>SUMIF('Avoided Costs 2012-2020_EGD'!$A:$A,'2012 Actuals_Auditor'!T76&amp;'2012 Actuals_Auditor'!S76,'Avoided Costs 2012-2020_EGD'!$M:$M)*R76</f>
        <v>0</v>
      </c>
      <c r="X76" s="65">
        <f t="shared" si="61"/>
        <v>106433.00736151528</v>
      </c>
      <c r="Y76" s="146">
        <v>22725</v>
      </c>
      <c r="Z76" s="66">
        <f t="shared" si="56"/>
        <v>19998</v>
      </c>
      <c r="AA76" s="66"/>
      <c r="AB76" s="66"/>
      <c r="AC76" s="66"/>
      <c r="AD76" s="66">
        <f t="shared" si="57"/>
        <v>19998</v>
      </c>
      <c r="AE76" s="66">
        <f t="shared" si="58"/>
        <v>86435.00736151528</v>
      </c>
      <c r="AF76" s="101">
        <f t="shared" si="59"/>
        <v>510789.91682117432</v>
      </c>
      <c r="AG76" s="101">
        <f t="shared" si="60"/>
        <v>580443.08729678893</v>
      </c>
    </row>
    <row r="77" spans="1:33" s="68" customFormat="1" ht="11.25" customHeight="1" x14ac:dyDescent="0.2">
      <c r="A77" s="147" t="s">
        <v>673</v>
      </c>
      <c r="B77" s="147"/>
      <c r="C77" s="147"/>
      <c r="D77" s="148">
        <v>1</v>
      </c>
      <c r="E77" s="149"/>
      <c r="F77" s="150">
        <v>0.12</v>
      </c>
      <c r="G77" s="150"/>
      <c r="H77" s="67">
        <v>70759</v>
      </c>
      <c r="I77" s="67">
        <f t="shared" si="49"/>
        <v>67637.587757577014</v>
      </c>
      <c r="J77" s="67">
        <f t="shared" si="50"/>
        <v>59521.077226667774</v>
      </c>
      <c r="K77" s="63"/>
      <c r="L77" s="149">
        <v>78420</v>
      </c>
      <c r="M77" s="63">
        <f t="shared" si="51"/>
        <v>78420</v>
      </c>
      <c r="N77" s="63">
        <f t="shared" si="52"/>
        <v>69009.600000000006</v>
      </c>
      <c r="O77" s="69"/>
      <c r="P77" s="149">
        <v>0</v>
      </c>
      <c r="Q77" s="63">
        <f t="shared" si="53"/>
        <v>0</v>
      </c>
      <c r="R77" s="64">
        <f t="shared" si="54"/>
        <v>0</v>
      </c>
      <c r="S77" s="148">
        <v>15</v>
      </c>
      <c r="T77" s="151" t="s">
        <v>15</v>
      </c>
      <c r="U77" s="65">
        <f>SUMIF('Avoided Costs 2012-2020_EGD'!$A:$A,'2012 Actuals_Auditor'!T77&amp;'2012 Actuals_Auditor'!S77,'Avoided Costs 2012-2020_EGD'!$E:$E)*J77</f>
        <v>144630.49627769089</v>
      </c>
      <c r="V77" s="65">
        <f>SUMIF('Avoided Costs 2012-2020_EGD'!$A:$A,'2012 Actuals_Auditor'!T77&amp;'2012 Actuals_Auditor'!S77,'Avoided Costs 2012-2020_EGD'!$K:$K)*N77</f>
        <v>71064.942307550038</v>
      </c>
      <c r="W77" s="65">
        <f>SUMIF('Avoided Costs 2012-2020_EGD'!$A:$A,'2012 Actuals_Auditor'!T77&amp;'2012 Actuals_Auditor'!S77,'Avoided Costs 2012-2020_EGD'!$M:$M)*R77</f>
        <v>0</v>
      </c>
      <c r="X77" s="65">
        <f t="shared" si="61"/>
        <v>215695.43858524092</v>
      </c>
      <c r="Y77" s="146">
        <v>28865</v>
      </c>
      <c r="Z77" s="66">
        <f t="shared" si="56"/>
        <v>25401.200000000001</v>
      </c>
      <c r="AA77" s="66"/>
      <c r="AB77" s="66"/>
      <c r="AC77" s="66"/>
      <c r="AD77" s="66">
        <f t="shared" si="57"/>
        <v>25401.200000000001</v>
      </c>
      <c r="AE77" s="66">
        <f t="shared" si="58"/>
        <v>190294.23858524091</v>
      </c>
      <c r="AF77" s="101">
        <f t="shared" si="59"/>
        <v>892816.1584000166</v>
      </c>
      <c r="AG77" s="101">
        <f t="shared" si="60"/>
        <v>1014563.8163636553</v>
      </c>
    </row>
    <row r="78" spans="1:33" s="68" customFormat="1" ht="11.25" customHeight="1" x14ac:dyDescent="0.2">
      <c r="A78" s="147" t="s">
        <v>674</v>
      </c>
      <c r="B78" s="147"/>
      <c r="C78" s="147"/>
      <c r="D78" s="148">
        <v>0</v>
      </c>
      <c r="E78" s="149"/>
      <c r="F78" s="150">
        <v>0.12</v>
      </c>
      <c r="G78" s="150"/>
      <c r="H78" s="67">
        <v>4202</v>
      </c>
      <c r="I78" s="67">
        <f t="shared" si="49"/>
        <v>4016.6359580737239</v>
      </c>
      <c r="J78" s="67">
        <f t="shared" si="50"/>
        <v>3534.639643104877</v>
      </c>
      <c r="K78" s="63"/>
      <c r="L78" s="149">
        <v>44928</v>
      </c>
      <c r="M78" s="63">
        <f t="shared" si="51"/>
        <v>44928</v>
      </c>
      <c r="N78" s="63">
        <f t="shared" si="52"/>
        <v>39536.639999999999</v>
      </c>
      <c r="O78" s="69"/>
      <c r="P78" s="149">
        <v>0</v>
      </c>
      <c r="Q78" s="63">
        <f t="shared" si="53"/>
        <v>0</v>
      </c>
      <c r="R78" s="64">
        <f t="shared" si="54"/>
        <v>0</v>
      </c>
      <c r="S78" s="148">
        <v>15</v>
      </c>
      <c r="T78" s="151" t="s">
        <v>15</v>
      </c>
      <c r="U78" s="65">
        <f>SUMIF('Avoided Costs 2012-2020_EGD'!$A:$A,'2012 Actuals_Auditor'!T78&amp;'2012 Actuals_Auditor'!S78,'Avoided Costs 2012-2020_EGD'!$E:$E)*J78</f>
        <v>8588.8345702858587</v>
      </c>
      <c r="V78" s="65">
        <f>SUMIF('Avoided Costs 2012-2020_EGD'!$A:$A,'2012 Actuals_Auditor'!T78&amp;'2012 Actuals_Auditor'!S78,'Avoided Costs 2012-2020_EGD'!$K:$K)*N78</f>
        <v>40714.176587523689</v>
      </c>
      <c r="W78" s="65">
        <f>SUMIF('Avoided Costs 2012-2020_EGD'!$A:$A,'2012 Actuals_Auditor'!T78&amp;'2012 Actuals_Auditor'!S78,'Avoided Costs 2012-2020_EGD'!$M:$M)*R78</f>
        <v>0</v>
      </c>
      <c r="X78" s="65">
        <f t="shared" si="61"/>
        <v>49303.011157809546</v>
      </c>
      <c r="Y78" s="146">
        <v>10750</v>
      </c>
      <c r="Z78" s="66">
        <f t="shared" si="56"/>
        <v>9460</v>
      </c>
      <c r="AA78" s="66"/>
      <c r="AB78" s="66"/>
      <c r="AC78" s="66"/>
      <c r="AD78" s="66">
        <f t="shared" si="57"/>
        <v>9460</v>
      </c>
      <c r="AE78" s="66">
        <f t="shared" si="58"/>
        <v>39843.011157809546</v>
      </c>
      <c r="AF78" s="101">
        <f t="shared" si="59"/>
        <v>53019.594646573154</v>
      </c>
      <c r="AG78" s="101">
        <f t="shared" si="60"/>
        <v>60249.539371105857</v>
      </c>
    </row>
    <row r="79" spans="1:33" s="68" customFormat="1" ht="11.25" customHeight="1" x14ac:dyDescent="0.2">
      <c r="A79" s="147" t="s">
        <v>675</v>
      </c>
      <c r="B79" s="147"/>
      <c r="C79" s="147"/>
      <c r="D79" s="148">
        <v>1</v>
      </c>
      <c r="E79" s="149"/>
      <c r="F79" s="150">
        <v>0.12</v>
      </c>
      <c r="G79" s="150"/>
      <c r="H79" s="67">
        <v>67995</v>
      </c>
      <c r="I79" s="67">
        <f t="shared" si="49"/>
        <v>64995.516889391445</v>
      </c>
      <c r="J79" s="67">
        <f t="shared" si="50"/>
        <v>57196.054862664474</v>
      </c>
      <c r="K79" s="63"/>
      <c r="L79" s="149">
        <v>0</v>
      </c>
      <c r="M79" s="63">
        <f t="shared" si="51"/>
        <v>0</v>
      </c>
      <c r="N79" s="63">
        <f t="shared" si="52"/>
        <v>0</v>
      </c>
      <c r="O79" s="69"/>
      <c r="P79" s="149">
        <v>0</v>
      </c>
      <c r="Q79" s="63">
        <f t="shared" si="53"/>
        <v>0</v>
      </c>
      <c r="R79" s="64">
        <f t="shared" si="54"/>
        <v>0</v>
      </c>
      <c r="S79" s="148">
        <v>25</v>
      </c>
      <c r="T79" s="151" t="s">
        <v>15</v>
      </c>
      <c r="U79" s="65">
        <f>SUMIF('Avoided Costs 2012-2020_EGD'!$A:$A,'2012 Actuals_Auditor'!T79&amp;'2012 Actuals_Auditor'!S79,'Avoided Costs 2012-2020_EGD'!$E:$E)*J79</f>
        <v>196410.96635591675</v>
      </c>
      <c r="V79" s="65">
        <f>SUMIF('Avoided Costs 2012-2020_EGD'!$A:$A,'2012 Actuals_Auditor'!T79&amp;'2012 Actuals_Auditor'!S79,'Avoided Costs 2012-2020_EGD'!$K:$K)*N79</f>
        <v>0</v>
      </c>
      <c r="W79" s="65">
        <f>SUMIF('Avoided Costs 2012-2020_EGD'!$A:$A,'2012 Actuals_Auditor'!T79&amp;'2012 Actuals_Auditor'!S79,'Avoided Costs 2012-2020_EGD'!$M:$M)*R79</f>
        <v>0</v>
      </c>
      <c r="X79" s="65">
        <f t="shared" si="61"/>
        <v>196410.96635591675</v>
      </c>
      <c r="Y79" s="146">
        <v>18090</v>
      </c>
      <c r="Z79" s="66">
        <f t="shared" si="56"/>
        <v>15919.2</v>
      </c>
      <c r="AA79" s="66"/>
      <c r="AB79" s="66"/>
      <c r="AC79" s="66"/>
      <c r="AD79" s="66">
        <f t="shared" si="57"/>
        <v>15919.2</v>
      </c>
      <c r="AE79" s="66">
        <f t="shared" si="58"/>
        <v>180491.76635591674</v>
      </c>
      <c r="AF79" s="101">
        <f t="shared" si="59"/>
        <v>1429901.3715666118</v>
      </c>
      <c r="AG79" s="101">
        <f t="shared" si="60"/>
        <v>1624887.9222347862</v>
      </c>
    </row>
    <row r="80" spans="1:33" s="68" customFormat="1" ht="11.25" customHeight="1" x14ac:dyDescent="0.2">
      <c r="A80" s="147" t="s">
        <v>676</v>
      </c>
      <c r="B80" s="147"/>
      <c r="C80" s="147"/>
      <c r="D80" s="148">
        <v>1</v>
      </c>
      <c r="E80" s="149"/>
      <c r="F80" s="150">
        <v>0.12</v>
      </c>
      <c r="G80" s="150"/>
      <c r="H80" s="67">
        <v>2647</v>
      </c>
      <c r="I80" s="67">
        <f>H80</f>
        <v>2647</v>
      </c>
      <c r="J80" s="67">
        <f t="shared" si="50"/>
        <v>2329.36</v>
      </c>
      <c r="K80" s="63"/>
      <c r="L80" s="149">
        <v>0</v>
      </c>
      <c r="M80" s="63">
        <f>L80</f>
        <v>0</v>
      </c>
      <c r="N80" s="63">
        <f t="shared" si="52"/>
        <v>0</v>
      </c>
      <c r="O80" s="69"/>
      <c r="P80" s="149">
        <v>0</v>
      </c>
      <c r="Q80" s="63">
        <f>+P80</f>
        <v>0</v>
      </c>
      <c r="R80" s="64">
        <f t="shared" si="54"/>
        <v>0</v>
      </c>
      <c r="S80" s="148">
        <v>25</v>
      </c>
      <c r="T80" s="151" t="s">
        <v>15</v>
      </c>
      <c r="U80" s="65">
        <f>SUMIF('Avoided Costs 2012-2020_EGD'!$A:$A,'2012 Actuals_Auditor'!T80&amp;'2012 Actuals_Auditor'!S80,'Avoided Costs 2012-2020_EGD'!$E:$E)*J80</f>
        <v>7999.0105906669023</v>
      </c>
      <c r="V80" s="65">
        <f>SUMIF('Avoided Costs 2012-2020_EGD'!$A:$A,'2012 Actuals_Auditor'!T80&amp;'2012 Actuals_Auditor'!S80,'Avoided Costs 2012-2020_EGD'!$K:$K)*N80</f>
        <v>0</v>
      </c>
      <c r="W80" s="65">
        <f>SUMIF('Avoided Costs 2012-2020_EGD'!$A:$A,'2012 Actuals_Auditor'!T80&amp;'2012 Actuals_Auditor'!S80,'Avoided Costs 2012-2020_EGD'!$M:$M)*R80</f>
        <v>0</v>
      </c>
      <c r="X80" s="65">
        <f t="shared" si="61"/>
        <v>7999.0105906669023</v>
      </c>
      <c r="Y80" s="146">
        <v>3088</v>
      </c>
      <c r="Z80" s="66">
        <f t="shared" si="56"/>
        <v>2717.44</v>
      </c>
      <c r="AA80" s="66"/>
      <c r="AB80" s="66"/>
      <c r="AC80" s="66"/>
      <c r="AD80" s="66">
        <f t="shared" si="57"/>
        <v>2717.44</v>
      </c>
      <c r="AE80" s="66">
        <f t="shared" si="58"/>
        <v>5281.5705906669027</v>
      </c>
      <c r="AF80" s="101">
        <f t="shared" si="59"/>
        <v>58234</v>
      </c>
      <c r="AG80" s="101">
        <f t="shared" si="60"/>
        <v>66175</v>
      </c>
    </row>
    <row r="81" spans="1:33" s="68" customFormat="1" ht="11.25" customHeight="1" x14ac:dyDescent="0.2">
      <c r="A81" s="147" t="s">
        <v>677</v>
      </c>
      <c r="B81" s="147"/>
      <c r="C81" s="147"/>
      <c r="D81" s="148">
        <v>0</v>
      </c>
      <c r="E81" s="149"/>
      <c r="F81" s="150">
        <v>0.12</v>
      </c>
      <c r="G81" s="150"/>
      <c r="H81" s="67">
        <v>33960</v>
      </c>
      <c r="I81" s="67">
        <f t="shared" ref="I81:I104" si="62">+$H$42*H81</f>
        <v>32461.912693047041</v>
      </c>
      <c r="J81" s="67">
        <f t="shared" si="50"/>
        <v>28566.483169881398</v>
      </c>
      <c r="K81" s="63"/>
      <c r="L81" s="149">
        <v>177948</v>
      </c>
      <c r="M81" s="63">
        <f t="shared" si="51"/>
        <v>177948</v>
      </c>
      <c r="N81" s="63">
        <f t="shared" si="52"/>
        <v>156594.23999999999</v>
      </c>
      <c r="O81" s="69"/>
      <c r="P81" s="149">
        <v>0</v>
      </c>
      <c r="Q81" s="63">
        <f t="shared" ref="Q81:Q104" si="63">+P81*$P$42</f>
        <v>0</v>
      </c>
      <c r="R81" s="64">
        <f t="shared" si="54"/>
        <v>0</v>
      </c>
      <c r="S81" s="148">
        <v>15</v>
      </c>
      <c r="T81" s="151" t="s">
        <v>15</v>
      </c>
      <c r="U81" s="65">
        <f>SUMIF('Avoided Costs 2012-2020_EGD'!$A:$A,'2012 Actuals_Auditor'!T81&amp;'2012 Actuals_Auditor'!S81,'Avoided Costs 2012-2020_EGD'!$E:$E)*J81</f>
        <v>69413.808188221752</v>
      </c>
      <c r="V81" s="65">
        <f>SUMIF('Avoided Costs 2012-2020_EGD'!$A:$A,'2012 Actuals_Auditor'!T81&amp;'2012 Actuals_Auditor'!S81,'Avoided Costs 2012-2020_EGD'!$K:$K)*N81</f>
        <v>161258.15294241154</v>
      </c>
      <c r="W81" s="65">
        <f>SUMIF('Avoided Costs 2012-2020_EGD'!$A:$A,'2012 Actuals_Auditor'!T81&amp;'2012 Actuals_Auditor'!S81,'Avoided Costs 2012-2020_EGD'!$M:$M)*R81</f>
        <v>0</v>
      </c>
      <c r="X81" s="65">
        <f t="shared" si="61"/>
        <v>230671.96113063331</v>
      </c>
      <c r="Y81" s="146">
        <v>105178.5</v>
      </c>
      <c r="Z81" s="66">
        <f t="shared" si="56"/>
        <v>92557.08</v>
      </c>
      <c r="AA81" s="66"/>
      <c r="AB81" s="66"/>
      <c r="AC81" s="66"/>
      <c r="AD81" s="66">
        <f t="shared" si="57"/>
        <v>92557.08</v>
      </c>
      <c r="AE81" s="66">
        <f t="shared" si="58"/>
        <v>138114.88113063329</v>
      </c>
      <c r="AF81" s="101">
        <f t="shared" si="59"/>
        <v>428497.24754822097</v>
      </c>
      <c r="AG81" s="101">
        <f t="shared" si="60"/>
        <v>486928.69039570563</v>
      </c>
    </row>
    <row r="82" spans="1:33" s="68" customFormat="1" ht="11.25" customHeight="1" x14ac:dyDescent="0.2">
      <c r="A82" s="147" t="s">
        <v>678</v>
      </c>
      <c r="B82" s="147"/>
      <c r="C82" s="147"/>
      <c r="D82" s="148">
        <v>1</v>
      </c>
      <c r="E82" s="149"/>
      <c r="F82" s="150">
        <v>0.12</v>
      </c>
      <c r="G82" s="150"/>
      <c r="H82" s="67">
        <v>1018</v>
      </c>
      <c r="I82" s="67">
        <f t="shared" si="62"/>
        <v>973.09267142290594</v>
      </c>
      <c r="J82" s="67">
        <f t="shared" si="50"/>
        <v>856.3215508521572</v>
      </c>
      <c r="K82" s="63"/>
      <c r="L82" s="149">
        <v>0</v>
      </c>
      <c r="M82" s="63">
        <f t="shared" si="51"/>
        <v>0</v>
      </c>
      <c r="N82" s="63">
        <f t="shared" si="52"/>
        <v>0</v>
      </c>
      <c r="O82" s="69"/>
      <c r="P82" s="149">
        <v>0</v>
      </c>
      <c r="Q82" s="63">
        <f t="shared" si="63"/>
        <v>0</v>
      </c>
      <c r="R82" s="64">
        <f t="shared" si="54"/>
        <v>0</v>
      </c>
      <c r="S82" s="148">
        <v>15</v>
      </c>
      <c r="T82" s="151" t="s">
        <v>15</v>
      </c>
      <c r="U82" s="65">
        <f>SUMIF('Avoided Costs 2012-2020_EGD'!$A:$A,'2012 Actuals_Auditor'!T82&amp;'2012 Actuals_Auditor'!S82,'Avoided Costs 2012-2020_EGD'!$E:$E)*J82</f>
        <v>2080.7790558188967</v>
      </c>
      <c r="V82" s="65">
        <f>SUMIF('Avoided Costs 2012-2020_EGD'!$A:$A,'2012 Actuals_Auditor'!T82&amp;'2012 Actuals_Auditor'!S82,'Avoided Costs 2012-2020_EGD'!$K:$K)*N82</f>
        <v>0</v>
      </c>
      <c r="W82" s="65">
        <f>SUMIF('Avoided Costs 2012-2020_EGD'!$A:$A,'2012 Actuals_Auditor'!T82&amp;'2012 Actuals_Auditor'!S82,'Avoided Costs 2012-2020_EGD'!$M:$M)*R82</f>
        <v>0</v>
      </c>
      <c r="X82" s="65">
        <f t="shared" si="61"/>
        <v>2080.7790558188967</v>
      </c>
      <c r="Y82" s="146">
        <v>2782.5</v>
      </c>
      <c r="Z82" s="66">
        <f t="shared" si="56"/>
        <v>2448.6</v>
      </c>
      <c r="AA82" s="66"/>
      <c r="AB82" s="66"/>
      <c r="AC82" s="66"/>
      <c r="AD82" s="66">
        <f t="shared" si="57"/>
        <v>2448.6</v>
      </c>
      <c r="AE82" s="66">
        <f t="shared" si="58"/>
        <v>-367.82094418110319</v>
      </c>
      <c r="AF82" s="101">
        <f t="shared" si="59"/>
        <v>12844.823262782358</v>
      </c>
      <c r="AG82" s="101">
        <f t="shared" si="60"/>
        <v>14596.390071343589</v>
      </c>
    </row>
    <row r="83" spans="1:33" s="68" customFormat="1" ht="11.25" customHeight="1" x14ac:dyDescent="0.2">
      <c r="A83" s="147" t="s">
        <v>679</v>
      </c>
      <c r="B83" s="147"/>
      <c r="C83" s="147"/>
      <c r="D83" s="148">
        <v>1</v>
      </c>
      <c r="E83" s="149"/>
      <c r="F83" s="150">
        <v>0.12</v>
      </c>
      <c r="G83" s="150"/>
      <c r="H83" s="67">
        <v>78368</v>
      </c>
      <c r="I83" s="67">
        <f t="shared" si="62"/>
        <v>74910.929738772393</v>
      </c>
      <c r="J83" s="67">
        <f t="shared" si="50"/>
        <v>65921.618170119706</v>
      </c>
      <c r="K83" s="63"/>
      <c r="L83" s="149">
        <v>22116</v>
      </c>
      <c r="M83" s="63">
        <f t="shared" si="51"/>
        <v>22116</v>
      </c>
      <c r="N83" s="63">
        <f t="shared" si="52"/>
        <v>19462.080000000002</v>
      </c>
      <c r="O83" s="69"/>
      <c r="P83" s="149">
        <v>0</v>
      </c>
      <c r="Q83" s="63">
        <f t="shared" si="63"/>
        <v>0</v>
      </c>
      <c r="R83" s="64">
        <f t="shared" si="54"/>
        <v>0</v>
      </c>
      <c r="S83" s="148">
        <v>15</v>
      </c>
      <c r="T83" s="151" t="s">
        <v>15</v>
      </c>
      <c r="U83" s="65">
        <f>SUMIF('Avoided Costs 2012-2020_EGD'!$A:$A,'2012 Actuals_Auditor'!T83&amp;'2012 Actuals_Auditor'!S83,'Avoided Costs 2012-2020_EGD'!$E:$E)*J83</f>
        <v>160183.19552693056</v>
      </c>
      <c r="V83" s="65">
        <f>SUMIF('Avoided Costs 2012-2020_EGD'!$A:$A,'2012 Actuals_Auditor'!T83&amp;'2012 Actuals_Auditor'!S83,'Avoided Costs 2012-2020_EGD'!$K:$K)*N83</f>
        <v>20041.727417416179</v>
      </c>
      <c r="W83" s="65">
        <f>SUMIF('Avoided Costs 2012-2020_EGD'!$A:$A,'2012 Actuals_Auditor'!T83&amp;'2012 Actuals_Auditor'!S83,'Avoided Costs 2012-2020_EGD'!$M:$M)*R83</f>
        <v>0</v>
      </c>
      <c r="X83" s="65">
        <f t="shared" si="55"/>
        <v>180224.92294434673</v>
      </c>
      <c r="Y83" s="146">
        <v>63675</v>
      </c>
      <c r="Z83" s="66">
        <f t="shared" si="56"/>
        <v>56034</v>
      </c>
      <c r="AA83" s="66"/>
      <c r="AB83" s="66"/>
      <c r="AC83" s="66"/>
      <c r="AD83" s="66">
        <f t="shared" si="57"/>
        <v>56034</v>
      </c>
      <c r="AE83" s="66">
        <f t="shared" si="58"/>
        <v>124190.92294434673</v>
      </c>
      <c r="AF83" s="101">
        <f t="shared" si="59"/>
        <v>988824.27255179558</v>
      </c>
      <c r="AG83" s="101">
        <f t="shared" si="60"/>
        <v>1123663.9460815859</v>
      </c>
    </row>
    <row r="84" spans="1:33" s="68" customFormat="1" ht="11.25" customHeight="1" x14ac:dyDescent="0.2">
      <c r="A84" s="147" t="s">
        <v>680</v>
      </c>
      <c r="B84" s="147"/>
      <c r="C84" s="147"/>
      <c r="D84" s="148">
        <v>1</v>
      </c>
      <c r="E84" s="149"/>
      <c r="F84" s="150">
        <v>0.12</v>
      </c>
      <c r="G84" s="150"/>
      <c r="H84" s="67">
        <v>141391</v>
      </c>
      <c r="I84" s="67">
        <f t="shared" si="62"/>
        <v>135153.77790290382</v>
      </c>
      <c r="J84" s="67">
        <f t="shared" si="50"/>
        <v>118935.32455455537</v>
      </c>
      <c r="K84" s="63"/>
      <c r="L84" s="149">
        <v>140513</v>
      </c>
      <c r="M84" s="63">
        <f t="shared" si="51"/>
        <v>140513</v>
      </c>
      <c r="N84" s="63">
        <f t="shared" si="52"/>
        <v>123651.44</v>
      </c>
      <c r="O84" s="69"/>
      <c r="P84" s="149">
        <v>0</v>
      </c>
      <c r="Q84" s="63">
        <f t="shared" si="63"/>
        <v>0</v>
      </c>
      <c r="R84" s="64">
        <f t="shared" si="54"/>
        <v>0</v>
      </c>
      <c r="S84" s="148">
        <v>15</v>
      </c>
      <c r="T84" s="151" t="s">
        <v>15</v>
      </c>
      <c r="U84" s="65">
        <f>SUMIF('Avoided Costs 2012-2020_EGD'!$A:$A,'2012 Actuals_Auditor'!T84&amp;'2012 Actuals_Auditor'!S84,'Avoided Costs 2012-2020_EGD'!$E:$E)*J84</f>
        <v>289001.40617022559</v>
      </c>
      <c r="V84" s="65">
        <f>SUMIF('Avoided Costs 2012-2020_EGD'!$A:$A,'2012 Actuals_Auditor'!T84&amp;'2012 Actuals_Auditor'!S84,'Avoided Costs 2012-2020_EGD'!$K:$K)*N84</f>
        <v>127334.20349988239</v>
      </c>
      <c r="W84" s="65">
        <f>SUMIF('Avoided Costs 2012-2020_EGD'!$A:$A,'2012 Actuals_Auditor'!T84&amp;'2012 Actuals_Auditor'!S84,'Avoided Costs 2012-2020_EGD'!$M:$M)*R84</f>
        <v>0</v>
      </c>
      <c r="X84" s="65">
        <f t="shared" si="55"/>
        <v>416335.60967010795</v>
      </c>
      <c r="Y84" s="146">
        <v>95988</v>
      </c>
      <c r="Z84" s="66">
        <f t="shared" si="56"/>
        <v>84469.440000000002</v>
      </c>
      <c r="AA84" s="66"/>
      <c r="AB84" s="66"/>
      <c r="AC84" s="66"/>
      <c r="AD84" s="66">
        <f t="shared" si="57"/>
        <v>84469.440000000002</v>
      </c>
      <c r="AE84" s="66">
        <f t="shared" si="58"/>
        <v>331866.16967010795</v>
      </c>
      <c r="AF84" s="101">
        <f t="shared" si="59"/>
        <v>1784029.8683183305</v>
      </c>
      <c r="AG84" s="101">
        <f t="shared" si="60"/>
        <v>2027306.6685435574</v>
      </c>
    </row>
    <row r="85" spans="1:33" s="68" customFormat="1" ht="11.25" customHeight="1" x14ac:dyDescent="0.2">
      <c r="A85" s="147" t="s">
        <v>681</v>
      </c>
      <c r="B85" s="147"/>
      <c r="C85" s="147"/>
      <c r="D85" s="148">
        <v>1</v>
      </c>
      <c r="E85" s="149"/>
      <c r="F85" s="150">
        <v>0.12</v>
      </c>
      <c r="G85" s="150"/>
      <c r="H85" s="67">
        <v>242742</v>
      </c>
      <c r="I85" s="67">
        <f t="shared" si="62"/>
        <v>232033.85191212088</v>
      </c>
      <c r="J85" s="67">
        <f t="shared" si="50"/>
        <v>204189.78968266636</v>
      </c>
      <c r="K85" s="63"/>
      <c r="L85" s="149">
        <v>0</v>
      </c>
      <c r="M85" s="63">
        <f t="shared" si="51"/>
        <v>0</v>
      </c>
      <c r="N85" s="63">
        <f t="shared" si="52"/>
        <v>0</v>
      </c>
      <c r="O85" s="69"/>
      <c r="P85" s="149">
        <v>0</v>
      </c>
      <c r="Q85" s="63">
        <f t="shared" si="63"/>
        <v>0</v>
      </c>
      <c r="R85" s="64">
        <f t="shared" si="54"/>
        <v>0</v>
      </c>
      <c r="S85" s="148">
        <v>15</v>
      </c>
      <c r="T85" s="151" t="s">
        <v>15</v>
      </c>
      <c r="U85" s="65">
        <f>SUMIF('Avoided Costs 2012-2020_EGD'!$A:$A,'2012 Actuals_Auditor'!T85&amp;'2012 Actuals_Auditor'!S85,'Avoided Costs 2012-2020_EGD'!$E:$E)*J85</f>
        <v>496161.56146128749</v>
      </c>
      <c r="V85" s="65">
        <f>SUMIF('Avoided Costs 2012-2020_EGD'!$A:$A,'2012 Actuals_Auditor'!T85&amp;'2012 Actuals_Auditor'!S85,'Avoided Costs 2012-2020_EGD'!$K:$K)*N85</f>
        <v>0</v>
      </c>
      <c r="W85" s="65">
        <f>SUMIF('Avoided Costs 2012-2020_EGD'!$A:$A,'2012 Actuals_Auditor'!T85&amp;'2012 Actuals_Auditor'!S85,'Avoided Costs 2012-2020_EGD'!$M:$M)*R85</f>
        <v>0</v>
      </c>
      <c r="X85" s="65">
        <f t="shared" si="55"/>
        <v>496161.56146128749</v>
      </c>
      <c r="Y85" s="146">
        <v>126335</v>
      </c>
      <c r="Z85" s="66">
        <f t="shared" si="56"/>
        <v>111174.8</v>
      </c>
      <c r="AA85" s="66"/>
      <c r="AB85" s="66"/>
      <c r="AC85" s="66"/>
      <c r="AD85" s="66">
        <f t="shared" si="57"/>
        <v>111174.8</v>
      </c>
      <c r="AE85" s="66">
        <f t="shared" si="58"/>
        <v>384986.7614612875</v>
      </c>
      <c r="AF85" s="101">
        <f t="shared" si="59"/>
        <v>3062846.8452399955</v>
      </c>
      <c r="AG85" s="101">
        <f t="shared" si="60"/>
        <v>3480507.7786818133</v>
      </c>
    </row>
    <row r="86" spans="1:33" s="68" customFormat="1" ht="11.25" customHeight="1" x14ac:dyDescent="0.2">
      <c r="A86" s="147" t="s">
        <v>682</v>
      </c>
      <c r="B86" s="147"/>
      <c r="C86" s="147"/>
      <c r="D86" s="148">
        <v>1</v>
      </c>
      <c r="E86" s="149"/>
      <c r="F86" s="150">
        <v>0.12</v>
      </c>
      <c r="G86" s="150"/>
      <c r="H86" s="67">
        <v>231836</v>
      </c>
      <c r="I86" s="67">
        <f t="shared" si="62"/>
        <v>221608.9514459733</v>
      </c>
      <c r="J86" s="67">
        <f t="shared" si="50"/>
        <v>195015.87727245651</v>
      </c>
      <c r="K86" s="63"/>
      <c r="L86" s="149">
        <v>5446</v>
      </c>
      <c r="M86" s="63">
        <f t="shared" si="51"/>
        <v>5446</v>
      </c>
      <c r="N86" s="63">
        <f t="shared" si="52"/>
        <v>4792.4800000000005</v>
      </c>
      <c r="O86" s="69"/>
      <c r="P86" s="149">
        <v>0</v>
      </c>
      <c r="Q86" s="63">
        <f t="shared" si="63"/>
        <v>0</v>
      </c>
      <c r="R86" s="64">
        <f t="shared" si="54"/>
        <v>0</v>
      </c>
      <c r="S86" s="148">
        <v>15</v>
      </c>
      <c r="T86" s="151" t="s">
        <v>15</v>
      </c>
      <c r="U86" s="65">
        <f>SUMIF('Avoided Costs 2012-2020_EGD'!$A:$A,'2012 Actuals_Auditor'!T86&amp;'2012 Actuals_Auditor'!S86,'Avoided Costs 2012-2020_EGD'!$E:$E)*J86</f>
        <v>473869.83613441041</v>
      </c>
      <c r="V86" s="65">
        <f>SUMIF('Avoided Costs 2012-2020_EGD'!$A:$A,'2012 Actuals_Auditor'!T86&amp;'2012 Actuals_Auditor'!S86,'Avoided Costs 2012-2020_EGD'!$K:$K)*N86</f>
        <v>4935.2164729267724</v>
      </c>
      <c r="W86" s="65">
        <f>SUMIF('Avoided Costs 2012-2020_EGD'!$A:$A,'2012 Actuals_Auditor'!T86&amp;'2012 Actuals_Auditor'!S86,'Avoided Costs 2012-2020_EGD'!$M:$M)*R86</f>
        <v>0</v>
      </c>
      <c r="X86" s="65">
        <f t="shared" si="55"/>
        <v>478805.05260733719</v>
      </c>
      <c r="Y86" s="146">
        <v>119720</v>
      </c>
      <c r="Z86" s="66">
        <f t="shared" si="56"/>
        <v>105353.60000000001</v>
      </c>
      <c r="AA86" s="66"/>
      <c r="AB86" s="66"/>
      <c r="AC86" s="66"/>
      <c r="AD86" s="66">
        <f t="shared" si="57"/>
        <v>105353.60000000001</v>
      </c>
      <c r="AE86" s="66">
        <f t="shared" si="58"/>
        <v>373451.45260733715</v>
      </c>
      <c r="AF86" s="101">
        <f t="shared" si="59"/>
        <v>2925238.1590868477</v>
      </c>
      <c r="AG86" s="101">
        <f t="shared" si="60"/>
        <v>3324134.2716895994</v>
      </c>
    </row>
    <row r="87" spans="1:33" s="68" customFormat="1" ht="11.25" customHeight="1" x14ac:dyDescent="0.2">
      <c r="A87" s="147" t="s">
        <v>683</v>
      </c>
      <c r="B87" s="147"/>
      <c r="C87" s="147"/>
      <c r="D87" s="148">
        <v>1</v>
      </c>
      <c r="E87" s="149"/>
      <c r="F87" s="150">
        <v>0.12</v>
      </c>
      <c r="G87" s="150"/>
      <c r="H87" s="67">
        <v>180091</v>
      </c>
      <c r="I87" s="67">
        <f t="shared" si="62"/>
        <v>172146.59360434435</v>
      </c>
      <c r="J87" s="67">
        <f t="shared" si="50"/>
        <v>151489.00237182304</v>
      </c>
      <c r="K87" s="63"/>
      <c r="L87" s="149">
        <v>27229</v>
      </c>
      <c r="M87" s="63">
        <f t="shared" si="51"/>
        <v>27229</v>
      </c>
      <c r="N87" s="63">
        <f t="shared" si="52"/>
        <v>23961.52</v>
      </c>
      <c r="O87" s="69"/>
      <c r="P87" s="149">
        <v>0</v>
      </c>
      <c r="Q87" s="63">
        <f t="shared" si="63"/>
        <v>0</v>
      </c>
      <c r="R87" s="64">
        <f t="shared" si="54"/>
        <v>0</v>
      </c>
      <c r="S87" s="148">
        <v>15</v>
      </c>
      <c r="T87" s="151" t="s">
        <v>15</v>
      </c>
      <c r="U87" s="65">
        <f>SUMIF('Avoided Costs 2012-2020_EGD'!$A:$A,'2012 Actuals_Auditor'!T87&amp;'2012 Actuals_Auditor'!S87,'Avoided Costs 2012-2020_EGD'!$E:$E)*J87</f>
        <v>368103.71408789878</v>
      </c>
      <c r="V87" s="65">
        <f>SUMIF('Avoided Costs 2012-2020_EGD'!$A:$A,'2012 Actuals_Auditor'!T87&amp;'2012 Actuals_Auditor'!S87,'Avoided Costs 2012-2020_EGD'!$K:$K)*N87</f>
        <v>24675.176155219076</v>
      </c>
      <c r="W87" s="65">
        <f>SUMIF('Avoided Costs 2012-2020_EGD'!$A:$A,'2012 Actuals_Auditor'!T87&amp;'2012 Actuals_Auditor'!S87,'Avoided Costs 2012-2020_EGD'!$M:$M)*R87</f>
        <v>0</v>
      </c>
      <c r="X87" s="65">
        <f t="shared" si="55"/>
        <v>392778.89024311787</v>
      </c>
      <c r="Y87" s="146">
        <v>112000</v>
      </c>
      <c r="Z87" s="66">
        <f t="shared" si="56"/>
        <v>98560</v>
      </c>
      <c r="AA87" s="66"/>
      <c r="AB87" s="66"/>
      <c r="AC87" s="66"/>
      <c r="AD87" s="66">
        <f t="shared" si="57"/>
        <v>98560</v>
      </c>
      <c r="AE87" s="66">
        <f t="shared" si="58"/>
        <v>294218.89024311787</v>
      </c>
      <c r="AF87" s="101">
        <f t="shared" si="59"/>
        <v>2272335.0355773456</v>
      </c>
      <c r="AG87" s="101">
        <f t="shared" si="60"/>
        <v>2582198.9040651652</v>
      </c>
    </row>
    <row r="88" spans="1:33" s="68" customFormat="1" ht="11.25" customHeight="1" x14ac:dyDescent="0.2">
      <c r="A88" s="147" t="s">
        <v>684</v>
      </c>
      <c r="B88" s="147"/>
      <c r="C88" s="147"/>
      <c r="D88" s="148">
        <v>1</v>
      </c>
      <c r="E88" s="149"/>
      <c r="F88" s="150">
        <v>0.12</v>
      </c>
      <c r="G88" s="150"/>
      <c r="H88" s="67">
        <v>101387</v>
      </c>
      <c r="I88" s="67">
        <f t="shared" si="62"/>
        <v>96914.485930799769</v>
      </c>
      <c r="J88" s="67">
        <f t="shared" si="50"/>
        <v>85284.7476191038</v>
      </c>
      <c r="K88" s="63"/>
      <c r="L88" s="149">
        <v>154872</v>
      </c>
      <c r="M88" s="63">
        <f t="shared" si="51"/>
        <v>154872</v>
      </c>
      <c r="N88" s="63">
        <f t="shared" si="52"/>
        <v>136287.36000000002</v>
      </c>
      <c r="O88" s="69"/>
      <c r="P88" s="149">
        <v>0</v>
      </c>
      <c r="Q88" s="63">
        <f t="shared" si="63"/>
        <v>0</v>
      </c>
      <c r="R88" s="64">
        <f t="shared" si="54"/>
        <v>0</v>
      </c>
      <c r="S88" s="148">
        <v>15</v>
      </c>
      <c r="T88" s="151" t="s">
        <v>15</v>
      </c>
      <c r="U88" s="65">
        <f>SUMIF('Avoided Costs 2012-2020_EGD'!$A:$A,'2012 Actuals_Auditor'!T88&amp;'2012 Actuals_Auditor'!S88,'Avoided Costs 2012-2020_EGD'!$E:$E)*J88</f>
        <v>207233.73883331093</v>
      </c>
      <c r="V88" s="65">
        <f>SUMIF('Avoided Costs 2012-2020_EGD'!$A:$A,'2012 Actuals_Auditor'!T88&amp;'2012 Actuals_Auditor'!S88,'Avoided Costs 2012-2020_EGD'!$K:$K)*N88</f>
        <v>140346.46448680043</v>
      </c>
      <c r="W88" s="65">
        <f>SUMIF('Avoided Costs 2012-2020_EGD'!$A:$A,'2012 Actuals_Auditor'!T88&amp;'2012 Actuals_Auditor'!S88,'Avoided Costs 2012-2020_EGD'!$M:$M)*R88</f>
        <v>0</v>
      </c>
      <c r="X88" s="65">
        <f t="shared" si="55"/>
        <v>347580.20332011138</v>
      </c>
      <c r="Y88" s="146">
        <v>51300</v>
      </c>
      <c r="Z88" s="66">
        <f t="shared" si="56"/>
        <v>45144</v>
      </c>
      <c r="AA88" s="66"/>
      <c r="AB88" s="66"/>
      <c r="AC88" s="66"/>
      <c r="AD88" s="66">
        <f t="shared" si="57"/>
        <v>45144</v>
      </c>
      <c r="AE88" s="66">
        <f t="shared" si="58"/>
        <v>302436.20332011138</v>
      </c>
      <c r="AF88" s="101">
        <f t="shared" si="59"/>
        <v>1279271.2142865569</v>
      </c>
      <c r="AG88" s="101">
        <f t="shared" si="60"/>
        <v>1453717.2889619966</v>
      </c>
    </row>
    <row r="89" spans="1:33" s="68" customFormat="1" ht="11.25" customHeight="1" x14ac:dyDescent="0.2">
      <c r="A89" s="147" t="s">
        <v>685</v>
      </c>
      <c r="B89" s="147"/>
      <c r="C89" s="147"/>
      <c r="D89" s="148">
        <v>1</v>
      </c>
      <c r="E89" s="149"/>
      <c r="F89" s="150">
        <v>0.12</v>
      </c>
      <c r="G89" s="150"/>
      <c r="H89" s="67">
        <v>228743</v>
      </c>
      <c r="I89" s="67">
        <f t="shared" si="62"/>
        <v>218652.39384998995</v>
      </c>
      <c r="J89" s="67">
        <f t="shared" si="50"/>
        <v>192414.10658799115</v>
      </c>
      <c r="K89" s="63"/>
      <c r="L89" s="149">
        <v>0</v>
      </c>
      <c r="M89" s="63">
        <f t="shared" si="51"/>
        <v>0</v>
      </c>
      <c r="N89" s="63">
        <f t="shared" si="52"/>
        <v>0</v>
      </c>
      <c r="O89" s="69"/>
      <c r="P89" s="149">
        <v>0</v>
      </c>
      <c r="Q89" s="63">
        <f t="shared" si="63"/>
        <v>0</v>
      </c>
      <c r="R89" s="64">
        <f t="shared" si="54"/>
        <v>0</v>
      </c>
      <c r="S89" s="148">
        <v>25</v>
      </c>
      <c r="T89" s="151" t="s">
        <v>15</v>
      </c>
      <c r="U89" s="65">
        <f>SUMIF('Avoided Costs 2012-2020_EGD'!$A:$A,'2012 Actuals_Auditor'!T89&amp;'2012 Actuals_Auditor'!S89,'Avoided Costs 2012-2020_EGD'!$E:$E)*J89</f>
        <v>660749.07974338497</v>
      </c>
      <c r="V89" s="65">
        <f>SUMIF('Avoided Costs 2012-2020_EGD'!$A:$A,'2012 Actuals_Auditor'!T89&amp;'2012 Actuals_Auditor'!S89,'Avoided Costs 2012-2020_EGD'!$K:$K)*N89</f>
        <v>0</v>
      </c>
      <c r="W89" s="65">
        <f>SUMIF('Avoided Costs 2012-2020_EGD'!$A:$A,'2012 Actuals_Auditor'!T89&amp;'2012 Actuals_Auditor'!S89,'Avoided Costs 2012-2020_EGD'!$M:$M)*R89</f>
        <v>0</v>
      </c>
      <c r="X89" s="65">
        <f t="shared" si="55"/>
        <v>660749.07974338497</v>
      </c>
      <c r="Y89" s="146">
        <v>133286</v>
      </c>
      <c r="Z89" s="66">
        <f t="shared" si="56"/>
        <v>117291.68000000001</v>
      </c>
      <c r="AA89" s="66"/>
      <c r="AB89" s="66"/>
      <c r="AC89" s="66"/>
      <c r="AD89" s="66">
        <f t="shared" si="57"/>
        <v>117291.68000000001</v>
      </c>
      <c r="AE89" s="66">
        <f t="shared" si="58"/>
        <v>543457.39974338491</v>
      </c>
      <c r="AF89" s="101">
        <f t="shared" si="59"/>
        <v>4810352.6646997789</v>
      </c>
      <c r="AG89" s="101">
        <f t="shared" si="60"/>
        <v>5466309.846249749</v>
      </c>
    </row>
    <row r="90" spans="1:33" s="68" customFormat="1" ht="11.25" customHeight="1" x14ac:dyDescent="0.2">
      <c r="A90" s="147" t="s">
        <v>686</v>
      </c>
      <c r="B90" s="147"/>
      <c r="C90" s="147"/>
      <c r="D90" s="148">
        <v>1</v>
      </c>
      <c r="E90" s="149"/>
      <c r="F90" s="150">
        <v>0.12</v>
      </c>
      <c r="G90" s="150"/>
      <c r="H90" s="67">
        <v>11780</v>
      </c>
      <c r="I90" s="67">
        <f t="shared" si="62"/>
        <v>11260.345451239522</v>
      </c>
      <c r="J90" s="67">
        <f t="shared" si="50"/>
        <v>9909.1039970907786</v>
      </c>
      <c r="K90" s="63"/>
      <c r="L90" s="149">
        <v>0</v>
      </c>
      <c r="M90" s="63">
        <f t="shared" si="51"/>
        <v>0</v>
      </c>
      <c r="N90" s="63">
        <f t="shared" si="52"/>
        <v>0</v>
      </c>
      <c r="O90" s="69"/>
      <c r="P90" s="149">
        <v>0</v>
      </c>
      <c r="Q90" s="63">
        <f t="shared" si="63"/>
        <v>0</v>
      </c>
      <c r="R90" s="64">
        <f t="shared" si="54"/>
        <v>0</v>
      </c>
      <c r="S90" s="148">
        <v>25</v>
      </c>
      <c r="T90" s="151" t="s">
        <v>15</v>
      </c>
      <c r="U90" s="65">
        <f>SUMIF('Avoided Costs 2012-2020_EGD'!$A:$A,'2012 Actuals_Auditor'!T90&amp;'2012 Actuals_Auditor'!S90,'Avoided Costs 2012-2020_EGD'!$E:$E)*J90</f>
        <v>34027.813569713944</v>
      </c>
      <c r="V90" s="65">
        <f>SUMIF('Avoided Costs 2012-2020_EGD'!$A:$A,'2012 Actuals_Auditor'!T90&amp;'2012 Actuals_Auditor'!S90,'Avoided Costs 2012-2020_EGD'!$K:$K)*N90</f>
        <v>0</v>
      </c>
      <c r="W90" s="65">
        <f>SUMIF('Avoided Costs 2012-2020_EGD'!$A:$A,'2012 Actuals_Auditor'!T90&amp;'2012 Actuals_Auditor'!S90,'Avoided Costs 2012-2020_EGD'!$M:$M)*R90</f>
        <v>0</v>
      </c>
      <c r="X90" s="65">
        <f t="shared" si="55"/>
        <v>34027.813569713944</v>
      </c>
      <c r="Y90" s="146">
        <v>29668</v>
      </c>
      <c r="Z90" s="66">
        <f t="shared" si="56"/>
        <v>26107.84</v>
      </c>
      <c r="AA90" s="66"/>
      <c r="AB90" s="66"/>
      <c r="AC90" s="66"/>
      <c r="AD90" s="66">
        <f t="shared" si="57"/>
        <v>26107.84</v>
      </c>
      <c r="AE90" s="66">
        <f t="shared" si="58"/>
        <v>7919.973569713944</v>
      </c>
      <c r="AF90" s="101">
        <f t="shared" si="59"/>
        <v>247727.59992726948</v>
      </c>
      <c r="AG90" s="101">
        <f t="shared" si="60"/>
        <v>281508.63628098805</v>
      </c>
    </row>
    <row r="91" spans="1:33" s="68" customFormat="1" ht="11.25" customHeight="1" x14ac:dyDescent="0.2">
      <c r="A91" s="147" t="s">
        <v>687</v>
      </c>
      <c r="B91" s="147"/>
      <c r="C91" s="147"/>
      <c r="D91" s="148">
        <v>1</v>
      </c>
      <c r="E91" s="149"/>
      <c r="F91" s="150">
        <v>0.12</v>
      </c>
      <c r="G91" s="150"/>
      <c r="H91" s="67">
        <v>31054</v>
      </c>
      <c r="I91" s="67">
        <f t="shared" si="62"/>
        <v>29684.105911951789</v>
      </c>
      <c r="J91" s="67">
        <f t="shared" si="50"/>
        <v>26122.013202517574</v>
      </c>
      <c r="K91" s="63"/>
      <c r="L91" s="149">
        <v>0</v>
      </c>
      <c r="M91" s="63">
        <f t="shared" si="51"/>
        <v>0</v>
      </c>
      <c r="N91" s="63">
        <f t="shared" si="52"/>
        <v>0</v>
      </c>
      <c r="O91" s="69"/>
      <c r="P91" s="149">
        <v>0</v>
      </c>
      <c r="Q91" s="63">
        <f t="shared" si="63"/>
        <v>0</v>
      </c>
      <c r="R91" s="64">
        <f t="shared" si="54"/>
        <v>0</v>
      </c>
      <c r="S91" s="148">
        <v>25</v>
      </c>
      <c r="T91" s="151" t="s">
        <v>15</v>
      </c>
      <c r="U91" s="65">
        <f>SUMIF('Avoided Costs 2012-2020_EGD'!$A:$A,'2012 Actuals_Auditor'!T91&amp;'2012 Actuals_Auditor'!S91,'Avoided Costs 2012-2020_EGD'!$E:$E)*J91</f>
        <v>89702.862698972545</v>
      </c>
      <c r="V91" s="65">
        <f>SUMIF('Avoided Costs 2012-2020_EGD'!$A:$A,'2012 Actuals_Auditor'!T91&amp;'2012 Actuals_Auditor'!S91,'Avoided Costs 2012-2020_EGD'!$K:$K)*N91</f>
        <v>0</v>
      </c>
      <c r="W91" s="65">
        <f>SUMIF('Avoided Costs 2012-2020_EGD'!$A:$A,'2012 Actuals_Auditor'!T91&amp;'2012 Actuals_Auditor'!S91,'Avoided Costs 2012-2020_EGD'!$M:$M)*R91</f>
        <v>0</v>
      </c>
      <c r="X91" s="65">
        <f t="shared" si="55"/>
        <v>89702.862698972545</v>
      </c>
      <c r="Y91" s="146">
        <v>19502</v>
      </c>
      <c r="Z91" s="66">
        <f t="shared" si="56"/>
        <v>17161.759999999998</v>
      </c>
      <c r="AA91" s="66"/>
      <c r="AB91" s="66"/>
      <c r="AC91" s="66"/>
      <c r="AD91" s="66">
        <f t="shared" si="57"/>
        <v>17161.759999999998</v>
      </c>
      <c r="AE91" s="66">
        <f t="shared" si="58"/>
        <v>72541.102698972551</v>
      </c>
      <c r="AF91" s="101">
        <f t="shared" si="59"/>
        <v>653050.33006293932</v>
      </c>
      <c r="AG91" s="101">
        <f t="shared" si="60"/>
        <v>742102.64779879467</v>
      </c>
    </row>
    <row r="92" spans="1:33" s="68" customFormat="1" ht="11.25" customHeight="1" x14ac:dyDescent="0.2">
      <c r="A92" s="147" t="s">
        <v>688</v>
      </c>
      <c r="B92" s="147"/>
      <c r="C92" s="147"/>
      <c r="D92" s="148">
        <v>1</v>
      </c>
      <c r="E92" s="149"/>
      <c r="F92" s="150">
        <v>0.12</v>
      </c>
      <c r="G92" s="150"/>
      <c r="H92" s="67">
        <v>44024</v>
      </c>
      <c r="I92" s="67">
        <f t="shared" si="62"/>
        <v>42081.956548842842</v>
      </c>
      <c r="J92" s="67">
        <f t="shared" ref="J92:J123" si="64">I92*(1-F92)</f>
        <v>37032.121762981704</v>
      </c>
      <c r="K92" s="63"/>
      <c r="L92" s="149">
        <v>0</v>
      </c>
      <c r="M92" s="63">
        <f t="shared" si="51"/>
        <v>0</v>
      </c>
      <c r="N92" s="63">
        <f t="shared" ref="N92:N123" si="65">M92*(1-F92)</f>
        <v>0</v>
      </c>
      <c r="O92" s="69"/>
      <c r="P92" s="149">
        <v>0</v>
      </c>
      <c r="Q92" s="63">
        <f t="shared" si="63"/>
        <v>0</v>
      </c>
      <c r="R92" s="64">
        <f t="shared" ref="R92:R123" si="66">Q92*(1-F92)</f>
        <v>0</v>
      </c>
      <c r="S92" s="148">
        <v>25</v>
      </c>
      <c r="T92" s="151" t="s">
        <v>15</v>
      </c>
      <c r="U92" s="65">
        <f>SUMIF('Avoided Costs 2012-2020_EGD'!$A:$A,'2012 Actuals_Auditor'!T92&amp;'2012 Actuals_Auditor'!S92,'Avoided Costs 2012-2020_EGD'!$E:$E)*J92</f>
        <v>127168.12093319921</v>
      </c>
      <c r="V92" s="65">
        <f>SUMIF('Avoided Costs 2012-2020_EGD'!$A:$A,'2012 Actuals_Auditor'!T92&amp;'2012 Actuals_Auditor'!S92,'Avoided Costs 2012-2020_EGD'!$K:$K)*N92</f>
        <v>0</v>
      </c>
      <c r="W92" s="65">
        <f>SUMIF('Avoided Costs 2012-2020_EGD'!$A:$A,'2012 Actuals_Auditor'!T92&amp;'2012 Actuals_Auditor'!S92,'Avoided Costs 2012-2020_EGD'!$M:$M)*R92</f>
        <v>0</v>
      </c>
      <c r="X92" s="65">
        <f t="shared" si="55"/>
        <v>127168.12093319921</v>
      </c>
      <c r="Y92" s="146">
        <v>22512</v>
      </c>
      <c r="Z92" s="66">
        <f t="shared" ref="Z92:Z123" si="67">Y92*(1-F92)</f>
        <v>19810.560000000001</v>
      </c>
      <c r="AA92" s="66"/>
      <c r="AB92" s="66"/>
      <c r="AC92" s="66"/>
      <c r="AD92" s="66">
        <f t="shared" ref="AD92:AD123" si="68">Z92+AB92</f>
        <v>19810.560000000001</v>
      </c>
      <c r="AE92" s="66">
        <f t="shared" ref="AE92:AE123" si="69">X92-AD92</f>
        <v>107357.56093319922</v>
      </c>
      <c r="AF92" s="101">
        <f t="shared" ref="AF92:AF123" si="70">J92*S92</f>
        <v>925803.04407454259</v>
      </c>
      <c r="AG92" s="101">
        <f t="shared" ref="AG92:AG123" si="71">(I92*S92)</f>
        <v>1052048.9137210711</v>
      </c>
    </row>
    <row r="93" spans="1:33" s="68" customFormat="1" ht="11.25" customHeight="1" x14ac:dyDescent="0.2">
      <c r="A93" s="147" t="s">
        <v>689</v>
      </c>
      <c r="B93" s="147"/>
      <c r="C93" s="147"/>
      <c r="D93" s="148">
        <v>1</v>
      </c>
      <c r="E93" s="149"/>
      <c r="F93" s="150">
        <v>0.12</v>
      </c>
      <c r="G93" s="150"/>
      <c r="H93" s="67">
        <v>52753</v>
      </c>
      <c r="I93" s="67">
        <f t="shared" si="62"/>
        <v>50425.891645945543</v>
      </c>
      <c r="J93" s="67">
        <f t="shared" si="64"/>
        <v>44374.784648432076</v>
      </c>
      <c r="K93" s="63"/>
      <c r="L93" s="149">
        <v>0</v>
      </c>
      <c r="M93" s="63">
        <f t="shared" si="51"/>
        <v>0</v>
      </c>
      <c r="N93" s="63">
        <f t="shared" si="65"/>
        <v>0</v>
      </c>
      <c r="O93" s="69"/>
      <c r="P93" s="149">
        <v>0</v>
      </c>
      <c r="Q93" s="63">
        <f t="shared" si="63"/>
        <v>0</v>
      </c>
      <c r="R93" s="64">
        <f t="shared" si="66"/>
        <v>0</v>
      </c>
      <c r="S93" s="148">
        <v>25</v>
      </c>
      <c r="T93" s="151" t="s">
        <v>15</v>
      </c>
      <c r="U93" s="65">
        <f>SUMIF('Avoided Costs 2012-2020_EGD'!$A:$A,'2012 Actuals_Auditor'!T93&amp;'2012 Actuals_Auditor'!S93,'Avoided Costs 2012-2020_EGD'!$E:$E)*J93</f>
        <v>152382.78856053646</v>
      </c>
      <c r="V93" s="65">
        <f>SUMIF('Avoided Costs 2012-2020_EGD'!$A:$A,'2012 Actuals_Auditor'!T93&amp;'2012 Actuals_Auditor'!S93,'Avoided Costs 2012-2020_EGD'!$K:$K)*N93</f>
        <v>0</v>
      </c>
      <c r="W93" s="65">
        <f>SUMIF('Avoided Costs 2012-2020_EGD'!$A:$A,'2012 Actuals_Auditor'!T93&amp;'2012 Actuals_Auditor'!S93,'Avoided Costs 2012-2020_EGD'!$M:$M)*R93</f>
        <v>0</v>
      </c>
      <c r="X93" s="65">
        <f t="shared" si="55"/>
        <v>152382.78856053646</v>
      </c>
      <c r="Y93" s="146">
        <v>17931</v>
      </c>
      <c r="Z93" s="66">
        <f t="shared" si="67"/>
        <v>15779.28</v>
      </c>
      <c r="AA93" s="66"/>
      <c r="AB93" s="66"/>
      <c r="AC93" s="66"/>
      <c r="AD93" s="66">
        <f t="shared" si="68"/>
        <v>15779.28</v>
      </c>
      <c r="AE93" s="66">
        <f t="shared" si="69"/>
        <v>136603.50856053646</v>
      </c>
      <c r="AF93" s="101">
        <f t="shared" si="70"/>
        <v>1109369.616210802</v>
      </c>
      <c r="AG93" s="101">
        <f t="shared" si="71"/>
        <v>1260647.2911486386</v>
      </c>
    </row>
    <row r="94" spans="1:33" s="68" customFormat="1" ht="11.25" customHeight="1" x14ac:dyDescent="0.2">
      <c r="A94" s="147" t="s">
        <v>690</v>
      </c>
      <c r="B94" s="147"/>
      <c r="C94" s="147"/>
      <c r="D94" s="148">
        <v>0</v>
      </c>
      <c r="E94" s="149"/>
      <c r="F94" s="150">
        <v>0.12</v>
      </c>
      <c r="G94" s="150"/>
      <c r="H94" s="67">
        <v>2059</v>
      </c>
      <c r="I94" s="67">
        <f t="shared" si="62"/>
        <v>1968.1707371903374</v>
      </c>
      <c r="J94" s="67">
        <f t="shared" si="64"/>
        <v>1731.9902487274969</v>
      </c>
      <c r="K94" s="63"/>
      <c r="L94" s="149">
        <v>0</v>
      </c>
      <c r="M94" s="63">
        <f t="shared" si="51"/>
        <v>0</v>
      </c>
      <c r="N94" s="63">
        <f t="shared" si="65"/>
        <v>0</v>
      </c>
      <c r="O94" s="69"/>
      <c r="P94" s="149">
        <v>0</v>
      </c>
      <c r="Q94" s="63">
        <f t="shared" si="63"/>
        <v>0</v>
      </c>
      <c r="R94" s="64">
        <f t="shared" si="66"/>
        <v>0</v>
      </c>
      <c r="S94" s="148">
        <v>25</v>
      </c>
      <c r="T94" s="151" t="s">
        <v>52</v>
      </c>
      <c r="U94" s="65">
        <f>SUMIF('Avoided Costs 2012-2020_EGD'!$A:$A,'2012 Actuals_Auditor'!T94&amp;'2012 Actuals_Auditor'!S94,'Avoided Costs 2012-2020_EGD'!$E:$E)*J94</f>
        <v>5588.7716168812303</v>
      </c>
      <c r="V94" s="65">
        <f>SUMIF('Avoided Costs 2012-2020_EGD'!$A:$A,'2012 Actuals_Auditor'!T94&amp;'2012 Actuals_Auditor'!S94,'Avoided Costs 2012-2020_EGD'!$K:$K)*N94</f>
        <v>0</v>
      </c>
      <c r="W94" s="65">
        <f>SUMIF('Avoided Costs 2012-2020_EGD'!$A:$A,'2012 Actuals_Auditor'!T94&amp;'2012 Actuals_Auditor'!S94,'Avoided Costs 2012-2020_EGD'!$M:$M)*R94</f>
        <v>0</v>
      </c>
      <c r="X94" s="65">
        <f t="shared" si="55"/>
        <v>5588.7716168812303</v>
      </c>
      <c r="Y94" s="146">
        <v>2908</v>
      </c>
      <c r="Z94" s="66">
        <f t="shared" si="67"/>
        <v>2559.04</v>
      </c>
      <c r="AA94" s="66"/>
      <c r="AB94" s="66"/>
      <c r="AC94" s="66"/>
      <c r="AD94" s="66">
        <f t="shared" si="68"/>
        <v>2559.04</v>
      </c>
      <c r="AE94" s="66">
        <f t="shared" si="69"/>
        <v>3029.7316168812304</v>
      </c>
      <c r="AF94" s="101">
        <f t="shared" si="70"/>
        <v>43299.756218187424</v>
      </c>
      <c r="AG94" s="101">
        <f t="shared" si="71"/>
        <v>49204.268429758435</v>
      </c>
    </row>
    <row r="95" spans="1:33" s="68" customFormat="1" ht="11.25" customHeight="1" x14ac:dyDescent="0.2">
      <c r="A95" s="147" t="s">
        <v>691</v>
      </c>
      <c r="B95" s="147"/>
      <c r="C95" s="147"/>
      <c r="D95" s="148">
        <v>1</v>
      </c>
      <c r="E95" s="149"/>
      <c r="F95" s="150">
        <v>0.12</v>
      </c>
      <c r="G95" s="150"/>
      <c r="H95" s="67">
        <v>89911</v>
      </c>
      <c r="I95" s="67">
        <f t="shared" si="62"/>
        <v>85944.730039592236</v>
      </c>
      <c r="J95" s="67">
        <f t="shared" si="64"/>
        <v>75631.362434841169</v>
      </c>
      <c r="K95" s="63"/>
      <c r="L95" s="149">
        <v>0</v>
      </c>
      <c r="M95" s="63">
        <f t="shared" si="51"/>
        <v>0</v>
      </c>
      <c r="N95" s="63">
        <f t="shared" si="65"/>
        <v>0</v>
      </c>
      <c r="O95" s="69"/>
      <c r="P95" s="149">
        <v>0</v>
      </c>
      <c r="Q95" s="63">
        <f t="shared" si="63"/>
        <v>0</v>
      </c>
      <c r="R95" s="64">
        <f t="shared" si="66"/>
        <v>0</v>
      </c>
      <c r="S95" s="148">
        <v>25</v>
      </c>
      <c r="T95" s="151" t="s">
        <v>15</v>
      </c>
      <c r="U95" s="65">
        <f>SUMIF('Avoided Costs 2012-2020_EGD'!$A:$A,'2012 Actuals_Auditor'!T95&amp;'2012 Actuals_Auditor'!S95,'Avoided Costs 2012-2020_EGD'!$E:$E)*J95</f>
        <v>259717.72036218591</v>
      </c>
      <c r="V95" s="65">
        <f>SUMIF('Avoided Costs 2012-2020_EGD'!$A:$A,'2012 Actuals_Auditor'!T95&amp;'2012 Actuals_Auditor'!S95,'Avoided Costs 2012-2020_EGD'!$K:$K)*N95</f>
        <v>0</v>
      </c>
      <c r="W95" s="65">
        <f>SUMIF('Avoided Costs 2012-2020_EGD'!$A:$A,'2012 Actuals_Auditor'!T95&amp;'2012 Actuals_Auditor'!S95,'Avoided Costs 2012-2020_EGD'!$M:$M)*R95</f>
        <v>0</v>
      </c>
      <c r="X95" s="65">
        <f t="shared" ref="X95:X103" si="72">SUM(U95:W95)</f>
        <v>259717.72036218591</v>
      </c>
      <c r="Y95" s="146">
        <v>83413</v>
      </c>
      <c r="Z95" s="66">
        <f t="shared" si="67"/>
        <v>73403.44</v>
      </c>
      <c r="AA95" s="66"/>
      <c r="AB95" s="66"/>
      <c r="AC95" s="66"/>
      <c r="AD95" s="66">
        <f t="shared" si="68"/>
        <v>73403.44</v>
      </c>
      <c r="AE95" s="66">
        <f t="shared" si="69"/>
        <v>186314.28036218591</v>
      </c>
      <c r="AF95" s="101">
        <f t="shared" si="70"/>
        <v>1890784.0608710293</v>
      </c>
      <c r="AG95" s="101">
        <f t="shared" si="71"/>
        <v>2148618.2509898059</v>
      </c>
    </row>
    <row r="96" spans="1:33" s="68" customFormat="1" ht="11.25" customHeight="1" x14ac:dyDescent="0.2">
      <c r="A96" s="147" t="s">
        <v>692</v>
      </c>
      <c r="B96" s="147"/>
      <c r="C96" s="147"/>
      <c r="D96" s="148">
        <v>1</v>
      </c>
      <c r="E96" s="149"/>
      <c r="F96" s="150">
        <v>0.12</v>
      </c>
      <c r="G96" s="150"/>
      <c r="H96" s="67">
        <v>4776</v>
      </c>
      <c r="I96" s="67">
        <f t="shared" si="62"/>
        <v>4565.3149299762272</v>
      </c>
      <c r="J96" s="67">
        <f t="shared" si="64"/>
        <v>4017.4771383790799</v>
      </c>
      <c r="K96" s="63"/>
      <c r="L96" s="149">
        <v>0</v>
      </c>
      <c r="M96" s="63">
        <f t="shared" si="51"/>
        <v>0</v>
      </c>
      <c r="N96" s="63">
        <f t="shared" si="65"/>
        <v>0</v>
      </c>
      <c r="O96" s="69"/>
      <c r="P96" s="149">
        <v>0</v>
      </c>
      <c r="Q96" s="63">
        <f t="shared" si="63"/>
        <v>0</v>
      </c>
      <c r="R96" s="64">
        <f t="shared" si="66"/>
        <v>0</v>
      </c>
      <c r="S96" s="148">
        <v>15</v>
      </c>
      <c r="T96" s="151" t="s">
        <v>15</v>
      </c>
      <c r="U96" s="65">
        <f>SUMIF('Avoided Costs 2012-2020_EGD'!$A:$A,'2012 Actuals_Auditor'!T96&amp;'2012 Actuals_Auditor'!S96,'Avoided Costs 2012-2020_EGD'!$E:$E)*J96</f>
        <v>9762.083271700445</v>
      </c>
      <c r="V96" s="65">
        <f>SUMIF('Avoided Costs 2012-2020_EGD'!$A:$A,'2012 Actuals_Auditor'!T96&amp;'2012 Actuals_Auditor'!S96,'Avoided Costs 2012-2020_EGD'!$K:$K)*N96</f>
        <v>0</v>
      </c>
      <c r="W96" s="65">
        <f>SUMIF('Avoided Costs 2012-2020_EGD'!$A:$A,'2012 Actuals_Auditor'!T96&amp;'2012 Actuals_Auditor'!S96,'Avoided Costs 2012-2020_EGD'!$M:$M)*R96</f>
        <v>0</v>
      </c>
      <c r="X96" s="65">
        <f t="shared" si="72"/>
        <v>9762.083271700445</v>
      </c>
      <c r="Y96" s="146">
        <v>1843.21</v>
      </c>
      <c r="Z96" s="66">
        <f t="shared" si="67"/>
        <v>1622.0248000000001</v>
      </c>
      <c r="AA96" s="66"/>
      <c r="AB96" s="66"/>
      <c r="AC96" s="66"/>
      <c r="AD96" s="66">
        <f t="shared" si="68"/>
        <v>1622.0248000000001</v>
      </c>
      <c r="AE96" s="66">
        <f t="shared" si="69"/>
        <v>8140.0584717004449</v>
      </c>
      <c r="AF96" s="101">
        <f t="shared" si="70"/>
        <v>60262.157075686198</v>
      </c>
      <c r="AG96" s="101">
        <f t="shared" si="71"/>
        <v>68479.723949643405</v>
      </c>
    </row>
    <row r="97" spans="1:33" s="68" customFormat="1" ht="11.25" customHeight="1" x14ac:dyDescent="0.2">
      <c r="A97" s="147" t="s">
        <v>693</v>
      </c>
      <c r="B97" s="147"/>
      <c r="C97" s="147"/>
      <c r="D97" s="148">
        <v>0</v>
      </c>
      <c r="E97" s="149"/>
      <c r="F97" s="150">
        <v>0.12</v>
      </c>
      <c r="G97" s="150"/>
      <c r="H97" s="67">
        <v>51833</v>
      </c>
      <c r="I97" s="67">
        <f t="shared" si="62"/>
        <v>49546.475872164527</v>
      </c>
      <c r="J97" s="67">
        <f t="shared" si="64"/>
        <v>43600.898767504783</v>
      </c>
      <c r="K97" s="63"/>
      <c r="L97" s="149">
        <v>148240</v>
      </c>
      <c r="M97" s="63">
        <f t="shared" si="51"/>
        <v>148240</v>
      </c>
      <c r="N97" s="63">
        <f t="shared" si="65"/>
        <v>130451.2</v>
      </c>
      <c r="O97" s="69"/>
      <c r="P97" s="149">
        <v>0</v>
      </c>
      <c r="Q97" s="63">
        <f t="shared" si="63"/>
        <v>0</v>
      </c>
      <c r="R97" s="64">
        <f t="shared" si="66"/>
        <v>0</v>
      </c>
      <c r="S97" s="148">
        <v>15</v>
      </c>
      <c r="T97" s="151" t="s">
        <v>15</v>
      </c>
      <c r="U97" s="65">
        <f>SUMIF('Avoided Costs 2012-2020_EGD'!$A:$A,'2012 Actuals_Auditor'!T97&amp;'2012 Actuals_Auditor'!S97,'Avoided Costs 2012-2020_EGD'!$E:$E)*J97</f>
        <v>105945.99292756473</v>
      </c>
      <c r="V97" s="65">
        <f>SUMIF('Avoided Costs 2012-2020_EGD'!$A:$A,'2012 Actuals_Auditor'!T97&amp;'2012 Actuals_Auditor'!S97,'Avoided Costs 2012-2020_EGD'!$K:$K)*N97</f>
        <v>134336.48364793696</v>
      </c>
      <c r="W97" s="65">
        <f>SUMIF('Avoided Costs 2012-2020_EGD'!$A:$A,'2012 Actuals_Auditor'!T97&amp;'2012 Actuals_Auditor'!S97,'Avoided Costs 2012-2020_EGD'!$M:$M)*R97</f>
        <v>0</v>
      </c>
      <c r="X97" s="65">
        <f t="shared" si="72"/>
        <v>240282.47657550167</v>
      </c>
      <c r="Y97" s="146">
        <v>16588.87</v>
      </c>
      <c r="Z97" s="66">
        <f t="shared" si="67"/>
        <v>14598.205599999999</v>
      </c>
      <c r="AA97" s="66"/>
      <c r="AB97" s="66"/>
      <c r="AC97" s="66"/>
      <c r="AD97" s="66">
        <f t="shared" si="68"/>
        <v>14598.205599999999</v>
      </c>
      <c r="AE97" s="66">
        <f t="shared" si="69"/>
        <v>225684.27097550168</v>
      </c>
      <c r="AF97" s="101">
        <f t="shared" si="70"/>
        <v>654013.48151257169</v>
      </c>
      <c r="AG97" s="101">
        <f t="shared" si="71"/>
        <v>743197.13808246795</v>
      </c>
    </row>
    <row r="98" spans="1:33" s="68" customFormat="1" ht="11.25" customHeight="1" x14ac:dyDescent="0.2">
      <c r="A98" s="147" t="s">
        <v>694</v>
      </c>
      <c r="B98" s="147"/>
      <c r="C98" s="147"/>
      <c r="D98" s="148">
        <v>1</v>
      </c>
      <c r="E98" s="149"/>
      <c r="F98" s="150">
        <v>0.12</v>
      </c>
      <c r="G98" s="150"/>
      <c r="H98" s="67">
        <v>34984</v>
      </c>
      <c r="I98" s="67">
        <f t="shared" si="62"/>
        <v>33440.740684733733</v>
      </c>
      <c r="J98" s="67">
        <f t="shared" si="64"/>
        <v>29427.851802565685</v>
      </c>
      <c r="K98" s="63"/>
      <c r="L98" s="149">
        <v>0</v>
      </c>
      <c r="M98" s="63">
        <f t="shared" si="51"/>
        <v>0</v>
      </c>
      <c r="N98" s="63">
        <f t="shared" si="65"/>
        <v>0</v>
      </c>
      <c r="O98" s="69"/>
      <c r="P98" s="149">
        <v>0</v>
      </c>
      <c r="Q98" s="63">
        <f t="shared" si="63"/>
        <v>0</v>
      </c>
      <c r="R98" s="64">
        <f t="shared" si="66"/>
        <v>0</v>
      </c>
      <c r="S98" s="148">
        <v>25</v>
      </c>
      <c r="T98" s="151" t="s">
        <v>15</v>
      </c>
      <c r="U98" s="65">
        <f>SUMIF('Avoided Costs 2012-2020_EGD'!$A:$A,'2012 Actuals_Auditor'!T98&amp;'2012 Actuals_Auditor'!S98,'Avoided Costs 2012-2020_EGD'!$E:$E)*J98</f>
        <v>101055.09591874978</v>
      </c>
      <c r="V98" s="65">
        <f>SUMIF('Avoided Costs 2012-2020_EGD'!$A:$A,'2012 Actuals_Auditor'!T98&amp;'2012 Actuals_Auditor'!S98,'Avoided Costs 2012-2020_EGD'!$K:$K)*N98</f>
        <v>0</v>
      </c>
      <c r="W98" s="65">
        <f>SUMIF('Avoided Costs 2012-2020_EGD'!$A:$A,'2012 Actuals_Auditor'!T98&amp;'2012 Actuals_Auditor'!S98,'Avoided Costs 2012-2020_EGD'!$M:$M)*R98</f>
        <v>0</v>
      </c>
      <c r="X98" s="65">
        <f t="shared" si="72"/>
        <v>101055.09591874978</v>
      </c>
      <c r="Y98" s="146">
        <v>7536</v>
      </c>
      <c r="Z98" s="66">
        <f t="shared" si="67"/>
        <v>6631.68</v>
      </c>
      <c r="AA98" s="66"/>
      <c r="AB98" s="66"/>
      <c r="AC98" s="66"/>
      <c r="AD98" s="66">
        <f t="shared" si="68"/>
        <v>6631.68</v>
      </c>
      <c r="AE98" s="66">
        <f t="shared" si="69"/>
        <v>94423.415918749786</v>
      </c>
      <c r="AF98" s="101">
        <f t="shared" si="70"/>
        <v>735696.29506414209</v>
      </c>
      <c r="AG98" s="101">
        <f t="shared" si="71"/>
        <v>836018.51711834338</v>
      </c>
    </row>
    <row r="99" spans="1:33" s="68" customFormat="1" ht="11.25" customHeight="1" x14ac:dyDescent="0.2">
      <c r="A99" s="147" t="s">
        <v>695</v>
      </c>
      <c r="B99" s="147"/>
      <c r="C99" s="147"/>
      <c r="D99" s="148">
        <v>1</v>
      </c>
      <c r="E99" s="149"/>
      <c r="F99" s="150">
        <v>0.12</v>
      </c>
      <c r="G99" s="150"/>
      <c r="H99" s="67">
        <v>10617</v>
      </c>
      <c r="I99" s="67">
        <f t="shared" si="62"/>
        <v>10148.649206775042</v>
      </c>
      <c r="J99" s="67">
        <f t="shared" si="64"/>
        <v>8930.8113019620378</v>
      </c>
      <c r="K99" s="63"/>
      <c r="L99" s="149">
        <v>0</v>
      </c>
      <c r="M99" s="63">
        <f t="shared" si="51"/>
        <v>0</v>
      </c>
      <c r="N99" s="63">
        <f t="shared" si="65"/>
        <v>0</v>
      </c>
      <c r="O99" s="69"/>
      <c r="P99" s="149">
        <v>0</v>
      </c>
      <c r="Q99" s="63">
        <f t="shared" si="63"/>
        <v>0</v>
      </c>
      <c r="R99" s="64">
        <f t="shared" si="66"/>
        <v>0</v>
      </c>
      <c r="S99" s="148">
        <v>25</v>
      </c>
      <c r="T99" s="151" t="s">
        <v>15</v>
      </c>
      <c r="U99" s="65">
        <f>SUMIF('Avoided Costs 2012-2020_EGD'!$A:$A,'2012 Actuals_Auditor'!T99&amp;'2012 Actuals_Auditor'!S99,'Avoided Costs 2012-2020_EGD'!$E:$E)*J99</f>
        <v>30668.361347169179</v>
      </c>
      <c r="V99" s="65">
        <f>SUMIF('Avoided Costs 2012-2020_EGD'!$A:$A,'2012 Actuals_Auditor'!T99&amp;'2012 Actuals_Auditor'!S99,'Avoided Costs 2012-2020_EGD'!$K:$K)*N99</f>
        <v>0</v>
      </c>
      <c r="W99" s="65">
        <f>SUMIF('Avoided Costs 2012-2020_EGD'!$A:$A,'2012 Actuals_Auditor'!T99&amp;'2012 Actuals_Auditor'!S99,'Avoided Costs 2012-2020_EGD'!$M:$M)*R99</f>
        <v>0</v>
      </c>
      <c r="X99" s="65">
        <f t="shared" si="72"/>
        <v>30668.361347169179</v>
      </c>
      <c r="Y99" s="146">
        <v>9952</v>
      </c>
      <c r="Z99" s="66">
        <f t="shared" si="67"/>
        <v>8757.76</v>
      </c>
      <c r="AA99" s="66"/>
      <c r="AB99" s="66"/>
      <c r="AC99" s="66"/>
      <c r="AD99" s="66">
        <f t="shared" si="68"/>
        <v>8757.76</v>
      </c>
      <c r="AE99" s="66">
        <f t="shared" si="69"/>
        <v>21910.601347169177</v>
      </c>
      <c r="AF99" s="101">
        <f t="shared" si="70"/>
        <v>223270.28254905096</v>
      </c>
      <c r="AG99" s="101">
        <f t="shared" si="71"/>
        <v>253716.23016937607</v>
      </c>
    </row>
    <row r="100" spans="1:33" s="68" customFormat="1" ht="11.25" customHeight="1" x14ac:dyDescent="0.2">
      <c r="A100" s="141" t="s">
        <v>696</v>
      </c>
      <c r="B100" s="141"/>
      <c r="C100" s="141"/>
      <c r="D100" s="142">
        <v>0</v>
      </c>
      <c r="E100" s="143"/>
      <c r="F100" s="144">
        <v>0.12</v>
      </c>
      <c r="G100" s="144"/>
      <c r="H100" s="67"/>
      <c r="I100" s="67">
        <f t="shared" si="62"/>
        <v>0</v>
      </c>
      <c r="J100" s="67">
        <f t="shared" si="64"/>
        <v>0</v>
      </c>
      <c r="K100" s="143"/>
      <c r="L100" s="143"/>
      <c r="M100" s="63">
        <f t="shared" si="51"/>
        <v>0</v>
      </c>
      <c r="N100" s="63">
        <f t="shared" si="65"/>
        <v>0</v>
      </c>
      <c r="O100" s="143"/>
      <c r="P100" s="143">
        <v>0</v>
      </c>
      <c r="Q100" s="63">
        <f t="shared" si="63"/>
        <v>0</v>
      </c>
      <c r="R100" s="64">
        <f t="shared" si="66"/>
        <v>0</v>
      </c>
      <c r="S100" s="142">
        <v>15</v>
      </c>
      <c r="T100" s="145" t="s">
        <v>15</v>
      </c>
      <c r="U100" s="65">
        <f>SUMIF('Avoided Costs 2012-2020_EGD'!$A:$A,'2012 Actuals_Auditor'!T100&amp;'2012 Actuals_Auditor'!S100,'Avoided Costs 2012-2020_EGD'!$E:$E)*J100</f>
        <v>0</v>
      </c>
      <c r="V100" s="65">
        <f>SUMIF('Avoided Costs 2012-2020_EGD'!$A:$A,'2012 Actuals_Auditor'!T100&amp;'2012 Actuals_Auditor'!S100,'Avoided Costs 2012-2020_EGD'!$K:$K)*N100</f>
        <v>0</v>
      </c>
      <c r="W100" s="65">
        <f>SUMIF('Avoided Costs 2012-2020_EGD'!$A:$A,'2012 Actuals_Auditor'!T100&amp;'2012 Actuals_Auditor'!S100,'Avoided Costs 2012-2020_EGD'!$M:$M)*R100</f>
        <v>0</v>
      </c>
      <c r="X100" s="65">
        <f t="shared" si="72"/>
        <v>0</v>
      </c>
      <c r="Y100" s="146">
        <v>200000</v>
      </c>
      <c r="Z100" s="66">
        <f t="shared" si="67"/>
        <v>176000</v>
      </c>
      <c r="AA100" s="66"/>
      <c r="AB100" s="66"/>
      <c r="AC100" s="66"/>
      <c r="AD100" s="66">
        <f t="shared" si="68"/>
        <v>176000</v>
      </c>
      <c r="AE100" s="66">
        <f t="shared" si="69"/>
        <v>-176000</v>
      </c>
      <c r="AF100" s="101">
        <f t="shared" si="70"/>
        <v>0</v>
      </c>
      <c r="AG100" s="101">
        <f t="shared" si="71"/>
        <v>0</v>
      </c>
    </row>
    <row r="101" spans="1:33" s="68" customFormat="1" ht="11.25" customHeight="1" x14ac:dyDescent="0.2">
      <c r="A101" s="141" t="s">
        <v>697</v>
      </c>
      <c r="B101" s="141"/>
      <c r="C101" s="141"/>
      <c r="D101" s="142">
        <v>1</v>
      </c>
      <c r="E101" s="143"/>
      <c r="F101" s="144">
        <v>0.12</v>
      </c>
      <c r="G101" s="144"/>
      <c r="H101" s="67">
        <v>227556</v>
      </c>
      <c r="I101" s="67">
        <f t="shared" si="62"/>
        <v>217517.75632447033</v>
      </c>
      <c r="J101" s="67">
        <f t="shared" si="64"/>
        <v>191415.6255655339</v>
      </c>
      <c r="K101" s="143"/>
      <c r="L101" s="143">
        <v>27728</v>
      </c>
      <c r="M101" s="63">
        <f t="shared" si="51"/>
        <v>27728</v>
      </c>
      <c r="N101" s="63">
        <f t="shared" si="65"/>
        <v>24400.639999999999</v>
      </c>
      <c r="O101" s="143"/>
      <c r="P101" s="143">
        <v>0</v>
      </c>
      <c r="Q101" s="63">
        <f t="shared" si="63"/>
        <v>0</v>
      </c>
      <c r="R101" s="64">
        <f t="shared" si="66"/>
        <v>0</v>
      </c>
      <c r="S101" s="142">
        <v>15</v>
      </c>
      <c r="T101" s="145" t="s">
        <v>15</v>
      </c>
      <c r="U101" s="65">
        <f>SUMIF('Avoided Costs 2012-2020_EGD'!$A:$A,'2012 Actuals_Auditor'!T101&amp;'2012 Actuals_Auditor'!S101,'Avoided Costs 2012-2020_EGD'!$E:$E)*J101</f>
        <v>465121.57055591844</v>
      </c>
      <c r="V101" s="65">
        <f>SUMIF('Avoided Costs 2012-2020_EGD'!$A:$A,'2012 Actuals_Auditor'!T101&amp;'2012 Actuals_Auditor'!S101,'Avoided Costs 2012-2020_EGD'!$K:$K)*N101</f>
        <v>25127.37465319749</v>
      </c>
      <c r="W101" s="65">
        <f>SUMIF('Avoided Costs 2012-2020_EGD'!$A:$A,'2012 Actuals_Auditor'!T101&amp;'2012 Actuals_Auditor'!S101,'Avoided Costs 2012-2020_EGD'!$M:$M)*R101</f>
        <v>0</v>
      </c>
      <c r="X101" s="65">
        <f t="shared" si="72"/>
        <v>490248.94520911592</v>
      </c>
      <c r="Y101" s="146">
        <v>200000</v>
      </c>
      <c r="Z101" s="66">
        <f t="shared" si="67"/>
        <v>176000</v>
      </c>
      <c r="AA101" s="66"/>
      <c r="AB101" s="66"/>
      <c r="AC101" s="66"/>
      <c r="AD101" s="66">
        <f t="shared" si="68"/>
        <v>176000</v>
      </c>
      <c r="AE101" s="66">
        <f t="shared" si="69"/>
        <v>314248.94520911592</v>
      </c>
      <c r="AF101" s="101">
        <f t="shared" si="70"/>
        <v>2871234.3834830085</v>
      </c>
      <c r="AG101" s="101">
        <f t="shared" si="71"/>
        <v>3262766.3448670548</v>
      </c>
    </row>
    <row r="102" spans="1:33" s="68" customFormat="1" ht="11.25" customHeight="1" x14ac:dyDescent="0.2">
      <c r="A102" s="147" t="s">
        <v>698</v>
      </c>
      <c r="B102" s="147"/>
      <c r="C102" s="147"/>
      <c r="D102" s="148">
        <v>0</v>
      </c>
      <c r="E102" s="149"/>
      <c r="F102" s="150">
        <v>0.12</v>
      </c>
      <c r="G102" s="150"/>
      <c r="H102" s="67">
        <v>66564</v>
      </c>
      <c r="I102" s="67">
        <f t="shared" si="62"/>
        <v>63627.643006477716</v>
      </c>
      <c r="J102" s="67">
        <f t="shared" si="64"/>
        <v>55992.32584570039</v>
      </c>
      <c r="K102" s="63"/>
      <c r="L102" s="149">
        <v>146519</v>
      </c>
      <c r="M102" s="63">
        <f t="shared" si="51"/>
        <v>146519</v>
      </c>
      <c r="N102" s="63">
        <f t="shared" si="65"/>
        <v>128936.72</v>
      </c>
      <c r="O102" s="69"/>
      <c r="P102" s="149">
        <v>0</v>
      </c>
      <c r="Q102" s="63">
        <f t="shared" si="63"/>
        <v>0</v>
      </c>
      <c r="R102" s="64">
        <f t="shared" si="66"/>
        <v>0</v>
      </c>
      <c r="S102" s="148">
        <v>15</v>
      </c>
      <c r="T102" s="151" t="s">
        <v>15</v>
      </c>
      <c r="U102" s="65">
        <f>SUMIF('Avoided Costs 2012-2020_EGD'!$A:$A,'2012 Actuals_Auditor'!T102&amp;'2012 Actuals_Auditor'!S102,'Avoided Costs 2012-2020_EGD'!$E:$E)*J102</f>
        <v>136055.96961839791</v>
      </c>
      <c r="V102" s="65">
        <f>SUMIF('Avoided Costs 2012-2020_EGD'!$A:$A,'2012 Actuals_Auditor'!T102&amp;'2012 Actuals_Auditor'!S102,'Avoided Costs 2012-2020_EGD'!$K:$K)*N102</f>
        <v>132776.89724508955</v>
      </c>
      <c r="W102" s="65">
        <f>SUMIF('Avoided Costs 2012-2020_EGD'!$A:$A,'2012 Actuals_Auditor'!T102&amp;'2012 Actuals_Auditor'!S102,'Avoided Costs 2012-2020_EGD'!$M:$M)*R102</f>
        <v>0</v>
      </c>
      <c r="X102" s="65">
        <f t="shared" si="72"/>
        <v>268832.86686348746</v>
      </c>
      <c r="Y102" s="146">
        <v>43900</v>
      </c>
      <c r="Z102" s="66">
        <f t="shared" si="67"/>
        <v>38632</v>
      </c>
      <c r="AA102" s="66"/>
      <c r="AB102" s="66"/>
      <c r="AC102" s="66"/>
      <c r="AD102" s="66">
        <f t="shared" si="68"/>
        <v>38632</v>
      </c>
      <c r="AE102" s="66">
        <f t="shared" si="69"/>
        <v>230200.86686348746</v>
      </c>
      <c r="AF102" s="101">
        <f t="shared" si="70"/>
        <v>839884.88768550591</v>
      </c>
      <c r="AG102" s="101">
        <f t="shared" si="71"/>
        <v>954414.64509716572</v>
      </c>
    </row>
    <row r="103" spans="1:33" s="68" customFormat="1" ht="11.25" customHeight="1" x14ac:dyDescent="0.2">
      <c r="A103" s="147" t="s">
        <v>699</v>
      </c>
      <c r="B103" s="147"/>
      <c r="C103" s="147"/>
      <c r="D103" s="148">
        <v>1</v>
      </c>
      <c r="E103" s="149"/>
      <c r="F103" s="150">
        <v>0.12</v>
      </c>
      <c r="G103" s="150"/>
      <c r="H103" s="67">
        <v>116951</v>
      </c>
      <c r="I103" s="67">
        <f t="shared" si="62"/>
        <v>111791.90669506903</v>
      </c>
      <c r="J103" s="67">
        <f t="shared" si="64"/>
        <v>98376.877891660755</v>
      </c>
      <c r="K103" s="63"/>
      <c r="L103" s="149">
        <v>0</v>
      </c>
      <c r="M103" s="63">
        <f t="shared" si="51"/>
        <v>0</v>
      </c>
      <c r="N103" s="63">
        <f t="shared" si="65"/>
        <v>0</v>
      </c>
      <c r="O103" s="69"/>
      <c r="P103" s="149">
        <v>0</v>
      </c>
      <c r="Q103" s="63">
        <f t="shared" si="63"/>
        <v>0</v>
      </c>
      <c r="R103" s="64">
        <f t="shared" si="66"/>
        <v>0</v>
      </c>
      <c r="S103" s="148">
        <v>25</v>
      </c>
      <c r="T103" s="151" t="s">
        <v>15</v>
      </c>
      <c r="U103" s="65">
        <f>SUMIF('Avoided Costs 2012-2020_EGD'!$A:$A,'2012 Actuals_Auditor'!T103&amp;'2012 Actuals_Auditor'!S103,'Avoided Costs 2012-2020_EGD'!$E:$E)*J103</f>
        <v>337825.70668859215</v>
      </c>
      <c r="V103" s="65">
        <f>SUMIF('Avoided Costs 2012-2020_EGD'!$A:$A,'2012 Actuals_Auditor'!T103&amp;'2012 Actuals_Auditor'!S103,'Avoided Costs 2012-2020_EGD'!$K:$K)*N103</f>
        <v>0</v>
      </c>
      <c r="W103" s="65">
        <f>SUMIF('Avoided Costs 2012-2020_EGD'!$A:$A,'2012 Actuals_Auditor'!T103&amp;'2012 Actuals_Auditor'!S103,'Avoided Costs 2012-2020_EGD'!$M:$M)*R103</f>
        <v>0</v>
      </c>
      <c r="X103" s="65">
        <f t="shared" si="72"/>
        <v>337825.70668859215</v>
      </c>
      <c r="Y103" s="146">
        <v>150768</v>
      </c>
      <c r="Z103" s="66">
        <f t="shared" si="67"/>
        <v>132675.84</v>
      </c>
      <c r="AA103" s="66"/>
      <c r="AB103" s="66"/>
      <c r="AC103" s="66"/>
      <c r="AD103" s="66">
        <f t="shared" si="68"/>
        <v>132675.84</v>
      </c>
      <c r="AE103" s="66">
        <f t="shared" si="69"/>
        <v>205149.86668859216</v>
      </c>
      <c r="AF103" s="101">
        <f t="shared" si="70"/>
        <v>2459421.947291519</v>
      </c>
      <c r="AG103" s="101">
        <f t="shared" si="71"/>
        <v>2794797.6673767259</v>
      </c>
    </row>
    <row r="104" spans="1:33" s="68" customFormat="1" ht="11.25" customHeight="1" x14ac:dyDescent="0.2">
      <c r="A104" s="147" t="s">
        <v>700</v>
      </c>
      <c r="B104" s="147"/>
      <c r="C104" s="147"/>
      <c r="D104" s="148">
        <v>1</v>
      </c>
      <c r="E104" s="149"/>
      <c r="F104" s="150">
        <v>0.12</v>
      </c>
      <c r="G104" s="150"/>
      <c r="H104" s="67">
        <v>69532</v>
      </c>
      <c r="I104" s="67">
        <f t="shared" si="62"/>
        <v>66464.714763632117</v>
      </c>
      <c r="J104" s="67">
        <f t="shared" si="64"/>
        <v>58488.948991996265</v>
      </c>
      <c r="K104" s="63"/>
      <c r="L104" s="149">
        <v>0</v>
      </c>
      <c r="M104" s="63">
        <f t="shared" si="51"/>
        <v>0</v>
      </c>
      <c r="N104" s="63">
        <f t="shared" si="65"/>
        <v>0</v>
      </c>
      <c r="O104" s="69"/>
      <c r="P104" s="149">
        <v>0</v>
      </c>
      <c r="Q104" s="63">
        <f t="shared" si="63"/>
        <v>0</v>
      </c>
      <c r="R104" s="64">
        <f t="shared" si="66"/>
        <v>0</v>
      </c>
      <c r="S104" s="148">
        <v>15</v>
      </c>
      <c r="T104" s="151" t="s">
        <v>15</v>
      </c>
      <c r="U104" s="65">
        <f>SUMIF('Avoided Costs 2012-2020_EGD'!$A:$A,'2012 Actuals_Auditor'!T104&amp;'2012 Actuals_Auditor'!S104,'Avoided Costs 2012-2020_EGD'!$E:$E)*J104</f>
        <v>142122.52387937086</v>
      </c>
      <c r="V104" s="65">
        <f>SUMIF('Avoided Costs 2012-2020_EGD'!$A:$A,'2012 Actuals_Auditor'!T104&amp;'2012 Actuals_Auditor'!S104,'Avoided Costs 2012-2020_EGD'!$K:$K)*N104</f>
        <v>0</v>
      </c>
      <c r="W104" s="65">
        <f>SUMIF('Avoided Costs 2012-2020_EGD'!$A:$A,'2012 Actuals_Auditor'!T104&amp;'2012 Actuals_Auditor'!S104,'Avoided Costs 2012-2020_EGD'!$M:$M)*R104</f>
        <v>0</v>
      </c>
      <c r="X104" s="65">
        <f t="shared" si="55"/>
        <v>142122.52387937086</v>
      </c>
      <c r="Y104" s="146">
        <v>113700</v>
      </c>
      <c r="Z104" s="66">
        <f t="shared" si="67"/>
        <v>100056</v>
      </c>
      <c r="AA104" s="66"/>
      <c r="AB104" s="66"/>
      <c r="AC104" s="66"/>
      <c r="AD104" s="66">
        <f t="shared" si="68"/>
        <v>100056</v>
      </c>
      <c r="AE104" s="66">
        <f t="shared" si="69"/>
        <v>42066.523879370856</v>
      </c>
      <c r="AF104" s="101">
        <f t="shared" si="70"/>
        <v>877334.23487994401</v>
      </c>
      <c r="AG104" s="101">
        <f t="shared" si="71"/>
        <v>996970.72145448171</v>
      </c>
    </row>
    <row r="105" spans="1:33" s="68" customFormat="1" ht="11.25" customHeight="1" x14ac:dyDescent="0.2">
      <c r="A105" s="147" t="s">
        <v>701</v>
      </c>
      <c r="B105" s="147"/>
      <c r="C105" s="147"/>
      <c r="D105" s="148">
        <v>1</v>
      </c>
      <c r="E105" s="149"/>
      <c r="F105" s="150">
        <v>0.12</v>
      </c>
      <c r="G105" s="150"/>
      <c r="H105" s="67">
        <v>38378</v>
      </c>
      <c r="I105" s="67">
        <f>H105</f>
        <v>38378</v>
      </c>
      <c r="J105" s="67">
        <f t="shared" si="64"/>
        <v>33772.639999999999</v>
      </c>
      <c r="K105" s="63"/>
      <c r="L105" s="149">
        <v>0</v>
      </c>
      <c r="M105" s="63">
        <f>L105</f>
        <v>0</v>
      </c>
      <c r="N105" s="63">
        <f t="shared" si="65"/>
        <v>0</v>
      </c>
      <c r="O105" s="69"/>
      <c r="P105" s="149">
        <v>0</v>
      </c>
      <c r="Q105" s="63">
        <f>+P105</f>
        <v>0</v>
      </c>
      <c r="R105" s="64">
        <f t="shared" si="66"/>
        <v>0</v>
      </c>
      <c r="S105" s="148">
        <v>25</v>
      </c>
      <c r="T105" s="151" t="s">
        <v>15</v>
      </c>
      <c r="U105" s="65">
        <f>SUMIF('Avoided Costs 2012-2020_EGD'!$A:$A,'2012 Actuals_Auditor'!T105&amp;'2012 Actuals_Auditor'!S105,'Avoided Costs 2012-2020_EGD'!$E:$E)*J105</f>
        <v>115975.07686007343</v>
      </c>
      <c r="V105" s="65">
        <f>SUMIF('Avoided Costs 2012-2020_EGD'!$A:$A,'2012 Actuals_Auditor'!T105&amp;'2012 Actuals_Auditor'!S105,'Avoided Costs 2012-2020_EGD'!$K:$K)*N105</f>
        <v>0</v>
      </c>
      <c r="W105" s="65">
        <f>SUMIF('Avoided Costs 2012-2020_EGD'!$A:$A,'2012 Actuals_Auditor'!T105&amp;'2012 Actuals_Auditor'!S105,'Avoided Costs 2012-2020_EGD'!$M:$M)*R105</f>
        <v>0</v>
      </c>
      <c r="X105" s="65">
        <f t="shared" si="55"/>
        <v>115975.07686007343</v>
      </c>
      <c r="Y105" s="146">
        <v>14800</v>
      </c>
      <c r="Z105" s="66">
        <f t="shared" si="67"/>
        <v>13024</v>
      </c>
      <c r="AA105" s="66"/>
      <c r="AB105" s="66"/>
      <c r="AC105" s="66"/>
      <c r="AD105" s="66">
        <f t="shared" si="68"/>
        <v>13024</v>
      </c>
      <c r="AE105" s="66">
        <f t="shared" si="69"/>
        <v>102951.07686007343</v>
      </c>
      <c r="AF105" s="101">
        <f t="shared" si="70"/>
        <v>844316</v>
      </c>
      <c r="AG105" s="101">
        <f t="shared" si="71"/>
        <v>959450</v>
      </c>
    </row>
    <row r="106" spans="1:33" s="68" customFormat="1" ht="11.25" customHeight="1" x14ac:dyDescent="0.2">
      <c r="A106" s="147" t="s">
        <v>702</v>
      </c>
      <c r="B106" s="147"/>
      <c r="C106" s="147"/>
      <c r="D106" s="148">
        <v>1</v>
      </c>
      <c r="E106" s="149"/>
      <c r="F106" s="150">
        <v>0.12</v>
      </c>
      <c r="G106" s="150"/>
      <c r="H106" s="67">
        <v>25421</v>
      </c>
      <c r="I106" s="67">
        <f t="shared" ref="I106:I129" si="73">+$H$42*H106</f>
        <v>24299.596070964333</v>
      </c>
      <c r="J106" s="67">
        <f t="shared" si="64"/>
        <v>21383.644542448612</v>
      </c>
      <c r="K106" s="63"/>
      <c r="L106" s="149">
        <v>25629</v>
      </c>
      <c r="M106" s="63">
        <f t="shared" si="51"/>
        <v>25629</v>
      </c>
      <c r="N106" s="63">
        <f t="shared" si="65"/>
        <v>22553.52</v>
      </c>
      <c r="O106" s="69"/>
      <c r="P106" s="149">
        <v>0</v>
      </c>
      <c r="Q106" s="63">
        <f t="shared" ref="Q106:Q129" si="74">+P106*$P$42</f>
        <v>0</v>
      </c>
      <c r="R106" s="64">
        <f t="shared" si="66"/>
        <v>0</v>
      </c>
      <c r="S106" s="148">
        <v>15</v>
      </c>
      <c r="T106" s="151" t="s">
        <v>15</v>
      </c>
      <c r="U106" s="65">
        <f>SUMIF('Avoided Costs 2012-2020_EGD'!$A:$A,'2012 Actuals_Auditor'!T106&amp;'2012 Actuals_Auditor'!S106,'Avoided Costs 2012-2020_EGD'!$E:$E)*J106</f>
        <v>51960.200764216279</v>
      </c>
      <c r="V106" s="65">
        <f>SUMIF('Avoided Costs 2012-2020_EGD'!$A:$A,'2012 Actuals_Auditor'!T106&amp;'2012 Actuals_Auditor'!S106,'Avoided Costs 2012-2020_EGD'!$K:$K)*N106</f>
        <v>23225.241091560823</v>
      </c>
      <c r="W106" s="65">
        <f>SUMIF('Avoided Costs 2012-2020_EGD'!$A:$A,'2012 Actuals_Auditor'!T106&amp;'2012 Actuals_Auditor'!S106,'Avoided Costs 2012-2020_EGD'!$M:$M)*R106</f>
        <v>0</v>
      </c>
      <c r="X106" s="65">
        <f t="shared" si="55"/>
        <v>75185.441855777099</v>
      </c>
      <c r="Y106" s="146">
        <v>68716</v>
      </c>
      <c r="Z106" s="66">
        <f t="shared" si="67"/>
        <v>60470.080000000002</v>
      </c>
      <c r="AA106" s="66"/>
      <c r="AB106" s="66"/>
      <c r="AC106" s="66"/>
      <c r="AD106" s="66">
        <f t="shared" si="68"/>
        <v>60470.080000000002</v>
      </c>
      <c r="AE106" s="66">
        <f t="shared" si="69"/>
        <v>14715.361855777097</v>
      </c>
      <c r="AF106" s="101">
        <f t="shared" si="70"/>
        <v>320754.66813672916</v>
      </c>
      <c r="AG106" s="101">
        <f t="shared" si="71"/>
        <v>364493.94106446498</v>
      </c>
    </row>
    <row r="107" spans="1:33" s="68" customFormat="1" ht="11.25" customHeight="1" x14ac:dyDescent="0.2">
      <c r="A107" s="147" t="s">
        <v>703</v>
      </c>
      <c r="B107" s="147"/>
      <c r="C107" s="147"/>
      <c r="D107" s="148">
        <v>1</v>
      </c>
      <c r="E107" s="149"/>
      <c r="F107" s="150">
        <v>0.12</v>
      </c>
      <c r="G107" s="150"/>
      <c r="H107" s="67">
        <v>8209</v>
      </c>
      <c r="I107" s="67">
        <f t="shared" si="73"/>
        <v>7846.874007574298</v>
      </c>
      <c r="J107" s="67">
        <f t="shared" si="64"/>
        <v>6905.2491266653824</v>
      </c>
      <c r="K107" s="63"/>
      <c r="L107" s="149">
        <v>0</v>
      </c>
      <c r="M107" s="63">
        <f t="shared" si="51"/>
        <v>0</v>
      </c>
      <c r="N107" s="63">
        <f t="shared" si="65"/>
        <v>0</v>
      </c>
      <c r="O107" s="69"/>
      <c r="P107" s="149">
        <v>0</v>
      </c>
      <c r="Q107" s="63">
        <f t="shared" si="74"/>
        <v>0</v>
      </c>
      <c r="R107" s="64">
        <f t="shared" si="66"/>
        <v>0</v>
      </c>
      <c r="S107" s="148">
        <v>25</v>
      </c>
      <c r="T107" s="151" t="s">
        <v>15</v>
      </c>
      <c r="U107" s="65">
        <f>SUMIF('Avoided Costs 2012-2020_EGD'!$A:$A,'2012 Actuals_Auditor'!T107&amp;'2012 Actuals_Auditor'!S107,'Avoided Costs 2012-2020_EGD'!$E:$E)*J107</f>
        <v>23712.59096721407</v>
      </c>
      <c r="V107" s="65">
        <f>SUMIF('Avoided Costs 2012-2020_EGD'!$A:$A,'2012 Actuals_Auditor'!T107&amp;'2012 Actuals_Auditor'!S107,'Avoided Costs 2012-2020_EGD'!$K:$K)*N107</f>
        <v>0</v>
      </c>
      <c r="W107" s="65">
        <f>SUMIF('Avoided Costs 2012-2020_EGD'!$A:$A,'2012 Actuals_Auditor'!T107&amp;'2012 Actuals_Auditor'!S107,'Avoided Costs 2012-2020_EGD'!$M:$M)*R107</f>
        <v>0</v>
      </c>
      <c r="X107" s="65">
        <f t="shared" si="55"/>
        <v>23712.59096721407</v>
      </c>
      <c r="Y107" s="146">
        <v>16172</v>
      </c>
      <c r="Z107" s="66">
        <f t="shared" si="67"/>
        <v>14231.36</v>
      </c>
      <c r="AA107" s="66"/>
      <c r="AB107" s="66"/>
      <c r="AC107" s="66"/>
      <c r="AD107" s="66">
        <f t="shared" si="68"/>
        <v>14231.36</v>
      </c>
      <c r="AE107" s="66">
        <f t="shared" si="69"/>
        <v>9481.2309672140691</v>
      </c>
      <c r="AF107" s="101">
        <f t="shared" si="70"/>
        <v>172631.22816663457</v>
      </c>
      <c r="AG107" s="101">
        <f t="shared" si="71"/>
        <v>196171.85018935744</v>
      </c>
    </row>
    <row r="108" spans="1:33" s="68" customFormat="1" ht="11.25" customHeight="1" x14ac:dyDescent="0.2">
      <c r="A108" s="147" t="s">
        <v>704</v>
      </c>
      <c r="B108" s="147"/>
      <c r="C108" s="147"/>
      <c r="D108" s="148">
        <v>1</v>
      </c>
      <c r="E108" s="149"/>
      <c r="F108" s="150">
        <v>0.12</v>
      </c>
      <c r="G108" s="150"/>
      <c r="H108" s="67">
        <v>77929</v>
      </c>
      <c r="I108" s="67">
        <f t="shared" si="73"/>
        <v>74491.295472805141</v>
      </c>
      <c r="J108" s="67">
        <f t="shared" si="64"/>
        <v>65552.340016068527</v>
      </c>
      <c r="K108" s="63"/>
      <c r="L108" s="149">
        <v>53798</v>
      </c>
      <c r="M108" s="63">
        <f t="shared" si="51"/>
        <v>53798</v>
      </c>
      <c r="N108" s="63">
        <f t="shared" si="65"/>
        <v>47342.239999999998</v>
      </c>
      <c r="O108" s="69"/>
      <c r="P108" s="149">
        <v>0</v>
      </c>
      <c r="Q108" s="63">
        <f t="shared" si="74"/>
        <v>0</v>
      </c>
      <c r="R108" s="64">
        <f t="shared" si="66"/>
        <v>0</v>
      </c>
      <c r="S108" s="148">
        <v>15</v>
      </c>
      <c r="T108" s="151" t="s">
        <v>15</v>
      </c>
      <c r="U108" s="65">
        <f>SUMIF('Avoided Costs 2012-2020_EGD'!$A:$A,'2012 Actuals_Auditor'!T108&amp;'2012 Actuals_Auditor'!S108,'Avoided Costs 2012-2020_EGD'!$E:$E)*J108</f>
        <v>159285.88510894973</v>
      </c>
      <c r="V108" s="65">
        <f>SUMIF('Avoided Costs 2012-2020_EGD'!$A:$A,'2012 Actuals_Auditor'!T108&amp;'2012 Actuals_Auditor'!S108,'Avoided Costs 2012-2020_EGD'!$K:$K)*N108</f>
        <v>48752.25409667912</v>
      </c>
      <c r="W108" s="65">
        <f>SUMIF('Avoided Costs 2012-2020_EGD'!$A:$A,'2012 Actuals_Auditor'!T108&amp;'2012 Actuals_Auditor'!S108,'Avoided Costs 2012-2020_EGD'!$M:$M)*R108</f>
        <v>0</v>
      </c>
      <c r="X108" s="65">
        <f t="shared" si="55"/>
        <v>208038.13920562886</v>
      </c>
      <c r="Y108" s="146">
        <v>10151</v>
      </c>
      <c r="Z108" s="66">
        <f t="shared" si="67"/>
        <v>8932.8799999999992</v>
      </c>
      <c r="AA108" s="66"/>
      <c r="AB108" s="66"/>
      <c r="AC108" s="66"/>
      <c r="AD108" s="66">
        <f t="shared" si="68"/>
        <v>8932.8799999999992</v>
      </c>
      <c r="AE108" s="66">
        <f t="shared" si="69"/>
        <v>199105.25920562886</v>
      </c>
      <c r="AF108" s="101">
        <f t="shared" si="70"/>
        <v>983285.10024102789</v>
      </c>
      <c r="AG108" s="101">
        <f t="shared" si="71"/>
        <v>1117369.4320920771</v>
      </c>
    </row>
    <row r="109" spans="1:33" s="68" customFormat="1" ht="11.25" customHeight="1" x14ac:dyDescent="0.2">
      <c r="A109" s="141" t="s">
        <v>705</v>
      </c>
      <c r="B109" s="141"/>
      <c r="C109" s="141"/>
      <c r="D109" s="142">
        <v>1</v>
      </c>
      <c r="E109" s="143"/>
      <c r="F109" s="144">
        <v>0.12</v>
      </c>
      <c r="G109" s="144"/>
      <c r="H109" s="67">
        <v>44720</v>
      </c>
      <c r="I109" s="67">
        <f t="shared" si="73"/>
        <v>42747.253699442394</v>
      </c>
      <c r="J109" s="67">
        <f t="shared" si="64"/>
        <v>37617.583255509307</v>
      </c>
      <c r="K109" s="143"/>
      <c r="L109" s="143">
        <v>101641</v>
      </c>
      <c r="M109" s="63">
        <f t="shared" si="51"/>
        <v>101641</v>
      </c>
      <c r="N109" s="63">
        <f t="shared" si="65"/>
        <v>89444.08</v>
      </c>
      <c r="O109" s="143"/>
      <c r="P109" s="143">
        <v>0</v>
      </c>
      <c r="Q109" s="63">
        <f t="shared" si="74"/>
        <v>0</v>
      </c>
      <c r="R109" s="64">
        <f t="shared" si="66"/>
        <v>0</v>
      </c>
      <c r="S109" s="142">
        <v>15</v>
      </c>
      <c r="T109" s="145" t="s">
        <v>15</v>
      </c>
      <c r="U109" s="65">
        <f>SUMIF('Avoided Costs 2012-2020_EGD'!$A:$A,'2012 Actuals_Auditor'!T109&amp;'2012 Actuals_Auditor'!S109,'Avoided Costs 2012-2020_EGD'!$E:$E)*J109</f>
        <v>91407.11137153348</v>
      </c>
      <c r="V109" s="65">
        <f>SUMIF('Avoided Costs 2012-2020_EGD'!$A:$A,'2012 Actuals_Auditor'!T109&amp;'2012 Actuals_Auditor'!S109,'Avoided Costs 2012-2020_EGD'!$K:$K)*N109</f>
        <v>92108.031128305185</v>
      </c>
      <c r="W109" s="65">
        <f>SUMIF('Avoided Costs 2012-2020_EGD'!$A:$A,'2012 Actuals_Auditor'!T109&amp;'2012 Actuals_Auditor'!S109,'Avoided Costs 2012-2020_EGD'!$M:$M)*R109</f>
        <v>0</v>
      </c>
      <c r="X109" s="65">
        <f t="shared" si="55"/>
        <v>183515.14249983866</v>
      </c>
      <c r="Y109" s="146">
        <v>24665</v>
      </c>
      <c r="Z109" s="66">
        <f t="shared" si="67"/>
        <v>21705.200000000001</v>
      </c>
      <c r="AA109" s="66"/>
      <c r="AB109" s="66"/>
      <c r="AC109" s="66"/>
      <c r="AD109" s="66">
        <f t="shared" si="68"/>
        <v>21705.200000000001</v>
      </c>
      <c r="AE109" s="66">
        <f t="shared" si="69"/>
        <v>161809.94249983865</v>
      </c>
      <c r="AF109" s="101">
        <f t="shared" si="70"/>
        <v>564263.74883263966</v>
      </c>
      <c r="AG109" s="101">
        <f t="shared" si="71"/>
        <v>641208.80549163593</v>
      </c>
    </row>
    <row r="110" spans="1:33" s="68" customFormat="1" ht="11.25" customHeight="1" x14ac:dyDescent="0.2">
      <c r="A110" s="141" t="s">
        <v>706</v>
      </c>
      <c r="B110" s="141"/>
      <c r="C110" s="141"/>
      <c r="D110" s="142">
        <v>1</v>
      </c>
      <c r="E110" s="143"/>
      <c r="F110" s="144">
        <v>0.12</v>
      </c>
      <c r="G110" s="144"/>
      <c r="H110" s="67">
        <v>36822</v>
      </c>
      <c r="I110" s="67">
        <f t="shared" si="73"/>
        <v>35197.660458874503</v>
      </c>
      <c r="J110" s="67">
        <f t="shared" si="64"/>
        <v>30973.941203809562</v>
      </c>
      <c r="K110" s="143"/>
      <c r="L110" s="143">
        <v>52168</v>
      </c>
      <c r="M110" s="63">
        <f t="shared" si="51"/>
        <v>52168</v>
      </c>
      <c r="N110" s="63">
        <f t="shared" si="65"/>
        <v>45907.840000000004</v>
      </c>
      <c r="O110" s="143"/>
      <c r="P110" s="143">
        <v>0</v>
      </c>
      <c r="Q110" s="63">
        <f t="shared" si="74"/>
        <v>0</v>
      </c>
      <c r="R110" s="64">
        <f t="shared" si="66"/>
        <v>0</v>
      </c>
      <c r="S110" s="142">
        <v>15</v>
      </c>
      <c r="T110" s="145" t="s">
        <v>15</v>
      </c>
      <c r="U110" s="65">
        <f>SUMIF('Avoided Costs 2012-2020_EGD'!$A:$A,'2012 Actuals_Auditor'!T110&amp;'2012 Actuals_Auditor'!S110,'Avoided Costs 2012-2020_EGD'!$E:$E)*J110</f>
        <v>75263.699797017121</v>
      </c>
      <c r="V110" s="65">
        <f>SUMIF('Avoided Costs 2012-2020_EGD'!$A:$A,'2012 Actuals_Auditor'!T110&amp;'2012 Actuals_Auditor'!S110,'Avoided Costs 2012-2020_EGD'!$K:$K)*N110</f>
        <v>47275.132750577279</v>
      </c>
      <c r="W110" s="65">
        <f>SUMIF('Avoided Costs 2012-2020_EGD'!$A:$A,'2012 Actuals_Auditor'!T110&amp;'2012 Actuals_Auditor'!S110,'Avoided Costs 2012-2020_EGD'!$M:$M)*R110</f>
        <v>0</v>
      </c>
      <c r="X110" s="65">
        <f t="shared" si="55"/>
        <v>122538.8325475944</v>
      </c>
      <c r="Y110" s="146">
        <v>26790</v>
      </c>
      <c r="Z110" s="66">
        <f t="shared" si="67"/>
        <v>23575.200000000001</v>
      </c>
      <c r="AA110" s="66"/>
      <c r="AB110" s="66"/>
      <c r="AC110" s="66"/>
      <c r="AD110" s="66">
        <f t="shared" si="68"/>
        <v>23575.200000000001</v>
      </c>
      <c r="AE110" s="66">
        <f t="shared" si="69"/>
        <v>98963.632547594403</v>
      </c>
      <c r="AF110" s="101">
        <f t="shared" si="70"/>
        <v>464609.11805714341</v>
      </c>
      <c r="AG110" s="101">
        <f t="shared" si="71"/>
        <v>527964.90688311751</v>
      </c>
    </row>
    <row r="111" spans="1:33" s="68" customFormat="1" ht="11.25" customHeight="1" x14ac:dyDescent="0.2">
      <c r="A111" s="147" t="s">
        <v>707</v>
      </c>
      <c r="B111" s="147"/>
      <c r="C111" s="147"/>
      <c r="D111" s="148">
        <v>1</v>
      </c>
      <c r="E111" s="149"/>
      <c r="F111" s="150">
        <v>0.12</v>
      </c>
      <c r="G111" s="150"/>
      <c r="H111" s="67">
        <v>65201</v>
      </c>
      <c r="I111" s="67">
        <f t="shared" si="73"/>
        <v>62324.769419886929</v>
      </c>
      <c r="J111" s="67">
        <f t="shared" si="64"/>
        <v>54845.797089500498</v>
      </c>
      <c r="K111" s="63"/>
      <c r="L111" s="149">
        <v>0</v>
      </c>
      <c r="M111" s="63">
        <f t="shared" si="51"/>
        <v>0</v>
      </c>
      <c r="N111" s="63">
        <f t="shared" si="65"/>
        <v>0</v>
      </c>
      <c r="O111" s="69"/>
      <c r="P111" s="149">
        <v>0</v>
      </c>
      <c r="Q111" s="63">
        <f t="shared" si="74"/>
        <v>0</v>
      </c>
      <c r="R111" s="64">
        <f t="shared" si="66"/>
        <v>0</v>
      </c>
      <c r="S111" s="148">
        <v>21</v>
      </c>
      <c r="T111" s="151" t="s">
        <v>15</v>
      </c>
      <c r="U111" s="65">
        <f>SUMIF('Avoided Costs 2012-2020_EGD'!$A:$A,'2012 Actuals_Auditor'!T111&amp;'2012 Actuals_Auditor'!S111,'Avoided Costs 2012-2020_EGD'!$E:$E)*J111</f>
        <v>169410.12555237993</v>
      </c>
      <c r="V111" s="65">
        <f>SUMIF('Avoided Costs 2012-2020_EGD'!$A:$A,'2012 Actuals_Auditor'!T111&amp;'2012 Actuals_Auditor'!S111,'Avoided Costs 2012-2020_EGD'!$K:$K)*N111</f>
        <v>0</v>
      </c>
      <c r="W111" s="65">
        <f>SUMIF('Avoided Costs 2012-2020_EGD'!$A:$A,'2012 Actuals_Auditor'!T111&amp;'2012 Actuals_Auditor'!S111,'Avoided Costs 2012-2020_EGD'!$M:$M)*R111</f>
        <v>0</v>
      </c>
      <c r="X111" s="65">
        <f t="shared" si="55"/>
        <v>169410.12555237993</v>
      </c>
      <c r="Y111" s="146">
        <v>70596</v>
      </c>
      <c r="Z111" s="66">
        <f t="shared" si="67"/>
        <v>62124.480000000003</v>
      </c>
      <c r="AA111" s="66"/>
      <c r="AB111" s="66"/>
      <c r="AC111" s="66"/>
      <c r="AD111" s="66">
        <f t="shared" si="68"/>
        <v>62124.480000000003</v>
      </c>
      <c r="AE111" s="66">
        <f t="shared" si="69"/>
        <v>107285.64555237992</v>
      </c>
      <c r="AF111" s="101">
        <f t="shared" si="70"/>
        <v>1151761.7388795104</v>
      </c>
      <c r="AG111" s="101">
        <f t="shared" si="71"/>
        <v>1308820.1578176254</v>
      </c>
    </row>
    <row r="112" spans="1:33" s="68" customFormat="1" ht="11.25" customHeight="1" x14ac:dyDescent="0.2">
      <c r="A112" s="147" t="s">
        <v>708</v>
      </c>
      <c r="B112" s="147"/>
      <c r="C112" s="147"/>
      <c r="D112" s="148">
        <v>1</v>
      </c>
      <c r="E112" s="149"/>
      <c r="F112" s="150">
        <v>0.12</v>
      </c>
      <c r="G112" s="150"/>
      <c r="H112" s="67">
        <v>43203</v>
      </c>
      <c r="I112" s="67">
        <f t="shared" si="73"/>
        <v>41297.173559414347</v>
      </c>
      <c r="J112" s="67">
        <f t="shared" si="64"/>
        <v>36341.512732284624</v>
      </c>
      <c r="K112" s="63"/>
      <c r="L112" s="149">
        <v>0</v>
      </c>
      <c r="M112" s="63">
        <f t="shared" si="51"/>
        <v>0</v>
      </c>
      <c r="N112" s="63">
        <f t="shared" si="65"/>
        <v>0</v>
      </c>
      <c r="O112" s="69"/>
      <c r="P112" s="149">
        <v>0</v>
      </c>
      <c r="Q112" s="63">
        <f t="shared" si="74"/>
        <v>0</v>
      </c>
      <c r="R112" s="64">
        <f t="shared" si="66"/>
        <v>0</v>
      </c>
      <c r="S112" s="148">
        <v>21</v>
      </c>
      <c r="T112" s="151" t="s">
        <v>15</v>
      </c>
      <c r="U112" s="65">
        <f>SUMIF('Avoided Costs 2012-2020_EGD'!$A:$A,'2012 Actuals_Auditor'!T112&amp;'2012 Actuals_Auditor'!S112,'Avoided Costs 2012-2020_EGD'!$E:$E)*J112</f>
        <v>112253.2730209578</v>
      </c>
      <c r="V112" s="65">
        <f>SUMIF('Avoided Costs 2012-2020_EGD'!$A:$A,'2012 Actuals_Auditor'!T112&amp;'2012 Actuals_Auditor'!S112,'Avoided Costs 2012-2020_EGD'!$K:$K)*N112</f>
        <v>0</v>
      </c>
      <c r="W112" s="65">
        <f>SUMIF('Avoided Costs 2012-2020_EGD'!$A:$A,'2012 Actuals_Auditor'!T112&amp;'2012 Actuals_Auditor'!S112,'Avoided Costs 2012-2020_EGD'!$M:$M)*R112</f>
        <v>0</v>
      </c>
      <c r="X112" s="65">
        <f t="shared" si="55"/>
        <v>112253.2730209578</v>
      </c>
      <c r="Y112" s="146">
        <v>75000</v>
      </c>
      <c r="Z112" s="66">
        <f t="shared" si="67"/>
        <v>66000</v>
      </c>
      <c r="AA112" s="66"/>
      <c r="AB112" s="66"/>
      <c r="AC112" s="66"/>
      <c r="AD112" s="66">
        <f t="shared" si="68"/>
        <v>66000</v>
      </c>
      <c r="AE112" s="66">
        <f t="shared" si="69"/>
        <v>46253.2730209578</v>
      </c>
      <c r="AF112" s="101">
        <f t="shared" si="70"/>
        <v>763171.76737797714</v>
      </c>
      <c r="AG112" s="101">
        <f t="shared" si="71"/>
        <v>867240.64474770124</v>
      </c>
    </row>
    <row r="113" spans="1:33" s="68" customFormat="1" ht="11.25" customHeight="1" x14ac:dyDescent="0.2">
      <c r="A113" s="147" t="s">
        <v>709</v>
      </c>
      <c r="B113" s="147"/>
      <c r="C113" s="147"/>
      <c r="D113" s="148">
        <v>1</v>
      </c>
      <c r="E113" s="149"/>
      <c r="F113" s="150">
        <v>0.12</v>
      </c>
      <c r="G113" s="150"/>
      <c r="H113" s="67">
        <v>89548</v>
      </c>
      <c r="I113" s="67">
        <f t="shared" si="73"/>
        <v>85597.743163632986</v>
      </c>
      <c r="J113" s="67">
        <f t="shared" si="64"/>
        <v>75326.013983997022</v>
      </c>
      <c r="K113" s="63"/>
      <c r="L113" s="149">
        <v>0</v>
      </c>
      <c r="M113" s="63">
        <f t="shared" si="51"/>
        <v>0</v>
      </c>
      <c r="N113" s="63">
        <f t="shared" si="65"/>
        <v>0</v>
      </c>
      <c r="O113" s="69"/>
      <c r="P113" s="149">
        <v>0</v>
      </c>
      <c r="Q113" s="63">
        <f t="shared" si="74"/>
        <v>0</v>
      </c>
      <c r="R113" s="64">
        <f t="shared" si="66"/>
        <v>0</v>
      </c>
      <c r="S113" s="148">
        <v>15</v>
      </c>
      <c r="T113" s="151" t="s">
        <v>15</v>
      </c>
      <c r="U113" s="65">
        <f>SUMIF('Avoided Costs 2012-2020_EGD'!$A:$A,'2012 Actuals_Auditor'!T113&amp;'2012 Actuals_Auditor'!S113,'Avoided Costs 2012-2020_EGD'!$E:$E)*J113</f>
        <v>183034.9733698139</v>
      </c>
      <c r="V113" s="65">
        <f>SUMIF('Avoided Costs 2012-2020_EGD'!$A:$A,'2012 Actuals_Auditor'!T113&amp;'2012 Actuals_Auditor'!S113,'Avoided Costs 2012-2020_EGD'!$K:$K)*N113</f>
        <v>0</v>
      </c>
      <c r="W113" s="65">
        <f>SUMIF('Avoided Costs 2012-2020_EGD'!$A:$A,'2012 Actuals_Auditor'!T113&amp;'2012 Actuals_Auditor'!S113,'Avoided Costs 2012-2020_EGD'!$M:$M)*R113</f>
        <v>0</v>
      </c>
      <c r="X113" s="65">
        <f t="shared" si="55"/>
        <v>183034.9733698139</v>
      </c>
      <c r="Y113" s="146">
        <v>53650</v>
      </c>
      <c r="Z113" s="66">
        <f t="shared" si="67"/>
        <v>47212</v>
      </c>
      <c r="AA113" s="66"/>
      <c r="AB113" s="66"/>
      <c r="AC113" s="66"/>
      <c r="AD113" s="66">
        <f t="shared" si="68"/>
        <v>47212</v>
      </c>
      <c r="AE113" s="66">
        <f t="shared" si="69"/>
        <v>135822.9733698139</v>
      </c>
      <c r="AF113" s="101">
        <f t="shared" si="70"/>
        <v>1129890.2097599553</v>
      </c>
      <c r="AG113" s="101">
        <f t="shared" si="71"/>
        <v>1283966.1474544948</v>
      </c>
    </row>
    <row r="114" spans="1:33" s="68" customFormat="1" ht="11.25" customHeight="1" x14ac:dyDescent="0.2">
      <c r="A114" s="147" t="s">
        <v>710</v>
      </c>
      <c r="B114" s="147"/>
      <c r="C114" s="147"/>
      <c r="D114" s="148">
        <v>1</v>
      </c>
      <c r="E114" s="149"/>
      <c r="F114" s="150">
        <v>0.12</v>
      </c>
      <c r="G114" s="150"/>
      <c r="H114" s="67">
        <v>30221</v>
      </c>
      <c r="I114" s="67">
        <f t="shared" si="73"/>
        <v>28887.852281995718</v>
      </c>
      <c r="J114" s="67">
        <f t="shared" si="64"/>
        <v>25421.310008156233</v>
      </c>
      <c r="K114" s="63"/>
      <c r="L114" s="149">
        <v>0</v>
      </c>
      <c r="M114" s="63">
        <f t="shared" si="51"/>
        <v>0</v>
      </c>
      <c r="N114" s="63">
        <f t="shared" si="65"/>
        <v>0</v>
      </c>
      <c r="O114" s="69"/>
      <c r="P114" s="149">
        <v>0</v>
      </c>
      <c r="Q114" s="63">
        <f t="shared" si="74"/>
        <v>0</v>
      </c>
      <c r="R114" s="64">
        <f t="shared" si="66"/>
        <v>0</v>
      </c>
      <c r="S114" s="148">
        <v>25</v>
      </c>
      <c r="T114" s="151" t="s">
        <v>15</v>
      </c>
      <c r="U114" s="65">
        <f>SUMIF('Avoided Costs 2012-2020_EGD'!$A:$A,'2012 Actuals_Auditor'!T114&amp;'2012 Actuals_Auditor'!S114,'Avoided Costs 2012-2020_EGD'!$E:$E)*J114</f>
        <v>87296.651433813677</v>
      </c>
      <c r="V114" s="65">
        <f>SUMIF('Avoided Costs 2012-2020_EGD'!$A:$A,'2012 Actuals_Auditor'!T114&amp;'2012 Actuals_Auditor'!S114,'Avoided Costs 2012-2020_EGD'!$K:$K)*N114</f>
        <v>0</v>
      </c>
      <c r="W114" s="65">
        <f>SUMIF('Avoided Costs 2012-2020_EGD'!$A:$A,'2012 Actuals_Auditor'!T114&amp;'2012 Actuals_Auditor'!S114,'Avoided Costs 2012-2020_EGD'!$M:$M)*R114</f>
        <v>0</v>
      </c>
      <c r="X114" s="65">
        <f t="shared" si="55"/>
        <v>87296.651433813677</v>
      </c>
      <c r="Y114" s="146">
        <v>78312</v>
      </c>
      <c r="Z114" s="66">
        <f t="shared" si="67"/>
        <v>68914.559999999998</v>
      </c>
      <c r="AA114" s="66"/>
      <c r="AB114" s="66"/>
      <c r="AC114" s="66"/>
      <c r="AD114" s="66">
        <f t="shared" si="68"/>
        <v>68914.559999999998</v>
      </c>
      <c r="AE114" s="66">
        <f t="shared" si="69"/>
        <v>18382.091433813679</v>
      </c>
      <c r="AF114" s="101">
        <f t="shared" si="70"/>
        <v>635532.75020390586</v>
      </c>
      <c r="AG114" s="101">
        <f t="shared" si="71"/>
        <v>722196.30704989296</v>
      </c>
    </row>
    <row r="115" spans="1:33" s="68" customFormat="1" ht="11.25" customHeight="1" x14ac:dyDescent="0.2">
      <c r="A115" s="147" t="s">
        <v>711</v>
      </c>
      <c r="B115" s="147"/>
      <c r="C115" s="147"/>
      <c r="D115" s="148">
        <v>1</v>
      </c>
      <c r="E115" s="149"/>
      <c r="F115" s="150">
        <v>0.12</v>
      </c>
      <c r="G115" s="150"/>
      <c r="H115" s="67">
        <v>106964</v>
      </c>
      <c r="I115" s="67">
        <f t="shared" si="73"/>
        <v>102245.46611599186</v>
      </c>
      <c r="J115" s="67">
        <f t="shared" si="64"/>
        <v>89976.010182072845</v>
      </c>
      <c r="K115" s="63"/>
      <c r="L115" s="149">
        <v>0</v>
      </c>
      <c r="M115" s="63">
        <f t="shared" si="51"/>
        <v>0</v>
      </c>
      <c r="N115" s="63">
        <f t="shared" si="65"/>
        <v>0</v>
      </c>
      <c r="O115" s="69"/>
      <c r="P115" s="149">
        <v>0</v>
      </c>
      <c r="Q115" s="63">
        <f t="shared" si="74"/>
        <v>0</v>
      </c>
      <c r="R115" s="64">
        <f t="shared" si="66"/>
        <v>0</v>
      </c>
      <c r="S115" s="148">
        <v>15</v>
      </c>
      <c r="T115" s="151" t="s">
        <v>15</v>
      </c>
      <c r="U115" s="65">
        <f>SUMIF('Avoided Costs 2012-2020_EGD'!$A:$A,'2012 Actuals_Auditor'!T115&amp;'2012 Actuals_Auditor'!S115,'Avoided Costs 2012-2020_EGD'!$E:$E)*J115</f>
        <v>218633.05592005159</v>
      </c>
      <c r="V115" s="65">
        <f>SUMIF('Avoided Costs 2012-2020_EGD'!$A:$A,'2012 Actuals_Auditor'!T115&amp;'2012 Actuals_Auditor'!S115,'Avoided Costs 2012-2020_EGD'!$K:$K)*N115</f>
        <v>0</v>
      </c>
      <c r="W115" s="65">
        <f>SUMIF('Avoided Costs 2012-2020_EGD'!$A:$A,'2012 Actuals_Auditor'!T115&amp;'2012 Actuals_Auditor'!S115,'Avoided Costs 2012-2020_EGD'!$M:$M)*R115</f>
        <v>0</v>
      </c>
      <c r="X115" s="65">
        <f>SUM(U115:W115)</f>
        <v>218633.05592005159</v>
      </c>
      <c r="Y115" s="146">
        <v>150000</v>
      </c>
      <c r="Z115" s="66">
        <f t="shared" si="67"/>
        <v>132000</v>
      </c>
      <c r="AA115" s="66"/>
      <c r="AB115" s="66"/>
      <c r="AC115" s="66"/>
      <c r="AD115" s="66">
        <f t="shared" si="68"/>
        <v>132000</v>
      </c>
      <c r="AE115" s="66">
        <f t="shared" si="69"/>
        <v>86633.055920051585</v>
      </c>
      <c r="AF115" s="101">
        <f t="shared" si="70"/>
        <v>1349640.1527310926</v>
      </c>
      <c r="AG115" s="101">
        <f t="shared" si="71"/>
        <v>1533681.991739878</v>
      </c>
    </row>
    <row r="116" spans="1:33" s="68" customFormat="1" ht="11.25" customHeight="1" x14ac:dyDescent="0.2">
      <c r="A116" s="147" t="s">
        <v>712</v>
      </c>
      <c r="B116" s="147"/>
      <c r="C116" s="147"/>
      <c r="D116" s="148">
        <v>1</v>
      </c>
      <c r="E116" s="149"/>
      <c r="F116" s="150">
        <v>0.12</v>
      </c>
      <c r="G116" s="150"/>
      <c r="H116" s="67">
        <v>47514</v>
      </c>
      <c r="I116" s="67">
        <f t="shared" si="73"/>
        <v>45418.00116894691</v>
      </c>
      <c r="J116" s="67">
        <f t="shared" si="64"/>
        <v>39967.841028673283</v>
      </c>
      <c r="K116" s="63"/>
      <c r="L116" s="149">
        <v>0</v>
      </c>
      <c r="M116" s="63">
        <f t="shared" si="51"/>
        <v>0</v>
      </c>
      <c r="N116" s="63">
        <f t="shared" si="65"/>
        <v>0</v>
      </c>
      <c r="O116" s="69"/>
      <c r="P116" s="149">
        <v>0</v>
      </c>
      <c r="Q116" s="63">
        <f t="shared" si="74"/>
        <v>0</v>
      </c>
      <c r="R116" s="64">
        <f t="shared" si="66"/>
        <v>0</v>
      </c>
      <c r="S116" s="148">
        <v>25</v>
      </c>
      <c r="T116" s="151" t="s">
        <v>15</v>
      </c>
      <c r="U116" s="65">
        <f>SUMIF('Avoided Costs 2012-2020_EGD'!$A:$A,'2012 Actuals_Auditor'!T116&amp;'2012 Actuals_Auditor'!S116,'Avoided Costs 2012-2020_EGD'!$E:$E)*J116</f>
        <v>137249.36620979526</v>
      </c>
      <c r="V116" s="65">
        <f>SUMIF('Avoided Costs 2012-2020_EGD'!$A:$A,'2012 Actuals_Auditor'!T116&amp;'2012 Actuals_Auditor'!S116,'Avoided Costs 2012-2020_EGD'!$K:$K)*N116</f>
        <v>0</v>
      </c>
      <c r="W116" s="65">
        <f>SUMIF('Avoided Costs 2012-2020_EGD'!$A:$A,'2012 Actuals_Auditor'!T116&amp;'2012 Actuals_Auditor'!S116,'Avoided Costs 2012-2020_EGD'!$M:$M)*R116</f>
        <v>0</v>
      </c>
      <c r="X116" s="65">
        <f>SUM(U116:W116)</f>
        <v>137249.36620979526</v>
      </c>
      <c r="Y116" s="146">
        <v>43968</v>
      </c>
      <c r="Z116" s="66">
        <f t="shared" si="67"/>
        <v>38691.840000000004</v>
      </c>
      <c r="AA116" s="66"/>
      <c r="AB116" s="66"/>
      <c r="AC116" s="66"/>
      <c r="AD116" s="66">
        <f t="shared" si="68"/>
        <v>38691.840000000004</v>
      </c>
      <c r="AE116" s="66">
        <f t="shared" si="69"/>
        <v>98557.526209795265</v>
      </c>
      <c r="AF116" s="101">
        <f t="shared" si="70"/>
        <v>999196.02571683214</v>
      </c>
      <c r="AG116" s="101">
        <f t="shared" si="71"/>
        <v>1135450.0292236728</v>
      </c>
    </row>
    <row r="117" spans="1:33" s="68" customFormat="1" ht="11.25" customHeight="1" x14ac:dyDescent="0.2">
      <c r="A117" s="147" t="s">
        <v>713</v>
      </c>
      <c r="B117" s="147"/>
      <c r="C117" s="147"/>
      <c r="D117" s="148">
        <v>1</v>
      </c>
      <c r="E117" s="149"/>
      <c r="F117" s="150">
        <v>0.12</v>
      </c>
      <c r="G117" s="150"/>
      <c r="H117" s="67">
        <v>22073</v>
      </c>
      <c r="I117" s="67">
        <f t="shared" si="73"/>
        <v>21099.287363769945</v>
      </c>
      <c r="J117" s="67">
        <f t="shared" si="64"/>
        <v>18567.372880117553</v>
      </c>
      <c r="K117" s="63"/>
      <c r="L117" s="149">
        <v>0</v>
      </c>
      <c r="M117" s="63">
        <f t="shared" si="51"/>
        <v>0</v>
      </c>
      <c r="N117" s="63">
        <f t="shared" si="65"/>
        <v>0</v>
      </c>
      <c r="O117" s="69"/>
      <c r="P117" s="149">
        <v>0</v>
      </c>
      <c r="Q117" s="63">
        <f t="shared" si="74"/>
        <v>0</v>
      </c>
      <c r="R117" s="64">
        <f t="shared" si="66"/>
        <v>0</v>
      </c>
      <c r="S117" s="148">
        <v>25</v>
      </c>
      <c r="T117" s="151" t="s">
        <v>15</v>
      </c>
      <c r="U117" s="65">
        <f>SUMIF('Avoided Costs 2012-2020_EGD'!$A:$A,'2012 Actuals_Auditor'!T117&amp;'2012 Actuals_Auditor'!S117,'Avoided Costs 2012-2020_EGD'!$E:$E)*J117</f>
        <v>63760.265613267904</v>
      </c>
      <c r="V117" s="65">
        <f>SUMIF('Avoided Costs 2012-2020_EGD'!$A:$A,'2012 Actuals_Auditor'!T117&amp;'2012 Actuals_Auditor'!S117,'Avoided Costs 2012-2020_EGD'!$K:$K)*N117</f>
        <v>0</v>
      </c>
      <c r="W117" s="65">
        <f>SUMIF('Avoided Costs 2012-2020_EGD'!$A:$A,'2012 Actuals_Auditor'!T117&amp;'2012 Actuals_Auditor'!S117,'Avoided Costs 2012-2020_EGD'!$M:$M)*R117</f>
        <v>0</v>
      </c>
      <c r="X117" s="65">
        <f t="shared" si="55"/>
        <v>63760.265613267904</v>
      </c>
      <c r="Y117" s="146">
        <v>31878</v>
      </c>
      <c r="Z117" s="66">
        <f t="shared" si="67"/>
        <v>28052.639999999999</v>
      </c>
      <c r="AA117" s="66"/>
      <c r="AB117" s="66"/>
      <c r="AC117" s="66"/>
      <c r="AD117" s="66">
        <f t="shared" si="68"/>
        <v>28052.639999999999</v>
      </c>
      <c r="AE117" s="66">
        <f t="shared" si="69"/>
        <v>35707.625613267905</v>
      </c>
      <c r="AF117" s="101">
        <f t="shared" si="70"/>
        <v>464184.32200293883</v>
      </c>
      <c r="AG117" s="101">
        <f t="shared" si="71"/>
        <v>527482.18409424857</v>
      </c>
    </row>
    <row r="118" spans="1:33" s="68" customFormat="1" ht="11.25" customHeight="1" x14ac:dyDescent="0.2">
      <c r="A118" s="147" t="s">
        <v>714</v>
      </c>
      <c r="B118" s="147"/>
      <c r="C118" s="147"/>
      <c r="D118" s="148">
        <v>1</v>
      </c>
      <c r="E118" s="149"/>
      <c r="F118" s="150">
        <v>0.12</v>
      </c>
      <c r="G118" s="150"/>
      <c r="H118" s="67">
        <v>43214</v>
      </c>
      <c r="I118" s="67">
        <f t="shared" si="73"/>
        <v>41307.688313231294</v>
      </c>
      <c r="J118" s="67">
        <f t="shared" si="64"/>
        <v>36350.765715643538</v>
      </c>
      <c r="K118" s="63"/>
      <c r="L118" s="149">
        <v>19563</v>
      </c>
      <c r="M118" s="63">
        <f t="shared" si="51"/>
        <v>19563</v>
      </c>
      <c r="N118" s="63">
        <f t="shared" si="65"/>
        <v>17215.439999999999</v>
      </c>
      <c r="O118" s="69"/>
      <c r="P118" s="149">
        <v>0</v>
      </c>
      <c r="Q118" s="63">
        <f t="shared" si="74"/>
        <v>0</v>
      </c>
      <c r="R118" s="64">
        <f t="shared" si="66"/>
        <v>0</v>
      </c>
      <c r="S118" s="148">
        <v>15</v>
      </c>
      <c r="T118" s="151" t="s">
        <v>15</v>
      </c>
      <c r="U118" s="65">
        <f>SUMIF('Avoided Costs 2012-2020_EGD'!$A:$A,'2012 Actuals_Auditor'!T118&amp;'2012 Actuals_Auditor'!S118,'Avoided Costs 2012-2020_EGD'!$E:$E)*J118</f>
        <v>88328.866520783704</v>
      </c>
      <c r="V118" s="65">
        <f>SUMIF('Avoided Costs 2012-2020_EGD'!$A:$A,'2012 Actuals_Auditor'!T118&amp;'2012 Actuals_Auditor'!S118,'Avoided Costs 2012-2020_EGD'!$K:$K)*N118</f>
        <v>17728.174781466478</v>
      </c>
      <c r="W118" s="65">
        <f>SUMIF('Avoided Costs 2012-2020_EGD'!$A:$A,'2012 Actuals_Auditor'!T118&amp;'2012 Actuals_Auditor'!S118,'Avoided Costs 2012-2020_EGD'!$M:$M)*R118</f>
        <v>0</v>
      </c>
      <c r="X118" s="65">
        <f t="shared" si="55"/>
        <v>106057.04130225017</v>
      </c>
      <c r="Y118" s="146">
        <v>43450</v>
      </c>
      <c r="Z118" s="66">
        <f t="shared" si="67"/>
        <v>38236</v>
      </c>
      <c r="AA118" s="66"/>
      <c r="AB118" s="66"/>
      <c r="AC118" s="66"/>
      <c r="AD118" s="66">
        <f t="shared" si="68"/>
        <v>38236</v>
      </c>
      <c r="AE118" s="66">
        <f t="shared" si="69"/>
        <v>67821.041302250174</v>
      </c>
      <c r="AF118" s="101">
        <f t="shared" si="70"/>
        <v>545261.48573465308</v>
      </c>
      <c r="AG118" s="101">
        <f t="shared" si="71"/>
        <v>619615.32469846937</v>
      </c>
    </row>
    <row r="119" spans="1:33" s="68" customFormat="1" ht="11.25" customHeight="1" x14ac:dyDescent="0.2">
      <c r="A119" s="147" t="s">
        <v>715</v>
      </c>
      <c r="B119" s="147"/>
      <c r="C119" s="147"/>
      <c r="D119" s="148">
        <v>1</v>
      </c>
      <c r="E119" s="149"/>
      <c r="F119" s="150">
        <v>0.12</v>
      </c>
      <c r="G119" s="150"/>
      <c r="H119" s="67">
        <v>87667</v>
      </c>
      <c r="I119" s="67">
        <f t="shared" si="73"/>
        <v>83799.720260935064</v>
      </c>
      <c r="J119" s="67">
        <f t="shared" si="64"/>
        <v>73743.753829622859</v>
      </c>
      <c r="K119" s="63"/>
      <c r="L119" s="149">
        <v>177187</v>
      </c>
      <c r="M119" s="63">
        <f t="shared" si="51"/>
        <v>177187</v>
      </c>
      <c r="N119" s="63">
        <f t="shared" si="65"/>
        <v>155924.56</v>
      </c>
      <c r="O119" s="69"/>
      <c r="P119" s="149">
        <v>0</v>
      </c>
      <c r="Q119" s="63">
        <f t="shared" si="74"/>
        <v>0</v>
      </c>
      <c r="R119" s="64">
        <f t="shared" si="66"/>
        <v>0</v>
      </c>
      <c r="S119" s="148">
        <v>15</v>
      </c>
      <c r="T119" s="151" t="s">
        <v>15</v>
      </c>
      <c r="U119" s="65">
        <f>SUMIF('Avoided Costs 2012-2020_EGD'!$A:$A,'2012 Actuals_Auditor'!T119&amp;'2012 Actuals_Auditor'!S119,'Avoided Costs 2012-2020_EGD'!$E:$E)*J119</f>
        <v>179190.23328730377</v>
      </c>
      <c r="V119" s="65">
        <f>SUMIF('Avoided Costs 2012-2020_EGD'!$A:$A,'2012 Actuals_Auditor'!T119&amp;'2012 Actuals_Auditor'!S119,'Avoided Costs 2012-2020_EGD'!$K:$K)*N119</f>
        <v>160568.52757775909</v>
      </c>
      <c r="W119" s="65">
        <f>SUMIF('Avoided Costs 2012-2020_EGD'!$A:$A,'2012 Actuals_Auditor'!T119&amp;'2012 Actuals_Auditor'!S119,'Avoided Costs 2012-2020_EGD'!$M:$M)*R119</f>
        <v>0</v>
      </c>
      <c r="X119" s="65">
        <f t="shared" si="55"/>
        <v>339758.76086506282</v>
      </c>
      <c r="Y119" s="146">
        <v>56902</v>
      </c>
      <c r="Z119" s="66">
        <f t="shared" si="67"/>
        <v>50073.760000000002</v>
      </c>
      <c r="AA119" s="66"/>
      <c r="AB119" s="66"/>
      <c r="AC119" s="66"/>
      <c r="AD119" s="66">
        <f t="shared" si="68"/>
        <v>50073.760000000002</v>
      </c>
      <c r="AE119" s="66">
        <f t="shared" si="69"/>
        <v>289685.00086506282</v>
      </c>
      <c r="AF119" s="101">
        <f t="shared" si="70"/>
        <v>1106156.3074443429</v>
      </c>
      <c r="AG119" s="101">
        <f t="shared" si="71"/>
        <v>1256995.8039140259</v>
      </c>
    </row>
    <row r="120" spans="1:33" s="68" customFormat="1" ht="11.25" customHeight="1" x14ac:dyDescent="0.2">
      <c r="A120" s="147" t="s">
        <v>716</v>
      </c>
      <c r="B120" s="147"/>
      <c r="C120" s="147"/>
      <c r="D120" s="148">
        <v>0</v>
      </c>
      <c r="E120" s="149"/>
      <c r="F120" s="150">
        <v>0.12</v>
      </c>
      <c r="G120" s="150"/>
      <c r="H120" s="67">
        <v>6685</v>
      </c>
      <c r="I120" s="67">
        <f t="shared" si="73"/>
        <v>6390.1026605718334</v>
      </c>
      <c r="J120" s="67">
        <f t="shared" si="64"/>
        <v>5623.2903413032136</v>
      </c>
      <c r="K120" s="63"/>
      <c r="L120" s="149">
        <v>0</v>
      </c>
      <c r="M120" s="63">
        <f t="shared" si="51"/>
        <v>0</v>
      </c>
      <c r="N120" s="63">
        <f t="shared" si="65"/>
        <v>0</v>
      </c>
      <c r="O120" s="69"/>
      <c r="P120" s="149">
        <v>0</v>
      </c>
      <c r="Q120" s="63">
        <f t="shared" si="74"/>
        <v>0</v>
      </c>
      <c r="R120" s="64">
        <f t="shared" si="66"/>
        <v>0</v>
      </c>
      <c r="S120" s="148">
        <v>14</v>
      </c>
      <c r="T120" s="151" t="s">
        <v>15</v>
      </c>
      <c r="U120" s="65">
        <f>SUMIF('Avoided Costs 2012-2020_EGD'!$A:$A,'2012 Actuals_Auditor'!T120&amp;'2012 Actuals_Auditor'!S120,'Avoided Costs 2012-2020_EGD'!$E:$E)*J120</f>
        <v>12936.31115980916</v>
      </c>
      <c r="V120" s="65">
        <f>SUMIF('Avoided Costs 2012-2020_EGD'!$A:$A,'2012 Actuals_Auditor'!T120&amp;'2012 Actuals_Auditor'!S120,'Avoided Costs 2012-2020_EGD'!$K:$K)*N120</f>
        <v>0</v>
      </c>
      <c r="W120" s="65">
        <f>SUMIF('Avoided Costs 2012-2020_EGD'!$A:$A,'2012 Actuals_Auditor'!T120&amp;'2012 Actuals_Auditor'!S120,'Avoided Costs 2012-2020_EGD'!$M:$M)*R120</f>
        <v>0</v>
      </c>
      <c r="X120" s="65">
        <f t="shared" si="55"/>
        <v>12936.31115980916</v>
      </c>
      <c r="Y120" s="146">
        <v>15737</v>
      </c>
      <c r="Z120" s="66">
        <f t="shared" si="67"/>
        <v>13848.56</v>
      </c>
      <c r="AA120" s="66"/>
      <c r="AB120" s="66"/>
      <c r="AC120" s="66"/>
      <c r="AD120" s="66">
        <f t="shared" si="68"/>
        <v>13848.56</v>
      </c>
      <c r="AE120" s="66">
        <f t="shared" si="69"/>
        <v>-912.24884019083947</v>
      </c>
      <c r="AF120" s="101">
        <f t="shared" si="70"/>
        <v>78726.064778244996</v>
      </c>
      <c r="AG120" s="101">
        <f t="shared" si="71"/>
        <v>89461.437248005663</v>
      </c>
    </row>
    <row r="121" spans="1:33" s="68" customFormat="1" ht="11.25" customHeight="1" x14ac:dyDescent="0.2">
      <c r="A121" s="147" t="s">
        <v>717</v>
      </c>
      <c r="B121" s="147"/>
      <c r="C121" s="147"/>
      <c r="D121" s="148">
        <v>1</v>
      </c>
      <c r="E121" s="149"/>
      <c r="F121" s="150">
        <v>0.12</v>
      </c>
      <c r="G121" s="150"/>
      <c r="H121" s="67">
        <v>7135</v>
      </c>
      <c r="I121" s="67">
        <f t="shared" si="73"/>
        <v>6820.2516803560256</v>
      </c>
      <c r="J121" s="67">
        <f t="shared" si="64"/>
        <v>6001.8214787133029</v>
      </c>
      <c r="K121" s="63"/>
      <c r="L121" s="149">
        <v>24305</v>
      </c>
      <c r="M121" s="63">
        <f t="shared" si="51"/>
        <v>24305</v>
      </c>
      <c r="N121" s="63">
        <f t="shared" si="65"/>
        <v>21388.400000000001</v>
      </c>
      <c r="O121" s="69"/>
      <c r="P121" s="149">
        <v>0</v>
      </c>
      <c r="Q121" s="63">
        <f t="shared" si="74"/>
        <v>0</v>
      </c>
      <c r="R121" s="64">
        <f t="shared" si="66"/>
        <v>0</v>
      </c>
      <c r="S121" s="148">
        <v>15</v>
      </c>
      <c r="T121" s="151" t="s">
        <v>15</v>
      </c>
      <c r="U121" s="65">
        <f>SUMIF('Avoided Costs 2012-2020_EGD'!$A:$A,'2012 Actuals_Auditor'!T121&amp;'2012 Actuals_Auditor'!S121,'Avoided Costs 2012-2020_EGD'!$E:$E)*J121</f>
        <v>14583.84927629453</v>
      </c>
      <c r="V121" s="65">
        <f>SUMIF('Avoided Costs 2012-2020_EGD'!$A:$A,'2012 Actuals_Auditor'!T121&amp;'2012 Actuals_Auditor'!S121,'Avoided Costs 2012-2020_EGD'!$K:$K)*N121</f>
        <v>22025.419826383622</v>
      </c>
      <c r="W121" s="65">
        <f>SUMIF('Avoided Costs 2012-2020_EGD'!$A:$A,'2012 Actuals_Auditor'!T121&amp;'2012 Actuals_Auditor'!S121,'Avoided Costs 2012-2020_EGD'!$M:$M)*R121</f>
        <v>0</v>
      </c>
      <c r="X121" s="65">
        <f t="shared" si="55"/>
        <v>36609.269102678154</v>
      </c>
      <c r="Y121" s="146">
        <v>15737</v>
      </c>
      <c r="Z121" s="66">
        <f t="shared" si="67"/>
        <v>13848.56</v>
      </c>
      <c r="AA121" s="66"/>
      <c r="AB121" s="66"/>
      <c r="AC121" s="66"/>
      <c r="AD121" s="66">
        <f t="shared" si="68"/>
        <v>13848.56</v>
      </c>
      <c r="AE121" s="66">
        <f t="shared" si="69"/>
        <v>22760.709102678156</v>
      </c>
      <c r="AF121" s="101">
        <f t="shared" si="70"/>
        <v>90027.322180699543</v>
      </c>
      <c r="AG121" s="101">
        <f t="shared" si="71"/>
        <v>102303.77520534038</v>
      </c>
    </row>
    <row r="122" spans="1:33" s="68" customFormat="1" ht="11.25" customHeight="1" x14ac:dyDescent="0.2">
      <c r="A122" s="141" t="s">
        <v>718</v>
      </c>
      <c r="B122" s="141"/>
      <c r="C122" s="141"/>
      <c r="D122" s="142">
        <v>1</v>
      </c>
      <c r="E122" s="143"/>
      <c r="F122" s="144">
        <v>0.12</v>
      </c>
      <c r="G122" s="144"/>
      <c r="H122" s="67">
        <v>27997</v>
      </c>
      <c r="I122" s="67">
        <f t="shared" si="73"/>
        <v>26761.960237551179</v>
      </c>
      <c r="J122" s="67">
        <f t="shared" si="64"/>
        <v>23550.525009045039</v>
      </c>
      <c r="K122" s="143"/>
      <c r="L122" s="143">
        <v>0</v>
      </c>
      <c r="M122" s="63">
        <f t="shared" si="51"/>
        <v>0</v>
      </c>
      <c r="N122" s="63">
        <f t="shared" si="65"/>
        <v>0</v>
      </c>
      <c r="O122" s="143"/>
      <c r="P122" s="143">
        <v>0</v>
      </c>
      <c r="Q122" s="63">
        <f t="shared" si="74"/>
        <v>0</v>
      </c>
      <c r="R122" s="64">
        <f t="shared" si="66"/>
        <v>0</v>
      </c>
      <c r="S122" s="142">
        <v>25</v>
      </c>
      <c r="T122" s="145" t="s">
        <v>15</v>
      </c>
      <c r="U122" s="65">
        <f>SUMIF('Avoided Costs 2012-2020_EGD'!$A:$A,'2012 Actuals_Auditor'!T122&amp;'2012 Actuals_Auditor'!S122,'Avoided Costs 2012-2020_EGD'!$E:$E)*J122</f>
        <v>80872.385102825239</v>
      </c>
      <c r="V122" s="65">
        <f>SUMIF('Avoided Costs 2012-2020_EGD'!$A:$A,'2012 Actuals_Auditor'!T122&amp;'2012 Actuals_Auditor'!S122,'Avoided Costs 2012-2020_EGD'!$K:$K)*N122</f>
        <v>0</v>
      </c>
      <c r="W122" s="65">
        <f>SUMIF('Avoided Costs 2012-2020_EGD'!$A:$A,'2012 Actuals_Auditor'!T122&amp;'2012 Actuals_Auditor'!S122,'Avoided Costs 2012-2020_EGD'!$M:$M)*R122</f>
        <v>0</v>
      </c>
      <c r="X122" s="65">
        <f t="shared" ref="X122:X128" si="75">SUM(U122:W122)</f>
        <v>80872.385102825239</v>
      </c>
      <c r="Y122" s="146">
        <v>16825</v>
      </c>
      <c r="Z122" s="66">
        <f t="shared" si="67"/>
        <v>14806</v>
      </c>
      <c r="AA122" s="66"/>
      <c r="AB122" s="66"/>
      <c r="AC122" s="66"/>
      <c r="AD122" s="66">
        <f t="shared" si="68"/>
        <v>14806</v>
      </c>
      <c r="AE122" s="66">
        <f t="shared" si="69"/>
        <v>66066.385102825239</v>
      </c>
      <c r="AF122" s="101">
        <f t="shared" si="70"/>
        <v>588763.12522612594</v>
      </c>
      <c r="AG122" s="101">
        <f t="shared" si="71"/>
        <v>669049.00593877945</v>
      </c>
    </row>
    <row r="123" spans="1:33" s="68" customFormat="1" ht="11.25" customHeight="1" x14ac:dyDescent="0.2">
      <c r="A123" s="141" t="s">
        <v>719</v>
      </c>
      <c r="B123" s="141"/>
      <c r="C123" s="141"/>
      <c r="D123" s="142">
        <v>1</v>
      </c>
      <c r="E123" s="143"/>
      <c r="F123" s="144">
        <v>0.12</v>
      </c>
      <c r="G123" s="144"/>
      <c r="H123" s="67">
        <v>76609</v>
      </c>
      <c r="I123" s="67">
        <f t="shared" si="73"/>
        <v>73229.525014771512</v>
      </c>
      <c r="J123" s="67">
        <f t="shared" si="64"/>
        <v>64441.982012998931</v>
      </c>
      <c r="K123" s="143"/>
      <c r="L123" s="143">
        <v>39957</v>
      </c>
      <c r="M123" s="63">
        <f t="shared" si="51"/>
        <v>39957</v>
      </c>
      <c r="N123" s="63">
        <f t="shared" si="65"/>
        <v>35162.160000000003</v>
      </c>
      <c r="O123" s="143"/>
      <c r="P123" s="143">
        <v>0</v>
      </c>
      <c r="Q123" s="63">
        <f t="shared" si="74"/>
        <v>0</v>
      </c>
      <c r="R123" s="64">
        <f t="shared" si="66"/>
        <v>0</v>
      </c>
      <c r="S123" s="142">
        <v>15</v>
      </c>
      <c r="T123" s="145" t="s">
        <v>15</v>
      </c>
      <c r="U123" s="65">
        <f>SUMIF('Avoided Costs 2012-2020_EGD'!$A:$A,'2012 Actuals_Auditor'!T123&amp;'2012 Actuals_Auditor'!S123,'Avoided Costs 2012-2020_EGD'!$E:$E)*J123</f>
        <v>156587.8218931531</v>
      </c>
      <c r="V123" s="65">
        <f>SUMIF('Avoided Costs 2012-2020_EGD'!$A:$A,'2012 Actuals_Auditor'!T123&amp;'2012 Actuals_Auditor'!S123,'Avoided Costs 2012-2020_EGD'!$K:$K)*N123</f>
        <v>36209.409586620466</v>
      </c>
      <c r="W123" s="65">
        <f>SUMIF('Avoided Costs 2012-2020_EGD'!$A:$A,'2012 Actuals_Auditor'!T123&amp;'2012 Actuals_Auditor'!S123,'Avoided Costs 2012-2020_EGD'!$M:$M)*R123</f>
        <v>0</v>
      </c>
      <c r="X123" s="65">
        <f t="shared" si="75"/>
        <v>192797.23147977356</v>
      </c>
      <c r="Y123" s="146">
        <v>54500</v>
      </c>
      <c r="Z123" s="66">
        <f t="shared" si="67"/>
        <v>47960</v>
      </c>
      <c r="AA123" s="66"/>
      <c r="AB123" s="66"/>
      <c r="AC123" s="66"/>
      <c r="AD123" s="66">
        <f t="shared" si="68"/>
        <v>47960</v>
      </c>
      <c r="AE123" s="66">
        <f t="shared" si="69"/>
        <v>144837.23147977356</v>
      </c>
      <c r="AF123" s="101">
        <f t="shared" si="70"/>
        <v>966629.730194984</v>
      </c>
      <c r="AG123" s="101">
        <f t="shared" si="71"/>
        <v>1098442.8752215726</v>
      </c>
    </row>
    <row r="124" spans="1:33" s="68" customFormat="1" ht="11.25" customHeight="1" x14ac:dyDescent="0.2">
      <c r="A124" s="147" t="s">
        <v>720</v>
      </c>
      <c r="B124" s="147"/>
      <c r="C124" s="147"/>
      <c r="D124" s="148">
        <v>1</v>
      </c>
      <c r="E124" s="149"/>
      <c r="F124" s="150">
        <v>0.12</v>
      </c>
      <c r="G124" s="150"/>
      <c r="H124" s="67">
        <v>18522</v>
      </c>
      <c r="I124" s="67">
        <f t="shared" si="73"/>
        <v>17704.933654317352</v>
      </c>
      <c r="J124" s="67">
        <f t="shared" ref="J124:J131" si="76">I124*(1-F124)</f>
        <v>15580.341615799271</v>
      </c>
      <c r="K124" s="63"/>
      <c r="L124" s="149">
        <v>0</v>
      </c>
      <c r="M124" s="63">
        <f t="shared" si="51"/>
        <v>0</v>
      </c>
      <c r="N124" s="63">
        <f t="shared" ref="N124:N131" si="77">M124*(1-F124)</f>
        <v>0</v>
      </c>
      <c r="O124" s="69"/>
      <c r="P124" s="149">
        <v>0</v>
      </c>
      <c r="Q124" s="63">
        <f t="shared" si="74"/>
        <v>0</v>
      </c>
      <c r="R124" s="64">
        <f t="shared" ref="R124:R131" si="78">Q124*(1-F124)</f>
        <v>0</v>
      </c>
      <c r="S124" s="148">
        <v>25</v>
      </c>
      <c r="T124" s="151" t="s">
        <v>15</v>
      </c>
      <c r="U124" s="65">
        <f>SUMIF('Avoided Costs 2012-2020_EGD'!$A:$A,'2012 Actuals_Auditor'!T124&amp;'2012 Actuals_Auditor'!S124,'Avoided Costs 2012-2020_EGD'!$E:$E)*J124</f>
        <v>53502.815190003537</v>
      </c>
      <c r="V124" s="65">
        <f>SUMIF('Avoided Costs 2012-2020_EGD'!$A:$A,'2012 Actuals_Auditor'!T124&amp;'2012 Actuals_Auditor'!S124,'Avoided Costs 2012-2020_EGD'!$K:$K)*N124</f>
        <v>0</v>
      </c>
      <c r="W124" s="65">
        <f>SUMIF('Avoided Costs 2012-2020_EGD'!$A:$A,'2012 Actuals_Auditor'!T124&amp;'2012 Actuals_Auditor'!S124,'Avoided Costs 2012-2020_EGD'!$M:$M)*R124</f>
        <v>0</v>
      </c>
      <c r="X124" s="65">
        <f t="shared" si="75"/>
        <v>53502.815190003537</v>
      </c>
      <c r="Y124" s="146">
        <v>28875</v>
      </c>
      <c r="Z124" s="66">
        <f t="shared" ref="Z124:Z131" si="79">Y124*(1-F124)</f>
        <v>25410</v>
      </c>
      <c r="AA124" s="66"/>
      <c r="AB124" s="66"/>
      <c r="AC124" s="66"/>
      <c r="AD124" s="66">
        <f t="shared" ref="AD124:AD132" si="80">Z124+AB124</f>
        <v>25410</v>
      </c>
      <c r="AE124" s="66">
        <f t="shared" ref="AE124:AE155" si="81">X124-AD124</f>
        <v>28092.815190003537</v>
      </c>
      <c r="AF124" s="101">
        <f t="shared" ref="AF124:AF131" si="82">J124*S124</f>
        <v>389508.54039498174</v>
      </c>
      <c r="AG124" s="101">
        <f t="shared" ref="AG124:AG131" si="83">(I124*S124)</f>
        <v>442623.34135793382</v>
      </c>
    </row>
    <row r="125" spans="1:33" s="68" customFormat="1" ht="11.25" customHeight="1" x14ac:dyDescent="0.2">
      <c r="A125" s="147" t="s">
        <v>721</v>
      </c>
      <c r="B125" s="147"/>
      <c r="C125" s="147"/>
      <c r="D125" s="148">
        <v>1</v>
      </c>
      <c r="E125" s="149"/>
      <c r="F125" s="150">
        <v>0.12</v>
      </c>
      <c r="G125" s="150"/>
      <c r="H125" s="67">
        <v>22755</v>
      </c>
      <c r="I125" s="67">
        <f t="shared" si="73"/>
        <v>21751.202100420654</v>
      </c>
      <c r="J125" s="67">
        <f t="shared" si="76"/>
        <v>19141.057848370176</v>
      </c>
      <c r="K125" s="63"/>
      <c r="L125" s="149">
        <v>29536</v>
      </c>
      <c r="M125" s="63">
        <f t="shared" si="51"/>
        <v>29536</v>
      </c>
      <c r="N125" s="63">
        <f t="shared" si="77"/>
        <v>25991.68</v>
      </c>
      <c r="O125" s="69"/>
      <c r="P125" s="149">
        <v>0</v>
      </c>
      <c r="Q125" s="63">
        <f t="shared" si="74"/>
        <v>0</v>
      </c>
      <c r="R125" s="64">
        <f t="shared" si="78"/>
        <v>0</v>
      </c>
      <c r="S125" s="148">
        <v>15</v>
      </c>
      <c r="T125" s="151" t="s">
        <v>15</v>
      </c>
      <c r="U125" s="65">
        <f>SUMIF('Avoided Costs 2012-2020_EGD'!$A:$A,'2012 Actuals_Auditor'!T125&amp;'2012 Actuals_Auditor'!S125,'Avoided Costs 2012-2020_EGD'!$E:$E)*J125</f>
        <v>46510.930663221021</v>
      </c>
      <c r="V125" s="65">
        <f>SUMIF('Avoided Costs 2012-2020_EGD'!$A:$A,'2012 Actuals_Auditor'!T125&amp;'2012 Actuals_Auditor'!S125,'Avoided Costs 2012-2020_EGD'!$K:$K)*N125</f>
        <v>26765.801275131314</v>
      </c>
      <c r="W125" s="65">
        <f>SUMIF('Avoided Costs 2012-2020_EGD'!$A:$A,'2012 Actuals_Auditor'!T125&amp;'2012 Actuals_Auditor'!S125,'Avoided Costs 2012-2020_EGD'!$M:$M)*R125</f>
        <v>0</v>
      </c>
      <c r="X125" s="65">
        <f t="shared" si="75"/>
        <v>73276.731938352343</v>
      </c>
      <c r="Y125" s="146">
        <v>44957</v>
      </c>
      <c r="Z125" s="66">
        <f t="shared" si="79"/>
        <v>39562.160000000003</v>
      </c>
      <c r="AA125" s="66"/>
      <c r="AB125" s="66"/>
      <c r="AC125" s="66"/>
      <c r="AD125" s="66">
        <f t="shared" si="80"/>
        <v>39562.160000000003</v>
      </c>
      <c r="AE125" s="66">
        <f t="shared" si="81"/>
        <v>33714.571938352339</v>
      </c>
      <c r="AF125" s="101">
        <f t="shared" si="82"/>
        <v>287115.86772555264</v>
      </c>
      <c r="AG125" s="101">
        <f t="shared" si="83"/>
        <v>326268.03150630981</v>
      </c>
    </row>
    <row r="126" spans="1:33" s="68" customFormat="1" ht="11.25" customHeight="1" x14ac:dyDescent="0.2">
      <c r="A126" s="147" t="s">
        <v>722</v>
      </c>
      <c r="B126" s="147"/>
      <c r="C126" s="147"/>
      <c r="D126" s="148">
        <v>1</v>
      </c>
      <c r="E126" s="149"/>
      <c r="F126" s="150">
        <v>0.12</v>
      </c>
      <c r="G126" s="150"/>
      <c r="H126" s="67">
        <v>68150</v>
      </c>
      <c r="I126" s="67">
        <f t="shared" si="73"/>
        <v>65143.679329539336</v>
      </c>
      <c r="J126" s="67">
        <f t="shared" si="76"/>
        <v>57326.437809994619</v>
      </c>
      <c r="K126" s="63"/>
      <c r="L126" s="149">
        <v>13096</v>
      </c>
      <c r="M126" s="63">
        <f t="shared" si="51"/>
        <v>13096</v>
      </c>
      <c r="N126" s="63">
        <f t="shared" si="77"/>
        <v>11524.48</v>
      </c>
      <c r="O126" s="69"/>
      <c r="P126" s="149">
        <v>0</v>
      </c>
      <c r="Q126" s="63">
        <f t="shared" si="74"/>
        <v>0</v>
      </c>
      <c r="R126" s="64">
        <f t="shared" si="78"/>
        <v>0</v>
      </c>
      <c r="S126" s="148">
        <v>15</v>
      </c>
      <c r="T126" s="151" t="s">
        <v>15</v>
      </c>
      <c r="U126" s="65">
        <f>SUMIF('Avoided Costs 2012-2020_EGD'!$A:$A,'2012 Actuals_Auditor'!T126&amp;'2012 Actuals_Auditor'!S126,'Avoided Costs 2012-2020_EGD'!$E:$E)*J126</f>
        <v>139297.73345192321</v>
      </c>
      <c r="V126" s="65">
        <f>SUMIF('Avoided Costs 2012-2020_EGD'!$A:$A,'2012 Actuals_Auditor'!T126&amp;'2012 Actuals_Auditor'!S126,'Avoided Costs 2012-2020_EGD'!$K:$K)*N126</f>
        <v>11867.718496042784</v>
      </c>
      <c r="W126" s="65">
        <f>SUMIF('Avoided Costs 2012-2020_EGD'!$A:$A,'2012 Actuals_Auditor'!T126&amp;'2012 Actuals_Auditor'!S126,'Avoided Costs 2012-2020_EGD'!$M:$M)*R126</f>
        <v>0</v>
      </c>
      <c r="X126" s="65">
        <f t="shared" si="75"/>
        <v>151165.45194796601</v>
      </c>
      <c r="Y126" s="146">
        <v>63644</v>
      </c>
      <c r="Z126" s="66">
        <f t="shared" si="79"/>
        <v>56006.720000000001</v>
      </c>
      <c r="AA126" s="66"/>
      <c r="AB126" s="66"/>
      <c r="AC126" s="66"/>
      <c r="AD126" s="66">
        <f t="shared" si="80"/>
        <v>56006.720000000001</v>
      </c>
      <c r="AE126" s="66">
        <f t="shared" si="81"/>
        <v>95158.731947966007</v>
      </c>
      <c r="AF126" s="101">
        <f t="shared" si="82"/>
        <v>859896.56714991922</v>
      </c>
      <c r="AG126" s="101">
        <f t="shared" si="83"/>
        <v>977155.18994309008</v>
      </c>
    </row>
    <row r="127" spans="1:33" s="68" customFormat="1" ht="11.25" customHeight="1" x14ac:dyDescent="0.2">
      <c r="A127" s="147" t="s">
        <v>723</v>
      </c>
      <c r="B127" s="147"/>
      <c r="C127" s="147"/>
      <c r="D127" s="148">
        <v>1</v>
      </c>
      <c r="E127" s="149"/>
      <c r="F127" s="150">
        <v>0.12</v>
      </c>
      <c r="G127" s="150"/>
      <c r="H127" s="67">
        <v>59995</v>
      </c>
      <c r="I127" s="67">
        <f t="shared" si="73"/>
        <v>57348.423204339138</v>
      </c>
      <c r="J127" s="67">
        <f t="shared" si="76"/>
        <v>50466.612419818441</v>
      </c>
      <c r="K127" s="63"/>
      <c r="L127" s="149">
        <v>0</v>
      </c>
      <c r="M127" s="63">
        <f t="shared" si="51"/>
        <v>0</v>
      </c>
      <c r="N127" s="63">
        <f t="shared" si="77"/>
        <v>0</v>
      </c>
      <c r="O127" s="69"/>
      <c r="P127" s="149">
        <v>0</v>
      </c>
      <c r="Q127" s="63">
        <f t="shared" si="74"/>
        <v>0</v>
      </c>
      <c r="R127" s="64">
        <f t="shared" si="78"/>
        <v>0</v>
      </c>
      <c r="S127" s="148">
        <v>25</v>
      </c>
      <c r="T127" s="151" t="s">
        <v>15</v>
      </c>
      <c r="U127" s="65">
        <f>SUMIF('Avoided Costs 2012-2020_EGD'!$A:$A,'2012 Actuals_Auditor'!T127&amp;'2012 Actuals_Auditor'!S127,'Avoided Costs 2012-2020_EGD'!$E:$E)*J127</f>
        <v>173302.09466171372</v>
      </c>
      <c r="V127" s="65">
        <f>SUMIF('Avoided Costs 2012-2020_EGD'!$A:$A,'2012 Actuals_Auditor'!T127&amp;'2012 Actuals_Auditor'!S127,'Avoided Costs 2012-2020_EGD'!$K:$K)*N127</f>
        <v>0</v>
      </c>
      <c r="W127" s="65">
        <f>SUMIF('Avoided Costs 2012-2020_EGD'!$A:$A,'2012 Actuals_Auditor'!T127&amp;'2012 Actuals_Auditor'!S127,'Avoided Costs 2012-2020_EGD'!$M:$M)*R127</f>
        <v>0</v>
      </c>
      <c r="X127" s="65">
        <f t="shared" si="75"/>
        <v>173302.09466171372</v>
      </c>
      <c r="Y127" s="146">
        <v>166116</v>
      </c>
      <c r="Z127" s="66">
        <f t="shared" si="79"/>
        <v>146182.07999999999</v>
      </c>
      <c r="AA127" s="66"/>
      <c r="AB127" s="66"/>
      <c r="AC127" s="66"/>
      <c r="AD127" s="66">
        <f t="shared" si="80"/>
        <v>146182.07999999999</v>
      </c>
      <c r="AE127" s="66">
        <f t="shared" si="81"/>
        <v>27120.014661713736</v>
      </c>
      <c r="AF127" s="101">
        <f t="shared" si="82"/>
        <v>1261665.3104954611</v>
      </c>
      <c r="AG127" s="101">
        <f t="shared" si="83"/>
        <v>1433710.5801084784</v>
      </c>
    </row>
    <row r="128" spans="1:33" s="68" customFormat="1" ht="11.25" customHeight="1" x14ac:dyDescent="0.2">
      <c r="A128" s="147" t="s">
        <v>724</v>
      </c>
      <c r="B128" s="147"/>
      <c r="C128" s="147"/>
      <c r="D128" s="148">
        <v>1</v>
      </c>
      <c r="E128" s="149"/>
      <c r="F128" s="150">
        <v>0.12</v>
      </c>
      <c r="G128" s="150"/>
      <c r="H128" s="67">
        <v>144686</v>
      </c>
      <c r="I128" s="67">
        <f t="shared" si="73"/>
        <v>138303.42461443474</v>
      </c>
      <c r="J128" s="67">
        <f t="shared" si="76"/>
        <v>121707.01366070258</v>
      </c>
      <c r="K128" s="63"/>
      <c r="L128" s="149">
        <v>0</v>
      </c>
      <c r="M128" s="63">
        <f t="shared" si="51"/>
        <v>0</v>
      </c>
      <c r="N128" s="63">
        <f t="shared" si="77"/>
        <v>0</v>
      </c>
      <c r="O128" s="69"/>
      <c r="P128" s="149">
        <v>0</v>
      </c>
      <c r="Q128" s="63">
        <f t="shared" si="74"/>
        <v>0</v>
      </c>
      <c r="R128" s="64">
        <f t="shared" si="78"/>
        <v>0</v>
      </c>
      <c r="S128" s="148">
        <v>15</v>
      </c>
      <c r="T128" s="151" t="s">
        <v>15</v>
      </c>
      <c r="U128" s="65">
        <f>SUMIF('Avoided Costs 2012-2020_EGD'!$A:$A,'2012 Actuals_Auditor'!T128&amp;'2012 Actuals_Auditor'!S128,'Avoided Costs 2012-2020_EGD'!$E:$E)*J128</f>
        <v>295736.34427329362</v>
      </c>
      <c r="V128" s="65">
        <f>SUMIF('Avoided Costs 2012-2020_EGD'!$A:$A,'2012 Actuals_Auditor'!T128&amp;'2012 Actuals_Auditor'!S128,'Avoided Costs 2012-2020_EGD'!$K:$K)*N128</f>
        <v>0</v>
      </c>
      <c r="W128" s="65">
        <f>SUMIF('Avoided Costs 2012-2020_EGD'!$A:$A,'2012 Actuals_Auditor'!T128&amp;'2012 Actuals_Auditor'!S128,'Avoided Costs 2012-2020_EGD'!$M:$M)*R128</f>
        <v>0</v>
      </c>
      <c r="X128" s="65">
        <f t="shared" si="75"/>
        <v>295736.34427329362</v>
      </c>
      <c r="Y128" s="146">
        <v>30000</v>
      </c>
      <c r="Z128" s="66">
        <f t="shared" si="79"/>
        <v>26400</v>
      </c>
      <c r="AA128" s="66"/>
      <c r="AB128" s="66"/>
      <c r="AC128" s="66"/>
      <c r="AD128" s="66">
        <f t="shared" si="80"/>
        <v>26400</v>
      </c>
      <c r="AE128" s="66">
        <f t="shared" si="81"/>
        <v>269336.34427329362</v>
      </c>
      <c r="AF128" s="101">
        <f t="shared" si="82"/>
        <v>1825605.2049105386</v>
      </c>
      <c r="AG128" s="101">
        <f t="shared" si="83"/>
        <v>2074551.369216521</v>
      </c>
    </row>
    <row r="129" spans="1:33" s="68" customFormat="1" ht="11.25" customHeight="1" x14ac:dyDescent="0.2">
      <c r="A129" s="147" t="s">
        <v>725</v>
      </c>
      <c r="B129" s="147"/>
      <c r="C129" s="147"/>
      <c r="D129" s="148">
        <v>1</v>
      </c>
      <c r="E129" s="149"/>
      <c r="F129" s="150">
        <v>0.12</v>
      </c>
      <c r="G129" s="150"/>
      <c r="H129" s="67">
        <v>39602</v>
      </c>
      <c r="I129" s="67">
        <f t="shared" si="73"/>
        <v>37855.025514430177</v>
      </c>
      <c r="J129" s="67">
        <f t="shared" si="76"/>
        <v>33312.422452698556</v>
      </c>
      <c r="K129" s="63"/>
      <c r="L129" s="149">
        <v>4522</v>
      </c>
      <c r="M129" s="63">
        <f t="shared" si="51"/>
        <v>4522</v>
      </c>
      <c r="N129" s="63">
        <f t="shared" si="77"/>
        <v>3979.36</v>
      </c>
      <c r="O129" s="69"/>
      <c r="P129" s="149">
        <v>0</v>
      </c>
      <c r="Q129" s="63">
        <f t="shared" si="74"/>
        <v>0</v>
      </c>
      <c r="R129" s="64">
        <f t="shared" si="78"/>
        <v>0</v>
      </c>
      <c r="S129" s="148">
        <v>15</v>
      </c>
      <c r="T129" s="151" t="s">
        <v>15</v>
      </c>
      <c r="U129" s="65">
        <f>SUMIF('Avoided Costs 2012-2020_EGD'!$A:$A,'2012 Actuals_Auditor'!T129&amp;'2012 Actuals_Auditor'!S129,'Avoided Costs 2012-2020_EGD'!$E:$E)*J129</f>
        <v>80945.984448467541</v>
      </c>
      <c r="V129" s="65">
        <f>SUMIF('Avoided Costs 2012-2020_EGD'!$A:$A,'2012 Actuals_Auditor'!T129&amp;'2012 Actuals_Auditor'!S129,'Avoided Costs 2012-2020_EGD'!$K:$K)*N129</f>
        <v>4097.878973664132</v>
      </c>
      <c r="W129" s="65">
        <f>SUMIF('Avoided Costs 2012-2020_EGD'!$A:$A,'2012 Actuals_Auditor'!T129&amp;'2012 Actuals_Auditor'!S129,'Avoided Costs 2012-2020_EGD'!$M:$M)*R129</f>
        <v>0</v>
      </c>
      <c r="X129" s="65">
        <f t="shared" si="55"/>
        <v>85043.863422131675</v>
      </c>
      <c r="Y129" s="146">
        <v>89266</v>
      </c>
      <c r="Z129" s="66">
        <f t="shared" si="79"/>
        <v>78554.080000000002</v>
      </c>
      <c r="AA129" s="66"/>
      <c r="AB129" s="66"/>
      <c r="AC129" s="66"/>
      <c r="AD129" s="66">
        <f t="shared" si="80"/>
        <v>78554.080000000002</v>
      </c>
      <c r="AE129" s="66">
        <f t="shared" si="81"/>
        <v>6489.7834221316734</v>
      </c>
      <c r="AF129" s="101">
        <f t="shared" si="82"/>
        <v>499686.33679047832</v>
      </c>
      <c r="AG129" s="101">
        <f t="shared" si="83"/>
        <v>567825.3827164527</v>
      </c>
    </row>
    <row r="130" spans="1:33" s="68" customFormat="1" ht="11.25" customHeight="1" x14ac:dyDescent="0.2">
      <c r="A130" s="147" t="s">
        <v>726</v>
      </c>
      <c r="B130" s="147"/>
      <c r="C130" s="147"/>
      <c r="D130" s="148">
        <v>1</v>
      </c>
      <c r="E130" s="149"/>
      <c r="F130" s="150">
        <v>0.12</v>
      </c>
      <c r="G130" s="150"/>
      <c r="H130" s="67">
        <v>22685</v>
      </c>
      <c r="I130" s="67">
        <f>H130</f>
        <v>22685</v>
      </c>
      <c r="J130" s="67">
        <f t="shared" si="76"/>
        <v>19962.8</v>
      </c>
      <c r="K130" s="63"/>
      <c r="L130" s="149">
        <v>0</v>
      </c>
      <c r="M130" s="63">
        <f>L130</f>
        <v>0</v>
      </c>
      <c r="N130" s="63">
        <f t="shared" si="77"/>
        <v>0</v>
      </c>
      <c r="O130" s="69"/>
      <c r="P130" s="149">
        <v>0</v>
      </c>
      <c r="Q130" s="63">
        <f>+P130</f>
        <v>0</v>
      </c>
      <c r="R130" s="64">
        <f t="shared" si="78"/>
        <v>0</v>
      </c>
      <c r="S130" s="148">
        <v>25</v>
      </c>
      <c r="T130" s="151" t="s">
        <v>15</v>
      </c>
      <c r="U130" s="65">
        <f>SUMIF('Avoided Costs 2012-2020_EGD'!$A:$A,'2012 Actuals_Auditor'!T130&amp;'2012 Actuals_Auditor'!S130,'Avoided Costs 2012-2020_EGD'!$E:$E)*J130</f>
        <v>68552.155364291146</v>
      </c>
      <c r="V130" s="65">
        <f>SUMIF('Avoided Costs 2012-2020_EGD'!$A:$A,'2012 Actuals_Auditor'!T130&amp;'2012 Actuals_Auditor'!S130,'Avoided Costs 2012-2020_EGD'!$K:$K)*N130</f>
        <v>0</v>
      </c>
      <c r="W130" s="65">
        <f>SUMIF('Avoided Costs 2012-2020_EGD'!$A:$A,'2012 Actuals_Auditor'!T130&amp;'2012 Actuals_Auditor'!S130,'Avoided Costs 2012-2020_EGD'!$M:$M)*R130</f>
        <v>0</v>
      </c>
      <c r="X130" s="65">
        <f t="shared" si="55"/>
        <v>68552.155364291146</v>
      </c>
      <c r="Y130" s="146">
        <v>11900</v>
      </c>
      <c r="Z130" s="66">
        <f t="shared" si="79"/>
        <v>10472</v>
      </c>
      <c r="AA130" s="66"/>
      <c r="AB130" s="66"/>
      <c r="AC130" s="66"/>
      <c r="AD130" s="66">
        <f t="shared" si="80"/>
        <v>10472</v>
      </c>
      <c r="AE130" s="66">
        <f t="shared" si="81"/>
        <v>58080.155364291146</v>
      </c>
      <c r="AF130" s="101">
        <f t="shared" si="82"/>
        <v>499070</v>
      </c>
      <c r="AG130" s="101">
        <f t="shared" si="83"/>
        <v>567125</v>
      </c>
    </row>
    <row r="131" spans="1:33" s="68" customFormat="1" ht="11.25" customHeight="1" x14ac:dyDescent="0.2">
      <c r="A131" s="147" t="s">
        <v>727</v>
      </c>
      <c r="B131" s="147"/>
      <c r="C131" s="147"/>
      <c r="D131" s="148">
        <v>1</v>
      </c>
      <c r="E131" s="149"/>
      <c r="F131" s="150">
        <v>0.12</v>
      </c>
      <c r="G131" s="150"/>
      <c r="H131" s="67">
        <v>48566</v>
      </c>
      <c r="I131" s="67">
        <f>H131</f>
        <v>48566</v>
      </c>
      <c r="J131" s="67">
        <f t="shared" si="76"/>
        <v>42738.080000000002</v>
      </c>
      <c r="K131" s="63"/>
      <c r="L131" s="149">
        <v>0</v>
      </c>
      <c r="M131" s="63">
        <f>L131</f>
        <v>0</v>
      </c>
      <c r="N131" s="63">
        <f t="shared" si="77"/>
        <v>0</v>
      </c>
      <c r="O131" s="69"/>
      <c r="P131" s="149">
        <v>0</v>
      </c>
      <c r="Q131" s="63">
        <f>+P131</f>
        <v>0</v>
      </c>
      <c r="R131" s="64">
        <f t="shared" si="78"/>
        <v>0</v>
      </c>
      <c r="S131" s="148">
        <v>25</v>
      </c>
      <c r="T131" s="151" t="s">
        <v>15</v>
      </c>
      <c r="U131" s="65">
        <f>SUMIF('Avoided Costs 2012-2020_EGD'!$A:$A,'2012 Actuals_Auditor'!T131&amp;'2012 Actuals_Auditor'!S131,'Avoided Costs 2012-2020_EGD'!$E:$E)*J131</f>
        <v>146762.35298312383</v>
      </c>
      <c r="V131" s="65">
        <f>SUMIF('Avoided Costs 2012-2020_EGD'!$A:$A,'2012 Actuals_Auditor'!T131&amp;'2012 Actuals_Auditor'!S131,'Avoided Costs 2012-2020_EGD'!$K:$K)*N131</f>
        <v>0</v>
      </c>
      <c r="W131" s="65">
        <f>SUMIF('Avoided Costs 2012-2020_EGD'!$A:$A,'2012 Actuals_Auditor'!T131&amp;'2012 Actuals_Auditor'!S131,'Avoided Costs 2012-2020_EGD'!$M:$M)*R131</f>
        <v>0</v>
      </c>
      <c r="X131" s="65">
        <f t="shared" si="55"/>
        <v>146762.35298312383</v>
      </c>
      <c r="Y131" s="146">
        <v>41200</v>
      </c>
      <c r="Z131" s="66">
        <f t="shared" si="79"/>
        <v>36256</v>
      </c>
      <c r="AA131" s="66"/>
      <c r="AB131" s="66"/>
      <c r="AC131" s="66"/>
      <c r="AD131" s="66">
        <f t="shared" si="80"/>
        <v>36256</v>
      </c>
      <c r="AE131" s="66">
        <f t="shared" si="81"/>
        <v>110506.35298312383</v>
      </c>
      <c r="AF131" s="101">
        <f t="shared" si="82"/>
        <v>1068452</v>
      </c>
      <c r="AG131" s="101">
        <f t="shared" si="83"/>
        <v>1214150</v>
      </c>
    </row>
    <row r="132" spans="1:33" s="59" customFormat="1" x14ac:dyDescent="0.2">
      <c r="A132" s="152" t="s">
        <v>3</v>
      </c>
      <c r="B132" s="152" t="s">
        <v>728</v>
      </c>
      <c r="C132" s="155"/>
      <c r="D132" s="153">
        <f>SUM(D60:D131)</f>
        <v>64</v>
      </c>
      <c r="E132" s="67"/>
      <c r="F132" s="154"/>
      <c r="G132" s="228"/>
      <c r="H132" s="67">
        <f>SUM(H60:H131)</f>
        <v>4649359</v>
      </c>
      <c r="I132" s="67">
        <f>SUM(I60:I131)</f>
        <v>4449213.3447322715</v>
      </c>
      <c r="J132" s="67">
        <f>SUM(J60:J131)</f>
        <v>3915307.7433643979</v>
      </c>
      <c r="K132" s="64"/>
      <c r="L132" s="67">
        <f>SUM(L60:L131)</f>
        <v>3895802</v>
      </c>
      <c r="M132" s="67">
        <f>SUM(M60:M131)</f>
        <v>3895802</v>
      </c>
      <c r="N132" s="67">
        <f>SUM(N60:N131)</f>
        <v>3428305.7600000002</v>
      </c>
      <c r="O132" s="229"/>
      <c r="P132" s="67">
        <f>SUM(P60:P131)</f>
        <v>0</v>
      </c>
      <c r="Q132" s="67">
        <f>SUM(Q60:Q131)</f>
        <v>0</v>
      </c>
      <c r="R132" s="67">
        <f>SUM(R60:R131)</f>
        <v>0</v>
      </c>
      <c r="S132" s="153"/>
      <c r="T132" s="155"/>
      <c r="U132" s="66">
        <f>SUM(U60:U131)</f>
        <v>10607708.878512854</v>
      </c>
      <c r="V132" s="66">
        <f>SUM(V60:V131)</f>
        <v>3345035.5134490654</v>
      </c>
      <c r="W132" s="66">
        <f>SUM(W60:W131)</f>
        <v>0</v>
      </c>
      <c r="X132" s="66">
        <f>SUM(X60:X131)</f>
        <v>13952744.391961919</v>
      </c>
      <c r="Y132" s="146"/>
      <c r="Z132" s="66">
        <f>SUM(Z60:Z131)</f>
        <v>3618966.6304000001</v>
      </c>
      <c r="AA132" s="66">
        <v>693678</v>
      </c>
      <c r="AB132" s="66">
        <v>62519.89</v>
      </c>
      <c r="AC132" s="66">
        <f>AB132+AA132</f>
        <v>756197.89</v>
      </c>
      <c r="AD132" s="66">
        <f t="shared" si="80"/>
        <v>3681486.5204000003</v>
      </c>
      <c r="AE132" s="230">
        <f t="shared" si="81"/>
        <v>10271257.871561918</v>
      </c>
      <c r="AF132" s="101">
        <f>SUM(AF60:AF131)</f>
        <v>70564310.851119891</v>
      </c>
      <c r="AG132" s="101">
        <f>SUM(AG60:AG131)</f>
        <v>80186716.876272574</v>
      </c>
    </row>
    <row r="133" spans="1:33" x14ac:dyDescent="0.2">
      <c r="A133" s="140"/>
      <c r="F133" s="17"/>
      <c r="G133" s="17"/>
      <c r="M133" s="17"/>
      <c r="O133" s="17"/>
      <c r="P133" s="17"/>
      <c r="Q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:33" x14ac:dyDescent="0.2">
      <c r="A134" s="140" t="s">
        <v>984</v>
      </c>
      <c r="B134" s="10" t="s">
        <v>48</v>
      </c>
      <c r="K134" s="54"/>
      <c r="L134" s="54"/>
      <c r="O134" s="21"/>
      <c r="P134" s="22"/>
      <c r="R134" s="13"/>
      <c r="S134" s="13"/>
      <c r="Z134" s="57"/>
      <c r="AA134" s="57"/>
      <c r="AC134" s="57"/>
      <c r="AD134" s="57"/>
      <c r="AE134" s="57"/>
      <c r="AF134" s="100"/>
      <c r="AG134" s="100"/>
    </row>
    <row r="135" spans="1:33" s="68" customFormat="1" x14ac:dyDescent="0.2">
      <c r="A135" s="147" t="s">
        <v>809</v>
      </c>
      <c r="B135" s="147"/>
      <c r="C135" s="147"/>
      <c r="D135" s="148">
        <v>0</v>
      </c>
      <c r="E135" s="149"/>
      <c r="F135" s="150">
        <v>0.12</v>
      </c>
      <c r="G135" s="150"/>
      <c r="H135" s="67">
        <v>4801</v>
      </c>
      <c r="I135" s="67">
        <f>+$H$42*H135</f>
        <v>4589.2120977420154</v>
      </c>
      <c r="J135" s="67">
        <f t="shared" ref="J135:J166" si="84">I135*(1-F135)</f>
        <v>4038.5066460129738</v>
      </c>
      <c r="K135" s="63"/>
      <c r="L135" s="149">
        <v>13521</v>
      </c>
      <c r="M135" s="63">
        <f t="shared" ref="M135:M299" si="85">+$L$42*L135</f>
        <v>13521</v>
      </c>
      <c r="N135" s="63">
        <f t="shared" ref="N135:N166" si="86">M135*(1-F135)</f>
        <v>11898.48</v>
      </c>
      <c r="O135" s="69"/>
      <c r="P135" s="149">
        <v>0</v>
      </c>
      <c r="Q135" s="63">
        <f>+P135*$P$42</f>
        <v>0</v>
      </c>
      <c r="R135" s="64">
        <f t="shared" ref="R135:R166" si="87">Q135*(1-F135)</f>
        <v>0</v>
      </c>
      <c r="S135" s="148">
        <v>15</v>
      </c>
      <c r="T135" s="151" t="s">
        <v>15</v>
      </c>
      <c r="U135" s="65">
        <f>SUMIF('Avoided Costs 2012-2020_EGD'!$A:$A,'2012 Actuals_Auditor'!T135&amp;'2012 Actuals_Auditor'!S135,'Avoided Costs 2012-2020_EGD'!$E:$E)*J135</f>
        <v>9813.1829538178044</v>
      </c>
      <c r="V135" s="65">
        <f>SUMIF('Avoided Costs 2012-2020_EGD'!$A:$A,'2012 Actuals_Auditor'!T135&amp;'2012 Actuals_Auditor'!S135,'Avoided Costs 2012-2020_EGD'!$K:$K)*N135</f>
        <v>12252.857497327008</v>
      </c>
      <c r="W135" s="65">
        <f>SUMIF('Avoided Costs 2012-2020_EGD'!$A:$A,'2012 Actuals_Auditor'!T135&amp;'2012 Actuals_Auditor'!S135,'Avoided Costs 2012-2020_EGD'!$M:$M)*R135</f>
        <v>0</v>
      </c>
      <c r="X135" s="65">
        <f t="shared" ref="X135:X152" si="88">SUM(U135:W135)</f>
        <v>22066.040451144814</v>
      </c>
      <c r="Y135" s="146">
        <v>5800</v>
      </c>
      <c r="Z135" s="66">
        <f t="shared" ref="Z135:Z166" si="89">Y135*(1-F135)</f>
        <v>5104</v>
      </c>
      <c r="AA135" s="66"/>
      <c r="AB135" s="66"/>
      <c r="AC135" s="66"/>
      <c r="AD135" s="66">
        <f t="shared" ref="AD135:AD166" si="90">Z135+AB135</f>
        <v>5104</v>
      </c>
      <c r="AE135" s="66">
        <f t="shared" ref="AE135:AE166" si="91">X135-AD135</f>
        <v>16962.040451144814</v>
      </c>
      <c r="AF135" s="101">
        <f t="shared" ref="AF135:AF166" si="92">J135*S135</f>
        <v>60577.599690194606</v>
      </c>
      <c r="AG135" s="101">
        <f t="shared" ref="AG135:AG166" si="93">(I135*S135)</f>
        <v>68838.181466130234</v>
      </c>
    </row>
    <row r="136" spans="1:33" s="68" customFormat="1" x14ac:dyDescent="0.2">
      <c r="A136" s="147" t="s">
        <v>810</v>
      </c>
      <c r="B136" s="147"/>
      <c r="C136" s="147"/>
      <c r="D136" s="148">
        <v>1</v>
      </c>
      <c r="E136" s="149"/>
      <c r="F136" s="150">
        <v>0.12</v>
      </c>
      <c r="G136" s="150"/>
      <c r="H136" s="67">
        <v>16311</v>
      </c>
      <c r="I136" s="67">
        <f>+$H$42*H136</f>
        <v>15591.468137111022</v>
      </c>
      <c r="J136" s="67">
        <f t="shared" si="84"/>
        <v>13720.491960657699</v>
      </c>
      <c r="K136" s="63"/>
      <c r="L136" s="149">
        <v>-3694</v>
      </c>
      <c r="M136" s="63">
        <f t="shared" si="85"/>
        <v>-3694</v>
      </c>
      <c r="N136" s="63">
        <f t="shared" si="86"/>
        <v>-3250.72</v>
      </c>
      <c r="O136" s="69"/>
      <c r="P136" s="149">
        <v>0</v>
      </c>
      <c r="Q136" s="63">
        <f>+P136*$P$42</f>
        <v>0</v>
      </c>
      <c r="R136" s="64">
        <f t="shared" si="87"/>
        <v>0</v>
      </c>
      <c r="S136" s="148">
        <v>15</v>
      </c>
      <c r="T136" s="151" t="s">
        <v>15</v>
      </c>
      <c r="U136" s="65">
        <f>SUMIF('Avoided Costs 2012-2020_EGD'!$A:$A,'2012 Actuals_Auditor'!T136&amp;'2012 Actuals_Auditor'!S136,'Avoided Costs 2012-2020_EGD'!$E:$E)*J136</f>
        <v>33339.476600650327</v>
      </c>
      <c r="V136" s="65">
        <f>SUMIF('Avoided Costs 2012-2020_EGD'!$A:$A,'2012 Actuals_Auditor'!T136&amp;'2012 Actuals_Auditor'!S136,'Avoided Costs 2012-2020_EGD'!$K:$K)*N136</f>
        <v>-3347.5375782209871</v>
      </c>
      <c r="W136" s="65">
        <f>SUMIF('Avoided Costs 2012-2020_EGD'!$A:$A,'2012 Actuals_Auditor'!T136&amp;'2012 Actuals_Auditor'!S136,'Avoided Costs 2012-2020_EGD'!$M:$M)*R136</f>
        <v>0</v>
      </c>
      <c r="X136" s="65">
        <f t="shared" si="88"/>
        <v>29991.939022429338</v>
      </c>
      <c r="Y136" s="146">
        <v>11200</v>
      </c>
      <c r="Z136" s="66">
        <f t="shared" si="89"/>
        <v>9856</v>
      </c>
      <c r="AA136" s="66"/>
      <c r="AB136" s="66"/>
      <c r="AC136" s="66"/>
      <c r="AD136" s="66">
        <f t="shared" si="90"/>
        <v>9856</v>
      </c>
      <c r="AE136" s="66">
        <f t="shared" si="91"/>
        <v>20135.939022429338</v>
      </c>
      <c r="AF136" s="101">
        <f t="shared" si="92"/>
        <v>205807.37940986548</v>
      </c>
      <c r="AG136" s="101">
        <f t="shared" si="93"/>
        <v>233872.02205666533</v>
      </c>
    </row>
    <row r="137" spans="1:33" s="68" customFormat="1" x14ac:dyDescent="0.2">
      <c r="A137" s="147" t="s">
        <v>811</v>
      </c>
      <c r="B137" s="147"/>
      <c r="C137" s="147"/>
      <c r="D137" s="148">
        <v>1</v>
      </c>
      <c r="E137" s="149"/>
      <c r="F137" s="150">
        <v>0.12</v>
      </c>
      <c r="G137" s="150"/>
      <c r="H137" s="67">
        <v>13205</v>
      </c>
      <c r="I137" s="67">
        <f>+$H$42*H137</f>
        <v>12622.484013889463</v>
      </c>
      <c r="J137" s="67">
        <f t="shared" si="84"/>
        <v>11107.785932222729</v>
      </c>
      <c r="K137" s="63"/>
      <c r="L137" s="149">
        <v>10801</v>
      </c>
      <c r="M137" s="63">
        <f t="shared" si="85"/>
        <v>10801</v>
      </c>
      <c r="N137" s="63">
        <f t="shared" si="86"/>
        <v>9504.8799999999992</v>
      </c>
      <c r="O137" s="69"/>
      <c r="P137" s="149">
        <v>0</v>
      </c>
      <c r="Q137" s="63">
        <f>+P137*$P$42</f>
        <v>0</v>
      </c>
      <c r="R137" s="64">
        <f t="shared" si="87"/>
        <v>0</v>
      </c>
      <c r="S137" s="148">
        <v>15</v>
      </c>
      <c r="T137" s="151" t="s">
        <v>15</v>
      </c>
      <c r="U137" s="65">
        <f>SUMIF('Avoided Costs 2012-2020_EGD'!$A:$A,'2012 Actuals_Auditor'!T137&amp;'2012 Actuals_Auditor'!S137,'Avoided Costs 2012-2020_EGD'!$E:$E)*J137</f>
        <v>26990.852094389527</v>
      </c>
      <c r="V137" s="65">
        <f>SUMIF('Avoided Costs 2012-2020_EGD'!$A:$A,'2012 Actuals_Auditor'!T137&amp;'2012 Actuals_Auditor'!S137,'Avoided Costs 2012-2020_EGD'!$K:$K)*N137</f>
        <v>9787.9678891079802</v>
      </c>
      <c r="W137" s="65">
        <f>SUMIF('Avoided Costs 2012-2020_EGD'!$A:$A,'2012 Actuals_Auditor'!T137&amp;'2012 Actuals_Auditor'!S137,'Avoided Costs 2012-2020_EGD'!$M:$M)*R137</f>
        <v>0</v>
      </c>
      <c r="X137" s="65">
        <f t="shared" si="88"/>
        <v>36778.819983497509</v>
      </c>
      <c r="Y137" s="146">
        <v>9600</v>
      </c>
      <c r="Z137" s="66">
        <f t="shared" si="89"/>
        <v>8448</v>
      </c>
      <c r="AA137" s="66"/>
      <c r="AB137" s="66"/>
      <c r="AC137" s="66"/>
      <c r="AD137" s="66">
        <f t="shared" si="90"/>
        <v>8448</v>
      </c>
      <c r="AE137" s="66">
        <f t="shared" si="91"/>
        <v>28330.819983497509</v>
      </c>
      <c r="AF137" s="101">
        <f t="shared" si="92"/>
        <v>166616.78898334093</v>
      </c>
      <c r="AG137" s="101">
        <f t="shared" si="93"/>
        <v>189337.26020834196</v>
      </c>
    </row>
    <row r="138" spans="1:33" s="68" customFormat="1" x14ac:dyDescent="0.2">
      <c r="A138" s="147" t="s">
        <v>812</v>
      </c>
      <c r="B138" s="147"/>
      <c r="C138" s="147"/>
      <c r="D138" s="148">
        <v>1</v>
      </c>
      <c r="E138" s="149"/>
      <c r="F138" s="150">
        <v>0.12</v>
      </c>
      <c r="G138" s="150"/>
      <c r="H138" s="67">
        <v>2967</v>
      </c>
      <c r="I138" s="67">
        <f>H138</f>
        <v>2967</v>
      </c>
      <c r="J138" s="67">
        <f t="shared" si="84"/>
        <v>2610.96</v>
      </c>
      <c r="K138" s="63"/>
      <c r="L138" s="149">
        <v>0</v>
      </c>
      <c r="M138" s="63">
        <f>L138</f>
        <v>0</v>
      </c>
      <c r="N138" s="63">
        <f t="shared" si="86"/>
        <v>0</v>
      </c>
      <c r="O138" s="69"/>
      <c r="P138" s="149">
        <v>0</v>
      </c>
      <c r="Q138" s="63">
        <f>+P138</f>
        <v>0</v>
      </c>
      <c r="R138" s="64">
        <f t="shared" si="87"/>
        <v>0</v>
      </c>
      <c r="S138" s="148">
        <v>25</v>
      </c>
      <c r="T138" s="151" t="s">
        <v>15</v>
      </c>
      <c r="U138" s="65">
        <f>SUMIF('Avoided Costs 2012-2020_EGD'!$A:$A,'2012 Actuals_Auditor'!T138&amp;'2012 Actuals_Auditor'!S138,'Avoided Costs 2012-2020_EGD'!$E:$E)*J138</f>
        <v>8966.0235823606708</v>
      </c>
      <c r="V138" s="65">
        <f>SUMIF('Avoided Costs 2012-2020_EGD'!$A:$A,'2012 Actuals_Auditor'!T138&amp;'2012 Actuals_Auditor'!S138,'Avoided Costs 2012-2020_EGD'!$K:$K)*N138</f>
        <v>0</v>
      </c>
      <c r="W138" s="65">
        <f>SUMIF('Avoided Costs 2012-2020_EGD'!$A:$A,'2012 Actuals_Auditor'!T138&amp;'2012 Actuals_Auditor'!S138,'Avoided Costs 2012-2020_EGD'!$M:$M)*R138</f>
        <v>0</v>
      </c>
      <c r="X138" s="65">
        <f t="shared" si="88"/>
        <v>8966.0235823606708</v>
      </c>
      <c r="Y138" s="146">
        <v>1544</v>
      </c>
      <c r="Z138" s="66">
        <f t="shared" si="89"/>
        <v>1358.72</v>
      </c>
      <c r="AA138" s="66"/>
      <c r="AB138" s="66"/>
      <c r="AC138" s="66"/>
      <c r="AD138" s="66">
        <f t="shared" si="90"/>
        <v>1358.72</v>
      </c>
      <c r="AE138" s="66">
        <f t="shared" si="91"/>
        <v>7607.3035823606706</v>
      </c>
      <c r="AF138" s="101">
        <f t="shared" si="92"/>
        <v>65274</v>
      </c>
      <c r="AG138" s="101">
        <f t="shared" si="93"/>
        <v>74175</v>
      </c>
    </row>
    <row r="139" spans="1:33" s="68" customFormat="1" x14ac:dyDescent="0.2">
      <c r="A139" s="147" t="s">
        <v>813</v>
      </c>
      <c r="B139" s="147"/>
      <c r="C139" s="147"/>
      <c r="D139" s="148">
        <v>1</v>
      </c>
      <c r="E139" s="149"/>
      <c r="F139" s="150">
        <v>0.12</v>
      </c>
      <c r="G139" s="150"/>
      <c r="H139" s="67">
        <v>7707</v>
      </c>
      <c r="I139" s="67">
        <f>+$H$42*H139</f>
        <v>7367.0188788372652</v>
      </c>
      <c r="J139" s="67">
        <f t="shared" si="84"/>
        <v>6482.9766133767935</v>
      </c>
      <c r="K139" s="63"/>
      <c r="L139" s="149">
        <v>7303</v>
      </c>
      <c r="M139" s="63">
        <f t="shared" si="85"/>
        <v>7303</v>
      </c>
      <c r="N139" s="63">
        <f t="shared" si="86"/>
        <v>6426.64</v>
      </c>
      <c r="O139" s="69"/>
      <c r="P139" s="149">
        <v>0</v>
      </c>
      <c r="Q139" s="63">
        <f>+P139*$P$42</f>
        <v>0</v>
      </c>
      <c r="R139" s="64">
        <f t="shared" si="87"/>
        <v>0</v>
      </c>
      <c r="S139" s="148">
        <v>15</v>
      </c>
      <c r="T139" s="151" t="s">
        <v>15</v>
      </c>
      <c r="U139" s="65">
        <f>SUMIF('Avoided Costs 2012-2020_EGD'!$A:$A,'2012 Actuals_Auditor'!T139&amp;'2012 Actuals_Auditor'!S139,'Avoided Costs 2012-2020_EGD'!$E:$E)*J139</f>
        <v>15753.010003139723</v>
      </c>
      <c r="V139" s="65">
        <f>SUMIF('Avoided Costs 2012-2020_EGD'!$A:$A,'2012 Actuals_Auditor'!T139&amp;'2012 Actuals_Auditor'!S139,'Avoided Costs 2012-2020_EGD'!$K:$K)*N139</f>
        <v>6618.0473561851304</v>
      </c>
      <c r="W139" s="65">
        <f>SUMIF('Avoided Costs 2012-2020_EGD'!$A:$A,'2012 Actuals_Auditor'!T139&amp;'2012 Actuals_Auditor'!S139,'Avoided Costs 2012-2020_EGD'!$M:$M)*R139</f>
        <v>0</v>
      </c>
      <c r="X139" s="65">
        <f t="shared" si="88"/>
        <v>22371.057359324855</v>
      </c>
      <c r="Y139" s="146">
        <v>6100</v>
      </c>
      <c r="Z139" s="66">
        <f t="shared" si="89"/>
        <v>5368</v>
      </c>
      <c r="AA139" s="66"/>
      <c r="AB139" s="66"/>
      <c r="AC139" s="66"/>
      <c r="AD139" s="66">
        <f t="shared" si="90"/>
        <v>5368</v>
      </c>
      <c r="AE139" s="66">
        <f t="shared" si="91"/>
        <v>17003.057359324855</v>
      </c>
      <c r="AF139" s="101">
        <f t="shared" si="92"/>
        <v>97244.649200651897</v>
      </c>
      <c r="AG139" s="101">
        <f t="shared" si="93"/>
        <v>110505.28318255898</v>
      </c>
    </row>
    <row r="140" spans="1:33" s="68" customFormat="1" x14ac:dyDescent="0.2">
      <c r="A140" s="147" t="s">
        <v>814</v>
      </c>
      <c r="B140" s="147"/>
      <c r="C140" s="147"/>
      <c r="D140" s="148">
        <v>1</v>
      </c>
      <c r="E140" s="149"/>
      <c r="F140" s="150">
        <v>0.12</v>
      </c>
      <c r="G140" s="150"/>
      <c r="H140" s="67">
        <v>54650</v>
      </c>
      <c r="I140" s="67">
        <f>H140</f>
        <v>54650</v>
      </c>
      <c r="J140" s="67">
        <f t="shared" si="84"/>
        <v>48092</v>
      </c>
      <c r="K140" s="63"/>
      <c r="L140" s="149">
        <v>0</v>
      </c>
      <c r="M140" s="63">
        <f>L140</f>
        <v>0</v>
      </c>
      <c r="N140" s="63">
        <f t="shared" si="86"/>
        <v>0</v>
      </c>
      <c r="O140" s="69"/>
      <c r="P140" s="149">
        <v>0</v>
      </c>
      <c r="Q140" s="63">
        <f>+P140</f>
        <v>0</v>
      </c>
      <c r="R140" s="64">
        <f t="shared" si="87"/>
        <v>0</v>
      </c>
      <c r="S140" s="148">
        <v>25</v>
      </c>
      <c r="T140" s="151" t="s">
        <v>15</v>
      </c>
      <c r="U140" s="65">
        <f>SUMIF('Avoided Costs 2012-2020_EGD'!$A:$A,'2012 Actuals_Auditor'!T140&amp;'2012 Actuals_Auditor'!S140,'Avoided Costs 2012-2020_EGD'!$E:$E)*J140</f>
        <v>165147.68748770162</v>
      </c>
      <c r="V140" s="65">
        <f>SUMIF('Avoided Costs 2012-2020_EGD'!$A:$A,'2012 Actuals_Auditor'!T140&amp;'2012 Actuals_Auditor'!S140,'Avoided Costs 2012-2020_EGD'!$K:$K)*N140</f>
        <v>0</v>
      </c>
      <c r="W140" s="65">
        <f>SUMIF('Avoided Costs 2012-2020_EGD'!$A:$A,'2012 Actuals_Auditor'!T140&amp;'2012 Actuals_Auditor'!S140,'Avoided Costs 2012-2020_EGD'!$M:$M)*R140</f>
        <v>0</v>
      </c>
      <c r="X140" s="65">
        <f t="shared" si="88"/>
        <v>165147.68748770162</v>
      </c>
      <c r="Y140" s="146">
        <v>14100</v>
      </c>
      <c r="Z140" s="66">
        <f t="shared" si="89"/>
        <v>12408</v>
      </c>
      <c r="AA140" s="66"/>
      <c r="AB140" s="66"/>
      <c r="AC140" s="66"/>
      <c r="AD140" s="66">
        <f t="shared" si="90"/>
        <v>12408</v>
      </c>
      <c r="AE140" s="66">
        <f t="shared" si="91"/>
        <v>152739.68748770162</v>
      </c>
      <c r="AF140" s="101">
        <f t="shared" si="92"/>
        <v>1202300</v>
      </c>
      <c r="AG140" s="101">
        <f t="shared" si="93"/>
        <v>1366250</v>
      </c>
    </row>
    <row r="141" spans="1:33" s="68" customFormat="1" x14ac:dyDescent="0.2">
      <c r="A141" s="147" t="s">
        <v>815</v>
      </c>
      <c r="B141" s="147"/>
      <c r="C141" s="147"/>
      <c r="D141" s="148">
        <v>1</v>
      </c>
      <c r="E141" s="149"/>
      <c r="F141" s="150">
        <v>0.12</v>
      </c>
      <c r="G141" s="150"/>
      <c r="H141" s="67">
        <v>67915</v>
      </c>
      <c r="I141" s="67">
        <f>H141</f>
        <v>67915</v>
      </c>
      <c r="J141" s="67">
        <f t="shared" si="84"/>
        <v>59765.2</v>
      </c>
      <c r="K141" s="63"/>
      <c r="L141" s="149">
        <v>0</v>
      </c>
      <c r="M141" s="63">
        <f>L141</f>
        <v>0</v>
      </c>
      <c r="N141" s="63">
        <f t="shared" si="86"/>
        <v>0</v>
      </c>
      <c r="O141" s="69"/>
      <c r="P141" s="149">
        <v>0</v>
      </c>
      <c r="Q141" s="63">
        <f>+P141</f>
        <v>0</v>
      </c>
      <c r="R141" s="64">
        <f t="shared" si="87"/>
        <v>0</v>
      </c>
      <c r="S141" s="148">
        <v>25</v>
      </c>
      <c r="T141" s="151" t="s">
        <v>15</v>
      </c>
      <c r="U141" s="65">
        <f>SUMIF('Avoided Costs 2012-2020_EGD'!$A:$A,'2012 Actuals_Auditor'!T141&amp;'2012 Actuals_Auditor'!S141,'Avoided Costs 2012-2020_EGD'!$E:$E)*J141</f>
        <v>205233.39790900741</v>
      </c>
      <c r="V141" s="65">
        <f>SUMIF('Avoided Costs 2012-2020_EGD'!$A:$A,'2012 Actuals_Auditor'!T141&amp;'2012 Actuals_Auditor'!S141,'Avoided Costs 2012-2020_EGD'!$K:$K)*N141</f>
        <v>0</v>
      </c>
      <c r="W141" s="65">
        <f>SUMIF('Avoided Costs 2012-2020_EGD'!$A:$A,'2012 Actuals_Auditor'!T141&amp;'2012 Actuals_Auditor'!S141,'Avoided Costs 2012-2020_EGD'!$M:$M)*R141</f>
        <v>0</v>
      </c>
      <c r="X141" s="65">
        <f t="shared" si="88"/>
        <v>205233.39790900741</v>
      </c>
      <c r="Y141" s="146">
        <v>26100</v>
      </c>
      <c r="Z141" s="66">
        <f t="shared" si="89"/>
        <v>22968</v>
      </c>
      <c r="AA141" s="66"/>
      <c r="AB141" s="66"/>
      <c r="AC141" s="66"/>
      <c r="AD141" s="66">
        <f t="shared" si="90"/>
        <v>22968</v>
      </c>
      <c r="AE141" s="66">
        <f t="shared" si="91"/>
        <v>182265.39790900741</v>
      </c>
      <c r="AF141" s="101">
        <f t="shared" si="92"/>
        <v>1494130</v>
      </c>
      <c r="AG141" s="101">
        <f t="shared" si="93"/>
        <v>1697875</v>
      </c>
    </row>
    <row r="142" spans="1:33" s="68" customFormat="1" x14ac:dyDescent="0.2">
      <c r="A142" s="147" t="s">
        <v>816</v>
      </c>
      <c r="B142" s="147"/>
      <c r="C142" s="147"/>
      <c r="D142" s="148">
        <v>1</v>
      </c>
      <c r="E142" s="149"/>
      <c r="F142" s="150">
        <v>0.12</v>
      </c>
      <c r="G142" s="150"/>
      <c r="H142" s="67">
        <v>83996</v>
      </c>
      <c r="I142" s="67">
        <f t="shared" ref="I142:I173" si="94">+$H$42*H142</f>
        <v>80290.66014620669</v>
      </c>
      <c r="J142" s="67">
        <f t="shared" si="84"/>
        <v>70655.780928661887</v>
      </c>
      <c r="K142" s="63"/>
      <c r="L142" s="149">
        <v>0</v>
      </c>
      <c r="M142" s="63">
        <f t="shared" si="85"/>
        <v>0</v>
      </c>
      <c r="N142" s="63">
        <f t="shared" si="86"/>
        <v>0</v>
      </c>
      <c r="O142" s="69"/>
      <c r="P142" s="149">
        <v>0</v>
      </c>
      <c r="Q142" s="63">
        <f t="shared" ref="Q142:Q173" si="95">+P142*$P$42</f>
        <v>0</v>
      </c>
      <c r="R142" s="64">
        <f t="shared" si="87"/>
        <v>0</v>
      </c>
      <c r="S142" s="148">
        <v>15</v>
      </c>
      <c r="T142" s="151" t="s">
        <v>15</v>
      </c>
      <c r="U142" s="65">
        <f>SUMIF('Avoided Costs 2012-2020_EGD'!$A:$A,'2012 Actuals_Auditor'!T142&amp;'2012 Actuals_Auditor'!S142,'Avoided Costs 2012-2020_EGD'!$E:$E)*J142</f>
        <v>171686.75596519065</v>
      </c>
      <c r="V142" s="65">
        <f>SUMIF('Avoided Costs 2012-2020_EGD'!$A:$A,'2012 Actuals_Auditor'!T142&amp;'2012 Actuals_Auditor'!S142,'Avoided Costs 2012-2020_EGD'!$K:$K)*N142</f>
        <v>0</v>
      </c>
      <c r="W142" s="65">
        <f>SUMIF('Avoided Costs 2012-2020_EGD'!$A:$A,'2012 Actuals_Auditor'!T142&amp;'2012 Actuals_Auditor'!S142,'Avoided Costs 2012-2020_EGD'!$M:$M)*R142</f>
        <v>0</v>
      </c>
      <c r="X142" s="65">
        <f t="shared" si="88"/>
        <v>171686.75596519065</v>
      </c>
      <c r="Y142" s="146">
        <v>31978</v>
      </c>
      <c r="Z142" s="66">
        <f t="shared" si="89"/>
        <v>28140.639999999999</v>
      </c>
      <c r="AA142" s="66"/>
      <c r="AB142" s="66"/>
      <c r="AC142" s="66"/>
      <c r="AD142" s="66">
        <f t="shared" si="90"/>
        <v>28140.639999999999</v>
      </c>
      <c r="AE142" s="66">
        <f t="shared" si="91"/>
        <v>143546.11596519063</v>
      </c>
      <c r="AF142" s="101">
        <f t="shared" si="92"/>
        <v>1059836.7139299284</v>
      </c>
      <c r="AG142" s="101">
        <f t="shared" si="93"/>
        <v>1204359.9021931004</v>
      </c>
    </row>
    <row r="143" spans="1:33" s="68" customFormat="1" x14ac:dyDescent="0.2">
      <c r="A143" s="147" t="s">
        <v>817</v>
      </c>
      <c r="B143" s="147"/>
      <c r="C143" s="147"/>
      <c r="D143" s="148">
        <v>1</v>
      </c>
      <c r="E143" s="149"/>
      <c r="F143" s="150">
        <v>0.12</v>
      </c>
      <c r="G143" s="150"/>
      <c r="H143" s="67">
        <v>7453</v>
      </c>
      <c r="I143" s="67">
        <f t="shared" si="94"/>
        <v>7124.2236543368554</v>
      </c>
      <c r="J143" s="67">
        <f t="shared" si="84"/>
        <v>6269.3168158164326</v>
      </c>
      <c r="K143" s="63"/>
      <c r="L143" s="149">
        <v>5788</v>
      </c>
      <c r="M143" s="63">
        <f t="shared" si="85"/>
        <v>5788</v>
      </c>
      <c r="N143" s="63">
        <f t="shared" si="86"/>
        <v>5093.4399999999996</v>
      </c>
      <c r="O143" s="69"/>
      <c r="P143" s="149">
        <v>0</v>
      </c>
      <c r="Q143" s="63">
        <f t="shared" si="95"/>
        <v>0</v>
      </c>
      <c r="R143" s="64">
        <f t="shared" si="87"/>
        <v>0</v>
      </c>
      <c r="S143" s="148">
        <v>15</v>
      </c>
      <c r="T143" s="151" t="s">
        <v>15</v>
      </c>
      <c r="U143" s="65">
        <f>SUMIF('Avoided Costs 2012-2020_EGD'!$A:$A,'2012 Actuals_Auditor'!T143&amp;'2012 Actuals_Auditor'!S143,'Avoided Costs 2012-2020_EGD'!$E:$E)*J143</f>
        <v>15233.837232827347</v>
      </c>
      <c r="V143" s="65">
        <f>SUMIF('Avoided Costs 2012-2020_EGD'!$A:$A,'2012 Actuals_Auditor'!T143&amp;'2012 Actuals_Auditor'!S143,'Avoided Costs 2012-2020_EGD'!$K:$K)*N143</f>
        <v>5245.140092783723</v>
      </c>
      <c r="W143" s="65">
        <f>SUMIF('Avoided Costs 2012-2020_EGD'!$A:$A,'2012 Actuals_Auditor'!T143&amp;'2012 Actuals_Auditor'!S143,'Avoided Costs 2012-2020_EGD'!$M:$M)*R143</f>
        <v>0</v>
      </c>
      <c r="X143" s="65">
        <f t="shared" si="88"/>
        <v>20478.977325611071</v>
      </c>
      <c r="Y143" s="146">
        <v>6100</v>
      </c>
      <c r="Z143" s="66">
        <f t="shared" si="89"/>
        <v>5368</v>
      </c>
      <c r="AA143" s="66"/>
      <c r="AB143" s="66"/>
      <c r="AC143" s="66"/>
      <c r="AD143" s="66">
        <f t="shared" si="90"/>
        <v>5368</v>
      </c>
      <c r="AE143" s="66">
        <f t="shared" si="91"/>
        <v>15110.977325611071</v>
      </c>
      <c r="AF143" s="101">
        <f t="shared" si="92"/>
        <v>94039.752237246488</v>
      </c>
      <c r="AG143" s="101">
        <f t="shared" si="93"/>
        <v>106863.35481505284</v>
      </c>
    </row>
    <row r="144" spans="1:33" s="68" customFormat="1" x14ac:dyDescent="0.2">
      <c r="A144" s="147" t="s">
        <v>818</v>
      </c>
      <c r="B144" s="147"/>
      <c r="C144" s="147"/>
      <c r="D144" s="148">
        <v>1</v>
      </c>
      <c r="E144" s="149"/>
      <c r="F144" s="150">
        <v>0.12</v>
      </c>
      <c r="G144" s="150"/>
      <c r="H144" s="67">
        <v>11630</v>
      </c>
      <c r="I144" s="67">
        <f t="shared" si="94"/>
        <v>11116.962444644791</v>
      </c>
      <c r="J144" s="67">
        <f t="shared" si="84"/>
        <v>9782.9269512874162</v>
      </c>
      <c r="K144" s="63"/>
      <c r="L144" s="149">
        <v>9747</v>
      </c>
      <c r="M144" s="63">
        <f t="shared" si="85"/>
        <v>9747</v>
      </c>
      <c r="N144" s="63">
        <f t="shared" si="86"/>
        <v>8577.36</v>
      </c>
      <c r="O144" s="69"/>
      <c r="P144" s="149">
        <v>0</v>
      </c>
      <c r="Q144" s="63">
        <f t="shared" si="95"/>
        <v>0</v>
      </c>
      <c r="R144" s="64">
        <f t="shared" si="87"/>
        <v>0</v>
      </c>
      <c r="S144" s="148">
        <v>15</v>
      </c>
      <c r="T144" s="151" t="s">
        <v>15</v>
      </c>
      <c r="U144" s="65">
        <f>SUMIF('Avoided Costs 2012-2020_EGD'!$A:$A,'2012 Actuals_Auditor'!T144&amp;'2012 Actuals_Auditor'!S144,'Avoided Costs 2012-2020_EGD'!$E:$E)*J144</f>
        <v>23771.57212099585</v>
      </c>
      <c r="V144" s="65">
        <f>SUMIF('Avoided Costs 2012-2020_EGD'!$A:$A,'2012 Actuals_Auditor'!T144&amp;'2012 Actuals_Auditor'!S144,'Avoided Costs 2012-2020_EGD'!$K:$K)*N144</f>
        <v>8832.8231659231096</v>
      </c>
      <c r="W144" s="65">
        <f>SUMIF('Avoided Costs 2012-2020_EGD'!$A:$A,'2012 Actuals_Auditor'!T144&amp;'2012 Actuals_Auditor'!S144,'Avoided Costs 2012-2020_EGD'!$M:$M)*R144</f>
        <v>0</v>
      </c>
      <c r="X144" s="65">
        <f t="shared" si="88"/>
        <v>32604.39528691896</v>
      </c>
      <c r="Y144" s="146">
        <v>6100</v>
      </c>
      <c r="Z144" s="66">
        <f t="shared" si="89"/>
        <v>5368</v>
      </c>
      <c r="AA144" s="66"/>
      <c r="AB144" s="66"/>
      <c r="AC144" s="66"/>
      <c r="AD144" s="66">
        <f t="shared" si="90"/>
        <v>5368</v>
      </c>
      <c r="AE144" s="66">
        <f t="shared" si="91"/>
        <v>27236.39528691896</v>
      </c>
      <c r="AF144" s="101">
        <f t="shared" si="92"/>
        <v>146743.90426931123</v>
      </c>
      <c r="AG144" s="101">
        <f t="shared" si="93"/>
        <v>166754.43666967185</v>
      </c>
    </row>
    <row r="145" spans="1:33" s="68" customFormat="1" x14ac:dyDescent="0.2">
      <c r="A145" s="147" t="s">
        <v>819</v>
      </c>
      <c r="B145" s="147"/>
      <c r="C145" s="147"/>
      <c r="D145" s="148">
        <v>1</v>
      </c>
      <c r="E145" s="149"/>
      <c r="F145" s="150">
        <v>0.12</v>
      </c>
      <c r="G145" s="150"/>
      <c r="H145" s="67">
        <v>9794</v>
      </c>
      <c r="I145" s="67">
        <f t="shared" si="94"/>
        <v>9361.9544439252859</v>
      </c>
      <c r="J145" s="67">
        <f t="shared" si="84"/>
        <v>8238.5199106542514</v>
      </c>
      <c r="K145" s="63"/>
      <c r="L145" s="149">
        <v>7596</v>
      </c>
      <c r="M145" s="63">
        <f t="shared" si="85"/>
        <v>7596</v>
      </c>
      <c r="N145" s="63">
        <f t="shared" si="86"/>
        <v>6684.4800000000005</v>
      </c>
      <c r="O145" s="69"/>
      <c r="P145" s="149">
        <v>0</v>
      </c>
      <c r="Q145" s="63">
        <f t="shared" si="95"/>
        <v>0</v>
      </c>
      <c r="R145" s="64">
        <f t="shared" si="87"/>
        <v>0</v>
      </c>
      <c r="S145" s="148">
        <v>15</v>
      </c>
      <c r="T145" s="151" t="s">
        <v>15</v>
      </c>
      <c r="U145" s="65">
        <f>SUMIF('Avoided Costs 2012-2020_EGD'!$A:$A,'2012 Actuals_Auditor'!T145&amp;'2012 Actuals_Auditor'!S145,'Avoided Costs 2012-2020_EGD'!$E:$E)*J145</f>
        <v>20018.811466296931</v>
      </c>
      <c r="V145" s="65">
        <f>SUMIF('Avoided Costs 2012-2020_EGD'!$A:$A,'2012 Actuals_Auditor'!T145&amp;'2012 Actuals_Auditor'!S145,'Avoided Costs 2012-2020_EGD'!$K:$K)*N145</f>
        <v>6883.5667147175473</v>
      </c>
      <c r="W145" s="65">
        <f>SUMIF('Avoided Costs 2012-2020_EGD'!$A:$A,'2012 Actuals_Auditor'!T145&amp;'2012 Actuals_Auditor'!S145,'Avoided Costs 2012-2020_EGD'!$M:$M)*R145</f>
        <v>0</v>
      </c>
      <c r="X145" s="65">
        <f t="shared" si="88"/>
        <v>26902.378181014479</v>
      </c>
      <c r="Y145" s="146">
        <v>6100</v>
      </c>
      <c r="Z145" s="66">
        <f t="shared" si="89"/>
        <v>5368</v>
      </c>
      <c r="AA145" s="66"/>
      <c r="AB145" s="66"/>
      <c r="AC145" s="66"/>
      <c r="AD145" s="66">
        <f t="shared" si="90"/>
        <v>5368</v>
      </c>
      <c r="AE145" s="66">
        <f t="shared" si="91"/>
        <v>21534.378181014479</v>
      </c>
      <c r="AF145" s="101">
        <f t="shared" si="92"/>
        <v>123577.79865981376</v>
      </c>
      <c r="AG145" s="101">
        <f t="shared" si="93"/>
        <v>140429.31665887928</v>
      </c>
    </row>
    <row r="146" spans="1:33" s="68" customFormat="1" x14ac:dyDescent="0.2">
      <c r="A146" s="147" t="s">
        <v>820</v>
      </c>
      <c r="B146" s="147"/>
      <c r="C146" s="147"/>
      <c r="D146" s="148">
        <v>1</v>
      </c>
      <c r="E146" s="149"/>
      <c r="F146" s="150">
        <v>0.12</v>
      </c>
      <c r="G146" s="150"/>
      <c r="H146" s="67">
        <v>11836</v>
      </c>
      <c r="I146" s="67">
        <f t="shared" si="94"/>
        <v>11313.875107034888</v>
      </c>
      <c r="J146" s="67">
        <f t="shared" si="84"/>
        <v>9956.2100941907011</v>
      </c>
      <c r="K146" s="63"/>
      <c r="L146" s="149">
        <v>9624</v>
      </c>
      <c r="M146" s="63">
        <f t="shared" si="85"/>
        <v>9624</v>
      </c>
      <c r="N146" s="63">
        <f t="shared" si="86"/>
        <v>8469.1200000000008</v>
      </c>
      <c r="O146" s="69"/>
      <c r="P146" s="149">
        <v>0</v>
      </c>
      <c r="Q146" s="63">
        <f t="shared" si="95"/>
        <v>0</v>
      </c>
      <c r="R146" s="64">
        <f t="shared" si="87"/>
        <v>0</v>
      </c>
      <c r="S146" s="148">
        <v>15</v>
      </c>
      <c r="T146" s="151" t="s">
        <v>15</v>
      </c>
      <c r="U146" s="65">
        <f>SUMIF('Avoided Costs 2012-2020_EGD'!$A:$A,'2012 Actuals_Auditor'!T146&amp;'2012 Actuals_Auditor'!S146,'Avoided Costs 2012-2020_EGD'!$E:$E)*J146</f>
        <v>24192.633501642893</v>
      </c>
      <c r="V146" s="65">
        <f>SUMIF('Avoided Costs 2012-2020_EGD'!$A:$A,'2012 Actuals_Auditor'!T146&amp;'2012 Actuals_Auditor'!S146,'Avoided Costs 2012-2020_EGD'!$K:$K)*N146</f>
        <v>8721.3594079043814</v>
      </c>
      <c r="W146" s="65">
        <f>SUMIF('Avoided Costs 2012-2020_EGD'!$A:$A,'2012 Actuals_Auditor'!T146&amp;'2012 Actuals_Auditor'!S146,'Avoided Costs 2012-2020_EGD'!$M:$M)*R146</f>
        <v>0</v>
      </c>
      <c r="X146" s="65">
        <f t="shared" si="88"/>
        <v>32913.992909547276</v>
      </c>
      <c r="Y146" s="146">
        <v>6100</v>
      </c>
      <c r="Z146" s="66">
        <f t="shared" si="89"/>
        <v>5368</v>
      </c>
      <c r="AA146" s="66"/>
      <c r="AB146" s="66"/>
      <c r="AC146" s="66"/>
      <c r="AD146" s="66">
        <f t="shared" si="90"/>
        <v>5368</v>
      </c>
      <c r="AE146" s="66">
        <f t="shared" si="91"/>
        <v>27545.992909547276</v>
      </c>
      <c r="AF146" s="101">
        <f t="shared" si="92"/>
        <v>149343.15141286052</v>
      </c>
      <c r="AG146" s="101">
        <f t="shared" si="93"/>
        <v>169708.12660552331</v>
      </c>
    </row>
    <row r="147" spans="1:33" s="68" customFormat="1" x14ac:dyDescent="0.2">
      <c r="A147" s="147" t="s">
        <v>821</v>
      </c>
      <c r="B147" s="147"/>
      <c r="C147" s="147"/>
      <c r="D147" s="148">
        <v>1</v>
      </c>
      <c r="E147" s="149"/>
      <c r="F147" s="150">
        <v>0.12</v>
      </c>
      <c r="G147" s="150"/>
      <c r="H147" s="67">
        <v>9418</v>
      </c>
      <c r="I147" s="67">
        <f t="shared" si="94"/>
        <v>9002.5410407278268</v>
      </c>
      <c r="J147" s="67">
        <f t="shared" si="84"/>
        <v>7922.2361158404874</v>
      </c>
      <c r="K147" s="63"/>
      <c r="L147" s="149">
        <v>6624</v>
      </c>
      <c r="M147" s="63">
        <f t="shared" si="85"/>
        <v>6624</v>
      </c>
      <c r="N147" s="63">
        <f t="shared" si="86"/>
        <v>5829.12</v>
      </c>
      <c r="O147" s="69"/>
      <c r="P147" s="149">
        <v>0</v>
      </c>
      <c r="Q147" s="63">
        <f t="shared" si="95"/>
        <v>0</v>
      </c>
      <c r="R147" s="64">
        <f t="shared" si="87"/>
        <v>0</v>
      </c>
      <c r="S147" s="148">
        <v>15</v>
      </c>
      <c r="T147" s="151" t="s">
        <v>15</v>
      </c>
      <c r="U147" s="65">
        <f>SUMIF('Avoided Costs 2012-2020_EGD'!$A:$A,'2012 Actuals_Auditor'!T147&amp;'2012 Actuals_Auditor'!S147,'Avoided Costs 2012-2020_EGD'!$E:$E)*J147</f>
        <v>19250.272247251836</v>
      </c>
      <c r="V147" s="65">
        <f>SUMIF('Avoided Costs 2012-2020_EGD'!$A:$A,'2012 Actuals_Auditor'!T147&amp;'2012 Actuals_Auditor'!S147,'Avoided Costs 2012-2020_EGD'!$K:$K)*N147</f>
        <v>6002.7311635451597</v>
      </c>
      <c r="W147" s="65">
        <f>SUMIF('Avoided Costs 2012-2020_EGD'!$A:$A,'2012 Actuals_Auditor'!T147&amp;'2012 Actuals_Auditor'!S147,'Avoided Costs 2012-2020_EGD'!$M:$M)*R147</f>
        <v>0</v>
      </c>
      <c r="X147" s="65">
        <f t="shared" si="88"/>
        <v>25253.003410796995</v>
      </c>
      <c r="Y147" s="146">
        <v>6100</v>
      </c>
      <c r="Z147" s="66">
        <f t="shared" si="89"/>
        <v>5368</v>
      </c>
      <c r="AA147" s="66"/>
      <c r="AB147" s="66"/>
      <c r="AC147" s="66"/>
      <c r="AD147" s="66">
        <f t="shared" si="90"/>
        <v>5368</v>
      </c>
      <c r="AE147" s="66">
        <f t="shared" si="91"/>
        <v>19885.003410796995</v>
      </c>
      <c r="AF147" s="101">
        <f t="shared" si="92"/>
        <v>118833.54173760732</v>
      </c>
      <c r="AG147" s="101">
        <f t="shared" si="93"/>
        <v>135038.11561091739</v>
      </c>
    </row>
    <row r="148" spans="1:33" s="68" customFormat="1" x14ac:dyDescent="0.2">
      <c r="A148" s="147" t="s">
        <v>822</v>
      </c>
      <c r="B148" s="147"/>
      <c r="C148" s="147"/>
      <c r="D148" s="148">
        <v>1</v>
      </c>
      <c r="E148" s="149"/>
      <c r="F148" s="150">
        <v>0.12</v>
      </c>
      <c r="G148" s="150"/>
      <c r="H148" s="67">
        <v>8013</v>
      </c>
      <c r="I148" s="67">
        <f t="shared" si="94"/>
        <v>7659.5202122905166</v>
      </c>
      <c r="J148" s="67">
        <f t="shared" si="84"/>
        <v>6740.3777868156549</v>
      </c>
      <c r="K148" s="63"/>
      <c r="L148" s="149">
        <v>5392</v>
      </c>
      <c r="M148" s="63">
        <f t="shared" si="85"/>
        <v>5392</v>
      </c>
      <c r="N148" s="63">
        <f t="shared" si="86"/>
        <v>4744.96</v>
      </c>
      <c r="O148" s="69"/>
      <c r="P148" s="149">
        <v>0</v>
      </c>
      <c r="Q148" s="63">
        <f t="shared" si="95"/>
        <v>0</v>
      </c>
      <c r="R148" s="64">
        <f t="shared" si="87"/>
        <v>0</v>
      </c>
      <c r="S148" s="148">
        <v>15</v>
      </c>
      <c r="T148" s="151" t="s">
        <v>15</v>
      </c>
      <c r="U148" s="65">
        <f>SUMIF('Avoided Costs 2012-2020_EGD'!$A:$A,'2012 Actuals_Auditor'!T148&amp;'2012 Actuals_Auditor'!S148,'Avoided Costs 2012-2020_EGD'!$E:$E)*J148</f>
        <v>16378.470112256211</v>
      </c>
      <c r="V148" s="65">
        <f>SUMIF('Avoided Costs 2012-2020_EGD'!$A:$A,'2012 Actuals_Auditor'!T148&amp;'2012 Actuals_Auditor'!S148,'Avoided Costs 2012-2020_EGD'!$K:$K)*N148</f>
        <v>4886.2811645283064</v>
      </c>
      <c r="W148" s="65">
        <f>SUMIF('Avoided Costs 2012-2020_EGD'!$A:$A,'2012 Actuals_Auditor'!T148&amp;'2012 Actuals_Auditor'!S148,'Avoided Costs 2012-2020_EGD'!$M:$M)*R148</f>
        <v>0</v>
      </c>
      <c r="X148" s="65">
        <f t="shared" si="88"/>
        <v>21264.751276784518</v>
      </c>
      <c r="Y148" s="146">
        <v>6100</v>
      </c>
      <c r="Z148" s="66">
        <f t="shared" si="89"/>
        <v>5368</v>
      </c>
      <c r="AA148" s="66"/>
      <c r="AB148" s="66"/>
      <c r="AC148" s="66"/>
      <c r="AD148" s="66">
        <f t="shared" si="90"/>
        <v>5368</v>
      </c>
      <c r="AE148" s="66">
        <f t="shared" si="91"/>
        <v>15896.751276784518</v>
      </c>
      <c r="AF148" s="101">
        <f t="shared" si="92"/>
        <v>101105.66680223482</v>
      </c>
      <c r="AG148" s="101">
        <f t="shared" si="93"/>
        <v>114892.80318435775</v>
      </c>
    </row>
    <row r="149" spans="1:33" s="68" customFormat="1" x14ac:dyDescent="0.2">
      <c r="A149" s="147" t="s">
        <v>823</v>
      </c>
      <c r="B149" s="147"/>
      <c r="C149" s="147"/>
      <c r="D149" s="148">
        <v>1</v>
      </c>
      <c r="E149" s="149"/>
      <c r="F149" s="150">
        <v>0.12</v>
      </c>
      <c r="G149" s="150"/>
      <c r="H149" s="67">
        <v>8131</v>
      </c>
      <c r="I149" s="67">
        <f t="shared" si="94"/>
        <v>7772.3148441450376</v>
      </c>
      <c r="J149" s="67">
        <f t="shared" si="84"/>
        <v>6839.6370628476334</v>
      </c>
      <c r="K149" s="63"/>
      <c r="L149" s="149">
        <v>7040</v>
      </c>
      <c r="M149" s="63">
        <f t="shared" si="85"/>
        <v>7040</v>
      </c>
      <c r="N149" s="63">
        <f t="shared" si="86"/>
        <v>6195.2</v>
      </c>
      <c r="O149" s="69"/>
      <c r="P149" s="149">
        <v>0</v>
      </c>
      <c r="Q149" s="63">
        <f t="shared" si="95"/>
        <v>0</v>
      </c>
      <c r="R149" s="64">
        <f t="shared" si="87"/>
        <v>0</v>
      </c>
      <c r="S149" s="148">
        <v>15</v>
      </c>
      <c r="T149" s="151" t="s">
        <v>15</v>
      </c>
      <c r="U149" s="65">
        <f>SUMIF('Avoided Costs 2012-2020_EGD'!$A:$A,'2012 Actuals_Auditor'!T149&amp;'2012 Actuals_Auditor'!S149,'Avoided Costs 2012-2020_EGD'!$E:$E)*J149</f>
        <v>16619.660611850148</v>
      </c>
      <c r="V149" s="65">
        <f>SUMIF('Avoided Costs 2012-2020_EGD'!$A:$A,'2012 Actuals_Auditor'!T149&amp;'2012 Actuals_Auditor'!S149,'Avoided Costs 2012-2020_EGD'!$K:$K)*N149</f>
        <v>6379.7142800963047</v>
      </c>
      <c r="W149" s="65">
        <f>SUMIF('Avoided Costs 2012-2020_EGD'!$A:$A,'2012 Actuals_Auditor'!T149&amp;'2012 Actuals_Auditor'!S149,'Avoided Costs 2012-2020_EGD'!$M:$M)*R149</f>
        <v>0</v>
      </c>
      <c r="X149" s="65">
        <f t="shared" si="88"/>
        <v>22999.374891946452</v>
      </c>
      <c r="Y149" s="146">
        <v>6100</v>
      </c>
      <c r="Z149" s="66">
        <f t="shared" si="89"/>
        <v>5368</v>
      </c>
      <c r="AA149" s="66"/>
      <c r="AB149" s="66"/>
      <c r="AC149" s="66"/>
      <c r="AD149" s="66">
        <f t="shared" si="90"/>
        <v>5368</v>
      </c>
      <c r="AE149" s="66">
        <f t="shared" si="91"/>
        <v>17631.374891946452</v>
      </c>
      <c r="AF149" s="101">
        <f t="shared" si="92"/>
        <v>102594.55594271451</v>
      </c>
      <c r="AG149" s="101">
        <f t="shared" si="93"/>
        <v>116584.72266217557</v>
      </c>
    </row>
    <row r="150" spans="1:33" s="68" customFormat="1" x14ac:dyDescent="0.2">
      <c r="A150" s="147" t="s">
        <v>824</v>
      </c>
      <c r="B150" s="147"/>
      <c r="C150" s="147"/>
      <c r="D150" s="148">
        <v>1</v>
      </c>
      <c r="E150" s="149"/>
      <c r="F150" s="150">
        <v>0.12</v>
      </c>
      <c r="G150" s="150"/>
      <c r="H150" s="67">
        <v>10054</v>
      </c>
      <c r="I150" s="67">
        <f t="shared" si="94"/>
        <v>9610.4849886894863</v>
      </c>
      <c r="J150" s="67">
        <f t="shared" si="84"/>
        <v>8457.2267900467486</v>
      </c>
      <c r="K150" s="63"/>
      <c r="L150" s="149">
        <v>7431</v>
      </c>
      <c r="M150" s="63">
        <f t="shared" si="85"/>
        <v>7431</v>
      </c>
      <c r="N150" s="63">
        <f t="shared" si="86"/>
        <v>6539.28</v>
      </c>
      <c r="O150" s="69"/>
      <c r="P150" s="149">
        <v>0</v>
      </c>
      <c r="Q150" s="63">
        <f t="shared" si="95"/>
        <v>0</v>
      </c>
      <c r="R150" s="64">
        <f t="shared" si="87"/>
        <v>0</v>
      </c>
      <c r="S150" s="148">
        <v>15</v>
      </c>
      <c r="T150" s="151" t="s">
        <v>15</v>
      </c>
      <c r="U150" s="65">
        <f>SUMIF('Avoided Costs 2012-2020_EGD'!$A:$A,'2012 Actuals_Auditor'!T150&amp;'2012 Actuals_Auditor'!S150,'Avoided Costs 2012-2020_EGD'!$E:$E)*J150</f>
        <v>20550.248160317478</v>
      </c>
      <c r="V150" s="65">
        <f>SUMIF('Avoided Costs 2012-2020_EGD'!$A:$A,'2012 Actuals_Auditor'!T150&amp;'2012 Actuals_Auditor'!S150,'Avoided Costs 2012-2020_EGD'!$K:$K)*N150</f>
        <v>6734.04216127779</v>
      </c>
      <c r="W150" s="65">
        <f>SUMIF('Avoided Costs 2012-2020_EGD'!$A:$A,'2012 Actuals_Auditor'!T150&amp;'2012 Actuals_Auditor'!S150,'Avoided Costs 2012-2020_EGD'!$M:$M)*R150</f>
        <v>0</v>
      </c>
      <c r="X150" s="65">
        <f t="shared" si="88"/>
        <v>27284.290321595268</v>
      </c>
      <c r="Y150" s="146">
        <v>6100</v>
      </c>
      <c r="Z150" s="66">
        <f t="shared" si="89"/>
        <v>5368</v>
      </c>
      <c r="AA150" s="66"/>
      <c r="AB150" s="66"/>
      <c r="AC150" s="66"/>
      <c r="AD150" s="66">
        <f t="shared" si="90"/>
        <v>5368</v>
      </c>
      <c r="AE150" s="66">
        <f t="shared" si="91"/>
        <v>21916.290321595268</v>
      </c>
      <c r="AF150" s="101">
        <f t="shared" si="92"/>
        <v>126858.40185070122</v>
      </c>
      <c r="AG150" s="101">
        <f t="shared" si="93"/>
        <v>144157.2748303423</v>
      </c>
    </row>
    <row r="151" spans="1:33" s="68" customFormat="1" x14ac:dyDescent="0.2">
      <c r="A151" s="147" t="s">
        <v>825</v>
      </c>
      <c r="B151" s="147"/>
      <c r="C151" s="147"/>
      <c r="D151" s="148">
        <v>1</v>
      </c>
      <c r="E151" s="149"/>
      <c r="F151" s="150">
        <v>0.12</v>
      </c>
      <c r="G151" s="150"/>
      <c r="H151" s="67">
        <v>10199</v>
      </c>
      <c r="I151" s="67">
        <f t="shared" si="94"/>
        <v>9749.0885617310596</v>
      </c>
      <c r="J151" s="67">
        <f t="shared" si="84"/>
        <v>8579.1979343233324</v>
      </c>
      <c r="K151" s="63"/>
      <c r="L151" s="149">
        <v>7532</v>
      </c>
      <c r="M151" s="63">
        <f t="shared" si="85"/>
        <v>7532</v>
      </c>
      <c r="N151" s="63">
        <f t="shared" si="86"/>
        <v>6628.16</v>
      </c>
      <c r="O151" s="69"/>
      <c r="P151" s="149">
        <v>0</v>
      </c>
      <c r="Q151" s="63">
        <f t="shared" si="95"/>
        <v>0</v>
      </c>
      <c r="R151" s="64">
        <f t="shared" si="87"/>
        <v>0</v>
      </c>
      <c r="S151" s="148">
        <v>15</v>
      </c>
      <c r="T151" s="151" t="s">
        <v>15</v>
      </c>
      <c r="U151" s="65">
        <f>SUMIF('Avoided Costs 2012-2020_EGD'!$A:$A,'2012 Actuals_Auditor'!T151&amp;'2012 Actuals_Auditor'!S151,'Avoided Costs 2012-2020_EGD'!$E:$E)*J151</f>
        <v>20846.626316598165</v>
      </c>
      <c r="V151" s="65">
        <f>SUMIF('Avoided Costs 2012-2020_EGD'!$A:$A,'2012 Actuals_Auditor'!T151&amp;'2012 Actuals_Auditor'!S151,'Avoided Costs 2012-2020_EGD'!$K:$K)*N151</f>
        <v>6825.5693121712166</v>
      </c>
      <c r="W151" s="65">
        <f>SUMIF('Avoided Costs 2012-2020_EGD'!$A:$A,'2012 Actuals_Auditor'!T151&amp;'2012 Actuals_Auditor'!S151,'Avoided Costs 2012-2020_EGD'!$M:$M)*R151</f>
        <v>0</v>
      </c>
      <c r="X151" s="65">
        <f t="shared" si="88"/>
        <v>27672.195628769383</v>
      </c>
      <c r="Y151" s="146">
        <v>6100</v>
      </c>
      <c r="Z151" s="66">
        <f t="shared" si="89"/>
        <v>5368</v>
      </c>
      <c r="AA151" s="66"/>
      <c r="AB151" s="66"/>
      <c r="AC151" s="66"/>
      <c r="AD151" s="66">
        <f t="shared" si="90"/>
        <v>5368</v>
      </c>
      <c r="AE151" s="66">
        <f t="shared" si="91"/>
        <v>22304.195628769383</v>
      </c>
      <c r="AF151" s="101">
        <f t="shared" si="92"/>
        <v>128687.96901484998</v>
      </c>
      <c r="AG151" s="101">
        <f t="shared" si="93"/>
        <v>146236.32842596588</v>
      </c>
    </row>
    <row r="152" spans="1:33" s="68" customFormat="1" x14ac:dyDescent="0.2">
      <c r="A152" s="147" t="s">
        <v>826</v>
      </c>
      <c r="B152" s="147"/>
      <c r="C152" s="147"/>
      <c r="D152" s="148">
        <v>1</v>
      </c>
      <c r="E152" s="149"/>
      <c r="F152" s="150">
        <v>0.12</v>
      </c>
      <c r="G152" s="150"/>
      <c r="H152" s="67">
        <v>10691</v>
      </c>
      <c r="I152" s="67">
        <f t="shared" si="94"/>
        <v>10219.384823361775</v>
      </c>
      <c r="J152" s="67">
        <f t="shared" si="84"/>
        <v>8993.0586445583631</v>
      </c>
      <c r="K152" s="63"/>
      <c r="L152" s="149">
        <v>7888</v>
      </c>
      <c r="M152" s="63">
        <f t="shared" si="85"/>
        <v>7888</v>
      </c>
      <c r="N152" s="63">
        <f t="shared" si="86"/>
        <v>6941.44</v>
      </c>
      <c r="O152" s="69"/>
      <c r="P152" s="149">
        <v>0</v>
      </c>
      <c r="Q152" s="63">
        <f t="shared" si="95"/>
        <v>0</v>
      </c>
      <c r="R152" s="64">
        <f t="shared" si="87"/>
        <v>0</v>
      </c>
      <c r="S152" s="148">
        <v>15</v>
      </c>
      <c r="T152" s="151" t="s">
        <v>15</v>
      </c>
      <c r="U152" s="65">
        <f>SUMIF('Avoided Costs 2012-2020_EGD'!$A:$A,'2012 Actuals_Auditor'!T152&amp;'2012 Actuals_Auditor'!S152,'Avoided Costs 2012-2020_EGD'!$E:$E)*J152</f>
        <v>21852.268060667808</v>
      </c>
      <c r="V152" s="65">
        <f>SUMIF('Avoided Costs 2012-2020_EGD'!$A:$A,'2012 Actuals_Auditor'!T152&amp;'2012 Actuals_Auditor'!S152,'Avoided Costs 2012-2020_EGD'!$K:$K)*N152</f>
        <v>7148.1798638351775</v>
      </c>
      <c r="W152" s="65">
        <f>SUMIF('Avoided Costs 2012-2020_EGD'!$A:$A,'2012 Actuals_Auditor'!T152&amp;'2012 Actuals_Auditor'!S152,'Avoided Costs 2012-2020_EGD'!$M:$M)*R152</f>
        <v>0</v>
      </c>
      <c r="X152" s="65">
        <f t="shared" si="88"/>
        <v>29000.447924502987</v>
      </c>
      <c r="Y152" s="146">
        <v>6100</v>
      </c>
      <c r="Z152" s="66">
        <f t="shared" si="89"/>
        <v>5368</v>
      </c>
      <c r="AA152" s="66"/>
      <c r="AB152" s="66"/>
      <c r="AC152" s="66"/>
      <c r="AD152" s="66">
        <f t="shared" si="90"/>
        <v>5368</v>
      </c>
      <c r="AE152" s="66">
        <f t="shared" si="91"/>
        <v>23632.447924502987</v>
      </c>
      <c r="AF152" s="101">
        <f t="shared" si="92"/>
        <v>134895.87966837545</v>
      </c>
      <c r="AG152" s="101">
        <f t="shared" si="93"/>
        <v>153290.77235042665</v>
      </c>
    </row>
    <row r="153" spans="1:33" s="68" customFormat="1" x14ac:dyDescent="0.2">
      <c r="A153" s="147" t="s">
        <v>827</v>
      </c>
      <c r="B153" s="147"/>
      <c r="C153" s="147"/>
      <c r="D153" s="148">
        <v>1</v>
      </c>
      <c r="E153" s="149"/>
      <c r="F153" s="150">
        <v>0.12</v>
      </c>
      <c r="G153" s="150"/>
      <c r="H153" s="67">
        <v>10460</v>
      </c>
      <c r="I153" s="67">
        <f t="shared" si="94"/>
        <v>9998.5749932058898</v>
      </c>
      <c r="J153" s="67">
        <f t="shared" si="84"/>
        <v>8798.7459940211829</v>
      </c>
      <c r="K153" s="63"/>
      <c r="L153" s="149">
        <v>8767</v>
      </c>
      <c r="M153" s="63">
        <f t="shared" si="85"/>
        <v>8767</v>
      </c>
      <c r="N153" s="63">
        <f t="shared" si="86"/>
        <v>7714.96</v>
      </c>
      <c r="O153" s="69"/>
      <c r="P153" s="149">
        <v>0</v>
      </c>
      <c r="Q153" s="63">
        <f t="shared" si="95"/>
        <v>0</v>
      </c>
      <c r="R153" s="64">
        <f t="shared" si="87"/>
        <v>0</v>
      </c>
      <c r="S153" s="148">
        <v>15</v>
      </c>
      <c r="T153" s="151" t="s">
        <v>15</v>
      </c>
      <c r="U153" s="65">
        <f>SUMIF('Avoided Costs 2012-2020_EGD'!$A:$A,'2012 Actuals_Auditor'!T153&amp;'2012 Actuals_Auditor'!S153,'Avoided Costs 2012-2020_EGD'!$E:$E)*J153</f>
        <v>21380.1069979034</v>
      </c>
      <c r="V153" s="65">
        <f>SUMIF('Avoided Costs 2012-2020_EGD'!$A:$A,'2012 Actuals_Auditor'!T153&amp;'2012 Actuals_Auditor'!S153,'Avoided Costs 2012-2020_EGD'!$K:$K)*N153</f>
        <v>7944.7379394324298</v>
      </c>
      <c r="W153" s="65">
        <f>SUMIF('Avoided Costs 2012-2020_EGD'!$A:$A,'2012 Actuals_Auditor'!T153&amp;'2012 Actuals_Auditor'!S153,'Avoided Costs 2012-2020_EGD'!$M:$M)*R153</f>
        <v>0</v>
      </c>
      <c r="X153" s="65">
        <f t="shared" ref="X153:X203" si="96">SUM(U153:W153)</f>
        <v>29324.844937335831</v>
      </c>
      <c r="Y153" s="146">
        <v>6100</v>
      </c>
      <c r="Z153" s="66">
        <f t="shared" si="89"/>
        <v>5368</v>
      </c>
      <c r="AA153" s="66"/>
      <c r="AB153" s="66"/>
      <c r="AC153" s="66"/>
      <c r="AD153" s="66">
        <f t="shared" si="90"/>
        <v>5368</v>
      </c>
      <c r="AE153" s="66">
        <f t="shared" si="91"/>
        <v>23956.844937335831</v>
      </c>
      <c r="AF153" s="101">
        <f t="shared" si="92"/>
        <v>131981.18991031774</v>
      </c>
      <c r="AG153" s="101">
        <f t="shared" si="93"/>
        <v>149978.62489808834</v>
      </c>
    </row>
    <row r="154" spans="1:33" s="68" customFormat="1" x14ac:dyDescent="0.2">
      <c r="A154" s="147" t="s">
        <v>828</v>
      </c>
      <c r="B154" s="147"/>
      <c r="C154" s="147"/>
      <c r="D154" s="148">
        <v>1</v>
      </c>
      <c r="E154" s="149"/>
      <c r="F154" s="150">
        <v>0.12</v>
      </c>
      <c r="G154" s="150"/>
      <c r="H154" s="67">
        <v>7190</v>
      </c>
      <c r="I154" s="67">
        <f t="shared" si="94"/>
        <v>6872.8254494407602</v>
      </c>
      <c r="J154" s="67">
        <f t="shared" si="84"/>
        <v>6048.0863955078694</v>
      </c>
      <c r="K154" s="63"/>
      <c r="L154" s="149">
        <v>1796</v>
      </c>
      <c r="M154" s="63">
        <f t="shared" si="85"/>
        <v>1796</v>
      </c>
      <c r="N154" s="63">
        <f t="shared" si="86"/>
        <v>1580.48</v>
      </c>
      <c r="O154" s="69"/>
      <c r="P154" s="149">
        <v>0</v>
      </c>
      <c r="Q154" s="63">
        <f t="shared" si="95"/>
        <v>0</v>
      </c>
      <c r="R154" s="64">
        <f t="shared" si="87"/>
        <v>0</v>
      </c>
      <c r="S154" s="148">
        <v>15</v>
      </c>
      <c r="T154" s="151" t="s">
        <v>15</v>
      </c>
      <c r="U154" s="65">
        <f>SUMIF('Avoided Costs 2012-2020_EGD'!$A:$A,'2012 Actuals_Auditor'!T154&amp;'2012 Actuals_Auditor'!S154,'Avoided Costs 2012-2020_EGD'!$E:$E)*J154</f>
        <v>14696.268576952722</v>
      </c>
      <c r="V154" s="65">
        <f>SUMIF('Avoided Costs 2012-2020_EGD'!$A:$A,'2012 Actuals_Auditor'!T154&amp;'2012 Actuals_Auditor'!S154,'Avoided Costs 2012-2020_EGD'!$K:$K)*N154</f>
        <v>1627.552108956387</v>
      </c>
      <c r="W154" s="65">
        <f>SUMIF('Avoided Costs 2012-2020_EGD'!$A:$A,'2012 Actuals_Auditor'!T154&amp;'2012 Actuals_Auditor'!S154,'Avoided Costs 2012-2020_EGD'!$M:$M)*R154</f>
        <v>0</v>
      </c>
      <c r="X154" s="65">
        <f t="shared" si="96"/>
        <v>16323.820685909108</v>
      </c>
      <c r="Y154" s="146">
        <v>6100</v>
      </c>
      <c r="Z154" s="66">
        <f t="shared" si="89"/>
        <v>5368</v>
      </c>
      <c r="AA154" s="66"/>
      <c r="AB154" s="66"/>
      <c r="AC154" s="66"/>
      <c r="AD154" s="66">
        <f t="shared" si="90"/>
        <v>5368</v>
      </c>
      <c r="AE154" s="66">
        <f t="shared" si="91"/>
        <v>10955.820685909108</v>
      </c>
      <c r="AF154" s="101">
        <f t="shared" si="92"/>
        <v>90721.295932618043</v>
      </c>
      <c r="AG154" s="101">
        <f t="shared" si="93"/>
        <v>103092.3817416114</v>
      </c>
    </row>
    <row r="155" spans="1:33" s="68" customFormat="1" x14ac:dyDescent="0.2">
      <c r="A155" s="147" t="s">
        <v>829</v>
      </c>
      <c r="B155" s="147"/>
      <c r="C155" s="147"/>
      <c r="D155" s="148">
        <v>1</v>
      </c>
      <c r="E155" s="149"/>
      <c r="F155" s="150">
        <v>0.12</v>
      </c>
      <c r="G155" s="150"/>
      <c r="H155" s="67">
        <v>9925</v>
      </c>
      <c r="I155" s="67">
        <f t="shared" si="94"/>
        <v>9487.1756030180168</v>
      </c>
      <c r="J155" s="67">
        <f t="shared" si="84"/>
        <v>8348.7145306558541</v>
      </c>
      <c r="K155" s="63"/>
      <c r="L155" s="149">
        <v>7331</v>
      </c>
      <c r="M155" s="63">
        <f t="shared" si="85"/>
        <v>7331</v>
      </c>
      <c r="N155" s="63">
        <f t="shared" si="86"/>
        <v>6451.28</v>
      </c>
      <c r="O155" s="69"/>
      <c r="P155" s="149">
        <v>0</v>
      </c>
      <c r="Q155" s="63">
        <f t="shared" si="95"/>
        <v>0</v>
      </c>
      <c r="R155" s="64">
        <f t="shared" si="87"/>
        <v>0</v>
      </c>
      <c r="S155" s="148">
        <v>15</v>
      </c>
      <c r="T155" s="151" t="s">
        <v>15</v>
      </c>
      <c r="U155" s="65">
        <f>SUMIF('Avoided Costs 2012-2020_EGD'!$A:$A,'2012 Actuals_Auditor'!T155&amp;'2012 Actuals_Auditor'!S155,'Avoided Costs 2012-2020_EGD'!$E:$E)*J155</f>
        <v>20286.573800591894</v>
      </c>
      <c r="V155" s="65">
        <f>SUMIF('Avoided Costs 2012-2020_EGD'!$A:$A,'2012 Actuals_Auditor'!T155&amp;'2012 Actuals_Auditor'!S155,'Avoided Costs 2012-2020_EGD'!$K:$K)*N155</f>
        <v>6643.4212197991492</v>
      </c>
      <c r="W155" s="65">
        <f>SUMIF('Avoided Costs 2012-2020_EGD'!$A:$A,'2012 Actuals_Auditor'!T155&amp;'2012 Actuals_Auditor'!S155,'Avoided Costs 2012-2020_EGD'!$M:$M)*R155</f>
        <v>0</v>
      </c>
      <c r="X155" s="65">
        <f t="shared" si="96"/>
        <v>26929.995020391041</v>
      </c>
      <c r="Y155" s="146">
        <v>6100</v>
      </c>
      <c r="Z155" s="66">
        <f t="shared" si="89"/>
        <v>5368</v>
      </c>
      <c r="AA155" s="66"/>
      <c r="AB155" s="66"/>
      <c r="AC155" s="66"/>
      <c r="AD155" s="66">
        <f t="shared" si="90"/>
        <v>5368</v>
      </c>
      <c r="AE155" s="66">
        <f t="shared" si="91"/>
        <v>21561.995020391041</v>
      </c>
      <c r="AF155" s="101">
        <f t="shared" si="92"/>
        <v>125230.71795983781</v>
      </c>
      <c r="AG155" s="101">
        <f t="shared" si="93"/>
        <v>142307.63404527024</v>
      </c>
    </row>
    <row r="156" spans="1:33" s="68" customFormat="1" x14ac:dyDescent="0.2">
      <c r="A156" s="147" t="s">
        <v>830</v>
      </c>
      <c r="B156" s="147"/>
      <c r="C156" s="147"/>
      <c r="D156" s="148">
        <v>1</v>
      </c>
      <c r="E156" s="149"/>
      <c r="F156" s="150">
        <v>0.12</v>
      </c>
      <c r="G156" s="150"/>
      <c r="H156" s="67">
        <v>9493</v>
      </c>
      <c r="I156" s="67">
        <f t="shared" si="94"/>
        <v>9074.2325440251934</v>
      </c>
      <c r="J156" s="67">
        <f t="shared" si="84"/>
        <v>7985.3246387421705</v>
      </c>
      <c r="K156" s="63"/>
      <c r="L156" s="149">
        <v>7210</v>
      </c>
      <c r="M156" s="63">
        <f t="shared" si="85"/>
        <v>7210</v>
      </c>
      <c r="N156" s="63">
        <f t="shared" si="86"/>
        <v>6344.8</v>
      </c>
      <c r="O156" s="69"/>
      <c r="P156" s="149">
        <v>0</v>
      </c>
      <c r="Q156" s="63">
        <f t="shared" si="95"/>
        <v>0</v>
      </c>
      <c r="R156" s="64">
        <f t="shared" si="87"/>
        <v>0</v>
      </c>
      <c r="S156" s="148">
        <v>15</v>
      </c>
      <c r="T156" s="151" t="s">
        <v>15</v>
      </c>
      <c r="U156" s="65">
        <f>SUMIF('Avoided Costs 2012-2020_EGD'!$A:$A,'2012 Actuals_Auditor'!T156&amp;'2012 Actuals_Auditor'!S156,'Avoided Costs 2012-2020_EGD'!$E:$E)*J156</f>
        <v>19403.57129360392</v>
      </c>
      <c r="V156" s="65">
        <f>SUMIF('Avoided Costs 2012-2020_EGD'!$A:$A,'2012 Actuals_Auditor'!T156&amp;'2012 Actuals_Auditor'!S156,'Avoided Costs 2012-2020_EGD'!$K:$K)*N156</f>
        <v>6533.7698806099943</v>
      </c>
      <c r="W156" s="65">
        <f>SUMIF('Avoided Costs 2012-2020_EGD'!$A:$A,'2012 Actuals_Auditor'!T156&amp;'2012 Actuals_Auditor'!S156,'Avoided Costs 2012-2020_EGD'!$M:$M)*R156</f>
        <v>0</v>
      </c>
      <c r="X156" s="65">
        <f t="shared" si="96"/>
        <v>25937.341174213914</v>
      </c>
      <c r="Y156" s="146">
        <v>6100</v>
      </c>
      <c r="Z156" s="66">
        <f t="shared" si="89"/>
        <v>5368</v>
      </c>
      <c r="AA156" s="66"/>
      <c r="AB156" s="66"/>
      <c r="AC156" s="66"/>
      <c r="AD156" s="66">
        <f t="shared" si="90"/>
        <v>5368</v>
      </c>
      <c r="AE156" s="66">
        <f t="shared" si="91"/>
        <v>20569.341174213914</v>
      </c>
      <c r="AF156" s="101">
        <f t="shared" si="92"/>
        <v>119779.86958113256</v>
      </c>
      <c r="AG156" s="101">
        <f t="shared" si="93"/>
        <v>136113.48816037789</v>
      </c>
    </row>
    <row r="157" spans="1:33" s="68" customFormat="1" x14ac:dyDescent="0.2">
      <c r="A157" s="147" t="s">
        <v>831</v>
      </c>
      <c r="B157" s="147"/>
      <c r="C157" s="147"/>
      <c r="D157" s="148">
        <v>1</v>
      </c>
      <c r="E157" s="149"/>
      <c r="F157" s="150">
        <v>0.12</v>
      </c>
      <c r="G157" s="150"/>
      <c r="H157" s="67">
        <v>5643</v>
      </c>
      <c r="I157" s="67">
        <f t="shared" si="94"/>
        <v>5394.0687080937705</v>
      </c>
      <c r="J157" s="67">
        <f t="shared" si="84"/>
        <v>4746.7804631225181</v>
      </c>
      <c r="K157" s="63"/>
      <c r="L157" s="149">
        <v>4129</v>
      </c>
      <c r="M157" s="63">
        <f t="shared" si="85"/>
        <v>4129</v>
      </c>
      <c r="N157" s="63">
        <f t="shared" si="86"/>
        <v>3633.52</v>
      </c>
      <c r="O157" s="69"/>
      <c r="P157" s="149">
        <v>0</v>
      </c>
      <c r="Q157" s="63">
        <f t="shared" si="95"/>
        <v>0</v>
      </c>
      <c r="R157" s="64">
        <f t="shared" si="87"/>
        <v>0</v>
      </c>
      <c r="S157" s="148">
        <v>15</v>
      </c>
      <c r="T157" s="151" t="s">
        <v>15</v>
      </c>
      <c r="U157" s="65">
        <f>SUMIF('Avoided Costs 2012-2020_EGD'!$A:$A,'2012 Actuals_Auditor'!T157&amp;'2012 Actuals_Auditor'!S157,'Avoided Costs 2012-2020_EGD'!$E:$E)*J157</f>
        <v>11534.220247530488</v>
      </c>
      <c r="V157" s="65">
        <f>SUMIF('Avoided Costs 2012-2020_EGD'!$A:$A,'2012 Actuals_Auditor'!T157&amp;'2012 Actuals_Auditor'!S157,'Avoided Costs 2012-2020_EGD'!$K:$K)*N157</f>
        <v>3741.7386736530743</v>
      </c>
      <c r="W157" s="65">
        <f>SUMIF('Avoided Costs 2012-2020_EGD'!$A:$A,'2012 Actuals_Auditor'!T157&amp;'2012 Actuals_Auditor'!S157,'Avoided Costs 2012-2020_EGD'!$M:$M)*R157</f>
        <v>0</v>
      </c>
      <c r="X157" s="65">
        <f t="shared" si="96"/>
        <v>15275.958921183563</v>
      </c>
      <c r="Y157" s="146">
        <v>6100</v>
      </c>
      <c r="Z157" s="66">
        <f t="shared" si="89"/>
        <v>5368</v>
      </c>
      <c r="AA157" s="66"/>
      <c r="AB157" s="66"/>
      <c r="AC157" s="66"/>
      <c r="AD157" s="66">
        <f t="shared" si="90"/>
        <v>5368</v>
      </c>
      <c r="AE157" s="66">
        <f t="shared" si="91"/>
        <v>9907.9589211835628</v>
      </c>
      <c r="AF157" s="101">
        <f t="shared" si="92"/>
        <v>71201.706946837774</v>
      </c>
      <c r="AG157" s="101">
        <f t="shared" si="93"/>
        <v>80911.030621406564</v>
      </c>
    </row>
    <row r="158" spans="1:33" s="68" customFormat="1" x14ac:dyDescent="0.2">
      <c r="A158" s="147" t="s">
        <v>832</v>
      </c>
      <c r="B158" s="147"/>
      <c r="C158" s="147"/>
      <c r="D158" s="148">
        <v>1</v>
      </c>
      <c r="E158" s="149"/>
      <c r="F158" s="150">
        <v>0.12</v>
      </c>
      <c r="G158" s="150"/>
      <c r="H158" s="67">
        <v>7594</v>
      </c>
      <c r="I158" s="67">
        <f t="shared" si="94"/>
        <v>7259.0036805359014</v>
      </c>
      <c r="J158" s="67">
        <f t="shared" si="84"/>
        <v>6387.9232388715936</v>
      </c>
      <c r="K158" s="63"/>
      <c r="L158" s="149">
        <v>6020</v>
      </c>
      <c r="M158" s="63">
        <f t="shared" si="85"/>
        <v>6020</v>
      </c>
      <c r="N158" s="63">
        <f t="shared" si="86"/>
        <v>5297.6</v>
      </c>
      <c r="O158" s="69"/>
      <c r="P158" s="149">
        <v>0</v>
      </c>
      <c r="Q158" s="63">
        <f t="shared" si="95"/>
        <v>0</v>
      </c>
      <c r="R158" s="64">
        <f t="shared" si="87"/>
        <v>0</v>
      </c>
      <c r="S158" s="148">
        <v>15</v>
      </c>
      <c r="T158" s="151" t="s">
        <v>15</v>
      </c>
      <c r="U158" s="65">
        <f>SUMIF('Avoided Costs 2012-2020_EGD'!$A:$A,'2012 Actuals_Auditor'!T158&amp;'2012 Actuals_Auditor'!S158,'Avoided Costs 2012-2020_EGD'!$E:$E)*J158</f>
        <v>15522.039439969258</v>
      </c>
      <c r="V158" s="65">
        <f>SUMIF('Avoided Costs 2012-2020_EGD'!$A:$A,'2012 Actuals_Auditor'!T158&amp;'2012 Actuals_Auditor'!S158,'Avoided Costs 2012-2020_EGD'!$K:$K)*N158</f>
        <v>5455.38067701417</v>
      </c>
      <c r="W158" s="65">
        <f>SUMIF('Avoided Costs 2012-2020_EGD'!$A:$A,'2012 Actuals_Auditor'!T158&amp;'2012 Actuals_Auditor'!S158,'Avoided Costs 2012-2020_EGD'!$M:$M)*R158</f>
        <v>0</v>
      </c>
      <c r="X158" s="65">
        <f t="shared" si="96"/>
        <v>20977.420116983427</v>
      </c>
      <c r="Y158" s="146">
        <v>6100</v>
      </c>
      <c r="Z158" s="66">
        <f t="shared" si="89"/>
        <v>5368</v>
      </c>
      <c r="AA158" s="66"/>
      <c r="AB158" s="66"/>
      <c r="AC158" s="66"/>
      <c r="AD158" s="66">
        <f t="shared" si="90"/>
        <v>5368</v>
      </c>
      <c r="AE158" s="66">
        <f t="shared" si="91"/>
        <v>15609.420116983427</v>
      </c>
      <c r="AF158" s="101">
        <f t="shared" si="92"/>
        <v>95818.848583073908</v>
      </c>
      <c r="AG158" s="101">
        <f t="shared" si="93"/>
        <v>108885.05520803852</v>
      </c>
    </row>
    <row r="159" spans="1:33" s="68" customFormat="1" x14ac:dyDescent="0.2">
      <c r="A159" s="147" t="s">
        <v>833</v>
      </c>
      <c r="B159" s="147"/>
      <c r="C159" s="147"/>
      <c r="D159" s="148">
        <v>1</v>
      </c>
      <c r="E159" s="149"/>
      <c r="F159" s="150">
        <v>0.12</v>
      </c>
      <c r="G159" s="150"/>
      <c r="H159" s="67">
        <v>9043</v>
      </c>
      <c r="I159" s="67">
        <f t="shared" si="94"/>
        <v>8644.0835242410012</v>
      </c>
      <c r="J159" s="67">
        <f t="shared" si="84"/>
        <v>7606.7935013320812</v>
      </c>
      <c r="K159" s="63"/>
      <c r="L159" s="149">
        <v>9744</v>
      </c>
      <c r="M159" s="63">
        <f t="shared" si="85"/>
        <v>9744</v>
      </c>
      <c r="N159" s="63">
        <f t="shared" si="86"/>
        <v>8574.7199999999993</v>
      </c>
      <c r="O159" s="69"/>
      <c r="P159" s="149">
        <v>0</v>
      </c>
      <c r="Q159" s="63">
        <f t="shared" si="95"/>
        <v>0</v>
      </c>
      <c r="R159" s="64">
        <f t="shared" si="87"/>
        <v>0</v>
      </c>
      <c r="S159" s="148">
        <v>15</v>
      </c>
      <c r="T159" s="151" t="s">
        <v>15</v>
      </c>
      <c r="U159" s="65">
        <f>SUMIF('Avoided Costs 2012-2020_EGD'!$A:$A,'2012 Actuals_Auditor'!T159&amp;'2012 Actuals_Auditor'!S159,'Avoided Costs 2012-2020_EGD'!$E:$E)*J159</f>
        <v>18483.77701549144</v>
      </c>
      <c r="V159" s="65">
        <f>SUMIF('Avoided Costs 2012-2020_EGD'!$A:$A,'2012 Actuals_Auditor'!T159&amp;'2012 Actuals_Auditor'!S159,'Avoided Costs 2012-2020_EGD'!$K:$K)*N159</f>
        <v>8830.1045376787479</v>
      </c>
      <c r="W159" s="65">
        <f>SUMIF('Avoided Costs 2012-2020_EGD'!$A:$A,'2012 Actuals_Auditor'!T159&amp;'2012 Actuals_Auditor'!S159,'Avoided Costs 2012-2020_EGD'!$M:$M)*R159</f>
        <v>0</v>
      </c>
      <c r="X159" s="65">
        <f t="shared" si="96"/>
        <v>27313.881553170188</v>
      </c>
      <c r="Y159" s="146">
        <v>6100</v>
      </c>
      <c r="Z159" s="66">
        <f t="shared" si="89"/>
        <v>5368</v>
      </c>
      <c r="AA159" s="66"/>
      <c r="AB159" s="66"/>
      <c r="AC159" s="66"/>
      <c r="AD159" s="66">
        <f t="shared" si="90"/>
        <v>5368</v>
      </c>
      <c r="AE159" s="66">
        <f t="shared" si="91"/>
        <v>21945.881553170188</v>
      </c>
      <c r="AF159" s="101">
        <f t="shared" si="92"/>
        <v>114101.90251998122</v>
      </c>
      <c r="AG159" s="101">
        <f t="shared" si="93"/>
        <v>129661.25286361502</v>
      </c>
    </row>
    <row r="160" spans="1:33" s="68" customFormat="1" x14ac:dyDescent="0.2">
      <c r="A160" s="147" t="s">
        <v>834</v>
      </c>
      <c r="B160" s="147"/>
      <c r="C160" s="147"/>
      <c r="D160" s="148">
        <v>1</v>
      </c>
      <c r="E160" s="149"/>
      <c r="F160" s="150">
        <v>0.12</v>
      </c>
      <c r="G160" s="150"/>
      <c r="H160" s="67">
        <v>6132</v>
      </c>
      <c r="I160" s="67">
        <f t="shared" si="94"/>
        <v>5861.4973095925925</v>
      </c>
      <c r="J160" s="67">
        <f t="shared" si="84"/>
        <v>5158.1176324414819</v>
      </c>
      <c r="K160" s="63"/>
      <c r="L160" s="149">
        <v>1392</v>
      </c>
      <c r="M160" s="63">
        <f t="shared" si="85"/>
        <v>1392</v>
      </c>
      <c r="N160" s="63">
        <f t="shared" si="86"/>
        <v>1224.96</v>
      </c>
      <c r="O160" s="69"/>
      <c r="P160" s="149">
        <v>0</v>
      </c>
      <c r="Q160" s="63">
        <f t="shared" si="95"/>
        <v>0</v>
      </c>
      <c r="R160" s="64">
        <f t="shared" si="87"/>
        <v>0</v>
      </c>
      <c r="S160" s="148">
        <v>15</v>
      </c>
      <c r="T160" s="151" t="s">
        <v>15</v>
      </c>
      <c r="U160" s="65">
        <f>SUMIF('Avoided Costs 2012-2020_EGD'!$A:$A,'2012 Actuals_Auditor'!T160&amp;'2012 Actuals_Auditor'!S160,'Avoided Costs 2012-2020_EGD'!$E:$E)*J160</f>
        <v>12533.730029746048</v>
      </c>
      <c r="V160" s="65">
        <f>SUMIF('Avoided Costs 2012-2020_EGD'!$A:$A,'2012 Actuals_Auditor'!T160&amp;'2012 Actuals_Auditor'!S160,'Avoided Costs 2012-2020_EGD'!$K:$K)*N160</f>
        <v>1261.4435053826785</v>
      </c>
      <c r="W160" s="65">
        <f>SUMIF('Avoided Costs 2012-2020_EGD'!$A:$A,'2012 Actuals_Auditor'!T160&amp;'2012 Actuals_Auditor'!S160,'Avoided Costs 2012-2020_EGD'!$M:$M)*R160</f>
        <v>0</v>
      </c>
      <c r="X160" s="65">
        <f t="shared" si="96"/>
        <v>13795.173535128726</v>
      </c>
      <c r="Y160" s="146">
        <v>6100</v>
      </c>
      <c r="Z160" s="66">
        <f t="shared" si="89"/>
        <v>5368</v>
      </c>
      <c r="AA160" s="66"/>
      <c r="AB160" s="66"/>
      <c r="AC160" s="66"/>
      <c r="AD160" s="66">
        <f t="shared" si="90"/>
        <v>5368</v>
      </c>
      <c r="AE160" s="66">
        <f t="shared" si="91"/>
        <v>8427.1735351287261</v>
      </c>
      <c r="AF160" s="101">
        <f t="shared" si="92"/>
        <v>77371.764486622225</v>
      </c>
      <c r="AG160" s="101">
        <f t="shared" si="93"/>
        <v>87922.459643888884</v>
      </c>
    </row>
    <row r="161" spans="1:33" s="68" customFormat="1" x14ac:dyDescent="0.2">
      <c r="A161" s="147" t="s">
        <v>835</v>
      </c>
      <c r="B161" s="147"/>
      <c r="C161" s="147"/>
      <c r="D161" s="148">
        <v>1</v>
      </c>
      <c r="E161" s="149"/>
      <c r="F161" s="150">
        <v>0.12</v>
      </c>
      <c r="G161" s="150"/>
      <c r="H161" s="67">
        <v>4497</v>
      </c>
      <c r="I161" s="67">
        <f t="shared" si="94"/>
        <v>4298.6225377100282</v>
      </c>
      <c r="J161" s="67">
        <f t="shared" si="84"/>
        <v>3782.7878331848246</v>
      </c>
      <c r="K161" s="63"/>
      <c r="L161" s="149">
        <v>1021</v>
      </c>
      <c r="M161" s="63">
        <f t="shared" si="85"/>
        <v>1021</v>
      </c>
      <c r="N161" s="63">
        <f t="shared" si="86"/>
        <v>898.48</v>
      </c>
      <c r="O161" s="69"/>
      <c r="P161" s="149">
        <v>0</v>
      </c>
      <c r="Q161" s="63">
        <f t="shared" si="95"/>
        <v>0</v>
      </c>
      <c r="R161" s="64">
        <f t="shared" si="87"/>
        <v>0</v>
      </c>
      <c r="S161" s="148">
        <v>15</v>
      </c>
      <c r="T161" s="151" t="s">
        <v>15</v>
      </c>
      <c r="U161" s="65">
        <f>SUMIF('Avoided Costs 2012-2020_EGD'!$A:$A,'2012 Actuals_Auditor'!T161&amp;'2012 Actuals_Auditor'!S161,'Avoided Costs 2012-2020_EGD'!$E:$E)*J161</f>
        <v>9191.8108192707077</v>
      </c>
      <c r="V161" s="65">
        <f>SUMIF('Avoided Costs 2012-2020_EGD'!$A:$A,'2012 Actuals_Auditor'!T161&amp;'2012 Actuals_Auditor'!S161,'Avoided Costs 2012-2020_EGD'!$K:$K)*N161</f>
        <v>925.23981249692145</v>
      </c>
      <c r="W161" s="65">
        <f>SUMIF('Avoided Costs 2012-2020_EGD'!$A:$A,'2012 Actuals_Auditor'!T161&amp;'2012 Actuals_Auditor'!S161,'Avoided Costs 2012-2020_EGD'!$M:$M)*R161</f>
        <v>0</v>
      </c>
      <c r="X161" s="65">
        <f t="shared" si="96"/>
        <v>10117.05063176763</v>
      </c>
      <c r="Y161" s="146">
        <v>6100</v>
      </c>
      <c r="Z161" s="66">
        <f t="shared" si="89"/>
        <v>5368</v>
      </c>
      <c r="AA161" s="66"/>
      <c r="AB161" s="66"/>
      <c r="AC161" s="66"/>
      <c r="AD161" s="66">
        <f t="shared" si="90"/>
        <v>5368</v>
      </c>
      <c r="AE161" s="66">
        <f t="shared" si="91"/>
        <v>4749.05063176763</v>
      </c>
      <c r="AF161" s="101">
        <f t="shared" si="92"/>
        <v>56741.817497772368</v>
      </c>
      <c r="AG161" s="101">
        <f t="shared" si="93"/>
        <v>64479.338065650423</v>
      </c>
    </row>
    <row r="162" spans="1:33" s="68" customFormat="1" x14ac:dyDescent="0.2">
      <c r="A162" s="147" t="s">
        <v>836</v>
      </c>
      <c r="B162" s="147"/>
      <c r="C162" s="147"/>
      <c r="D162" s="148">
        <v>1</v>
      </c>
      <c r="E162" s="149"/>
      <c r="F162" s="150">
        <v>0.12</v>
      </c>
      <c r="G162" s="150"/>
      <c r="H162" s="67">
        <v>4354</v>
      </c>
      <c r="I162" s="67">
        <f t="shared" si="94"/>
        <v>4161.930738089718</v>
      </c>
      <c r="J162" s="67">
        <f t="shared" si="84"/>
        <v>3662.4990495189518</v>
      </c>
      <c r="K162" s="63"/>
      <c r="L162" s="149">
        <v>988</v>
      </c>
      <c r="M162" s="63">
        <f t="shared" si="85"/>
        <v>988</v>
      </c>
      <c r="N162" s="63">
        <f t="shared" si="86"/>
        <v>869.44</v>
      </c>
      <c r="O162" s="69"/>
      <c r="P162" s="149">
        <v>0</v>
      </c>
      <c r="Q162" s="63">
        <f t="shared" si="95"/>
        <v>0</v>
      </c>
      <c r="R162" s="64">
        <f t="shared" si="87"/>
        <v>0</v>
      </c>
      <c r="S162" s="148">
        <v>15</v>
      </c>
      <c r="T162" s="151" t="s">
        <v>15</v>
      </c>
      <c r="U162" s="65">
        <f>SUMIF('Avoided Costs 2012-2020_EGD'!$A:$A,'2012 Actuals_Auditor'!T162&amp;'2012 Actuals_Auditor'!S162,'Avoided Costs 2012-2020_EGD'!$E:$E)*J162</f>
        <v>8899.520637559408</v>
      </c>
      <c r="V162" s="65">
        <f>SUMIF('Avoided Costs 2012-2020_EGD'!$A:$A,'2012 Actuals_Auditor'!T162&amp;'2012 Actuals_Auditor'!S162,'Avoided Costs 2012-2020_EGD'!$K:$K)*N162</f>
        <v>895.33490180897013</v>
      </c>
      <c r="W162" s="65">
        <f>SUMIF('Avoided Costs 2012-2020_EGD'!$A:$A,'2012 Actuals_Auditor'!T162&amp;'2012 Actuals_Auditor'!S162,'Avoided Costs 2012-2020_EGD'!$M:$M)*R162</f>
        <v>0</v>
      </c>
      <c r="X162" s="65">
        <f t="shared" si="96"/>
        <v>9794.8555393683782</v>
      </c>
      <c r="Y162" s="146">
        <v>6100</v>
      </c>
      <c r="Z162" s="66">
        <f t="shared" si="89"/>
        <v>5368</v>
      </c>
      <c r="AA162" s="66"/>
      <c r="AB162" s="66"/>
      <c r="AC162" s="66"/>
      <c r="AD162" s="66">
        <f t="shared" si="90"/>
        <v>5368</v>
      </c>
      <c r="AE162" s="66">
        <f t="shared" si="91"/>
        <v>4426.8555393683782</v>
      </c>
      <c r="AF162" s="101">
        <f t="shared" si="92"/>
        <v>54937.48574278428</v>
      </c>
      <c r="AG162" s="101">
        <f t="shared" si="93"/>
        <v>62428.961071345773</v>
      </c>
    </row>
    <row r="163" spans="1:33" s="68" customFormat="1" x14ac:dyDescent="0.2">
      <c r="A163" s="147" t="s">
        <v>837</v>
      </c>
      <c r="B163" s="147"/>
      <c r="C163" s="147"/>
      <c r="D163" s="148">
        <v>1</v>
      </c>
      <c r="E163" s="149"/>
      <c r="F163" s="150">
        <v>0.12</v>
      </c>
      <c r="G163" s="150"/>
      <c r="H163" s="67">
        <v>4619</v>
      </c>
      <c r="I163" s="67">
        <f t="shared" si="94"/>
        <v>4415.2407164070755</v>
      </c>
      <c r="J163" s="67">
        <f t="shared" si="84"/>
        <v>3885.4118304382264</v>
      </c>
      <c r="K163" s="63"/>
      <c r="L163" s="149">
        <v>1049</v>
      </c>
      <c r="M163" s="63">
        <f t="shared" si="85"/>
        <v>1049</v>
      </c>
      <c r="N163" s="63">
        <f t="shared" si="86"/>
        <v>923.12</v>
      </c>
      <c r="O163" s="69"/>
      <c r="P163" s="149">
        <v>0</v>
      </c>
      <c r="Q163" s="63">
        <f t="shared" si="95"/>
        <v>0</v>
      </c>
      <c r="R163" s="64">
        <f t="shared" si="87"/>
        <v>0</v>
      </c>
      <c r="S163" s="148">
        <v>15</v>
      </c>
      <c r="T163" s="151" t="s">
        <v>15</v>
      </c>
      <c r="U163" s="65">
        <f>SUMIF('Avoided Costs 2012-2020_EGD'!$A:$A,'2012 Actuals_Auditor'!T163&amp;'2012 Actuals_Auditor'!S163,'Avoided Costs 2012-2020_EGD'!$E:$E)*J163</f>
        <v>9441.1772680034246</v>
      </c>
      <c r="V163" s="65">
        <f>SUMIF('Avoided Costs 2012-2020_EGD'!$A:$A,'2012 Actuals_Auditor'!T163&amp;'2012 Actuals_Auditor'!S163,'Avoided Costs 2012-2020_EGD'!$K:$K)*N163</f>
        <v>950.6136761109409</v>
      </c>
      <c r="W163" s="65">
        <f>SUMIF('Avoided Costs 2012-2020_EGD'!$A:$A,'2012 Actuals_Auditor'!T163&amp;'2012 Actuals_Auditor'!S163,'Avoided Costs 2012-2020_EGD'!$M:$M)*R163</f>
        <v>0</v>
      </c>
      <c r="X163" s="65">
        <f t="shared" si="96"/>
        <v>10391.790944114366</v>
      </c>
      <c r="Y163" s="146">
        <v>6100</v>
      </c>
      <c r="Z163" s="66">
        <f t="shared" si="89"/>
        <v>5368</v>
      </c>
      <c r="AA163" s="66"/>
      <c r="AB163" s="66"/>
      <c r="AC163" s="66"/>
      <c r="AD163" s="66">
        <f t="shared" si="90"/>
        <v>5368</v>
      </c>
      <c r="AE163" s="66">
        <f t="shared" si="91"/>
        <v>5023.7909441143656</v>
      </c>
      <c r="AF163" s="101">
        <f t="shared" si="92"/>
        <v>58281.177456573394</v>
      </c>
      <c r="AG163" s="101">
        <f t="shared" si="93"/>
        <v>66228.610746106133</v>
      </c>
    </row>
    <row r="164" spans="1:33" s="68" customFormat="1" x14ac:dyDescent="0.2">
      <c r="A164" s="147" t="s">
        <v>838</v>
      </c>
      <c r="B164" s="147"/>
      <c r="C164" s="147"/>
      <c r="D164" s="148">
        <v>1</v>
      </c>
      <c r="E164" s="149"/>
      <c r="F164" s="150">
        <v>0.12</v>
      </c>
      <c r="G164" s="150"/>
      <c r="H164" s="67">
        <v>8397</v>
      </c>
      <c r="I164" s="67">
        <f t="shared" si="94"/>
        <v>8026.5807091730267</v>
      </c>
      <c r="J164" s="67">
        <f t="shared" si="84"/>
        <v>7063.3910240722635</v>
      </c>
      <c r="K164" s="63"/>
      <c r="L164" s="149">
        <v>5501</v>
      </c>
      <c r="M164" s="63">
        <f t="shared" si="85"/>
        <v>5501</v>
      </c>
      <c r="N164" s="63">
        <f t="shared" si="86"/>
        <v>4840.88</v>
      </c>
      <c r="O164" s="69"/>
      <c r="P164" s="149">
        <v>0</v>
      </c>
      <c r="Q164" s="63">
        <f t="shared" si="95"/>
        <v>0</v>
      </c>
      <c r="R164" s="64">
        <f t="shared" si="87"/>
        <v>0</v>
      </c>
      <c r="S164" s="148">
        <v>15</v>
      </c>
      <c r="T164" s="151" t="s">
        <v>15</v>
      </c>
      <c r="U164" s="65">
        <f>SUMIF('Avoided Costs 2012-2020_EGD'!$A:$A,'2012 Actuals_Auditor'!T164&amp;'2012 Actuals_Auditor'!S164,'Avoided Costs 2012-2020_EGD'!$E:$E)*J164</f>
        <v>17163.361229578859</v>
      </c>
      <c r="V164" s="65">
        <f>SUMIF('Avoided Costs 2012-2020_EGD'!$A:$A,'2012 Actuals_Auditor'!T164&amp;'2012 Actuals_Auditor'!S164,'Avoided Costs 2012-2020_EGD'!$K:$K)*N164</f>
        <v>4985.0579907400243</v>
      </c>
      <c r="W164" s="65">
        <f>SUMIF('Avoided Costs 2012-2020_EGD'!$A:$A,'2012 Actuals_Auditor'!T164&amp;'2012 Actuals_Auditor'!S164,'Avoided Costs 2012-2020_EGD'!$M:$M)*R164</f>
        <v>0</v>
      </c>
      <c r="X164" s="65">
        <f t="shared" si="96"/>
        <v>22148.419220318883</v>
      </c>
      <c r="Y164" s="146">
        <v>6100</v>
      </c>
      <c r="Z164" s="66">
        <f t="shared" si="89"/>
        <v>5368</v>
      </c>
      <c r="AA164" s="66"/>
      <c r="AB164" s="66"/>
      <c r="AC164" s="66"/>
      <c r="AD164" s="66">
        <f t="shared" si="90"/>
        <v>5368</v>
      </c>
      <c r="AE164" s="66">
        <f t="shared" si="91"/>
        <v>16780.419220318883</v>
      </c>
      <c r="AF164" s="101">
        <f t="shared" si="92"/>
        <v>105950.86536108395</v>
      </c>
      <c r="AG164" s="101">
        <f t="shared" si="93"/>
        <v>120398.7106375954</v>
      </c>
    </row>
    <row r="165" spans="1:33" s="68" customFormat="1" x14ac:dyDescent="0.2">
      <c r="A165" s="147" t="s">
        <v>839</v>
      </c>
      <c r="B165" s="147"/>
      <c r="C165" s="147"/>
      <c r="D165" s="148">
        <v>1</v>
      </c>
      <c r="E165" s="149"/>
      <c r="F165" s="150">
        <v>0.12</v>
      </c>
      <c r="G165" s="150"/>
      <c r="H165" s="67">
        <v>4497</v>
      </c>
      <c r="I165" s="67">
        <f t="shared" si="94"/>
        <v>4298.6225377100282</v>
      </c>
      <c r="J165" s="67">
        <f t="shared" si="84"/>
        <v>3782.7878331848246</v>
      </c>
      <c r="K165" s="63"/>
      <c r="L165" s="149">
        <v>1021</v>
      </c>
      <c r="M165" s="63">
        <f t="shared" si="85"/>
        <v>1021</v>
      </c>
      <c r="N165" s="63">
        <f t="shared" si="86"/>
        <v>898.48</v>
      </c>
      <c r="O165" s="69"/>
      <c r="P165" s="149">
        <v>0</v>
      </c>
      <c r="Q165" s="63">
        <f t="shared" si="95"/>
        <v>0</v>
      </c>
      <c r="R165" s="64">
        <f t="shared" si="87"/>
        <v>0</v>
      </c>
      <c r="S165" s="148">
        <v>15</v>
      </c>
      <c r="T165" s="151" t="s">
        <v>15</v>
      </c>
      <c r="U165" s="65">
        <f>SUMIF('Avoided Costs 2012-2020_EGD'!$A:$A,'2012 Actuals_Auditor'!T165&amp;'2012 Actuals_Auditor'!S165,'Avoided Costs 2012-2020_EGD'!$E:$E)*J165</f>
        <v>9191.8108192707077</v>
      </c>
      <c r="V165" s="65">
        <f>SUMIF('Avoided Costs 2012-2020_EGD'!$A:$A,'2012 Actuals_Auditor'!T165&amp;'2012 Actuals_Auditor'!S165,'Avoided Costs 2012-2020_EGD'!$K:$K)*N165</f>
        <v>925.23981249692145</v>
      </c>
      <c r="W165" s="65">
        <f>SUMIF('Avoided Costs 2012-2020_EGD'!$A:$A,'2012 Actuals_Auditor'!T165&amp;'2012 Actuals_Auditor'!S165,'Avoided Costs 2012-2020_EGD'!$M:$M)*R165</f>
        <v>0</v>
      </c>
      <c r="X165" s="65">
        <f t="shared" si="96"/>
        <v>10117.05063176763</v>
      </c>
      <c r="Y165" s="146">
        <v>6100</v>
      </c>
      <c r="Z165" s="66">
        <f t="shared" si="89"/>
        <v>5368</v>
      </c>
      <c r="AA165" s="66"/>
      <c r="AB165" s="66"/>
      <c r="AC165" s="66"/>
      <c r="AD165" s="66">
        <f t="shared" si="90"/>
        <v>5368</v>
      </c>
      <c r="AE165" s="66">
        <f t="shared" si="91"/>
        <v>4749.05063176763</v>
      </c>
      <c r="AF165" s="101">
        <f t="shared" si="92"/>
        <v>56741.817497772368</v>
      </c>
      <c r="AG165" s="101">
        <f t="shared" si="93"/>
        <v>64479.338065650423</v>
      </c>
    </row>
    <row r="166" spans="1:33" s="68" customFormat="1" x14ac:dyDescent="0.2">
      <c r="A166" s="147" t="s">
        <v>840</v>
      </c>
      <c r="B166" s="147"/>
      <c r="C166" s="147"/>
      <c r="D166" s="148">
        <v>1</v>
      </c>
      <c r="E166" s="149"/>
      <c r="F166" s="150">
        <v>0.12</v>
      </c>
      <c r="G166" s="150"/>
      <c r="H166" s="67">
        <v>7051</v>
      </c>
      <c r="I166" s="67">
        <f t="shared" si="94"/>
        <v>6739.9571966629765</v>
      </c>
      <c r="J166" s="67">
        <f t="shared" si="84"/>
        <v>5931.1623330634193</v>
      </c>
      <c r="K166" s="63"/>
      <c r="L166" s="149">
        <v>1601</v>
      </c>
      <c r="M166" s="63">
        <f t="shared" si="85"/>
        <v>1601</v>
      </c>
      <c r="N166" s="63">
        <f t="shared" si="86"/>
        <v>1408.88</v>
      </c>
      <c r="O166" s="69"/>
      <c r="P166" s="149">
        <v>0</v>
      </c>
      <c r="Q166" s="63">
        <f t="shared" si="95"/>
        <v>0</v>
      </c>
      <c r="R166" s="64">
        <f t="shared" si="87"/>
        <v>0</v>
      </c>
      <c r="S166" s="148">
        <v>15</v>
      </c>
      <c r="T166" s="151" t="s">
        <v>15</v>
      </c>
      <c r="U166" s="65">
        <f>SUMIF('Avoided Costs 2012-2020_EGD'!$A:$A,'2012 Actuals_Auditor'!T166&amp;'2012 Actuals_Auditor'!S166,'Avoided Costs 2012-2020_EGD'!$E:$E)*J166</f>
        <v>14412.154344380198</v>
      </c>
      <c r="V166" s="65">
        <f>SUMIF('Avoided Costs 2012-2020_EGD'!$A:$A,'2012 Actuals_Auditor'!T166&amp;'2012 Actuals_Auditor'!S166,'Avoided Costs 2012-2020_EGD'!$K:$K)*N166</f>
        <v>1450.8412730730377</v>
      </c>
      <c r="W166" s="65">
        <f>SUMIF('Avoided Costs 2012-2020_EGD'!$A:$A,'2012 Actuals_Auditor'!T166&amp;'2012 Actuals_Auditor'!S166,'Avoided Costs 2012-2020_EGD'!$M:$M)*R166</f>
        <v>0</v>
      </c>
      <c r="X166" s="65">
        <f t="shared" si="96"/>
        <v>15862.995617453236</v>
      </c>
      <c r="Y166" s="146">
        <v>6100</v>
      </c>
      <c r="Z166" s="66">
        <f t="shared" si="89"/>
        <v>5368</v>
      </c>
      <c r="AA166" s="66"/>
      <c r="AB166" s="66"/>
      <c r="AC166" s="66"/>
      <c r="AD166" s="66">
        <f t="shared" si="90"/>
        <v>5368</v>
      </c>
      <c r="AE166" s="66">
        <f t="shared" si="91"/>
        <v>10494.995617453236</v>
      </c>
      <c r="AF166" s="101">
        <f t="shared" si="92"/>
        <v>88967.434995951291</v>
      </c>
      <c r="AG166" s="101">
        <f t="shared" si="93"/>
        <v>101099.35794994465</v>
      </c>
    </row>
    <row r="167" spans="1:33" s="68" customFormat="1" x14ac:dyDescent="0.2">
      <c r="A167" s="147" t="s">
        <v>841</v>
      </c>
      <c r="B167" s="147"/>
      <c r="C167" s="147"/>
      <c r="D167" s="148">
        <v>1</v>
      </c>
      <c r="E167" s="149"/>
      <c r="F167" s="150">
        <v>0.12</v>
      </c>
      <c r="G167" s="150"/>
      <c r="H167" s="67">
        <v>11731</v>
      </c>
      <c r="I167" s="67">
        <f t="shared" si="94"/>
        <v>11213.507002418575</v>
      </c>
      <c r="J167" s="67">
        <f t="shared" ref="J167:J198" si="97">I167*(1-F167)</f>
        <v>9867.8861621283468</v>
      </c>
      <c r="K167" s="63"/>
      <c r="L167" s="149">
        <v>8215</v>
      </c>
      <c r="M167" s="63">
        <f t="shared" si="85"/>
        <v>8215</v>
      </c>
      <c r="N167" s="63">
        <f t="shared" ref="N167:N198" si="98">M167*(1-F167)</f>
        <v>7229.2</v>
      </c>
      <c r="O167" s="69"/>
      <c r="P167" s="149">
        <v>0</v>
      </c>
      <c r="Q167" s="63">
        <f t="shared" si="95"/>
        <v>0</v>
      </c>
      <c r="R167" s="64">
        <f t="shared" ref="R167:R198" si="99">Q167*(1-F167)</f>
        <v>0</v>
      </c>
      <c r="S167" s="148">
        <v>15</v>
      </c>
      <c r="T167" s="151" t="s">
        <v>15</v>
      </c>
      <c r="U167" s="65">
        <f>SUMIF('Avoided Costs 2012-2020_EGD'!$A:$A,'2012 Actuals_Auditor'!T167&amp;'2012 Actuals_Auditor'!S167,'Avoided Costs 2012-2020_EGD'!$E:$E)*J167</f>
        <v>23978.014836749982</v>
      </c>
      <c r="V167" s="65">
        <f>SUMIF('Avoided Costs 2012-2020_EGD'!$A:$A,'2012 Actuals_Auditor'!T167&amp;'2012 Actuals_Auditor'!S167,'Avoided Costs 2012-2020_EGD'!$K:$K)*N167</f>
        <v>7444.5103424703329</v>
      </c>
      <c r="W167" s="65">
        <f>SUMIF('Avoided Costs 2012-2020_EGD'!$A:$A,'2012 Actuals_Auditor'!T167&amp;'2012 Actuals_Auditor'!S167,'Avoided Costs 2012-2020_EGD'!$M:$M)*R167</f>
        <v>0</v>
      </c>
      <c r="X167" s="65">
        <f t="shared" si="96"/>
        <v>31422.525179220316</v>
      </c>
      <c r="Y167" s="146">
        <v>6100</v>
      </c>
      <c r="Z167" s="66">
        <f t="shared" ref="Z167:Z198" si="100">Y167*(1-F167)</f>
        <v>5368</v>
      </c>
      <c r="AA167" s="66"/>
      <c r="AB167" s="66"/>
      <c r="AC167" s="66"/>
      <c r="AD167" s="66">
        <f t="shared" ref="AD167:AD198" si="101">Z167+AB167</f>
        <v>5368</v>
      </c>
      <c r="AE167" s="66">
        <f t="shared" ref="AE167:AE198" si="102">X167-AD167</f>
        <v>26054.525179220316</v>
      </c>
      <c r="AF167" s="101">
        <f t="shared" ref="AF167:AF198" si="103">J167*S167</f>
        <v>148018.29243192519</v>
      </c>
      <c r="AG167" s="101">
        <f t="shared" ref="AG167:AG198" si="104">(I167*S167)</f>
        <v>168202.60503627863</v>
      </c>
    </row>
    <row r="168" spans="1:33" s="68" customFormat="1" x14ac:dyDescent="0.2">
      <c r="A168" s="147" t="s">
        <v>842</v>
      </c>
      <c r="B168" s="147"/>
      <c r="C168" s="147"/>
      <c r="D168" s="148">
        <v>1</v>
      </c>
      <c r="E168" s="149"/>
      <c r="F168" s="150">
        <v>0.12</v>
      </c>
      <c r="G168" s="150"/>
      <c r="H168" s="67">
        <v>10732</v>
      </c>
      <c r="I168" s="67">
        <f t="shared" si="94"/>
        <v>10258.576178497669</v>
      </c>
      <c r="J168" s="67">
        <f t="shared" si="97"/>
        <v>9027.5470370779494</v>
      </c>
      <c r="K168" s="63"/>
      <c r="L168" s="149">
        <v>7049</v>
      </c>
      <c r="M168" s="63">
        <f t="shared" si="85"/>
        <v>7049</v>
      </c>
      <c r="N168" s="63">
        <f t="shared" si="98"/>
        <v>6203.12</v>
      </c>
      <c r="O168" s="69"/>
      <c r="P168" s="149">
        <v>0</v>
      </c>
      <c r="Q168" s="63">
        <f t="shared" si="95"/>
        <v>0</v>
      </c>
      <c r="R168" s="64">
        <f t="shared" si="99"/>
        <v>0</v>
      </c>
      <c r="S168" s="148">
        <v>15</v>
      </c>
      <c r="T168" s="151" t="s">
        <v>15</v>
      </c>
      <c r="U168" s="65">
        <f>SUMIF('Avoided Costs 2012-2020_EGD'!$A:$A,'2012 Actuals_Auditor'!T168&amp;'2012 Actuals_Auditor'!S168,'Avoided Costs 2012-2020_EGD'!$E:$E)*J168</f>
        <v>21936.071539340279</v>
      </c>
      <c r="V168" s="65">
        <f>SUMIF('Avoided Costs 2012-2020_EGD'!$A:$A,'2012 Actuals_Auditor'!T168&amp;'2012 Actuals_Auditor'!S168,'Avoided Costs 2012-2020_EGD'!$K:$K)*N168</f>
        <v>6387.8701648293827</v>
      </c>
      <c r="W168" s="65">
        <f>SUMIF('Avoided Costs 2012-2020_EGD'!$A:$A,'2012 Actuals_Auditor'!T168&amp;'2012 Actuals_Auditor'!S168,'Avoided Costs 2012-2020_EGD'!$M:$M)*R168</f>
        <v>0</v>
      </c>
      <c r="X168" s="65">
        <f t="shared" si="96"/>
        <v>28323.941704169662</v>
      </c>
      <c r="Y168" s="146">
        <v>6100</v>
      </c>
      <c r="Z168" s="66">
        <f t="shared" si="100"/>
        <v>5368</v>
      </c>
      <c r="AA168" s="66"/>
      <c r="AB168" s="66"/>
      <c r="AC168" s="66"/>
      <c r="AD168" s="66">
        <f t="shared" si="101"/>
        <v>5368</v>
      </c>
      <c r="AE168" s="66">
        <f t="shared" si="102"/>
        <v>22955.941704169662</v>
      </c>
      <c r="AF168" s="101">
        <f t="shared" si="103"/>
        <v>135413.20555616924</v>
      </c>
      <c r="AG168" s="101">
        <f t="shared" si="104"/>
        <v>153878.64267746505</v>
      </c>
    </row>
    <row r="169" spans="1:33" s="68" customFormat="1" x14ac:dyDescent="0.2">
      <c r="A169" s="147" t="s">
        <v>843</v>
      </c>
      <c r="B169" s="147"/>
      <c r="C169" s="147"/>
      <c r="D169" s="148">
        <v>1</v>
      </c>
      <c r="E169" s="149"/>
      <c r="F169" s="150">
        <v>0.12</v>
      </c>
      <c r="G169" s="150"/>
      <c r="H169" s="67">
        <v>10032</v>
      </c>
      <c r="I169" s="67">
        <f t="shared" si="94"/>
        <v>9589.4554810555928</v>
      </c>
      <c r="J169" s="67">
        <f t="shared" si="97"/>
        <v>8438.7208233289221</v>
      </c>
      <c r="K169" s="63"/>
      <c r="L169" s="149">
        <v>7633</v>
      </c>
      <c r="M169" s="63">
        <f t="shared" si="85"/>
        <v>7633</v>
      </c>
      <c r="N169" s="63">
        <f t="shared" si="98"/>
        <v>6717.04</v>
      </c>
      <c r="O169" s="69"/>
      <c r="P169" s="149">
        <v>0</v>
      </c>
      <c r="Q169" s="63">
        <f t="shared" si="95"/>
        <v>0</v>
      </c>
      <c r="R169" s="64">
        <f t="shared" si="99"/>
        <v>0</v>
      </c>
      <c r="S169" s="148">
        <v>15</v>
      </c>
      <c r="T169" s="151" t="s">
        <v>15</v>
      </c>
      <c r="U169" s="65">
        <f>SUMIF('Avoided Costs 2012-2020_EGD'!$A:$A,'2012 Actuals_Auditor'!T169&amp;'2012 Actuals_Auditor'!S169,'Avoided Costs 2012-2020_EGD'!$E:$E)*J169</f>
        <v>20505.280440054201</v>
      </c>
      <c r="V169" s="65">
        <f>SUMIF('Avoided Costs 2012-2020_EGD'!$A:$A,'2012 Actuals_Auditor'!T169&amp;'2012 Actuals_Auditor'!S169,'Avoided Costs 2012-2020_EGD'!$K:$K)*N169</f>
        <v>6917.096463064644</v>
      </c>
      <c r="W169" s="65">
        <f>SUMIF('Avoided Costs 2012-2020_EGD'!$A:$A,'2012 Actuals_Auditor'!T169&amp;'2012 Actuals_Auditor'!S169,'Avoided Costs 2012-2020_EGD'!$M:$M)*R169</f>
        <v>0</v>
      </c>
      <c r="X169" s="65">
        <f t="shared" si="96"/>
        <v>27422.376903118846</v>
      </c>
      <c r="Y169" s="146">
        <v>6100</v>
      </c>
      <c r="Z169" s="66">
        <f t="shared" si="100"/>
        <v>5368</v>
      </c>
      <c r="AA169" s="66"/>
      <c r="AB169" s="66"/>
      <c r="AC169" s="66"/>
      <c r="AD169" s="66">
        <f t="shared" si="101"/>
        <v>5368</v>
      </c>
      <c r="AE169" s="66">
        <f t="shared" si="102"/>
        <v>22054.376903118846</v>
      </c>
      <c r="AF169" s="101">
        <f t="shared" si="103"/>
        <v>126580.81234993383</v>
      </c>
      <c r="AG169" s="101">
        <f t="shared" si="104"/>
        <v>143841.83221583389</v>
      </c>
    </row>
    <row r="170" spans="1:33" s="68" customFormat="1" x14ac:dyDescent="0.2">
      <c r="A170" s="147" t="s">
        <v>844</v>
      </c>
      <c r="B170" s="147"/>
      <c r="C170" s="147"/>
      <c r="D170" s="148">
        <v>1</v>
      </c>
      <c r="E170" s="149"/>
      <c r="F170" s="150">
        <v>0.12</v>
      </c>
      <c r="G170" s="150"/>
      <c r="H170" s="67">
        <v>7918</v>
      </c>
      <c r="I170" s="67">
        <f t="shared" si="94"/>
        <v>7568.7109747805198</v>
      </c>
      <c r="J170" s="67">
        <f t="shared" si="97"/>
        <v>6660.4656578068571</v>
      </c>
      <c r="K170" s="63"/>
      <c r="L170" s="149">
        <v>5914</v>
      </c>
      <c r="M170" s="63">
        <f t="shared" si="85"/>
        <v>5914</v>
      </c>
      <c r="N170" s="63">
        <f t="shared" si="98"/>
        <v>5204.32</v>
      </c>
      <c r="O170" s="69"/>
      <c r="P170" s="149">
        <v>0</v>
      </c>
      <c r="Q170" s="63">
        <f t="shared" si="95"/>
        <v>0</v>
      </c>
      <c r="R170" s="64">
        <f t="shared" si="99"/>
        <v>0</v>
      </c>
      <c r="S170" s="148">
        <v>15</v>
      </c>
      <c r="T170" s="151" t="s">
        <v>15</v>
      </c>
      <c r="U170" s="65">
        <f>SUMIF('Avoided Costs 2012-2020_EGD'!$A:$A,'2012 Actuals_Auditor'!T170&amp;'2012 Actuals_Auditor'!S170,'Avoided Costs 2012-2020_EGD'!$E:$E)*J170</f>
        <v>16184.291320210241</v>
      </c>
      <c r="V170" s="65">
        <f>SUMIF('Avoided Costs 2012-2020_EGD'!$A:$A,'2012 Actuals_Auditor'!T170&amp;'2012 Actuals_Auditor'!S170,'Avoided Costs 2012-2020_EGD'!$K:$K)*N170</f>
        <v>5359.3224790468103</v>
      </c>
      <c r="W170" s="65">
        <f>SUMIF('Avoided Costs 2012-2020_EGD'!$A:$A,'2012 Actuals_Auditor'!T170&amp;'2012 Actuals_Auditor'!S170,'Avoided Costs 2012-2020_EGD'!$M:$M)*R170</f>
        <v>0</v>
      </c>
      <c r="X170" s="65">
        <f t="shared" si="96"/>
        <v>21543.613799257051</v>
      </c>
      <c r="Y170" s="146">
        <v>6100</v>
      </c>
      <c r="Z170" s="66">
        <f t="shared" si="100"/>
        <v>5368</v>
      </c>
      <c r="AA170" s="66"/>
      <c r="AB170" s="66"/>
      <c r="AC170" s="66"/>
      <c r="AD170" s="66">
        <f t="shared" si="101"/>
        <v>5368</v>
      </c>
      <c r="AE170" s="66">
        <f t="shared" si="102"/>
        <v>16175.613799257051</v>
      </c>
      <c r="AF170" s="101">
        <f t="shared" si="103"/>
        <v>99906.984867102859</v>
      </c>
      <c r="AG170" s="101">
        <f t="shared" si="104"/>
        <v>113530.66462170779</v>
      </c>
    </row>
    <row r="171" spans="1:33" s="68" customFormat="1" x14ac:dyDescent="0.2">
      <c r="A171" s="147" t="s">
        <v>845</v>
      </c>
      <c r="B171" s="147"/>
      <c r="C171" s="147"/>
      <c r="D171" s="148">
        <v>1</v>
      </c>
      <c r="E171" s="149"/>
      <c r="F171" s="150">
        <v>0.12</v>
      </c>
      <c r="G171" s="150"/>
      <c r="H171" s="67">
        <v>11482</v>
      </c>
      <c r="I171" s="67">
        <f t="shared" si="94"/>
        <v>10975.491211471322</v>
      </c>
      <c r="J171" s="67">
        <f t="shared" si="97"/>
        <v>9658.4322660947637</v>
      </c>
      <c r="K171" s="63"/>
      <c r="L171" s="149">
        <v>9625</v>
      </c>
      <c r="M171" s="63">
        <f t="shared" si="85"/>
        <v>9625</v>
      </c>
      <c r="N171" s="63">
        <f t="shared" si="98"/>
        <v>8470</v>
      </c>
      <c r="O171" s="69"/>
      <c r="P171" s="149">
        <v>0</v>
      </c>
      <c r="Q171" s="63">
        <f t="shared" si="95"/>
        <v>0</v>
      </c>
      <c r="R171" s="64">
        <f t="shared" si="99"/>
        <v>0</v>
      </c>
      <c r="S171" s="148">
        <v>15</v>
      </c>
      <c r="T171" s="151" t="s">
        <v>15</v>
      </c>
      <c r="U171" s="65">
        <f>SUMIF('Avoided Costs 2012-2020_EGD'!$A:$A,'2012 Actuals_Auditor'!T171&amp;'2012 Actuals_Auditor'!S171,'Avoided Costs 2012-2020_EGD'!$E:$E)*J171</f>
        <v>23469.062002861076</v>
      </c>
      <c r="V171" s="65">
        <f>SUMIF('Avoided Costs 2012-2020_EGD'!$A:$A,'2012 Actuals_Auditor'!T171&amp;'2012 Actuals_Auditor'!S171,'Avoided Costs 2012-2020_EGD'!$K:$K)*N171</f>
        <v>8722.2656173191663</v>
      </c>
      <c r="W171" s="65">
        <f>SUMIF('Avoided Costs 2012-2020_EGD'!$A:$A,'2012 Actuals_Auditor'!T171&amp;'2012 Actuals_Auditor'!S171,'Avoided Costs 2012-2020_EGD'!$M:$M)*R171</f>
        <v>0</v>
      </c>
      <c r="X171" s="65">
        <f t="shared" si="96"/>
        <v>32191.327620180244</v>
      </c>
      <c r="Y171" s="146">
        <v>6100</v>
      </c>
      <c r="Z171" s="66">
        <f t="shared" si="100"/>
        <v>5368</v>
      </c>
      <c r="AA171" s="66"/>
      <c r="AB171" s="66"/>
      <c r="AC171" s="66"/>
      <c r="AD171" s="66">
        <f t="shared" si="101"/>
        <v>5368</v>
      </c>
      <c r="AE171" s="66">
        <f t="shared" si="102"/>
        <v>26823.327620180244</v>
      </c>
      <c r="AF171" s="101">
        <f t="shared" si="103"/>
        <v>144876.48399142147</v>
      </c>
      <c r="AG171" s="101">
        <f t="shared" si="104"/>
        <v>164632.36817206984</v>
      </c>
    </row>
    <row r="172" spans="1:33" s="68" customFormat="1" x14ac:dyDescent="0.2">
      <c r="A172" s="147" t="s">
        <v>846</v>
      </c>
      <c r="B172" s="147"/>
      <c r="C172" s="147"/>
      <c r="D172" s="148">
        <v>1</v>
      </c>
      <c r="E172" s="149"/>
      <c r="F172" s="150">
        <v>0.12</v>
      </c>
      <c r="G172" s="150"/>
      <c r="H172" s="67">
        <v>10160</v>
      </c>
      <c r="I172" s="67">
        <f t="shared" si="94"/>
        <v>9711.8089800164289</v>
      </c>
      <c r="J172" s="67">
        <f t="shared" si="97"/>
        <v>8546.3919024144579</v>
      </c>
      <c r="K172" s="63"/>
      <c r="L172" s="149">
        <v>6685</v>
      </c>
      <c r="M172" s="63">
        <f t="shared" si="85"/>
        <v>6685</v>
      </c>
      <c r="N172" s="63">
        <f t="shared" si="98"/>
        <v>5882.8</v>
      </c>
      <c r="O172" s="69"/>
      <c r="P172" s="149">
        <v>0</v>
      </c>
      <c r="Q172" s="63">
        <f t="shared" si="95"/>
        <v>0</v>
      </c>
      <c r="R172" s="64">
        <f t="shared" si="99"/>
        <v>0</v>
      </c>
      <c r="S172" s="148">
        <v>15</v>
      </c>
      <c r="T172" s="151" t="s">
        <v>15</v>
      </c>
      <c r="U172" s="65">
        <f>SUMIF('Avoided Costs 2012-2020_EGD'!$A:$A,'2012 Actuals_Auditor'!T172&amp;'2012 Actuals_Auditor'!S172,'Avoided Costs 2012-2020_EGD'!$E:$E)*J172</f>
        <v>20766.910812495084</v>
      </c>
      <c r="V172" s="65">
        <f>SUMIF('Avoided Costs 2012-2020_EGD'!$A:$A,'2012 Actuals_Auditor'!T172&amp;'2012 Actuals_Auditor'!S172,'Avoided Costs 2012-2020_EGD'!$K:$K)*N172</f>
        <v>6058.0099378471305</v>
      </c>
      <c r="W172" s="65">
        <f>SUMIF('Avoided Costs 2012-2020_EGD'!$A:$A,'2012 Actuals_Auditor'!T172&amp;'2012 Actuals_Auditor'!S172,'Avoided Costs 2012-2020_EGD'!$M:$M)*R172</f>
        <v>0</v>
      </c>
      <c r="X172" s="65">
        <f t="shared" si="96"/>
        <v>26824.920750342215</v>
      </c>
      <c r="Y172" s="146">
        <v>6100</v>
      </c>
      <c r="Z172" s="66">
        <f t="shared" si="100"/>
        <v>5368</v>
      </c>
      <c r="AA172" s="66"/>
      <c r="AB172" s="66"/>
      <c r="AC172" s="66"/>
      <c r="AD172" s="66">
        <f t="shared" si="101"/>
        <v>5368</v>
      </c>
      <c r="AE172" s="66">
        <f t="shared" si="102"/>
        <v>21456.920750342215</v>
      </c>
      <c r="AF172" s="101">
        <f t="shared" si="103"/>
        <v>128195.87853621687</v>
      </c>
      <c r="AG172" s="101">
        <f t="shared" si="104"/>
        <v>145677.13470024645</v>
      </c>
    </row>
    <row r="173" spans="1:33" s="68" customFormat="1" x14ac:dyDescent="0.2">
      <c r="A173" s="147" t="s">
        <v>847</v>
      </c>
      <c r="B173" s="147"/>
      <c r="C173" s="147"/>
      <c r="D173" s="148">
        <v>1</v>
      </c>
      <c r="E173" s="149"/>
      <c r="F173" s="150">
        <v>0.12</v>
      </c>
      <c r="G173" s="150"/>
      <c r="H173" s="67">
        <v>6132</v>
      </c>
      <c r="I173" s="67">
        <f t="shared" si="94"/>
        <v>5861.4973095925925</v>
      </c>
      <c r="J173" s="67">
        <f t="shared" si="97"/>
        <v>5158.1176324414819</v>
      </c>
      <c r="K173" s="63"/>
      <c r="L173" s="149">
        <v>1392</v>
      </c>
      <c r="M173" s="63">
        <f t="shared" si="85"/>
        <v>1392</v>
      </c>
      <c r="N173" s="63">
        <f t="shared" si="98"/>
        <v>1224.96</v>
      </c>
      <c r="O173" s="69"/>
      <c r="P173" s="149">
        <v>0</v>
      </c>
      <c r="Q173" s="63">
        <f t="shared" si="95"/>
        <v>0</v>
      </c>
      <c r="R173" s="64">
        <f t="shared" si="99"/>
        <v>0</v>
      </c>
      <c r="S173" s="148">
        <v>15</v>
      </c>
      <c r="T173" s="151" t="s">
        <v>15</v>
      </c>
      <c r="U173" s="65">
        <f>SUMIF('Avoided Costs 2012-2020_EGD'!$A:$A,'2012 Actuals_Auditor'!T173&amp;'2012 Actuals_Auditor'!S173,'Avoided Costs 2012-2020_EGD'!$E:$E)*J173</f>
        <v>12533.730029746048</v>
      </c>
      <c r="V173" s="65">
        <f>SUMIF('Avoided Costs 2012-2020_EGD'!$A:$A,'2012 Actuals_Auditor'!T173&amp;'2012 Actuals_Auditor'!S173,'Avoided Costs 2012-2020_EGD'!$K:$K)*N173</f>
        <v>1261.4435053826785</v>
      </c>
      <c r="W173" s="65">
        <f>SUMIF('Avoided Costs 2012-2020_EGD'!$A:$A,'2012 Actuals_Auditor'!T173&amp;'2012 Actuals_Auditor'!S173,'Avoided Costs 2012-2020_EGD'!$M:$M)*R173</f>
        <v>0</v>
      </c>
      <c r="X173" s="65">
        <f t="shared" si="96"/>
        <v>13795.173535128726</v>
      </c>
      <c r="Y173" s="146">
        <v>6100</v>
      </c>
      <c r="Z173" s="66">
        <f t="shared" si="100"/>
        <v>5368</v>
      </c>
      <c r="AA173" s="66"/>
      <c r="AB173" s="66"/>
      <c r="AC173" s="66"/>
      <c r="AD173" s="66">
        <f t="shared" si="101"/>
        <v>5368</v>
      </c>
      <c r="AE173" s="66">
        <f t="shared" si="102"/>
        <v>8427.1735351287261</v>
      </c>
      <c r="AF173" s="101">
        <f t="shared" si="103"/>
        <v>77371.764486622225</v>
      </c>
      <c r="AG173" s="101">
        <f t="shared" si="104"/>
        <v>87922.459643888884</v>
      </c>
    </row>
    <row r="174" spans="1:33" s="68" customFormat="1" x14ac:dyDescent="0.2">
      <c r="A174" s="147" t="s">
        <v>848</v>
      </c>
      <c r="B174" s="147"/>
      <c r="C174" s="147"/>
      <c r="D174" s="148">
        <v>1</v>
      </c>
      <c r="E174" s="149"/>
      <c r="F174" s="150">
        <v>0.12</v>
      </c>
      <c r="G174" s="150"/>
      <c r="H174" s="67">
        <v>11310</v>
      </c>
      <c r="I174" s="67">
        <f t="shared" ref="I174:I205" si="105">+$H$42*H174</f>
        <v>10811.078697242698</v>
      </c>
      <c r="J174" s="67">
        <f t="shared" si="97"/>
        <v>9513.7492535735746</v>
      </c>
      <c r="K174" s="63"/>
      <c r="L174" s="149">
        <v>8924</v>
      </c>
      <c r="M174" s="63">
        <f t="shared" si="85"/>
        <v>8924</v>
      </c>
      <c r="N174" s="63">
        <f t="shared" si="98"/>
        <v>7853.12</v>
      </c>
      <c r="O174" s="69"/>
      <c r="P174" s="149">
        <v>0</v>
      </c>
      <c r="Q174" s="63">
        <f t="shared" ref="Q174:Q205" si="106">+P174*$P$42</f>
        <v>0</v>
      </c>
      <c r="R174" s="64">
        <f t="shared" si="99"/>
        <v>0</v>
      </c>
      <c r="S174" s="148">
        <v>15</v>
      </c>
      <c r="T174" s="151" t="s">
        <v>15</v>
      </c>
      <c r="U174" s="65">
        <f>SUMIF('Avoided Costs 2012-2020_EGD'!$A:$A,'2012 Actuals_Auditor'!T174&amp;'2012 Actuals_Auditor'!S174,'Avoided Costs 2012-2020_EGD'!$E:$E)*J174</f>
        <v>23117.496189893642</v>
      </c>
      <c r="V174" s="65">
        <f>SUMIF('Avoided Costs 2012-2020_EGD'!$A:$A,'2012 Actuals_Auditor'!T174&amp;'2012 Actuals_Auditor'!S174,'Avoided Costs 2012-2020_EGD'!$K:$K)*N174</f>
        <v>8087.0128175538957</v>
      </c>
      <c r="W174" s="65">
        <f>SUMIF('Avoided Costs 2012-2020_EGD'!$A:$A,'2012 Actuals_Auditor'!T174&amp;'2012 Actuals_Auditor'!S174,'Avoided Costs 2012-2020_EGD'!$M:$M)*R174</f>
        <v>0</v>
      </c>
      <c r="X174" s="65">
        <f t="shared" si="96"/>
        <v>31204.509007447537</v>
      </c>
      <c r="Y174" s="146">
        <v>6100</v>
      </c>
      <c r="Z174" s="66">
        <f t="shared" si="100"/>
        <v>5368</v>
      </c>
      <c r="AA174" s="66"/>
      <c r="AB174" s="66"/>
      <c r="AC174" s="66"/>
      <c r="AD174" s="66">
        <f t="shared" si="101"/>
        <v>5368</v>
      </c>
      <c r="AE174" s="66">
        <f t="shared" si="102"/>
        <v>25836.509007447537</v>
      </c>
      <c r="AF174" s="101">
        <f t="shared" si="103"/>
        <v>142706.23880360363</v>
      </c>
      <c r="AG174" s="101">
        <f t="shared" si="104"/>
        <v>162166.18045864048</v>
      </c>
    </row>
    <row r="175" spans="1:33" s="68" customFormat="1" x14ac:dyDescent="0.2">
      <c r="A175" s="147" t="s">
        <v>849</v>
      </c>
      <c r="B175" s="147"/>
      <c r="C175" s="147"/>
      <c r="D175" s="148">
        <v>1</v>
      </c>
      <c r="E175" s="149"/>
      <c r="F175" s="150">
        <v>0.12</v>
      </c>
      <c r="G175" s="150"/>
      <c r="H175" s="67">
        <v>7639</v>
      </c>
      <c r="I175" s="67">
        <f t="shared" si="105"/>
        <v>7302.0185825143208</v>
      </c>
      <c r="J175" s="67">
        <f t="shared" si="97"/>
        <v>6425.7763526126028</v>
      </c>
      <c r="K175" s="63"/>
      <c r="L175" s="149">
        <v>5757</v>
      </c>
      <c r="M175" s="63">
        <f t="shared" si="85"/>
        <v>5757</v>
      </c>
      <c r="N175" s="63">
        <f t="shared" si="98"/>
        <v>5066.16</v>
      </c>
      <c r="O175" s="69"/>
      <c r="P175" s="149">
        <v>0</v>
      </c>
      <c r="Q175" s="63">
        <f t="shared" si="106"/>
        <v>0</v>
      </c>
      <c r="R175" s="64">
        <f t="shared" si="99"/>
        <v>0</v>
      </c>
      <c r="S175" s="148">
        <v>15</v>
      </c>
      <c r="T175" s="151" t="s">
        <v>15</v>
      </c>
      <c r="U175" s="65">
        <f>SUMIF('Avoided Costs 2012-2020_EGD'!$A:$A,'2012 Actuals_Auditor'!T175&amp;'2012 Actuals_Auditor'!S175,'Avoided Costs 2012-2020_EGD'!$E:$E)*J175</f>
        <v>15614.018867780505</v>
      </c>
      <c r="V175" s="65">
        <f>SUMIF('Avoided Costs 2012-2020_EGD'!$A:$A,'2012 Actuals_Auditor'!T175&amp;'2012 Actuals_Auditor'!S175,'Avoided Costs 2012-2020_EGD'!$K:$K)*N175</f>
        <v>5217.0476009253443</v>
      </c>
      <c r="W175" s="65">
        <f>SUMIF('Avoided Costs 2012-2020_EGD'!$A:$A,'2012 Actuals_Auditor'!T175&amp;'2012 Actuals_Auditor'!S175,'Avoided Costs 2012-2020_EGD'!$M:$M)*R175</f>
        <v>0</v>
      </c>
      <c r="X175" s="65">
        <f t="shared" si="96"/>
        <v>20831.066468705849</v>
      </c>
      <c r="Y175" s="146">
        <v>6100</v>
      </c>
      <c r="Z175" s="66">
        <f t="shared" si="100"/>
        <v>5368</v>
      </c>
      <c r="AA175" s="66"/>
      <c r="AB175" s="66"/>
      <c r="AC175" s="66"/>
      <c r="AD175" s="66">
        <f t="shared" si="101"/>
        <v>5368</v>
      </c>
      <c r="AE175" s="66">
        <f t="shared" si="102"/>
        <v>15463.066468705849</v>
      </c>
      <c r="AF175" s="101">
        <f t="shared" si="103"/>
        <v>96386.645289189037</v>
      </c>
      <c r="AG175" s="101">
        <f t="shared" si="104"/>
        <v>109530.27873771481</v>
      </c>
    </row>
    <row r="176" spans="1:33" s="68" customFormat="1" x14ac:dyDescent="0.2">
      <c r="A176" s="147" t="s">
        <v>850</v>
      </c>
      <c r="B176" s="147"/>
      <c r="C176" s="147"/>
      <c r="D176" s="148">
        <v>1</v>
      </c>
      <c r="E176" s="149"/>
      <c r="F176" s="150">
        <v>0.12</v>
      </c>
      <c r="G176" s="150"/>
      <c r="H176" s="67">
        <v>6289</v>
      </c>
      <c r="I176" s="67">
        <f t="shared" si="105"/>
        <v>6011.5715231617442</v>
      </c>
      <c r="J176" s="67">
        <f t="shared" si="97"/>
        <v>5290.1829403823349</v>
      </c>
      <c r="K176" s="63"/>
      <c r="L176" s="149">
        <v>3807</v>
      </c>
      <c r="M176" s="63">
        <f t="shared" si="85"/>
        <v>3807</v>
      </c>
      <c r="N176" s="63">
        <f t="shared" si="98"/>
        <v>3350.16</v>
      </c>
      <c r="O176" s="69"/>
      <c r="P176" s="149">
        <v>0</v>
      </c>
      <c r="Q176" s="63">
        <f t="shared" si="106"/>
        <v>0</v>
      </c>
      <c r="R176" s="64">
        <f t="shared" si="99"/>
        <v>0</v>
      </c>
      <c r="S176" s="148">
        <v>15</v>
      </c>
      <c r="T176" s="151" t="s">
        <v>15</v>
      </c>
      <c r="U176" s="65">
        <f>SUMIF('Avoided Costs 2012-2020_EGD'!$A:$A,'2012 Actuals_Auditor'!T176&amp;'2012 Actuals_Auditor'!S176,'Avoided Costs 2012-2020_EGD'!$E:$E)*J176</f>
        <v>12854.636033443068</v>
      </c>
      <c r="V176" s="65">
        <f>SUMIF('Avoided Costs 2012-2020_EGD'!$A:$A,'2012 Actuals_Auditor'!T176&amp;'2012 Actuals_Auditor'!S176,'Avoided Costs 2012-2020_EGD'!$K:$K)*N176</f>
        <v>3449.9392420918512</v>
      </c>
      <c r="W176" s="65">
        <f>SUMIF('Avoided Costs 2012-2020_EGD'!$A:$A,'2012 Actuals_Auditor'!T176&amp;'2012 Actuals_Auditor'!S176,'Avoided Costs 2012-2020_EGD'!$M:$M)*R176</f>
        <v>0</v>
      </c>
      <c r="X176" s="65">
        <f t="shared" si="96"/>
        <v>16304.57527553492</v>
      </c>
      <c r="Y176" s="146">
        <v>6100</v>
      </c>
      <c r="Z176" s="66">
        <f t="shared" si="100"/>
        <v>5368</v>
      </c>
      <c r="AA176" s="66"/>
      <c r="AB176" s="66"/>
      <c r="AC176" s="66"/>
      <c r="AD176" s="66">
        <f t="shared" si="101"/>
        <v>5368</v>
      </c>
      <c r="AE176" s="66">
        <f t="shared" si="102"/>
        <v>10936.57527553492</v>
      </c>
      <c r="AF176" s="101">
        <f t="shared" si="103"/>
        <v>79352.744105735022</v>
      </c>
      <c r="AG176" s="101">
        <f t="shared" si="104"/>
        <v>90173.572847426156</v>
      </c>
    </row>
    <row r="177" spans="1:33" s="68" customFormat="1" x14ac:dyDescent="0.2">
      <c r="A177" s="147" t="s">
        <v>851</v>
      </c>
      <c r="B177" s="147"/>
      <c r="C177" s="147"/>
      <c r="D177" s="148">
        <v>1</v>
      </c>
      <c r="E177" s="149"/>
      <c r="F177" s="150">
        <v>0.12</v>
      </c>
      <c r="G177" s="150"/>
      <c r="H177" s="67">
        <v>4905</v>
      </c>
      <c r="I177" s="67">
        <f t="shared" si="105"/>
        <v>4688.6243156476958</v>
      </c>
      <c r="J177" s="67">
        <f t="shared" si="97"/>
        <v>4125.9893977699721</v>
      </c>
      <c r="K177" s="63"/>
      <c r="L177" s="149">
        <v>1114</v>
      </c>
      <c r="M177" s="63">
        <f t="shared" si="85"/>
        <v>1114</v>
      </c>
      <c r="N177" s="63">
        <f t="shared" si="98"/>
        <v>980.32</v>
      </c>
      <c r="O177" s="69"/>
      <c r="P177" s="149">
        <v>0</v>
      </c>
      <c r="Q177" s="63">
        <f t="shared" si="106"/>
        <v>0</v>
      </c>
      <c r="R177" s="64">
        <f t="shared" si="99"/>
        <v>0</v>
      </c>
      <c r="S177" s="148">
        <v>15</v>
      </c>
      <c r="T177" s="151" t="s">
        <v>15</v>
      </c>
      <c r="U177" s="65">
        <f>SUMIF('Avoided Costs 2012-2020_EGD'!$A:$A,'2012 Actuals_Auditor'!T177&amp;'2012 Actuals_Auditor'!S177,'Avoided Costs 2012-2020_EGD'!$E:$E)*J177</f>
        <v>10025.757631426022</v>
      </c>
      <c r="V177" s="65">
        <f>SUMIF('Avoided Costs 2012-2020_EGD'!$A:$A,'2012 Actuals_Auditor'!T177&amp;'2012 Actuals_Auditor'!S177,'Avoided Costs 2012-2020_EGD'!$K:$K)*N177</f>
        <v>1009.5172880720573</v>
      </c>
      <c r="W177" s="65">
        <f>SUMIF('Avoided Costs 2012-2020_EGD'!$A:$A,'2012 Actuals_Auditor'!T177&amp;'2012 Actuals_Auditor'!S177,'Avoided Costs 2012-2020_EGD'!$M:$M)*R177</f>
        <v>0</v>
      </c>
      <c r="X177" s="65">
        <f t="shared" si="96"/>
        <v>11035.274919498079</v>
      </c>
      <c r="Y177" s="146">
        <v>6100</v>
      </c>
      <c r="Z177" s="66">
        <f t="shared" si="100"/>
        <v>5368</v>
      </c>
      <c r="AA177" s="66"/>
      <c r="AB177" s="66"/>
      <c r="AC177" s="66"/>
      <c r="AD177" s="66">
        <f t="shared" si="101"/>
        <v>5368</v>
      </c>
      <c r="AE177" s="66">
        <f t="shared" si="102"/>
        <v>5667.2749194980788</v>
      </c>
      <c r="AF177" s="101">
        <f t="shared" si="103"/>
        <v>61889.840966549586</v>
      </c>
      <c r="AG177" s="101">
        <f t="shared" si="104"/>
        <v>70329.364734715433</v>
      </c>
    </row>
    <row r="178" spans="1:33" s="68" customFormat="1" x14ac:dyDescent="0.2">
      <c r="A178" s="147" t="s">
        <v>852</v>
      </c>
      <c r="B178" s="147"/>
      <c r="C178" s="147"/>
      <c r="D178" s="148">
        <v>1</v>
      </c>
      <c r="E178" s="149"/>
      <c r="F178" s="150">
        <v>0.12</v>
      </c>
      <c r="G178" s="150"/>
      <c r="H178" s="67">
        <v>5838</v>
      </c>
      <c r="I178" s="67">
        <f t="shared" si="105"/>
        <v>5580.4666166669203</v>
      </c>
      <c r="J178" s="67">
        <f t="shared" si="97"/>
        <v>4910.8106226668897</v>
      </c>
      <c r="K178" s="63"/>
      <c r="L178" s="149">
        <v>4936</v>
      </c>
      <c r="M178" s="63">
        <f t="shared" si="85"/>
        <v>4936</v>
      </c>
      <c r="N178" s="63">
        <f t="shared" si="98"/>
        <v>4343.68</v>
      </c>
      <c r="O178" s="69"/>
      <c r="P178" s="149">
        <v>0</v>
      </c>
      <c r="Q178" s="63">
        <f t="shared" si="106"/>
        <v>0</v>
      </c>
      <c r="R178" s="64">
        <f t="shared" si="99"/>
        <v>0</v>
      </c>
      <c r="S178" s="148">
        <v>15</v>
      </c>
      <c r="T178" s="151" t="s">
        <v>15</v>
      </c>
      <c r="U178" s="65">
        <f>SUMIF('Avoided Costs 2012-2020_EGD'!$A:$A,'2012 Actuals_Auditor'!T178&amp;'2012 Actuals_Auditor'!S178,'Avoided Costs 2012-2020_EGD'!$E:$E)*J178</f>
        <v>11932.797768045893</v>
      </c>
      <c r="V178" s="65">
        <f>SUMIF('Avoided Costs 2012-2020_EGD'!$A:$A,'2012 Actuals_Auditor'!T178&amp;'2012 Actuals_Auditor'!S178,'Avoided Costs 2012-2020_EGD'!$K:$K)*N178</f>
        <v>4473.0496713857046</v>
      </c>
      <c r="W178" s="65">
        <f>SUMIF('Avoided Costs 2012-2020_EGD'!$A:$A,'2012 Actuals_Auditor'!T178&amp;'2012 Actuals_Auditor'!S178,'Avoided Costs 2012-2020_EGD'!$M:$M)*R178</f>
        <v>0</v>
      </c>
      <c r="X178" s="65">
        <f t="shared" si="96"/>
        <v>16405.8474394316</v>
      </c>
      <c r="Y178" s="146">
        <v>6100</v>
      </c>
      <c r="Z178" s="66">
        <f t="shared" si="100"/>
        <v>5368</v>
      </c>
      <c r="AA178" s="66"/>
      <c r="AB178" s="66"/>
      <c r="AC178" s="66"/>
      <c r="AD178" s="66">
        <f t="shared" si="101"/>
        <v>5368</v>
      </c>
      <c r="AE178" s="66">
        <f t="shared" si="102"/>
        <v>11037.8474394316</v>
      </c>
      <c r="AF178" s="101">
        <f t="shared" si="103"/>
        <v>73662.159340003345</v>
      </c>
      <c r="AG178" s="101">
        <f t="shared" si="104"/>
        <v>83706.999250003806</v>
      </c>
    </row>
    <row r="179" spans="1:33" s="68" customFormat="1" x14ac:dyDescent="0.2">
      <c r="A179" s="147" t="s">
        <v>853</v>
      </c>
      <c r="B179" s="147"/>
      <c r="C179" s="147"/>
      <c r="D179" s="148">
        <v>1</v>
      </c>
      <c r="E179" s="149"/>
      <c r="F179" s="150">
        <v>0.12</v>
      </c>
      <c r="G179" s="150"/>
      <c r="H179" s="67">
        <v>10226</v>
      </c>
      <c r="I179" s="67">
        <f t="shared" si="105"/>
        <v>9774.8975029181111</v>
      </c>
      <c r="J179" s="67">
        <f t="shared" si="97"/>
        <v>8601.9098025679377</v>
      </c>
      <c r="K179" s="63"/>
      <c r="L179" s="149">
        <v>7880</v>
      </c>
      <c r="M179" s="63">
        <f t="shared" si="85"/>
        <v>7880</v>
      </c>
      <c r="N179" s="63">
        <f t="shared" si="98"/>
        <v>6934.4</v>
      </c>
      <c r="O179" s="69"/>
      <c r="P179" s="149">
        <v>0</v>
      </c>
      <c r="Q179" s="63">
        <f t="shared" si="106"/>
        <v>0</v>
      </c>
      <c r="R179" s="64">
        <f t="shared" si="99"/>
        <v>0</v>
      </c>
      <c r="S179" s="148">
        <v>15</v>
      </c>
      <c r="T179" s="151" t="s">
        <v>15</v>
      </c>
      <c r="U179" s="65">
        <f>SUMIF('Avoided Costs 2012-2020_EGD'!$A:$A,'2012 Actuals_Auditor'!T179&amp;'2012 Actuals_Auditor'!S179,'Avoided Costs 2012-2020_EGD'!$E:$E)*J179</f>
        <v>20901.813973284912</v>
      </c>
      <c r="V179" s="65">
        <f>SUMIF('Avoided Costs 2012-2020_EGD'!$A:$A,'2012 Actuals_Auditor'!T179&amp;'2012 Actuals_Auditor'!S179,'Avoided Costs 2012-2020_EGD'!$K:$K)*N179</f>
        <v>7140.9301885168861</v>
      </c>
      <c r="W179" s="65">
        <f>SUMIF('Avoided Costs 2012-2020_EGD'!$A:$A,'2012 Actuals_Auditor'!T179&amp;'2012 Actuals_Auditor'!S179,'Avoided Costs 2012-2020_EGD'!$M:$M)*R179</f>
        <v>0</v>
      </c>
      <c r="X179" s="65">
        <f t="shared" si="96"/>
        <v>28042.744161801798</v>
      </c>
      <c r="Y179" s="146">
        <v>6100</v>
      </c>
      <c r="Z179" s="66">
        <f t="shared" si="100"/>
        <v>5368</v>
      </c>
      <c r="AA179" s="66"/>
      <c r="AB179" s="66"/>
      <c r="AC179" s="66"/>
      <c r="AD179" s="66">
        <f t="shared" si="101"/>
        <v>5368</v>
      </c>
      <c r="AE179" s="66">
        <f t="shared" si="102"/>
        <v>22674.744161801798</v>
      </c>
      <c r="AF179" s="101">
        <f t="shared" si="103"/>
        <v>129028.64703851906</v>
      </c>
      <c r="AG179" s="101">
        <f t="shared" si="104"/>
        <v>146623.46254377166</v>
      </c>
    </row>
    <row r="180" spans="1:33" s="68" customFormat="1" x14ac:dyDescent="0.2">
      <c r="A180" s="147" t="s">
        <v>854</v>
      </c>
      <c r="B180" s="147"/>
      <c r="C180" s="147"/>
      <c r="D180" s="148">
        <v>1</v>
      </c>
      <c r="E180" s="149"/>
      <c r="F180" s="150">
        <v>0.12</v>
      </c>
      <c r="G180" s="150"/>
      <c r="H180" s="67">
        <v>11038</v>
      </c>
      <c r="I180" s="67">
        <f t="shared" si="105"/>
        <v>10551.07751195092</v>
      </c>
      <c r="J180" s="67">
        <f t="shared" si="97"/>
        <v>9284.9482105168099</v>
      </c>
      <c r="K180" s="63"/>
      <c r="L180" s="149">
        <v>6648</v>
      </c>
      <c r="M180" s="63">
        <f t="shared" si="85"/>
        <v>6648</v>
      </c>
      <c r="N180" s="63">
        <f t="shared" si="98"/>
        <v>5850.24</v>
      </c>
      <c r="O180" s="69"/>
      <c r="P180" s="149">
        <v>0</v>
      </c>
      <c r="Q180" s="63">
        <f t="shared" si="106"/>
        <v>0</v>
      </c>
      <c r="R180" s="64">
        <f t="shared" si="99"/>
        <v>0</v>
      </c>
      <c r="S180" s="148">
        <v>15</v>
      </c>
      <c r="T180" s="151" t="s">
        <v>15</v>
      </c>
      <c r="U180" s="65">
        <f>SUMIF('Avoided Costs 2012-2020_EGD'!$A:$A,'2012 Actuals_Auditor'!T180&amp;'2012 Actuals_Auditor'!S180,'Avoided Costs 2012-2020_EGD'!$E:$E)*J180</f>
        <v>22561.531648456767</v>
      </c>
      <c r="V180" s="65">
        <f>SUMIF('Avoided Costs 2012-2020_EGD'!$A:$A,'2012 Actuals_Auditor'!T180&amp;'2012 Actuals_Auditor'!S180,'Avoided Costs 2012-2020_EGD'!$K:$K)*N180</f>
        <v>6024.4801895000328</v>
      </c>
      <c r="W180" s="65">
        <f>SUMIF('Avoided Costs 2012-2020_EGD'!$A:$A,'2012 Actuals_Auditor'!T180&amp;'2012 Actuals_Auditor'!S180,'Avoided Costs 2012-2020_EGD'!$M:$M)*R180</f>
        <v>0</v>
      </c>
      <c r="X180" s="65">
        <f t="shared" si="96"/>
        <v>28586.011837956801</v>
      </c>
      <c r="Y180" s="146">
        <v>6100</v>
      </c>
      <c r="Z180" s="66">
        <f t="shared" si="100"/>
        <v>5368</v>
      </c>
      <c r="AA180" s="66"/>
      <c r="AB180" s="66"/>
      <c r="AC180" s="66"/>
      <c r="AD180" s="66">
        <f t="shared" si="101"/>
        <v>5368</v>
      </c>
      <c r="AE180" s="66">
        <f t="shared" si="102"/>
        <v>23218.011837956801</v>
      </c>
      <c r="AF180" s="101">
        <f t="shared" si="103"/>
        <v>139274.22315775216</v>
      </c>
      <c r="AG180" s="101">
        <f t="shared" si="104"/>
        <v>158266.1626792638</v>
      </c>
    </row>
    <row r="181" spans="1:33" s="68" customFormat="1" x14ac:dyDescent="0.2">
      <c r="A181" s="147" t="s">
        <v>855</v>
      </c>
      <c r="B181" s="147"/>
      <c r="C181" s="147"/>
      <c r="D181" s="148">
        <v>1</v>
      </c>
      <c r="E181" s="149"/>
      <c r="F181" s="150">
        <v>0.12</v>
      </c>
      <c r="G181" s="150"/>
      <c r="H181" s="67">
        <v>9396</v>
      </c>
      <c r="I181" s="67">
        <f t="shared" si="105"/>
        <v>8981.5115330939334</v>
      </c>
      <c r="J181" s="67">
        <f t="shared" si="97"/>
        <v>7903.7301491226617</v>
      </c>
      <c r="K181" s="63"/>
      <c r="L181" s="149">
        <v>6916</v>
      </c>
      <c r="M181" s="63">
        <f t="shared" si="85"/>
        <v>6916</v>
      </c>
      <c r="N181" s="63">
        <f t="shared" si="98"/>
        <v>6086.08</v>
      </c>
      <c r="O181" s="69"/>
      <c r="P181" s="149">
        <v>0</v>
      </c>
      <c r="Q181" s="63">
        <f t="shared" si="106"/>
        <v>0</v>
      </c>
      <c r="R181" s="64">
        <f t="shared" si="99"/>
        <v>0</v>
      </c>
      <c r="S181" s="148">
        <v>15</v>
      </c>
      <c r="T181" s="151" t="s">
        <v>15</v>
      </c>
      <c r="U181" s="65">
        <f>SUMIF('Avoided Costs 2012-2020_EGD'!$A:$A,'2012 Actuals_Auditor'!T181&amp;'2012 Actuals_Auditor'!S181,'Avoided Costs 2012-2020_EGD'!$E:$E)*J181</f>
        <v>19205.304526988562</v>
      </c>
      <c r="V181" s="65">
        <f>SUMIF('Avoided Costs 2012-2020_EGD'!$A:$A,'2012 Actuals_Auditor'!T181&amp;'2012 Actuals_Auditor'!S181,'Avoided Costs 2012-2020_EGD'!$K:$K)*N181</f>
        <v>6267.3443126627899</v>
      </c>
      <c r="W181" s="65">
        <f>SUMIF('Avoided Costs 2012-2020_EGD'!$A:$A,'2012 Actuals_Auditor'!T181&amp;'2012 Actuals_Auditor'!S181,'Avoided Costs 2012-2020_EGD'!$M:$M)*R181</f>
        <v>0</v>
      </c>
      <c r="X181" s="65">
        <f t="shared" si="96"/>
        <v>25472.648839651352</v>
      </c>
      <c r="Y181" s="146">
        <v>6100</v>
      </c>
      <c r="Z181" s="66">
        <f t="shared" si="100"/>
        <v>5368</v>
      </c>
      <c r="AA181" s="66"/>
      <c r="AB181" s="66"/>
      <c r="AC181" s="66"/>
      <c r="AD181" s="66">
        <f t="shared" si="101"/>
        <v>5368</v>
      </c>
      <c r="AE181" s="66">
        <f t="shared" si="102"/>
        <v>20104.648839651352</v>
      </c>
      <c r="AF181" s="101">
        <f t="shared" si="103"/>
        <v>118555.95223683992</v>
      </c>
      <c r="AG181" s="101">
        <f t="shared" si="104"/>
        <v>134722.672996409</v>
      </c>
    </row>
    <row r="182" spans="1:33" s="68" customFormat="1" x14ac:dyDescent="0.2">
      <c r="A182" s="147" t="s">
        <v>856</v>
      </c>
      <c r="B182" s="147"/>
      <c r="C182" s="147"/>
      <c r="D182" s="148">
        <v>1</v>
      </c>
      <c r="E182" s="149"/>
      <c r="F182" s="150">
        <v>0.12</v>
      </c>
      <c r="G182" s="150"/>
      <c r="H182" s="67">
        <v>11092</v>
      </c>
      <c r="I182" s="67">
        <f t="shared" si="105"/>
        <v>10602.695394325023</v>
      </c>
      <c r="J182" s="67">
        <f t="shared" si="97"/>
        <v>9330.3719470060205</v>
      </c>
      <c r="K182" s="63"/>
      <c r="L182" s="149">
        <v>6648</v>
      </c>
      <c r="M182" s="63">
        <f t="shared" si="85"/>
        <v>6648</v>
      </c>
      <c r="N182" s="63">
        <f t="shared" si="98"/>
        <v>5850.24</v>
      </c>
      <c r="O182" s="69"/>
      <c r="P182" s="149">
        <v>0</v>
      </c>
      <c r="Q182" s="63">
        <f t="shared" si="106"/>
        <v>0</v>
      </c>
      <c r="R182" s="64">
        <f t="shared" si="99"/>
        <v>0</v>
      </c>
      <c r="S182" s="148">
        <v>15</v>
      </c>
      <c r="T182" s="151" t="s">
        <v>15</v>
      </c>
      <c r="U182" s="65">
        <f>SUMIF('Avoided Costs 2012-2020_EGD'!$A:$A,'2012 Actuals_Auditor'!T182&amp;'2012 Actuals_Auditor'!S182,'Avoided Costs 2012-2020_EGD'!$E:$E)*J182</f>
        <v>22671.90696183026</v>
      </c>
      <c r="V182" s="65">
        <f>SUMIF('Avoided Costs 2012-2020_EGD'!$A:$A,'2012 Actuals_Auditor'!T182&amp;'2012 Actuals_Auditor'!S182,'Avoided Costs 2012-2020_EGD'!$K:$K)*N182</f>
        <v>6024.4801895000328</v>
      </c>
      <c r="W182" s="65">
        <f>SUMIF('Avoided Costs 2012-2020_EGD'!$A:$A,'2012 Actuals_Auditor'!T182&amp;'2012 Actuals_Auditor'!S182,'Avoided Costs 2012-2020_EGD'!$M:$M)*R182</f>
        <v>0</v>
      </c>
      <c r="X182" s="65">
        <f t="shared" si="96"/>
        <v>28696.387151330295</v>
      </c>
      <c r="Y182" s="146">
        <v>6100</v>
      </c>
      <c r="Z182" s="66">
        <f t="shared" si="100"/>
        <v>5368</v>
      </c>
      <c r="AA182" s="66"/>
      <c r="AB182" s="66"/>
      <c r="AC182" s="66"/>
      <c r="AD182" s="66">
        <f t="shared" si="101"/>
        <v>5368</v>
      </c>
      <c r="AE182" s="66">
        <f t="shared" si="102"/>
        <v>23328.387151330295</v>
      </c>
      <c r="AF182" s="101">
        <f t="shared" si="103"/>
        <v>139955.5792050903</v>
      </c>
      <c r="AG182" s="101">
        <f t="shared" si="104"/>
        <v>159040.43091487535</v>
      </c>
    </row>
    <row r="183" spans="1:33" s="68" customFormat="1" x14ac:dyDescent="0.2">
      <c r="A183" s="147" t="s">
        <v>857</v>
      </c>
      <c r="B183" s="147"/>
      <c r="C183" s="147"/>
      <c r="D183" s="148">
        <v>1</v>
      </c>
      <c r="E183" s="149"/>
      <c r="F183" s="150">
        <v>0.12</v>
      </c>
      <c r="G183" s="150"/>
      <c r="H183" s="67">
        <v>10669</v>
      </c>
      <c r="I183" s="67">
        <f t="shared" si="105"/>
        <v>10198.355315727882</v>
      </c>
      <c r="J183" s="67">
        <f t="shared" si="97"/>
        <v>8974.5526778405365</v>
      </c>
      <c r="K183" s="63"/>
      <c r="L183" s="149">
        <v>7880</v>
      </c>
      <c r="M183" s="63">
        <f t="shared" si="85"/>
        <v>7880</v>
      </c>
      <c r="N183" s="63">
        <f t="shared" si="98"/>
        <v>6934.4</v>
      </c>
      <c r="O183" s="69"/>
      <c r="P183" s="149">
        <v>0</v>
      </c>
      <c r="Q183" s="63">
        <f t="shared" si="106"/>
        <v>0</v>
      </c>
      <c r="R183" s="64">
        <f t="shared" si="99"/>
        <v>0</v>
      </c>
      <c r="S183" s="148">
        <v>15</v>
      </c>
      <c r="T183" s="151" t="s">
        <v>15</v>
      </c>
      <c r="U183" s="65">
        <f>SUMIF('Avoided Costs 2012-2020_EGD'!$A:$A,'2012 Actuals_Auditor'!T183&amp;'2012 Actuals_Auditor'!S183,'Avoided Costs 2012-2020_EGD'!$E:$E)*J183</f>
        <v>21807.30034040453</v>
      </c>
      <c r="V183" s="65">
        <f>SUMIF('Avoided Costs 2012-2020_EGD'!$A:$A,'2012 Actuals_Auditor'!T183&amp;'2012 Actuals_Auditor'!S183,'Avoided Costs 2012-2020_EGD'!$K:$K)*N183</f>
        <v>7140.9301885168861</v>
      </c>
      <c r="W183" s="65">
        <f>SUMIF('Avoided Costs 2012-2020_EGD'!$A:$A,'2012 Actuals_Auditor'!T183&amp;'2012 Actuals_Auditor'!S183,'Avoided Costs 2012-2020_EGD'!$M:$M)*R183</f>
        <v>0</v>
      </c>
      <c r="X183" s="65">
        <f t="shared" si="96"/>
        <v>28948.230528921416</v>
      </c>
      <c r="Y183" s="146">
        <v>6100</v>
      </c>
      <c r="Z183" s="66">
        <f t="shared" si="100"/>
        <v>5368</v>
      </c>
      <c r="AA183" s="66"/>
      <c r="AB183" s="66"/>
      <c r="AC183" s="66"/>
      <c r="AD183" s="66">
        <f t="shared" si="101"/>
        <v>5368</v>
      </c>
      <c r="AE183" s="66">
        <f t="shared" si="102"/>
        <v>23580.230528921416</v>
      </c>
      <c r="AF183" s="101">
        <f t="shared" si="103"/>
        <v>134618.29016760804</v>
      </c>
      <c r="AG183" s="101">
        <f t="shared" si="104"/>
        <v>152975.32973591823</v>
      </c>
    </row>
    <row r="184" spans="1:33" s="68" customFormat="1" x14ac:dyDescent="0.2">
      <c r="A184" s="147" t="s">
        <v>858</v>
      </c>
      <c r="B184" s="147"/>
      <c r="C184" s="147"/>
      <c r="D184" s="148">
        <v>1</v>
      </c>
      <c r="E184" s="149"/>
      <c r="F184" s="150">
        <v>0.12</v>
      </c>
      <c r="G184" s="150"/>
      <c r="H184" s="67">
        <v>7051</v>
      </c>
      <c r="I184" s="67">
        <f t="shared" si="105"/>
        <v>6739.9571966629765</v>
      </c>
      <c r="J184" s="67">
        <f t="shared" si="97"/>
        <v>5931.1623330634193</v>
      </c>
      <c r="K184" s="63"/>
      <c r="L184" s="149">
        <v>1601</v>
      </c>
      <c r="M184" s="63">
        <f t="shared" si="85"/>
        <v>1601</v>
      </c>
      <c r="N184" s="63">
        <f t="shared" si="98"/>
        <v>1408.88</v>
      </c>
      <c r="O184" s="69"/>
      <c r="P184" s="149">
        <v>0</v>
      </c>
      <c r="Q184" s="63">
        <f t="shared" si="106"/>
        <v>0</v>
      </c>
      <c r="R184" s="64">
        <f t="shared" si="99"/>
        <v>0</v>
      </c>
      <c r="S184" s="148">
        <v>15</v>
      </c>
      <c r="T184" s="151" t="s">
        <v>15</v>
      </c>
      <c r="U184" s="65">
        <f>SUMIF('Avoided Costs 2012-2020_EGD'!$A:$A,'2012 Actuals_Auditor'!T184&amp;'2012 Actuals_Auditor'!S184,'Avoided Costs 2012-2020_EGD'!$E:$E)*J184</f>
        <v>14412.154344380198</v>
      </c>
      <c r="V184" s="65">
        <f>SUMIF('Avoided Costs 2012-2020_EGD'!$A:$A,'2012 Actuals_Auditor'!T184&amp;'2012 Actuals_Auditor'!S184,'Avoided Costs 2012-2020_EGD'!$K:$K)*N184</f>
        <v>1450.8412730730377</v>
      </c>
      <c r="W184" s="65">
        <f>SUMIF('Avoided Costs 2012-2020_EGD'!$A:$A,'2012 Actuals_Auditor'!T184&amp;'2012 Actuals_Auditor'!S184,'Avoided Costs 2012-2020_EGD'!$M:$M)*R184</f>
        <v>0</v>
      </c>
      <c r="X184" s="65">
        <f t="shared" si="96"/>
        <v>15862.995617453236</v>
      </c>
      <c r="Y184" s="146">
        <v>6100</v>
      </c>
      <c r="Z184" s="66">
        <f t="shared" si="100"/>
        <v>5368</v>
      </c>
      <c r="AA184" s="66"/>
      <c r="AB184" s="66"/>
      <c r="AC184" s="66"/>
      <c r="AD184" s="66">
        <f t="shared" si="101"/>
        <v>5368</v>
      </c>
      <c r="AE184" s="66">
        <f t="shared" si="102"/>
        <v>10494.995617453236</v>
      </c>
      <c r="AF184" s="101">
        <f t="shared" si="103"/>
        <v>88967.434995951291</v>
      </c>
      <c r="AG184" s="101">
        <f t="shared" si="104"/>
        <v>101099.35794994465</v>
      </c>
    </row>
    <row r="185" spans="1:33" s="68" customFormat="1" x14ac:dyDescent="0.2">
      <c r="A185" s="147" t="s">
        <v>859</v>
      </c>
      <c r="B185" s="147"/>
      <c r="C185" s="147"/>
      <c r="D185" s="148">
        <v>1</v>
      </c>
      <c r="E185" s="149"/>
      <c r="F185" s="150">
        <v>0.12</v>
      </c>
      <c r="G185" s="150"/>
      <c r="H185" s="67">
        <v>10716</v>
      </c>
      <c r="I185" s="67">
        <f t="shared" si="105"/>
        <v>10243.281991127564</v>
      </c>
      <c r="J185" s="67">
        <f t="shared" si="97"/>
        <v>9014.0881521922565</v>
      </c>
      <c r="K185" s="63"/>
      <c r="L185" s="149">
        <v>7915</v>
      </c>
      <c r="M185" s="63">
        <f t="shared" si="85"/>
        <v>7915</v>
      </c>
      <c r="N185" s="63">
        <f t="shared" si="98"/>
        <v>6965.2</v>
      </c>
      <c r="O185" s="69"/>
      <c r="P185" s="149">
        <v>0</v>
      </c>
      <c r="Q185" s="63">
        <f t="shared" si="106"/>
        <v>0</v>
      </c>
      <c r="R185" s="64">
        <f t="shared" si="99"/>
        <v>0</v>
      </c>
      <c r="S185" s="148">
        <v>15</v>
      </c>
      <c r="T185" s="151" t="s">
        <v>15</v>
      </c>
      <c r="U185" s="65">
        <f>SUMIF('Avoided Costs 2012-2020_EGD'!$A:$A,'2012 Actuals_Auditor'!T185&amp;'2012 Actuals_Auditor'!S185,'Avoided Costs 2012-2020_EGD'!$E:$E)*J185</f>
        <v>21903.367742785165</v>
      </c>
      <c r="V185" s="65">
        <f>SUMIF('Avoided Costs 2012-2020_EGD'!$A:$A,'2012 Actuals_Auditor'!T185&amp;'2012 Actuals_Auditor'!S185,'Avoided Costs 2012-2020_EGD'!$K:$K)*N185</f>
        <v>7172.6475180344105</v>
      </c>
      <c r="W185" s="65">
        <f>SUMIF('Avoided Costs 2012-2020_EGD'!$A:$A,'2012 Actuals_Auditor'!T185&amp;'2012 Actuals_Auditor'!S185,'Avoided Costs 2012-2020_EGD'!$M:$M)*R185</f>
        <v>0</v>
      </c>
      <c r="X185" s="65">
        <f t="shared" si="96"/>
        <v>29076.015260819575</v>
      </c>
      <c r="Y185" s="146">
        <v>6100</v>
      </c>
      <c r="Z185" s="66">
        <f t="shared" si="100"/>
        <v>5368</v>
      </c>
      <c r="AA185" s="66"/>
      <c r="AB185" s="66"/>
      <c r="AC185" s="66"/>
      <c r="AD185" s="66">
        <f t="shared" si="101"/>
        <v>5368</v>
      </c>
      <c r="AE185" s="66">
        <f t="shared" si="102"/>
        <v>23708.015260819575</v>
      </c>
      <c r="AF185" s="101">
        <f t="shared" si="103"/>
        <v>135211.32228288386</v>
      </c>
      <c r="AG185" s="101">
        <f t="shared" si="104"/>
        <v>153649.22986691346</v>
      </c>
    </row>
    <row r="186" spans="1:33" s="68" customFormat="1" x14ac:dyDescent="0.2">
      <c r="A186" s="147" t="s">
        <v>860</v>
      </c>
      <c r="B186" s="147"/>
      <c r="C186" s="147"/>
      <c r="D186" s="148">
        <v>1</v>
      </c>
      <c r="E186" s="149"/>
      <c r="F186" s="150">
        <v>0.12</v>
      </c>
      <c r="G186" s="150"/>
      <c r="H186" s="67">
        <v>7706</v>
      </c>
      <c r="I186" s="67">
        <f t="shared" si="105"/>
        <v>7366.0629921266345</v>
      </c>
      <c r="J186" s="67">
        <f t="shared" si="97"/>
        <v>6482.1354330714385</v>
      </c>
      <c r="K186" s="63"/>
      <c r="L186" s="149">
        <v>1749</v>
      </c>
      <c r="M186" s="63">
        <f t="shared" si="85"/>
        <v>1749</v>
      </c>
      <c r="N186" s="63">
        <f t="shared" si="98"/>
        <v>1539.1200000000001</v>
      </c>
      <c r="O186" s="69"/>
      <c r="P186" s="149">
        <v>0</v>
      </c>
      <c r="Q186" s="63">
        <f t="shared" si="106"/>
        <v>0</v>
      </c>
      <c r="R186" s="64">
        <f t="shared" si="99"/>
        <v>0</v>
      </c>
      <c r="S186" s="148">
        <v>15</v>
      </c>
      <c r="T186" s="151" t="s">
        <v>15</v>
      </c>
      <c r="U186" s="65">
        <f>SUMIF('Avoided Costs 2012-2020_EGD'!$A:$A,'2012 Actuals_Auditor'!T186&amp;'2012 Actuals_Auditor'!S186,'Avoided Costs 2012-2020_EGD'!$E:$E)*J186</f>
        <v>15750.96601585503</v>
      </c>
      <c r="V186" s="65">
        <f>SUMIF('Avoided Costs 2012-2020_EGD'!$A:$A,'2012 Actuals_Auditor'!T186&amp;'2012 Actuals_Auditor'!S186,'Avoided Costs 2012-2020_EGD'!$K:$K)*N186</f>
        <v>1584.9602664614258</v>
      </c>
      <c r="W186" s="65">
        <f>SUMIF('Avoided Costs 2012-2020_EGD'!$A:$A,'2012 Actuals_Auditor'!T186&amp;'2012 Actuals_Auditor'!S186,'Avoided Costs 2012-2020_EGD'!$M:$M)*R186</f>
        <v>0</v>
      </c>
      <c r="X186" s="65">
        <f t="shared" si="96"/>
        <v>17335.926282316457</v>
      </c>
      <c r="Y186" s="146">
        <v>6100</v>
      </c>
      <c r="Z186" s="66">
        <f t="shared" si="100"/>
        <v>5368</v>
      </c>
      <c r="AA186" s="66"/>
      <c r="AB186" s="66"/>
      <c r="AC186" s="66"/>
      <c r="AD186" s="66">
        <f t="shared" si="101"/>
        <v>5368</v>
      </c>
      <c r="AE186" s="66">
        <f t="shared" si="102"/>
        <v>11967.926282316457</v>
      </c>
      <c r="AF186" s="101">
        <f t="shared" si="103"/>
        <v>97232.031496071577</v>
      </c>
      <c r="AG186" s="101">
        <f t="shared" si="104"/>
        <v>110490.94488189952</v>
      </c>
    </row>
    <row r="187" spans="1:33" s="68" customFormat="1" x14ac:dyDescent="0.2">
      <c r="A187" s="147" t="s">
        <v>861</v>
      </c>
      <c r="B187" s="147"/>
      <c r="C187" s="147"/>
      <c r="D187" s="148">
        <v>1</v>
      </c>
      <c r="E187" s="149"/>
      <c r="F187" s="150">
        <v>0.12</v>
      </c>
      <c r="G187" s="150"/>
      <c r="H187" s="67">
        <v>11092</v>
      </c>
      <c r="I187" s="67">
        <f t="shared" si="105"/>
        <v>10602.695394325023</v>
      </c>
      <c r="J187" s="67">
        <f t="shared" si="97"/>
        <v>9330.3719470060205</v>
      </c>
      <c r="K187" s="63"/>
      <c r="L187" s="149">
        <v>8410</v>
      </c>
      <c r="M187" s="63">
        <f t="shared" si="85"/>
        <v>8410</v>
      </c>
      <c r="N187" s="63">
        <f t="shared" si="98"/>
        <v>7400.8</v>
      </c>
      <c r="O187" s="69"/>
      <c r="P187" s="149">
        <v>0</v>
      </c>
      <c r="Q187" s="63">
        <f t="shared" si="106"/>
        <v>0</v>
      </c>
      <c r="R187" s="64">
        <f t="shared" si="99"/>
        <v>0</v>
      </c>
      <c r="S187" s="148">
        <v>15</v>
      </c>
      <c r="T187" s="151" t="s">
        <v>15</v>
      </c>
      <c r="U187" s="65">
        <f>SUMIF('Avoided Costs 2012-2020_EGD'!$A:$A,'2012 Actuals_Auditor'!T187&amp;'2012 Actuals_Auditor'!S187,'Avoided Costs 2012-2020_EGD'!$E:$E)*J187</f>
        <v>22671.90696183026</v>
      </c>
      <c r="V187" s="65">
        <f>SUMIF('Avoided Costs 2012-2020_EGD'!$A:$A,'2012 Actuals_Auditor'!T187&amp;'2012 Actuals_Auditor'!S187,'Avoided Costs 2012-2020_EGD'!$K:$K)*N187</f>
        <v>7621.2211783536823</v>
      </c>
      <c r="W187" s="65">
        <f>SUMIF('Avoided Costs 2012-2020_EGD'!$A:$A,'2012 Actuals_Auditor'!T187&amp;'2012 Actuals_Auditor'!S187,'Avoided Costs 2012-2020_EGD'!$M:$M)*R187</f>
        <v>0</v>
      </c>
      <c r="X187" s="65">
        <f t="shared" si="96"/>
        <v>30293.128140183944</v>
      </c>
      <c r="Y187" s="146">
        <v>6100</v>
      </c>
      <c r="Z187" s="66">
        <f t="shared" si="100"/>
        <v>5368</v>
      </c>
      <c r="AA187" s="66"/>
      <c r="AB187" s="66"/>
      <c r="AC187" s="66"/>
      <c r="AD187" s="66">
        <f t="shared" si="101"/>
        <v>5368</v>
      </c>
      <c r="AE187" s="66">
        <f t="shared" si="102"/>
        <v>24925.128140183944</v>
      </c>
      <c r="AF187" s="101">
        <f t="shared" si="103"/>
        <v>139955.5792050903</v>
      </c>
      <c r="AG187" s="101">
        <f t="shared" si="104"/>
        <v>159040.43091487535</v>
      </c>
    </row>
    <row r="188" spans="1:33" s="68" customFormat="1" x14ac:dyDescent="0.2">
      <c r="A188" s="147" t="s">
        <v>862</v>
      </c>
      <c r="B188" s="147"/>
      <c r="C188" s="147"/>
      <c r="D188" s="148">
        <v>1</v>
      </c>
      <c r="E188" s="149"/>
      <c r="F188" s="150">
        <v>0.12</v>
      </c>
      <c r="G188" s="150"/>
      <c r="H188" s="67">
        <v>7930</v>
      </c>
      <c r="I188" s="67">
        <f t="shared" si="105"/>
        <v>7580.181615308099</v>
      </c>
      <c r="J188" s="67">
        <f t="shared" si="97"/>
        <v>6670.5598214711272</v>
      </c>
      <c r="K188" s="63"/>
      <c r="L188" s="149">
        <v>1800</v>
      </c>
      <c r="M188" s="63">
        <f t="shared" si="85"/>
        <v>1800</v>
      </c>
      <c r="N188" s="63">
        <f t="shared" si="98"/>
        <v>1584</v>
      </c>
      <c r="O188" s="69"/>
      <c r="P188" s="149">
        <v>0</v>
      </c>
      <c r="Q188" s="63">
        <f t="shared" si="106"/>
        <v>0</v>
      </c>
      <c r="R188" s="64">
        <f t="shared" si="99"/>
        <v>0</v>
      </c>
      <c r="S188" s="148">
        <v>15</v>
      </c>
      <c r="T188" s="151" t="s">
        <v>15</v>
      </c>
      <c r="U188" s="65">
        <f>SUMIF('Avoided Costs 2012-2020_EGD'!$A:$A,'2012 Actuals_Auditor'!T188&amp;'2012 Actuals_Auditor'!S188,'Avoided Costs 2012-2020_EGD'!$E:$E)*J188</f>
        <v>16208.819167626576</v>
      </c>
      <c r="V188" s="65">
        <f>SUMIF('Avoided Costs 2012-2020_EGD'!$A:$A,'2012 Actuals_Auditor'!T188&amp;'2012 Actuals_Auditor'!S188,'Avoided Costs 2012-2020_EGD'!$K:$K)*N188</f>
        <v>1631.1769466155324</v>
      </c>
      <c r="W188" s="65">
        <f>SUMIF('Avoided Costs 2012-2020_EGD'!$A:$A,'2012 Actuals_Auditor'!T188&amp;'2012 Actuals_Auditor'!S188,'Avoided Costs 2012-2020_EGD'!$M:$M)*R188</f>
        <v>0</v>
      </c>
      <c r="X188" s="65">
        <f t="shared" si="96"/>
        <v>17839.996114242109</v>
      </c>
      <c r="Y188" s="146">
        <v>6100</v>
      </c>
      <c r="Z188" s="66">
        <f t="shared" si="100"/>
        <v>5368</v>
      </c>
      <c r="AA188" s="66"/>
      <c r="AB188" s="66"/>
      <c r="AC188" s="66"/>
      <c r="AD188" s="66">
        <f t="shared" si="101"/>
        <v>5368</v>
      </c>
      <c r="AE188" s="66">
        <f t="shared" si="102"/>
        <v>12471.996114242109</v>
      </c>
      <c r="AF188" s="101">
        <f t="shared" si="103"/>
        <v>100058.39732206691</v>
      </c>
      <c r="AG188" s="101">
        <f t="shared" si="104"/>
        <v>113702.72422962148</v>
      </c>
    </row>
    <row r="189" spans="1:33" s="68" customFormat="1" x14ac:dyDescent="0.2">
      <c r="A189" s="147" t="s">
        <v>863</v>
      </c>
      <c r="B189" s="147"/>
      <c r="C189" s="147"/>
      <c r="D189" s="148">
        <v>1</v>
      </c>
      <c r="E189" s="149"/>
      <c r="F189" s="150">
        <v>0.12</v>
      </c>
      <c r="G189" s="150"/>
      <c r="H189" s="67">
        <v>8155</v>
      </c>
      <c r="I189" s="67">
        <f t="shared" si="105"/>
        <v>7795.2561252001951</v>
      </c>
      <c r="J189" s="67">
        <f t="shared" si="97"/>
        <v>6859.8253901761718</v>
      </c>
      <c r="K189" s="63"/>
      <c r="L189" s="149">
        <v>1852</v>
      </c>
      <c r="M189" s="63">
        <f t="shared" si="85"/>
        <v>1852</v>
      </c>
      <c r="N189" s="63">
        <f t="shared" si="98"/>
        <v>1629.76</v>
      </c>
      <c r="O189" s="69"/>
      <c r="P189" s="149">
        <v>0</v>
      </c>
      <c r="Q189" s="63">
        <f t="shared" si="106"/>
        <v>0</v>
      </c>
      <c r="R189" s="64">
        <f t="shared" si="99"/>
        <v>0</v>
      </c>
      <c r="S189" s="148">
        <v>15</v>
      </c>
      <c r="T189" s="151" t="s">
        <v>15</v>
      </c>
      <c r="U189" s="65">
        <f>SUMIF('Avoided Costs 2012-2020_EGD'!$A:$A,'2012 Actuals_Auditor'!T189&amp;'2012 Actuals_Auditor'!S189,'Avoided Costs 2012-2020_EGD'!$E:$E)*J189</f>
        <v>16668.716306682814</v>
      </c>
      <c r="V189" s="65">
        <f>SUMIF('Avoided Costs 2012-2020_EGD'!$A:$A,'2012 Actuals_Auditor'!T189&amp;'2012 Actuals_Auditor'!S189,'Avoided Costs 2012-2020_EGD'!$K:$K)*N189</f>
        <v>1678.2998361844257</v>
      </c>
      <c r="W189" s="65">
        <f>SUMIF('Avoided Costs 2012-2020_EGD'!$A:$A,'2012 Actuals_Auditor'!T189&amp;'2012 Actuals_Auditor'!S189,'Avoided Costs 2012-2020_EGD'!$M:$M)*R189</f>
        <v>0</v>
      </c>
      <c r="X189" s="65">
        <f t="shared" si="96"/>
        <v>18347.01614286724</v>
      </c>
      <c r="Y189" s="146">
        <v>6100</v>
      </c>
      <c r="Z189" s="66">
        <f t="shared" si="100"/>
        <v>5368</v>
      </c>
      <c r="AA189" s="66"/>
      <c r="AB189" s="66"/>
      <c r="AC189" s="66"/>
      <c r="AD189" s="66">
        <f t="shared" si="101"/>
        <v>5368</v>
      </c>
      <c r="AE189" s="66">
        <f t="shared" si="102"/>
        <v>12979.01614286724</v>
      </c>
      <c r="AF189" s="101">
        <f t="shared" si="103"/>
        <v>102897.38085264257</v>
      </c>
      <c r="AG189" s="101">
        <f t="shared" si="104"/>
        <v>116928.84187800293</v>
      </c>
    </row>
    <row r="190" spans="1:33" s="68" customFormat="1" x14ac:dyDescent="0.2">
      <c r="A190" s="147" t="s">
        <v>864</v>
      </c>
      <c r="B190" s="147"/>
      <c r="C190" s="147"/>
      <c r="D190" s="148">
        <v>1</v>
      </c>
      <c r="E190" s="149"/>
      <c r="F190" s="150">
        <v>0.12</v>
      </c>
      <c r="G190" s="150"/>
      <c r="H190" s="67">
        <v>11579</v>
      </c>
      <c r="I190" s="67">
        <f t="shared" si="105"/>
        <v>11068.212222402582</v>
      </c>
      <c r="J190" s="67">
        <f t="shared" si="97"/>
        <v>9740.0267557142724</v>
      </c>
      <c r="K190" s="63"/>
      <c r="L190" s="149">
        <v>6812</v>
      </c>
      <c r="M190" s="63">
        <f t="shared" si="85"/>
        <v>6812</v>
      </c>
      <c r="N190" s="63">
        <f t="shared" si="98"/>
        <v>5994.56</v>
      </c>
      <c r="O190" s="69"/>
      <c r="P190" s="149">
        <v>0</v>
      </c>
      <c r="Q190" s="63">
        <f t="shared" si="106"/>
        <v>0</v>
      </c>
      <c r="R190" s="64">
        <f t="shared" si="99"/>
        <v>0</v>
      </c>
      <c r="S190" s="148">
        <v>15</v>
      </c>
      <c r="T190" s="151" t="s">
        <v>15</v>
      </c>
      <c r="U190" s="65">
        <f>SUMIF('Avoided Costs 2012-2020_EGD'!$A:$A,'2012 Actuals_Auditor'!T190&amp;'2012 Actuals_Auditor'!S190,'Avoided Costs 2012-2020_EGD'!$E:$E)*J190</f>
        <v>23667.328769476433</v>
      </c>
      <c r="V190" s="65">
        <f>SUMIF('Avoided Costs 2012-2020_EGD'!$A:$A,'2012 Actuals_Auditor'!T190&amp;'2012 Actuals_Auditor'!S190,'Avoided Costs 2012-2020_EGD'!$K:$K)*N190</f>
        <v>6173.0985335250043</v>
      </c>
      <c r="W190" s="65">
        <f>SUMIF('Avoided Costs 2012-2020_EGD'!$A:$A,'2012 Actuals_Auditor'!T190&amp;'2012 Actuals_Auditor'!S190,'Avoided Costs 2012-2020_EGD'!$M:$M)*R190</f>
        <v>0</v>
      </c>
      <c r="X190" s="65">
        <f t="shared" si="96"/>
        <v>29840.427303001437</v>
      </c>
      <c r="Y190" s="146">
        <v>6100</v>
      </c>
      <c r="Z190" s="66">
        <f t="shared" si="100"/>
        <v>5368</v>
      </c>
      <c r="AA190" s="66"/>
      <c r="AB190" s="66"/>
      <c r="AC190" s="66"/>
      <c r="AD190" s="66">
        <f t="shared" si="101"/>
        <v>5368</v>
      </c>
      <c r="AE190" s="66">
        <f t="shared" si="102"/>
        <v>24472.427303001437</v>
      </c>
      <c r="AF190" s="101">
        <f t="shared" si="103"/>
        <v>146100.40133571409</v>
      </c>
      <c r="AG190" s="101">
        <f t="shared" si="104"/>
        <v>166023.18333603872</v>
      </c>
    </row>
    <row r="191" spans="1:33" s="68" customFormat="1" x14ac:dyDescent="0.2">
      <c r="A191" s="147" t="s">
        <v>865</v>
      </c>
      <c r="B191" s="147"/>
      <c r="C191" s="147"/>
      <c r="D191" s="148">
        <v>1</v>
      </c>
      <c r="E191" s="149"/>
      <c r="F191" s="150">
        <v>0.12</v>
      </c>
      <c r="G191" s="150"/>
      <c r="H191" s="67">
        <v>10953</v>
      </c>
      <c r="I191" s="67">
        <f t="shared" si="105"/>
        <v>10469.827141547239</v>
      </c>
      <c r="J191" s="67">
        <f t="shared" si="97"/>
        <v>9213.4478845615704</v>
      </c>
      <c r="K191" s="63"/>
      <c r="L191" s="149">
        <v>7960</v>
      </c>
      <c r="M191" s="63">
        <f t="shared" si="85"/>
        <v>7960</v>
      </c>
      <c r="N191" s="63">
        <f t="shared" si="98"/>
        <v>7004.8</v>
      </c>
      <c r="O191" s="69"/>
      <c r="P191" s="149">
        <v>0</v>
      </c>
      <c r="Q191" s="63">
        <f t="shared" si="106"/>
        <v>0</v>
      </c>
      <c r="R191" s="64">
        <f t="shared" si="99"/>
        <v>0</v>
      </c>
      <c r="S191" s="148">
        <v>15</v>
      </c>
      <c r="T191" s="151" t="s">
        <v>15</v>
      </c>
      <c r="U191" s="65">
        <f>SUMIF('Avoided Costs 2012-2020_EGD'!$A:$A,'2012 Actuals_Auditor'!T191&amp;'2012 Actuals_Auditor'!S191,'Avoided Costs 2012-2020_EGD'!$E:$E)*J191</f>
        <v>22387.792729257741</v>
      </c>
      <c r="V191" s="65">
        <f>SUMIF('Avoided Costs 2012-2020_EGD'!$A:$A,'2012 Actuals_Auditor'!T191&amp;'2012 Actuals_Auditor'!S191,'Avoided Costs 2012-2020_EGD'!$K:$K)*N191</f>
        <v>7213.4269416997995</v>
      </c>
      <c r="W191" s="65">
        <f>SUMIF('Avoided Costs 2012-2020_EGD'!$A:$A,'2012 Actuals_Auditor'!T191&amp;'2012 Actuals_Auditor'!S191,'Avoided Costs 2012-2020_EGD'!$M:$M)*R191</f>
        <v>0</v>
      </c>
      <c r="X191" s="65">
        <f t="shared" si="96"/>
        <v>29601.21967095754</v>
      </c>
      <c r="Y191" s="146">
        <v>6100</v>
      </c>
      <c r="Z191" s="66">
        <f t="shared" si="100"/>
        <v>5368</v>
      </c>
      <c r="AA191" s="66"/>
      <c r="AB191" s="66"/>
      <c r="AC191" s="66"/>
      <c r="AD191" s="66">
        <f t="shared" si="101"/>
        <v>5368</v>
      </c>
      <c r="AE191" s="66">
        <f t="shared" si="102"/>
        <v>24233.21967095754</v>
      </c>
      <c r="AF191" s="101">
        <f t="shared" si="103"/>
        <v>138201.71826842354</v>
      </c>
      <c r="AG191" s="101">
        <f t="shared" si="104"/>
        <v>157047.4071232086</v>
      </c>
    </row>
    <row r="192" spans="1:33" s="68" customFormat="1" x14ac:dyDescent="0.2">
      <c r="A192" s="147" t="s">
        <v>866</v>
      </c>
      <c r="B192" s="147"/>
      <c r="C192" s="147"/>
      <c r="D192" s="148">
        <v>1</v>
      </c>
      <c r="E192" s="149"/>
      <c r="F192" s="150">
        <v>0.12</v>
      </c>
      <c r="G192" s="150"/>
      <c r="H192" s="67">
        <v>10784</v>
      </c>
      <c r="I192" s="67">
        <f t="shared" si="105"/>
        <v>10308.282287450509</v>
      </c>
      <c r="J192" s="67">
        <f t="shared" si="97"/>
        <v>9071.2884129564482</v>
      </c>
      <c r="K192" s="63"/>
      <c r="L192" s="149">
        <v>6717</v>
      </c>
      <c r="M192" s="63">
        <f t="shared" si="85"/>
        <v>6717</v>
      </c>
      <c r="N192" s="63">
        <f t="shared" si="98"/>
        <v>5910.96</v>
      </c>
      <c r="O192" s="69"/>
      <c r="P192" s="149">
        <v>0</v>
      </c>
      <c r="Q192" s="63">
        <f t="shared" si="106"/>
        <v>0</v>
      </c>
      <c r="R192" s="64">
        <f t="shared" si="99"/>
        <v>0</v>
      </c>
      <c r="S192" s="148">
        <v>15</v>
      </c>
      <c r="T192" s="151" t="s">
        <v>15</v>
      </c>
      <c r="U192" s="65">
        <f>SUMIF('Avoided Costs 2012-2020_EGD'!$A:$A,'2012 Actuals_Auditor'!T192&amp;'2012 Actuals_Auditor'!S192,'Avoided Costs 2012-2020_EGD'!$E:$E)*J192</f>
        <v>22042.358878144387</v>
      </c>
      <c r="V192" s="65">
        <f>SUMIF('Avoided Costs 2012-2020_EGD'!$A:$A,'2012 Actuals_Auditor'!T192&amp;'2012 Actuals_Auditor'!S192,'Avoided Costs 2012-2020_EGD'!$K:$K)*N192</f>
        <v>6087.0086391202958</v>
      </c>
      <c r="W192" s="65">
        <f>SUMIF('Avoided Costs 2012-2020_EGD'!$A:$A,'2012 Actuals_Auditor'!T192&amp;'2012 Actuals_Auditor'!S192,'Avoided Costs 2012-2020_EGD'!$M:$M)*R192</f>
        <v>0</v>
      </c>
      <c r="X192" s="65">
        <f t="shared" si="96"/>
        <v>28129.367517264684</v>
      </c>
      <c r="Y192" s="146">
        <v>6100</v>
      </c>
      <c r="Z192" s="66">
        <f t="shared" si="100"/>
        <v>5368</v>
      </c>
      <c r="AA192" s="66"/>
      <c r="AB192" s="66"/>
      <c r="AC192" s="66"/>
      <c r="AD192" s="66">
        <f t="shared" si="101"/>
        <v>5368</v>
      </c>
      <c r="AE192" s="66">
        <f t="shared" si="102"/>
        <v>22761.367517264684</v>
      </c>
      <c r="AF192" s="101">
        <f t="shared" si="103"/>
        <v>136069.32619434671</v>
      </c>
      <c r="AG192" s="101">
        <f t="shared" si="104"/>
        <v>154624.23431175764</v>
      </c>
    </row>
    <row r="193" spans="1:33" s="68" customFormat="1" x14ac:dyDescent="0.2">
      <c r="A193" s="147" t="s">
        <v>867</v>
      </c>
      <c r="B193" s="147"/>
      <c r="C193" s="147"/>
      <c r="D193" s="148">
        <v>1</v>
      </c>
      <c r="E193" s="149"/>
      <c r="F193" s="150">
        <v>0.12</v>
      </c>
      <c r="G193" s="150"/>
      <c r="H193" s="67">
        <v>7645</v>
      </c>
      <c r="I193" s="67">
        <f t="shared" si="105"/>
        <v>7307.7539027781104</v>
      </c>
      <c r="J193" s="67">
        <f t="shared" si="97"/>
        <v>6430.8234344447374</v>
      </c>
      <c r="K193" s="63"/>
      <c r="L193" s="149">
        <v>5628</v>
      </c>
      <c r="M193" s="63">
        <f t="shared" si="85"/>
        <v>5628</v>
      </c>
      <c r="N193" s="63">
        <f t="shared" si="98"/>
        <v>4952.6400000000003</v>
      </c>
      <c r="O193" s="69"/>
      <c r="P193" s="149">
        <v>0</v>
      </c>
      <c r="Q193" s="63">
        <f t="shared" si="106"/>
        <v>0</v>
      </c>
      <c r="R193" s="64">
        <f t="shared" si="99"/>
        <v>0</v>
      </c>
      <c r="S193" s="148">
        <v>15</v>
      </c>
      <c r="T193" s="151" t="s">
        <v>15</v>
      </c>
      <c r="U193" s="65">
        <f>SUMIF('Avoided Costs 2012-2020_EGD'!$A:$A,'2012 Actuals_Auditor'!T193&amp;'2012 Actuals_Auditor'!S193,'Avoided Costs 2012-2020_EGD'!$E:$E)*J193</f>
        <v>15626.282791488673</v>
      </c>
      <c r="V193" s="65">
        <f>SUMIF('Avoided Costs 2012-2020_EGD'!$A:$A,'2012 Actuals_Auditor'!T193&amp;'2012 Actuals_Auditor'!S193,'Avoided Costs 2012-2020_EGD'!$K:$K)*N193</f>
        <v>5100.146586417899</v>
      </c>
      <c r="W193" s="65">
        <f>SUMIF('Avoided Costs 2012-2020_EGD'!$A:$A,'2012 Actuals_Auditor'!T193&amp;'2012 Actuals_Auditor'!S193,'Avoided Costs 2012-2020_EGD'!$M:$M)*R193</f>
        <v>0</v>
      </c>
      <c r="X193" s="65">
        <f t="shared" si="96"/>
        <v>20726.42937790657</v>
      </c>
      <c r="Y193" s="146">
        <v>6100</v>
      </c>
      <c r="Z193" s="66">
        <f t="shared" si="100"/>
        <v>5368</v>
      </c>
      <c r="AA193" s="66"/>
      <c r="AB193" s="66"/>
      <c r="AC193" s="66"/>
      <c r="AD193" s="66">
        <f t="shared" si="101"/>
        <v>5368</v>
      </c>
      <c r="AE193" s="66">
        <f t="shared" si="102"/>
        <v>15358.42937790657</v>
      </c>
      <c r="AF193" s="101">
        <f t="shared" si="103"/>
        <v>96462.351516671057</v>
      </c>
      <c r="AG193" s="101">
        <f t="shared" si="104"/>
        <v>109616.30854167165</v>
      </c>
    </row>
    <row r="194" spans="1:33" s="68" customFormat="1" x14ac:dyDescent="0.2">
      <c r="A194" s="147" t="s">
        <v>868</v>
      </c>
      <c r="B194" s="147"/>
      <c r="C194" s="147"/>
      <c r="D194" s="148">
        <v>1</v>
      </c>
      <c r="E194" s="149"/>
      <c r="F194" s="150">
        <v>0.12</v>
      </c>
      <c r="G194" s="150"/>
      <c r="H194" s="67">
        <v>2804</v>
      </c>
      <c r="I194" s="67">
        <f t="shared" si="105"/>
        <v>2680.3063366108336</v>
      </c>
      <c r="J194" s="67">
        <f t="shared" si="97"/>
        <v>2358.6695762175336</v>
      </c>
      <c r="K194" s="63"/>
      <c r="L194" s="149">
        <v>100</v>
      </c>
      <c r="M194" s="63">
        <f t="shared" si="85"/>
        <v>100</v>
      </c>
      <c r="N194" s="63">
        <f t="shared" si="98"/>
        <v>88</v>
      </c>
      <c r="O194" s="69"/>
      <c r="P194" s="149">
        <v>0</v>
      </c>
      <c r="Q194" s="63">
        <f t="shared" si="106"/>
        <v>0</v>
      </c>
      <c r="R194" s="64">
        <f t="shared" si="99"/>
        <v>0</v>
      </c>
      <c r="S194" s="148">
        <v>15</v>
      </c>
      <c r="T194" s="151" t="s">
        <v>15</v>
      </c>
      <c r="U194" s="65">
        <f>SUMIF('Avoided Costs 2012-2020_EGD'!$A:$A,'2012 Actuals_Auditor'!T194&amp;'2012 Actuals_Auditor'!S194,'Avoided Costs 2012-2020_EGD'!$E:$E)*J194</f>
        <v>5731.340346283092</v>
      </c>
      <c r="V194" s="65">
        <f>SUMIF('Avoided Costs 2012-2020_EGD'!$A:$A,'2012 Actuals_Auditor'!T194&amp;'2012 Actuals_Auditor'!S194,'Avoided Costs 2012-2020_EGD'!$K:$K)*N194</f>
        <v>90.620941478640688</v>
      </c>
      <c r="W194" s="65">
        <f>SUMIF('Avoided Costs 2012-2020_EGD'!$A:$A,'2012 Actuals_Auditor'!T194&amp;'2012 Actuals_Auditor'!S194,'Avoided Costs 2012-2020_EGD'!$M:$M)*R194</f>
        <v>0</v>
      </c>
      <c r="X194" s="65">
        <f t="shared" si="96"/>
        <v>5821.9612877617328</v>
      </c>
      <c r="Y194" s="146">
        <v>1175</v>
      </c>
      <c r="Z194" s="66">
        <f t="shared" si="100"/>
        <v>1034</v>
      </c>
      <c r="AA194" s="66"/>
      <c r="AB194" s="66"/>
      <c r="AC194" s="66"/>
      <c r="AD194" s="66">
        <f t="shared" si="101"/>
        <v>1034</v>
      </c>
      <c r="AE194" s="66">
        <f t="shared" si="102"/>
        <v>4787.9612877617328</v>
      </c>
      <c r="AF194" s="101">
        <f t="shared" si="103"/>
        <v>35380.043643263001</v>
      </c>
      <c r="AG194" s="101">
        <f t="shared" si="104"/>
        <v>40204.595049162504</v>
      </c>
    </row>
    <row r="195" spans="1:33" s="68" customFormat="1" x14ac:dyDescent="0.2">
      <c r="A195" s="147" t="s">
        <v>869</v>
      </c>
      <c r="B195" s="147"/>
      <c r="C195" s="147"/>
      <c r="D195" s="148">
        <v>1</v>
      </c>
      <c r="E195" s="149"/>
      <c r="F195" s="150">
        <v>0.12</v>
      </c>
      <c r="G195" s="150"/>
      <c r="H195" s="67">
        <v>1955</v>
      </c>
      <c r="I195" s="67">
        <f t="shared" si="105"/>
        <v>1868.7585192846573</v>
      </c>
      <c r="J195" s="67">
        <f t="shared" si="97"/>
        <v>1644.5074969704983</v>
      </c>
      <c r="K195" s="63"/>
      <c r="L195" s="149">
        <v>100</v>
      </c>
      <c r="M195" s="63">
        <f t="shared" si="85"/>
        <v>100</v>
      </c>
      <c r="N195" s="63">
        <f t="shared" si="98"/>
        <v>88</v>
      </c>
      <c r="O195" s="69"/>
      <c r="P195" s="149">
        <v>0</v>
      </c>
      <c r="Q195" s="63">
        <f t="shared" si="106"/>
        <v>0</v>
      </c>
      <c r="R195" s="64">
        <f t="shared" si="99"/>
        <v>0</v>
      </c>
      <c r="S195" s="148">
        <v>15</v>
      </c>
      <c r="T195" s="151" t="s">
        <v>15</v>
      </c>
      <c r="U195" s="65">
        <f>SUMIF('Avoided Costs 2012-2020_EGD'!$A:$A,'2012 Actuals_Auditor'!T195&amp;'2012 Actuals_Auditor'!S195,'Avoided Costs 2012-2020_EGD'!$E:$E)*J195</f>
        <v>3995.9951415775472</v>
      </c>
      <c r="V195" s="65">
        <f>SUMIF('Avoided Costs 2012-2020_EGD'!$A:$A,'2012 Actuals_Auditor'!T195&amp;'2012 Actuals_Auditor'!S195,'Avoided Costs 2012-2020_EGD'!$K:$K)*N195</f>
        <v>90.620941478640688</v>
      </c>
      <c r="W195" s="65">
        <f>SUMIF('Avoided Costs 2012-2020_EGD'!$A:$A,'2012 Actuals_Auditor'!T195&amp;'2012 Actuals_Auditor'!S195,'Avoided Costs 2012-2020_EGD'!$M:$M)*R195</f>
        <v>0</v>
      </c>
      <c r="X195" s="65">
        <f t="shared" si="96"/>
        <v>4086.616083056188</v>
      </c>
      <c r="Y195" s="146">
        <v>1175</v>
      </c>
      <c r="Z195" s="66">
        <f t="shared" si="100"/>
        <v>1034</v>
      </c>
      <c r="AA195" s="66"/>
      <c r="AB195" s="66"/>
      <c r="AC195" s="66"/>
      <c r="AD195" s="66">
        <f t="shared" si="101"/>
        <v>1034</v>
      </c>
      <c r="AE195" s="66">
        <f t="shared" si="102"/>
        <v>3052.616083056188</v>
      </c>
      <c r="AF195" s="101">
        <f t="shared" si="103"/>
        <v>24667.612454557475</v>
      </c>
      <c r="AG195" s="101">
        <f t="shared" si="104"/>
        <v>28031.37778926986</v>
      </c>
    </row>
    <row r="196" spans="1:33" s="68" customFormat="1" x14ac:dyDescent="0.2">
      <c r="A196" s="147" t="s">
        <v>870</v>
      </c>
      <c r="B196" s="147"/>
      <c r="C196" s="147"/>
      <c r="D196" s="148">
        <v>1</v>
      </c>
      <c r="E196" s="149"/>
      <c r="F196" s="150">
        <v>0.12</v>
      </c>
      <c r="G196" s="150"/>
      <c r="H196" s="67">
        <v>1943</v>
      </c>
      <c r="I196" s="67">
        <f t="shared" si="105"/>
        <v>1857.2878787570789</v>
      </c>
      <c r="J196" s="67">
        <f t="shared" si="97"/>
        <v>1634.4133333062296</v>
      </c>
      <c r="K196" s="63"/>
      <c r="L196" s="149">
        <v>100</v>
      </c>
      <c r="M196" s="63">
        <f t="shared" si="85"/>
        <v>100</v>
      </c>
      <c r="N196" s="63">
        <f t="shared" si="98"/>
        <v>88</v>
      </c>
      <c r="O196" s="69"/>
      <c r="P196" s="149">
        <v>0</v>
      </c>
      <c r="Q196" s="63">
        <f t="shared" si="106"/>
        <v>0</v>
      </c>
      <c r="R196" s="64">
        <f t="shared" si="99"/>
        <v>0</v>
      </c>
      <c r="S196" s="148">
        <v>15</v>
      </c>
      <c r="T196" s="151" t="s">
        <v>15</v>
      </c>
      <c r="U196" s="65">
        <f>SUMIF('Avoided Costs 2012-2020_EGD'!$A:$A,'2012 Actuals_Auditor'!T196&amp;'2012 Actuals_Auditor'!S196,'Avoided Costs 2012-2020_EGD'!$E:$E)*J196</f>
        <v>3971.4672941612152</v>
      </c>
      <c r="V196" s="65">
        <f>SUMIF('Avoided Costs 2012-2020_EGD'!$A:$A,'2012 Actuals_Auditor'!T196&amp;'2012 Actuals_Auditor'!S196,'Avoided Costs 2012-2020_EGD'!$K:$K)*N196</f>
        <v>90.620941478640688</v>
      </c>
      <c r="W196" s="65">
        <f>SUMIF('Avoided Costs 2012-2020_EGD'!$A:$A,'2012 Actuals_Auditor'!T196&amp;'2012 Actuals_Auditor'!S196,'Avoided Costs 2012-2020_EGD'!$M:$M)*R196</f>
        <v>0</v>
      </c>
      <c r="X196" s="65">
        <f t="shared" si="96"/>
        <v>4062.0882356398561</v>
      </c>
      <c r="Y196" s="146">
        <v>1175</v>
      </c>
      <c r="Z196" s="66">
        <f t="shared" si="100"/>
        <v>1034</v>
      </c>
      <c r="AA196" s="66"/>
      <c r="AB196" s="66"/>
      <c r="AC196" s="66"/>
      <c r="AD196" s="66">
        <f t="shared" si="101"/>
        <v>1034</v>
      </c>
      <c r="AE196" s="66">
        <f t="shared" si="102"/>
        <v>3028.0882356398561</v>
      </c>
      <c r="AF196" s="101">
        <f t="shared" si="103"/>
        <v>24516.199999593442</v>
      </c>
      <c r="AG196" s="101">
        <f t="shared" si="104"/>
        <v>27859.318181356182</v>
      </c>
    </row>
    <row r="197" spans="1:33" s="68" customFormat="1" x14ac:dyDescent="0.2">
      <c r="A197" s="147" t="s">
        <v>871</v>
      </c>
      <c r="B197" s="147"/>
      <c r="C197" s="147"/>
      <c r="D197" s="148">
        <v>1</v>
      </c>
      <c r="E197" s="149"/>
      <c r="F197" s="150">
        <v>0.12</v>
      </c>
      <c r="G197" s="150"/>
      <c r="H197" s="67">
        <v>4374</v>
      </c>
      <c r="I197" s="67">
        <f t="shared" si="105"/>
        <v>4181.0484723023483</v>
      </c>
      <c r="J197" s="67">
        <f t="shared" si="97"/>
        <v>3679.3226556260665</v>
      </c>
      <c r="K197" s="63"/>
      <c r="L197" s="149">
        <v>993</v>
      </c>
      <c r="M197" s="63">
        <f t="shared" si="85"/>
        <v>993</v>
      </c>
      <c r="N197" s="63">
        <f t="shared" si="98"/>
        <v>873.84</v>
      </c>
      <c r="O197" s="69"/>
      <c r="P197" s="149">
        <v>0</v>
      </c>
      <c r="Q197" s="63">
        <f t="shared" si="106"/>
        <v>0</v>
      </c>
      <c r="R197" s="64">
        <f t="shared" si="99"/>
        <v>0</v>
      </c>
      <c r="S197" s="148">
        <v>15</v>
      </c>
      <c r="T197" s="151" t="s">
        <v>15</v>
      </c>
      <c r="U197" s="65">
        <f>SUMIF('Avoided Costs 2012-2020_EGD'!$A:$A,'2012 Actuals_Auditor'!T197&amp;'2012 Actuals_Auditor'!S197,'Avoided Costs 2012-2020_EGD'!$E:$E)*J197</f>
        <v>8940.4003832532962</v>
      </c>
      <c r="V197" s="65">
        <f>SUMIF('Avoided Costs 2012-2020_EGD'!$A:$A,'2012 Actuals_Auditor'!T197&amp;'2012 Actuals_Auditor'!S197,'Avoided Costs 2012-2020_EGD'!$K:$K)*N197</f>
        <v>899.8659488829021</v>
      </c>
      <c r="W197" s="65">
        <f>SUMIF('Avoided Costs 2012-2020_EGD'!$A:$A,'2012 Actuals_Auditor'!T197&amp;'2012 Actuals_Auditor'!S197,'Avoided Costs 2012-2020_EGD'!$M:$M)*R197</f>
        <v>0</v>
      </c>
      <c r="X197" s="65">
        <f t="shared" si="96"/>
        <v>9840.2663321361979</v>
      </c>
      <c r="Y197" s="146">
        <v>6100</v>
      </c>
      <c r="Z197" s="66">
        <f t="shared" si="100"/>
        <v>5368</v>
      </c>
      <c r="AA197" s="66"/>
      <c r="AB197" s="66"/>
      <c r="AC197" s="66"/>
      <c r="AD197" s="66">
        <f t="shared" si="101"/>
        <v>5368</v>
      </c>
      <c r="AE197" s="66">
        <f t="shared" si="102"/>
        <v>4472.2663321361979</v>
      </c>
      <c r="AF197" s="101">
        <f t="shared" si="103"/>
        <v>55189.839834391001</v>
      </c>
      <c r="AG197" s="101">
        <f t="shared" si="104"/>
        <v>62715.727084535225</v>
      </c>
    </row>
    <row r="198" spans="1:33" s="68" customFormat="1" x14ac:dyDescent="0.2">
      <c r="A198" s="147" t="s">
        <v>872</v>
      </c>
      <c r="B198" s="147"/>
      <c r="C198" s="147"/>
      <c r="D198" s="148">
        <v>1</v>
      </c>
      <c r="E198" s="149"/>
      <c r="F198" s="150">
        <v>0.12</v>
      </c>
      <c r="G198" s="150"/>
      <c r="H198" s="67">
        <v>6460</v>
      </c>
      <c r="I198" s="67">
        <f t="shared" si="105"/>
        <v>6175.0281506797373</v>
      </c>
      <c r="J198" s="67">
        <f t="shared" si="97"/>
        <v>5434.024772598169</v>
      </c>
      <c r="K198" s="63"/>
      <c r="L198" s="149">
        <v>4023</v>
      </c>
      <c r="M198" s="63">
        <f t="shared" si="85"/>
        <v>4023</v>
      </c>
      <c r="N198" s="63">
        <f t="shared" si="98"/>
        <v>3540.2400000000002</v>
      </c>
      <c r="O198" s="69"/>
      <c r="P198" s="149">
        <v>0</v>
      </c>
      <c r="Q198" s="63">
        <f t="shared" si="106"/>
        <v>0</v>
      </c>
      <c r="R198" s="64">
        <f t="shared" si="99"/>
        <v>0</v>
      </c>
      <c r="S198" s="148">
        <v>15</v>
      </c>
      <c r="T198" s="151" t="s">
        <v>15</v>
      </c>
      <c r="U198" s="65">
        <f>SUMIF('Avoided Costs 2012-2020_EGD'!$A:$A,'2012 Actuals_Auditor'!T198&amp;'2012 Actuals_Auditor'!S198,'Avoided Costs 2012-2020_EGD'!$E:$E)*J198</f>
        <v>13204.157859125809</v>
      </c>
      <c r="V198" s="65">
        <f>SUMIF('Avoided Costs 2012-2020_EGD'!$A:$A,'2012 Actuals_Auditor'!T198&amp;'2012 Actuals_Auditor'!S198,'Avoided Costs 2012-2020_EGD'!$K:$K)*N198</f>
        <v>3645.6804756857155</v>
      </c>
      <c r="W198" s="65">
        <f>SUMIF('Avoided Costs 2012-2020_EGD'!$A:$A,'2012 Actuals_Auditor'!T198&amp;'2012 Actuals_Auditor'!S198,'Avoided Costs 2012-2020_EGD'!$M:$M)*R198</f>
        <v>0</v>
      </c>
      <c r="X198" s="65">
        <f t="shared" si="96"/>
        <v>16849.838334811524</v>
      </c>
      <c r="Y198" s="146">
        <v>6100</v>
      </c>
      <c r="Z198" s="66">
        <f t="shared" si="100"/>
        <v>5368</v>
      </c>
      <c r="AA198" s="66"/>
      <c r="AB198" s="66"/>
      <c r="AC198" s="66"/>
      <c r="AD198" s="66">
        <f t="shared" si="101"/>
        <v>5368</v>
      </c>
      <c r="AE198" s="66">
        <f t="shared" si="102"/>
        <v>11481.838334811524</v>
      </c>
      <c r="AF198" s="101">
        <f t="shared" si="103"/>
        <v>81510.371588972528</v>
      </c>
      <c r="AG198" s="101">
        <f t="shared" si="104"/>
        <v>92625.422260196065</v>
      </c>
    </row>
    <row r="199" spans="1:33" s="68" customFormat="1" x14ac:dyDescent="0.2">
      <c r="A199" s="147" t="s">
        <v>873</v>
      </c>
      <c r="B199" s="147"/>
      <c r="C199" s="147"/>
      <c r="D199" s="148">
        <v>1</v>
      </c>
      <c r="E199" s="149"/>
      <c r="F199" s="150">
        <v>0.12</v>
      </c>
      <c r="G199" s="150"/>
      <c r="H199" s="67">
        <v>6213</v>
      </c>
      <c r="I199" s="67">
        <f t="shared" si="105"/>
        <v>5938.9241331537478</v>
      </c>
      <c r="J199" s="67">
        <f t="shared" ref="J199:J230" si="107">I199*(1-F199)</f>
        <v>5226.2532371752977</v>
      </c>
      <c r="K199" s="63"/>
      <c r="L199" s="149">
        <v>1411</v>
      </c>
      <c r="M199" s="63">
        <f t="shared" si="85"/>
        <v>1411</v>
      </c>
      <c r="N199" s="63">
        <f t="shared" ref="N199:N230" si="108">M199*(1-F199)</f>
        <v>1241.68</v>
      </c>
      <c r="O199" s="69"/>
      <c r="P199" s="149">
        <v>0</v>
      </c>
      <c r="Q199" s="63">
        <f t="shared" si="106"/>
        <v>0</v>
      </c>
      <c r="R199" s="64">
        <f t="shared" ref="R199:R230" si="109">Q199*(1-F199)</f>
        <v>0</v>
      </c>
      <c r="S199" s="148">
        <v>15</v>
      </c>
      <c r="T199" s="151" t="s">
        <v>15</v>
      </c>
      <c r="U199" s="65">
        <f>SUMIF('Avoided Costs 2012-2020_EGD'!$A:$A,'2012 Actuals_Auditor'!T199&amp;'2012 Actuals_Auditor'!S199,'Avoided Costs 2012-2020_EGD'!$E:$E)*J199</f>
        <v>12699.292999806294</v>
      </c>
      <c r="V199" s="65">
        <f>SUMIF('Avoided Costs 2012-2020_EGD'!$A:$A,'2012 Actuals_Auditor'!T199&amp;'2012 Actuals_Auditor'!S199,'Avoided Costs 2012-2020_EGD'!$K:$K)*N199</f>
        <v>1278.6614842636202</v>
      </c>
      <c r="W199" s="65">
        <f>SUMIF('Avoided Costs 2012-2020_EGD'!$A:$A,'2012 Actuals_Auditor'!T199&amp;'2012 Actuals_Auditor'!S199,'Avoided Costs 2012-2020_EGD'!$M:$M)*R199</f>
        <v>0</v>
      </c>
      <c r="X199" s="65">
        <f t="shared" si="96"/>
        <v>13977.954484069915</v>
      </c>
      <c r="Y199" s="146">
        <v>6100</v>
      </c>
      <c r="Z199" s="66">
        <f t="shared" ref="Z199:Z230" si="110">Y199*(1-F199)</f>
        <v>5368</v>
      </c>
      <c r="AA199" s="66"/>
      <c r="AB199" s="66"/>
      <c r="AC199" s="66"/>
      <c r="AD199" s="66">
        <f t="shared" ref="AD199:AD230" si="111">Z199+AB199</f>
        <v>5368</v>
      </c>
      <c r="AE199" s="66">
        <f t="shared" ref="AE199:AE230" si="112">X199-AD199</f>
        <v>8609.9544840699145</v>
      </c>
      <c r="AF199" s="101">
        <f t="shared" ref="AF199:AF230" si="113">J199*S199</f>
        <v>78393.79855762946</v>
      </c>
      <c r="AG199" s="101">
        <f t="shared" ref="AG199:AG230" si="114">(I199*S199)</f>
        <v>89083.861997306216</v>
      </c>
    </row>
    <row r="200" spans="1:33" s="68" customFormat="1" x14ac:dyDescent="0.2">
      <c r="A200" s="147" t="s">
        <v>874</v>
      </c>
      <c r="B200" s="147"/>
      <c r="C200" s="147"/>
      <c r="D200" s="148">
        <v>1</v>
      </c>
      <c r="E200" s="149"/>
      <c r="F200" s="150">
        <v>0.12</v>
      </c>
      <c r="G200" s="150"/>
      <c r="H200" s="67">
        <v>9686</v>
      </c>
      <c r="I200" s="67">
        <f t="shared" si="105"/>
        <v>9258.71867917708</v>
      </c>
      <c r="J200" s="67">
        <f t="shared" si="107"/>
        <v>8147.6724376758302</v>
      </c>
      <c r="K200" s="63"/>
      <c r="L200" s="149">
        <v>7844</v>
      </c>
      <c r="M200" s="63">
        <f t="shared" si="85"/>
        <v>7844</v>
      </c>
      <c r="N200" s="63">
        <f t="shared" si="108"/>
        <v>6902.72</v>
      </c>
      <c r="O200" s="69"/>
      <c r="P200" s="149">
        <v>0</v>
      </c>
      <c r="Q200" s="63">
        <f t="shared" si="106"/>
        <v>0</v>
      </c>
      <c r="R200" s="64">
        <f t="shared" si="109"/>
        <v>0</v>
      </c>
      <c r="S200" s="148">
        <v>15</v>
      </c>
      <c r="T200" s="151" t="s">
        <v>15</v>
      </c>
      <c r="U200" s="65">
        <f>SUMIF('Avoided Costs 2012-2020_EGD'!$A:$A,'2012 Actuals_Auditor'!T200&amp;'2012 Actuals_Auditor'!S200,'Avoided Costs 2012-2020_EGD'!$E:$E)*J200</f>
        <v>19798.060839549937</v>
      </c>
      <c r="V200" s="65">
        <f>SUMIF('Avoided Costs 2012-2020_EGD'!$A:$A,'2012 Actuals_Auditor'!T200&amp;'2012 Actuals_Auditor'!S200,'Avoided Costs 2012-2020_EGD'!$K:$K)*N200</f>
        <v>7108.306649584576</v>
      </c>
      <c r="W200" s="65">
        <f>SUMIF('Avoided Costs 2012-2020_EGD'!$A:$A,'2012 Actuals_Auditor'!T200&amp;'2012 Actuals_Auditor'!S200,'Avoided Costs 2012-2020_EGD'!$M:$M)*R200</f>
        <v>0</v>
      </c>
      <c r="X200" s="65">
        <f t="shared" si="96"/>
        <v>26906.367489134514</v>
      </c>
      <c r="Y200" s="146">
        <v>6100</v>
      </c>
      <c r="Z200" s="66">
        <f t="shared" si="110"/>
        <v>5368</v>
      </c>
      <c r="AA200" s="66"/>
      <c r="AB200" s="66"/>
      <c r="AC200" s="66"/>
      <c r="AD200" s="66">
        <f t="shared" si="111"/>
        <v>5368</v>
      </c>
      <c r="AE200" s="66">
        <f t="shared" si="112"/>
        <v>21538.367489134514</v>
      </c>
      <c r="AF200" s="101">
        <f t="shared" si="113"/>
        <v>122215.08656513745</v>
      </c>
      <c r="AG200" s="101">
        <f t="shared" si="114"/>
        <v>138880.7801876562</v>
      </c>
    </row>
    <row r="201" spans="1:33" s="68" customFormat="1" x14ac:dyDescent="0.2">
      <c r="A201" s="147" t="s">
        <v>875</v>
      </c>
      <c r="B201" s="147"/>
      <c r="C201" s="147"/>
      <c r="D201" s="148">
        <v>1</v>
      </c>
      <c r="E201" s="149"/>
      <c r="F201" s="150">
        <v>0.12</v>
      </c>
      <c r="G201" s="150"/>
      <c r="H201" s="67">
        <v>5805</v>
      </c>
      <c r="I201" s="67">
        <f t="shared" si="105"/>
        <v>5548.9223552160802</v>
      </c>
      <c r="J201" s="67">
        <f t="shared" si="107"/>
        <v>4883.0516725901507</v>
      </c>
      <c r="K201" s="63"/>
      <c r="L201" s="149">
        <v>4409</v>
      </c>
      <c r="M201" s="63">
        <f t="shared" si="85"/>
        <v>4409</v>
      </c>
      <c r="N201" s="63">
        <f t="shared" si="108"/>
        <v>3879.92</v>
      </c>
      <c r="O201" s="69"/>
      <c r="P201" s="149">
        <v>0</v>
      </c>
      <c r="Q201" s="63">
        <f t="shared" si="106"/>
        <v>0</v>
      </c>
      <c r="R201" s="64">
        <f t="shared" si="109"/>
        <v>0</v>
      </c>
      <c r="S201" s="148">
        <v>15</v>
      </c>
      <c r="T201" s="151" t="s">
        <v>15</v>
      </c>
      <c r="U201" s="65">
        <f>SUMIF('Avoided Costs 2012-2020_EGD'!$A:$A,'2012 Actuals_Auditor'!T201&amp;'2012 Actuals_Auditor'!S201,'Avoided Costs 2012-2020_EGD'!$E:$E)*J201</f>
        <v>11865.346187650981</v>
      </c>
      <c r="V201" s="65">
        <f>SUMIF('Avoided Costs 2012-2020_EGD'!$A:$A,'2012 Actuals_Auditor'!T201&amp;'2012 Actuals_Auditor'!S201,'Avoided Costs 2012-2020_EGD'!$K:$K)*N201</f>
        <v>3995.4773097932684</v>
      </c>
      <c r="W201" s="65">
        <f>SUMIF('Avoided Costs 2012-2020_EGD'!$A:$A,'2012 Actuals_Auditor'!T201&amp;'2012 Actuals_Auditor'!S201,'Avoided Costs 2012-2020_EGD'!$M:$M)*R201</f>
        <v>0</v>
      </c>
      <c r="X201" s="65">
        <f t="shared" si="96"/>
        <v>15860.823497444249</v>
      </c>
      <c r="Y201" s="146">
        <v>6100</v>
      </c>
      <c r="Z201" s="66">
        <f t="shared" si="110"/>
        <v>5368</v>
      </c>
      <c r="AA201" s="66"/>
      <c r="AB201" s="66"/>
      <c r="AC201" s="66"/>
      <c r="AD201" s="66">
        <f t="shared" si="111"/>
        <v>5368</v>
      </c>
      <c r="AE201" s="66">
        <f t="shared" si="112"/>
        <v>10492.823497444249</v>
      </c>
      <c r="AF201" s="101">
        <f t="shared" si="113"/>
        <v>73245.775088852257</v>
      </c>
      <c r="AG201" s="101">
        <f t="shared" si="114"/>
        <v>83233.835328241199</v>
      </c>
    </row>
    <row r="202" spans="1:33" s="68" customFormat="1" x14ac:dyDescent="0.2">
      <c r="A202" s="147" t="s">
        <v>876</v>
      </c>
      <c r="B202" s="147"/>
      <c r="C202" s="147"/>
      <c r="D202" s="148">
        <v>1</v>
      </c>
      <c r="E202" s="149"/>
      <c r="F202" s="150">
        <v>0.12</v>
      </c>
      <c r="G202" s="150"/>
      <c r="H202" s="67">
        <v>2606</v>
      </c>
      <c r="I202" s="67">
        <f t="shared" si="105"/>
        <v>2491.0407679057889</v>
      </c>
      <c r="J202" s="67">
        <f t="shared" si="107"/>
        <v>2192.1158757570943</v>
      </c>
      <c r="K202" s="63"/>
      <c r="L202" s="149">
        <v>100</v>
      </c>
      <c r="M202" s="63">
        <f t="shared" si="85"/>
        <v>100</v>
      </c>
      <c r="N202" s="63">
        <f t="shared" si="108"/>
        <v>88</v>
      </c>
      <c r="O202" s="69"/>
      <c r="P202" s="149">
        <v>0</v>
      </c>
      <c r="Q202" s="63">
        <f t="shared" si="106"/>
        <v>0</v>
      </c>
      <c r="R202" s="64">
        <f t="shared" si="109"/>
        <v>0</v>
      </c>
      <c r="S202" s="148">
        <v>15</v>
      </c>
      <c r="T202" s="151" t="s">
        <v>15</v>
      </c>
      <c r="U202" s="65">
        <f>SUMIF('Avoided Costs 2012-2020_EGD'!$A:$A,'2012 Actuals_Auditor'!T202&amp;'2012 Actuals_Auditor'!S202,'Avoided Costs 2012-2020_EGD'!$E:$E)*J202</f>
        <v>5326.6308639136014</v>
      </c>
      <c r="V202" s="65">
        <f>SUMIF('Avoided Costs 2012-2020_EGD'!$A:$A,'2012 Actuals_Auditor'!T202&amp;'2012 Actuals_Auditor'!S202,'Avoided Costs 2012-2020_EGD'!$K:$K)*N202</f>
        <v>90.620941478640688</v>
      </c>
      <c r="W202" s="65">
        <f>SUMIF('Avoided Costs 2012-2020_EGD'!$A:$A,'2012 Actuals_Auditor'!T202&amp;'2012 Actuals_Auditor'!S202,'Avoided Costs 2012-2020_EGD'!$M:$M)*R202</f>
        <v>0</v>
      </c>
      <c r="X202" s="65">
        <f t="shared" si="96"/>
        <v>5417.2518053922422</v>
      </c>
      <c r="Y202" s="146">
        <v>2350</v>
      </c>
      <c r="Z202" s="66">
        <f t="shared" si="110"/>
        <v>2068</v>
      </c>
      <c r="AA202" s="66"/>
      <c r="AB202" s="66"/>
      <c r="AC202" s="66"/>
      <c r="AD202" s="66">
        <f t="shared" si="111"/>
        <v>2068</v>
      </c>
      <c r="AE202" s="66">
        <f t="shared" si="112"/>
        <v>3349.2518053922422</v>
      </c>
      <c r="AF202" s="101">
        <f t="shared" si="113"/>
        <v>32881.738136356413</v>
      </c>
      <c r="AG202" s="101">
        <f t="shared" si="114"/>
        <v>37365.611518586833</v>
      </c>
    </row>
    <row r="203" spans="1:33" s="68" customFormat="1" x14ac:dyDescent="0.2">
      <c r="A203" s="147" t="s">
        <v>877</v>
      </c>
      <c r="B203" s="147"/>
      <c r="C203" s="147"/>
      <c r="D203" s="148">
        <v>1</v>
      </c>
      <c r="E203" s="149"/>
      <c r="F203" s="150">
        <v>0.12</v>
      </c>
      <c r="G203" s="150"/>
      <c r="H203" s="67">
        <v>2672</v>
      </c>
      <c r="I203" s="67">
        <f t="shared" si="105"/>
        <v>2554.1292908074702</v>
      </c>
      <c r="J203" s="67">
        <f t="shared" si="107"/>
        <v>2247.6337759105736</v>
      </c>
      <c r="K203" s="63"/>
      <c r="L203" s="149">
        <v>100</v>
      </c>
      <c r="M203" s="63">
        <f t="shared" si="85"/>
        <v>100</v>
      </c>
      <c r="N203" s="63">
        <f t="shared" si="108"/>
        <v>88</v>
      </c>
      <c r="O203" s="69"/>
      <c r="P203" s="149">
        <v>0</v>
      </c>
      <c r="Q203" s="63">
        <f t="shared" si="106"/>
        <v>0</v>
      </c>
      <c r="R203" s="64">
        <f t="shared" si="109"/>
        <v>0</v>
      </c>
      <c r="S203" s="148">
        <v>15</v>
      </c>
      <c r="T203" s="151" t="s">
        <v>15</v>
      </c>
      <c r="U203" s="65">
        <f>SUMIF('Avoided Costs 2012-2020_EGD'!$A:$A,'2012 Actuals_Auditor'!T203&amp;'2012 Actuals_Auditor'!S203,'Avoided Costs 2012-2020_EGD'!$E:$E)*J203</f>
        <v>5461.5340247034301</v>
      </c>
      <c r="V203" s="65">
        <f>SUMIF('Avoided Costs 2012-2020_EGD'!$A:$A,'2012 Actuals_Auditor'!T203&amp;'2012 Actuals_Auditor'!S203,'Avoided Costs 2012-2020_EGD'!$K:$K)*N203</f>
        <v>90.620941478640688</v>
      </c>
      <c r="W203" s="65">
        <f>SUMIF('Avoided Costs 2012-2020_EGD'!$A:$A,'2012 Actuals_Auditor'!T203&amp;'2012 Actuals_Auditor'!S203,'Avoided Costs 2012-2020_EGD'!$M:$M)*R203</f>
        <v>0</v>
      </c>
      <c r="X203" s="65">
        <f t="shared" si="96"/>
        <v>5552.1549661820709</v>
      </c>
      <c r="Y203" s="146">
        <v>2350</v>
      </c>
      <c r="Z203" s="66">
        <f t="shared" si="110"/>
        <v>2068</v>
      </c>
      <c r="AA203" s="66"/>
      <c r="AB203" s="66"/>
      <c r="AC203" s="66"/>
      <c r="AD203" s="66">
        <f t="shared" si="111"/>
        <v>2068</v>
      </c>
      <c r="AE203" s="66">
        <f t="shared" si="112"/>
        <v>3484.1549661820709</v>
      </c>
      <c r="AF203" s="101">
        <f t="shared" si="113"/>
        <v>33714.506638658604</v>
      </c>
      <c r="AG203" s="101">
        <f t="shared" si="114"/>
        <v>38311.939362112054</v>
      </c>
    </row>
    <row r="204" spans="1:33" s="68" customFormat="1" x14ac:dyDescent="0.2">
      <c r="A204" s="147" t="s">
        <v>878</v>
      </c>
      <c r="B204" s="147"/>
      <c r="C204" s="147"/>
      <c r="D204" s="148">
        <v>1</v>
      </c>
      <c r="E204" s="149"/>
      <c r="F204" s="150">
        <v>0.12</v>
      </c>
      <c r="G204" s="150"/>
      <c r="H204" s="67">
        <v>2114</v>
      </c>
      <c r="I204" s="67">
        <f t="shared" si="105"/>
        <v>2020.7445062750719</v>
      </c>
      <c r="J204" s="67">
        <f t="shared" si="107"/>
        <v>1778.2551655220632</v>
      </c>
      <c r="K204" s="63"/>
      <c r="L204" s="149">
        <v>100</v>
      </c>
      <c r="M204" s="63">
        <f t="shared" si="85"/>
        <v>100</v>
      </c>
      <c r="N204" s="63">
        <f t="shared" si="108"/>
        <v>88</v>
      </c>
      <c r="O204" s="69"/>
      <c r="P204" s="149">
        <v>0</v>
      </c>
      <c r="Q204" s="63">
        <f t="shared" si="106"/>
        <v>0</v>
      </c>
      <c r="R204" s="64">
        <f t="shared" si="109"/>
        <v>0</v>
      </c>
      <c r="S204" s="148">
        <v>15</v>
      </c>
      <c r="T204" s="151" t="s">
        <v>15</v>
      </c>
      <c r="U204" s="65">
        <f>SUMIF('Avoided Costs 2012-2020_EGD'!$A:$A,'2012 Actuals_Auditor'!T204&amp;'2012 Actuals_Auditor'!S204,'Avoided Costs 2012-2020_EGD'!$E:$E)*J204</f>
        <v>4320.9891198439564</v>
      </c>
      <c r="V204" s="65">
        <f>SUMIF('Avoided Costs 2012-2020_EGD'!$A:$A,'2012 Actuals_Auditor'!T204&amp;'2012 Actuals_Auditor'!S204,'Avoided Costs 2012-2020_EGD'!$K:$K)*N204</f>
        <v>90.620941478640688</v>
      </c>
      <c r="W204" s="65">
        <f>SUMIF('Avoided Costs 2012-2020_EGD'!$A:$A,'2012 Actuals_Auditor'!T204&amp;'2012 Actuals_Auditor'!S204,'Avoided Costs 2012-2020_EGD'!$M:$M)*R204</f>
        <v>0</v>
      </c>
      <c r="X204" s="65">
        <f t="shared" ref="X204:X215" si="115">SUM(U204:W204)</f>
        <v>4411.6100613225972</v>
      </c>
      <c r="Y204" s="146">
        <v>1175</v>
      </c>
      <c r="Z204" s="66">
        <f t="shared" si="110"/>
        <v>1034</v>
      </c>
      <c r="AA204" s="66"/>
      <c r="AB204" s="66"/>
      <c r="AC204" s="66"/>
      <c r="AD204" s="66">
        <f t="shared" si="111"/>
        <v>1034</v>
      </c>
      <c r="AE204" s="66">
        <f t="shared" si="112"/>
        <v>3377.6100613225972</v>
      </c>
      <c r="AF204" s="101">
        <f t="shared" si="113"/>
        <v>26673.827482830948</v>
      </c>
      <c r="AG204" s="101">
        <f t="shared" si="114"/>
        <v>30311.16759412608</v>
      </c>
    </row>
    <row r="205" spans="1:33" s="68" customFormat="1" x14ac:dyDescent="0.2">
      <c r="A205" s="147" t="s">
        <v>879</v>
      </c>
      <c r="B205" s="147"/>
      <c r="C205" s="147"/>
      <c r="D205" s="148">
        <v>1</v>
      </c>
      <c r="E205" s="149"/>
      <c r="F205" s="150">
        <v>0.12</v>
      </c>
      <c r="G205" s="150"/>
      <c r="H205" s="67">
        <v>3362</v>
      </c>
      <c r="I205" s="67">
        <f t="shared" si="105"/>
        <v>3213.6911211432316</v>
      </c>
      <c r="J205" s="67">
        <f t="shared" si="107"/>
        <v>2828.0481866060441</v>
      </c>
      <c r="K205" s="63"/>
      <c r="L205" s="149">
        <v>100</v>
      </c>
      <c r="M205" s="63">
        <f t="shared" si="85"/>
        <v>100</v>
      </c>
      <c r="N205" s="63">
        <f t="shared" si="108"/>
        <v>88</v>
      </c>
      <c r="O205" s="69"/>
      <c r="P205" s="149">
        <v>0</v>
      </c>
      <c r="Q205" s="63">
        <f t="shared" si="106"/>
        <v>0</v>
      </c>
      <c r="R205" s="64">
        <f t="shared" si="109"/>
        <v>0</v>
      </c>
      <c r="S205" s="148">
        <v>15</v>
      </c>
      <c r="T205" s="151" t="s">
        <v>15</v>
      </c>
      <c r="U205" s="65">
        <f>SUMIF('Avoided Costs 2012-2020_EGD'!$A:$A,'2012 Actuals_Auditor'!T205&amp;'2012 Actuals_Auditor'!S205,'Avoided Costs 2012-2020_EGD'!$E:$E)*J205</f>
        <v>6871.8852511425657</v>
      </c>
      <c r="V205" s="65">
        <f>SUMIF('Avoided Costs 2012-2020_EGD'!$A:$A,'2012 Actuals_Auditor'!T205&amp;'2012 Actuals_Auditor'!S205,'Avoided Costs 2012-2020_EGD'!$K:$K)*N205</f>
        <v>90.620941478640688</v>
      </c>
      <c r="W205" s="65">
        <f>SUMIF('Avoided Costs 2012-2020_EGD'!$A:$A,'2012 Actuals_Auditor'!T205&amp;'2012 Actuals_Auditor'!S205,'Avoided Costs 2012-2020_EGD'!$M:$M)*R205</f>
        <v>0</v>
      </c>
      <c r="X205" s="65">
        <f t="shared" si="115"/>
        <v>6962.5061926212065</v>
      </c>
      <c r="Y205" s="146">
        <v>3525</v>
      </c>
      <c r="Z205" s="66">
        <f t="shared" si="110"/>
        <v>3102</v>
      </c>
      <c r="AA205" s="66"/>
      <c r="AB205" s="66"/>
      <c r="AC205" s="66"/>
      <c r="AD205" s="66">
        <f t="shared" si="111"/>
        <v>3102</v>
      </c>
      <c r="AE205" s="66">
        <f t="shared" si="112"/>
        <v>3860.5061926212065</v>
      </c>
      <c r="AF205" s="101">
        <f t="shared" si="113"/>
        <v>42420.722799090661</v>
      </c>
      <c r="AG205" s="101">
        <f t="shared" si="114"/>
        <v>48205.366817148475</v>
      </c>
    </row>
    <row r="206" spans="1:33" s="68" customFormat="1" x14ac:dyDescent="0.2">
      <c r="A206" s="147" t="s">
        <v>880</v>
      </c>
      <c r="B206" s="147"/>
      <c r="C206" s="147"/>
      <c r="D206" s="148">
        <v>1</v>
      </c>
      <c r="E206" s="149"/>
      <c r="F206" s="150">
        <v>0.12</v>
      </c>
      <c r="G206" s="150"/>
      <c r="H206" s="67">
        <v>1867</v>
      </c>
      <c r="I206" s="67">
        <f t="shared" ref="I206:I237" si="116">+$H$42*H206</f>
        <v>1784.6404887490819</v>
      </c>
      <c r="J206" s="67">
        <f t="shared" si="107"/>
        <v>1570.4836300991922</v>
      </c>
      <c r="K206" s="63"/>
      <c r="L206" s="149">
        <v>100</v>
      </c>
      <c r="M206" s="63">
        <f t="shared" si="85"/>
        <v>100</v>
      </c>
      <c r="N206" s="63">
        <f t="shared" si="108"/>
        <v>88</v>
      </c>
      <c r="O206" s="69"/>
      <c r="P206" s="149">
        <v>0</v>
      </c>
      <c r="Q206" s="63">
        <f t="shared" ref="Q206:Q237" si="117">+P206*$P$42</f>
        <v>0</v>
      </c>
      <c r="R206" s="64">
        <f t="shared" si="109"/>
        <v>0</v>
      </c>
      <c r="S206" s="148">
        <v>15</v>
      </c>
      <c r="T206" s="151" t="s">
        <v>15</v>
      </c>
      <c r="U206" s="65">
        <f>SUMIF('Avoided Costs 2012-2020_EGD'!$A:$A,'2012 Actuals_Auditor'!T206&amp;'2012 Actuals_Auditor'!S206,'Avoided Costs 2012-2020_EGD'!$E:$E)*J206</f>
        <v>3816.1242605244406</v>
      </c>
      <c r="V206" s="65">
        <f>SUMIF('Avoided Costs 2012-2020_EGD'!$A:$A,'2012 Actuals_Auditor'!T206&amp;'2012 Actuals_Auditor'!S206,'Avoided Costs 2012-2020_EGD'!$K:$K)*N206</f>
        <v>90.620941478640688</v>
      </c>
      <c r="W206" s="65">
        <f>SUMIF('Avoided Costs 2012-2020_EGD'!$A:$A,'2012 Actuals_Auditor'!T206&amp;'2012 Actuals_Auditor'!S206,'Avoided Costs 2012-2020_EGD'!$M:$M)*R206</f>
        <v>0</v>
      </c>
      <c r="X206" s="65">
        <f t="shared" si="115"/>
        <v>3906.7452020030814</v>
      </c>
      <c r="Y206" s="146">
        <v>2081</v>
      </c>
      <c r="Z206" s="66">
        <f t="shared" si="110"/>
        <v>1831.28</v>
      </c>
      <c r="AA206" s="66"/>
      <c r="AB206" s="66"/>
      <c r="AC206" s="66"/>
      <c r="AD206" s="66">
        <f t="shared" si="111"/>
        <v>1831.28</v>
      </c>
      <c r="AE206" s="66">
        <f t="shared" si="112"/>
        <v>2075.4652020030817</v>
      </c>
      <c r="AF206" s="101">
        <f t="shared" si="113"/>
        <v>23557.254451487883</v>
      </c>
      <c r="AG206" s="101">
        <f t="shared" si="114"/>
        <v>26769.607331236228</v>
      </c>
    </row>
    <row r="207" spans="1:33" s="68" customFormat="1" x14ac:dyDescent="0.2">
      <c r="A207" s="147" t="s">
        <v>881</v>
      </c>
      <c r="B207" s="147"/>
      <c r="C207" s="147"/>
      <c r="D207" s="148">
        <v>1</v>
      </c>
      <c r="E207" s="149"/>
      <c r="F207" s="150">
        <v>0.12</v>
      </c>
      <c r="G207" s="150"/>
      <c r="H207" s="67">
        <v>3477</v>
      </c>
      <c r="I207" s="67">
        <f t="shared" si="116"/>
        <v>3323.6180928658587</v>
      </c>
      <c r="J207" s="67">
        <f t="shared" si="107"/>
        <v>2924.7839217219557</v>
      </c>
      <c r="K207" s="63"/>
      <c r="L207" s="149">
        <v>100</v>
      </c>
      <c r="M207" s="63">
        <f t="shared" si="85"/>
        <v>100</v>
      </c>
      <c r="N207" s="63">
        <f t="shared" si="108"/>
        <v>88</v>
      </c>
      <c r="O207" s="69"/>
      <c r="P207" s="149">
        <v>0</v>
      </c>
      <c r="Q207" s="63">
        <f t="shared" si="117"/>
        <v>0</v>
      </c>
      <c r="R207" s="64">
        <f t="shared" si="109"/>
        <v>0</v>
      </c>
      <c r="S207" s="148">
        <v>15</v>
      </c>
      <c r="T207" s="151" t="s">
        <v>15</v>
      </c>
      <c r="U207" s="65">
        <f>SUMIF('Avoided Costs 2012-2020_EGD'!$A:$A,'2012 Actuals_Auditor'!T207&amp;'2012 Actuals_Auditor'!S207,'Avoided Costs 2012-2020_EGD'!$E:$E)*J207</f>
        <v>7106.9437888824214</v>
      </c>
      <c r="V207" s="65">
        <f>SUMIF('Avoided Costs 2012-2020_EGD'!$A:$A,'2012 Actuals_Auditor'!T207&amp;'2012 Actuals_Auditor'!S207,'Avoided Costs 2012-2020_EGD'!$K:$K)*N207</f>
        <v>90.620941478640688</v>
      </c>
      <c r="W207" s="65">
        <f>SUMIF('Avoided Costs 2012-2020_EGD'!$A:$A,'2012 Actuals_Auditor'!T207&amp;'2012 Actuals_Auditor'!S207,'Avoided Costs 2012-2020_EGD'!$M:$M)*R207</f>
        <v>0</v>
      </c>
      <c r="X207" s="65">
        <f t="shared" si="115"/>
        <v>7197.5647303610622</v>
      </c>
      <c r="Y207" s="146">
        <v>1175</v>
      </c>
      <c r="Z207" s="66">
        <f t="shared" si="110"/>
        <v>1034</v>
      </c>
      <c r="AA207" s="66"/>
      <c r="AB207" s="66"/>
      <c r="AC207" s="66"/>
      <c r="AD207" s="66">
        <f t="shared" si="111"/>
        <v>1034</v>
      </c>
      <c r="AE207" s="66">
        <f t="shared" si="112"/>
        <v>6163.5647303610622</v>
      </c>
      <c r="AF207" s="101">
        <f t="shared" si="113"/>
        <v>43871.758825829333</v>
      </c>
      <c r="AG207" s="101">
        <f t="shared" si="114"/>
        <v>49854.271392987881</v>
      </c>
    </row>
    <row r="208" spans="1:33" s="68" customFormat="1" x14ac:dyDescent="0.2">
      <c r="A208" s="147" t="s">
        <v>882</v>
      </c>
      <c r="B208" s="147"/>
      <c r="C208" s="147"/>
      <c r="D208" s="148">
        <v>1</v>
      </c>
      <c r="E208" s="149"/>
      <c r="F208" s="150">
        <v>0.12</v>
      </c>
      <c r="G208" s="150"/>
      <c r="H208" s="67">
        <v>2801</v>
      </c>
      <c r="I208" s="67">
        <f t="shared" si="116"/>
        <v>2677.4386764789388</v>
      </c>
      <c r="J208" s="67">
        <f t="shared" si="107"/>
        <v>2356.1460353014663</v>
      </c>
      <c r="K208" s="63"/>
      <c r="L208" s="149">
        <v>100</v>
      </c>
      <c r="M208" s="63">
        <f t="shared" si="85"/>
        <v>100</v>
      </c>
      <c r="N208" s="63">
        <f t="shared" si="108"/>
        <v>88</v>
      </c>
      <c r="O208" s="69"/>
      <c r="P208" s="149">
        <v>0</v>
      </c>
      <c r="Q208" s="63">
        <f t="shared" si="117"/>
        <v>0</v>
      </c>
      <c r="R208" s="64">
        <f t="shared" si="109"/>
        <v>0</v>
      </c>
      <c r="S208" s="148">
        <v>15</v>
      </c>
      <c r="T208" s="151" t="s">
        <v>15</v>
      </c>
      <c r="U208" s="65">
        <f>SUMIF('Avoided Costs 2012-2020_EGD'!$A:$A,'2012 Actuals_Auditor'!T208&amp;'2012 Actuals_Auditor'!S208,'Avoided Costs 2012-2020_EGD'!$E:$E)*J208</f>
        <v>5725.2083844290091</v>
      </c>
      <c r="V208" s="65">
        <f>SUMIF('Avoided Costs 2012-2020_EGD'!$A:$A,'2012 Actuals_Auditor'!T208&amp;'2012 Actuals_Auditor'!S208,'Avoided Costs 2012-2020_EGD'!$K:$K)*N208</f>
        <v>90.620941478640688</v>
      </c>
      <c r="W208" s="65">
        <f>SUMIF('Avoided Costs 2012-2020_EGD'!$A:$A,'2012 Actuals_Auditor'!T208&amp;'2012 Actuals_Auditor'!S208,'Avoided Costs 2012-2020_EGD'!$M:$M)*R208</f>
        <v>0</v>
      </c>
      <c r="X208" s="65">
        <f t="shared" si="115"/>
        <v>5815.8293259076499</v>
      </c>
      <c r="Y208" s="146">
        <v>6243</v>
      </c>
      <c r="Z208" s="66">
        <f t="shared" si="110"/>
        <v>5493.84</v>
      </c>
      <c r="AA208" s="66"/>
      <c r="AB208" s="66"/>
      <c r="AC208" s="66"/>
      <c r="AD208" s="66">
        <f t="shared" si="111"/>
        <v>5493.84</v>
      </c>
      <c r="AE208" s="66">
        <f t="shared" si="112"/>
        <v>321.9893259076498</v>
      </c>
      <c r="AF208" s="101">
        <f t="shared" si="113"/>
        <v>35342.190529521991</v>
      </c>
      <c r="AG208" s="101">
        <f t="shared" si="114"/>
        <v>40161.580147184082</v>
      </c>
    </row>
    <row r="209" spans="1:33" s="68" customFormat="1" x14ac:dyDescent="0.2">
      <c r="A209" s="147" t="s">
        <v>883</v>
      </c>
      <c r="B209" s="147"/>
      <c r="C209" s="147"/>
      <c r="D209" s="148">
        <v>1</v>
      </c>
      <c r="E209" s="149"/>
      <c r="F209" s="150">
        <v>0.12</v>
      </c>
      <c r="G209" s="150"/>
      <c r="H209" s="67">
        <v>2351</v>
      </c>
      <c r="I209" s="67">
        <f t="shared" si="116"/>
        <v>2247.2896566947466</v>
      </c>
      <c r="J209" s="67">
        <f t="shared" si="107"/>
        <v>1977.614897891377</v>
      </c>
      <c r="K209" s="63"/>
      <c r="L209" s="149">
        <v>100</v>
      </c>
      <c r="M209" s="63">
        <f t="shared" si="85"/>
        <v>100</v>
      </c>
      <c r="N209" s="63">
        <f t="shared" si="108"/>
        <v>88</v>
      </c>
      <c r="O209" s="69"/>
      <c r="P209" s="149">
        <v>0</v>
      </c>
      <c r="Q209" s="63">
        <f t="shared" si="117"/>
        <v>0</v>
      </c>
      <c r="R209" s="64">
        <f t="shared" si="109"/>
        <v>0</v>
      </c>
      <c r="S209" s="148">
        <v>15</v>
      </c>
      <c r="T209" s="151" t="s">
        <v>15</v>
      </c>
      <c r="U209" s="65">
        <f>SUMIF('Avoided Costs 2012-2020_EGD'!$A:$A,'2012 Actuals_Auditor'!T209&amp;'2012 Actuals_Auditor'!S209,'Avoided Costs 2012-2020_EGD'!$E:$E)*J209</f>
        <v>4805.4141063165298</v>
      </c>
      <c r="V209" s="65">
        <f>SUMIF('Avoided Costs 2012-2020_EGD'!$A:$A,'2012 Actuals_Auditor'!T209&amp;'2012 Actuals_Auditor'!S209,'Avoided Costs 2012-2020_EGD'!$K:$K)*N209</f>
        <v>90.620941478640688</v>
      </c>
      <c r="W209" s="65">
        <f>SUMIF('Avoided Costs 2012-2020_EGD'!$A:$A,'2012 Actuals_Auditor'!T209&amp;'2012 Actuals_Auditor'!S209,'Avoided Costs 2012-2020_EGD'!$M:$M)*R209</f>
        <v>0</v>
      </c>
      <c r="X209" s="65">
        <f t="shared" si="115"/>
        <v>4896.0350477951706</v>
      </c>
      <c r="Y209" s="146">
        <v>1175</v>
      </c>
      <c r="Z209" s="66">
        <f t="shared" si="110"/>
        <v>1034</v>
      </c>
      <c r="AA209" s="66"/>
      <c r="AB209" s="66"/>
      <c r="AC209" s="66"/>
      <c r="AD209" s="66">
        <f t="shared" si="111"/>
        <v>1034</v>
      </c>
      <c r="AE209" s="66">
        <f t="shared" si="112"/>
        <v>3862.0350477951706</v>
      </c>
      <c r="AF209" s="101">
        <f t="shared" si="113"/>
        <v>29664.223468370656</v>
      </c>
      <c r="AG209" s="101">
        <f t="shared" si="114"/>
        <v>33709.344850421199</v>
      </c>
    </row>
    <row r="210" spans="1:33" s="68" customFormat="1" x14ac:dyDescent="0.2">
      <c r="A210" s="147" t="s">
        <v>884</v>
      </c>
      <c r="B210" s="147"/>
      <c r="C210" s="147"/>
      <c r="D210" s="148">
        <v>1</v>
      </c>
      <c r="E210" s="149"/>
      <c r="F210" s="150">
        <v>0.12</v>
      </c>
      <c r="G210" s="150"/>
      <c r="H210" s="67">
        <v>4275</v>
      </c>
      <c r="I210" s="67">
        <f t="shared" si="116"/>
        <v>4086.4156879498264</v>
      </c>
      <c r="J210" s="67">
        <f t="shared" si="107"/>
        <v>3596.0458053958473</v>
      </c>
      <c r="K210" s="63"/>
      <c r="L210" s="149">
        <v>100</v>
      </c>
      <c r="M210" s="63">
        <f t="shared" si="85"/>
        <v>100</v>
      </c>
      <c r="N210" s="63">
        <f t="shared" si="108"/>
        <v>88</v>
      </c>
      <c r="O210" s="69"/>
      <c r="P210" s="149">
        <v>0</v>
      </c>
      <c r="Q210" s="63">
        <f t="shared" si="117"/>
        <v>0</v>
      </c>
      <c r="R210" s="64">
        <f t="shared" si="109"/>
        <v>0</v>
      </c>
      <c r="S210" s="148">
        <v>15</v>
      </c>
      <c r="T210" s="151" t="s">
        <v>15</v>
      </c>
      <c r="U210" s="65">
        <f>SUMIF('Avoided Costs 2012-2020_EGD'!$A:$A,'2012 Actuals_Auditor'!T210&amp;'2012 Actuals_Auditor'!S210,'Avoided Costs 2012-2020_EGD'!$E:$E)*J210</f>
        <v>8738.0456420685514</v>
      </c>
      <c r="V210" s="65">
        <f>SUMIF('Avoided Costs 2012-2020_EGD'!$A:$A,'2012 Actuals_Auditor'!T210&amp;'2012 Actuals_Auditor'!S210,'Avoided Costs 2012-2020_EGD'!$K:$K)*N210</f>
        <v>90.620941478640688</v>
      </c>
      <c r="W210" s="65">
        <f>SUMIF('Avoided Costs 2012-2020_EGD'!$A:$A,'2012 Actuals_Auditor'!T210&amp;'2012 Actuals_Auditor'!S210,'Avoided Costs 2012-2020_EGD'!$M:$M)*R210</f>
        <v>0</v>
      </c>
      <c r="X210" s="65">
        <f t="shared" si="115"/>
        <v>8828.6665835471922</v>
      </c>
      <c r="Y210" s="146">
        <v>6243</v>
      </c>
      <c r="Z210" s="66">
        <f t="shared" si="110"/>
        <v>5493.84</v>
      </c>
      <c r="AA210" s="66"/>
      <c r="AB210" s="66"/>
      <c r="AC210" s="66"/>
      <c r="AD210" s="66">
        <f t="shared" si="111"/>
        <v>5493.84</v>
      </c>
      <c r="AE210" s="66">
        <f t="shared" si="112"/>
        <v>3334.8265835471921</v>
      </c>
      <c r="AF210" s="101">
        <f t="shared" si="113"/>
        <v>53940.687080937707</v>
      </c>
      <c r="AG210" s="101">
        <f t="shared" si="114"/>
        <v>61296.235319247397</v>
      </c>
    </row>
    <row r="211" spans="1:33" s="68" customFormat="1" x14ac:dyDescent="0.2">
      <c r="A211" s="147" t="s">
        <v>885</v>
      </c>
      <c r="B211" s="147"/>
      <c r="C211" s="147"/>
      <c r="D211" s="148">
        <v>1</v>
      </c>
      <c r="E211" s="149"/>
      <c r="F211" s="150">
        <v>0.12</v>
      </c>
      <c r="G211" s="150"/>
      <c r="H211" s="67">
        <v>5898</v>
      </c>
      <c r="I211" s="67">
        <f t="shared" si="116"/>
        <v>5637.8198193048129</v>
      </c>
      <c r="J211" s="67">
        <f t="shared" si="107"/>
        <v>4961.2814409882358</v>
      </c>
      <c r="K211" s="63"/>
      <c r="L211" s="149">
        <v>4989</v>
      </c>
      <c r="M211" s="63">
        <f t="shared" si="85"/>
        <v>4989</v>
      </c>
      <c r="N211" s="63">
        <f t="shared" si="108"/>
        <v>4390.32</v>
      </c>
      <c r="O211" s="69"/>
      <c r="P211" s="149">
        <v>0</v>
      </c>
      <c r="Q211" s="63">
        <f t="shared" si="117"/>
        <v>0</v>
      </c>
      <c r="R211" s="64">
        <f t="shared" si="109"/>
        <v>0</v>
      </c>
      <c r="S211" s="148">
        <v>15</v>
      </c>
      <c r="T211" s="151" t="s">
        <v>15</v>
      </c>
      <c r="U211" s="65">
        <f>SUMIF('Avoided Costs 2012-2020_EGD'!$A:$A,'2012 Actuals_Auditor'!T211&amp;'2012 Actuals_Auditor'!S211,'Avoided Costs 2012-2020_EGD'!$E:$E)*J211</f>
        <v>12055.43700512756</v>
      </c>
      <c r="V211" s="65">
        <f>SUMIF('Avoided Costs 2012-2020_EGD'!$A:$A,'2012 Actuals_Auditor'!T211&amp;'2012 Actuals_Auditor'!S211,'Avoided Costs 2012-2020_EGD'!$K:$K)*N211</f>
        <v>4521.0787703693841</v>
      </c>
      <c r="W211" s="65">
        <f>SUMIF('Avoided Costs 2012-2020_EGD'!$A:$A,'2012 Actuals_Auditor'!T211&amp;'2012 Actuals_Auditor'!S211,'Avoided Costs 2012-2020_EGD'!$M:$M)*R211</f>
        <v>0</v>
      </c>
      <c r="X211" s="65">
        <f t="shared" si="115"/>
        <v>16576.515775496944</v>
      </c>
      <c r="Y211" s="146">
        <v>6100</v>
      </c>
      <c r="Z211" s="66">
        <f t="shared" si="110"/>
        <v>5368</v>
      </c>
      <c r="AA211" s="66"/>
      <c r="AB211" s="66"/>
      <c r="AC211" s="66"/>
      <c r="AD211" s="66">
        <f t="shared" si="111"/>
        <v>5368</v>
      </c>
      <c r="AE211" s="66">
        <f t="shared" si="112"/>
        <v>11208.515775496944</v>
      </c>
      <c r="AF211" s="101">
        <f t="shared" si="113"/>
        <v>74419.221614823531</v>
      </c>
      <c r="AG211" s="101">
        <f t="shared" si="114"/>
        <v>84567.29728957219</v>
      </c>
    </row>
    <row r="212" spans="1:33" s="68" customFormat="1" x14ac:dyDescent="0.2">
      <c r="A212" s="147" t="s">
        <v>886</v>
      </c>
      <c r="B212" s="147"/>
      <c r="C212" s="147"/>
      <c r="D212" s="148">
        <v>1</v>
      </c>
      <c r="E212" s="149"/>
      <c r="F212" s="150">
        <v>0.12</v>
      </c>
      <c r="G212" s="150"/>
      <c r="H212" s="67">
        <v>11904</v>
      </c>
      <c r="I212" s="67">
        <f t="shared" si="116"/>
        <v>11378.875403357832</v>
      </c>
      <c r="J212" s="67">
        <f t="shared" si="107"/>
        <v>10013.410354954893</v>
      </c>
      <c r="K212" s="63"/>
      <c r="L212" s="149">
        <v>8157</v>
      </c>
      <c r="M212" s="63">
        <f t="shared" si="85"/>
        <v>8157</v>
      </c>
      <c r="N212" s="63">
        <f t="shared" si="108"/>
        <v>7178.16</v>
      </c>
      <c r="O212" s="69"/>
      <c r="P212" s="149">
        <v>0</v>
      </c>
      <c r="Q212" s="63">
        <f t="shared" si="117"/>
        <v>0</v>
      </c>
      <c r="R212" s="64">
        <f t="shared" si="109"/>
        <v>0</v>
      </c>
      <c r="S212" s="148">
        <v>15</v>
      </c>
      <c r="T212" s="151" t="s">
        <v>15</v>
      </c>
      <c r="U212" s="65">
        <f>SUMIF('Avoided Costs 2012-2020_EGD'!$A:$A,'2012 Actuals_Auditor'!T212&amp;'2012 Actuals_Auditor'!S212,'Avoided Costs 2012-2020_EGD'!$E:$E)*J212</f>
        <v>24331.624637002114</v>
      </c>
      <c r="V212" s="65">
        <f>SUMIF('Avoided Costs 2012-2020_EGD'!$A:$A,'2012 Actuals_Auditor'!T212&amp;'2012 Actuals_Auditor'!S212,'Avoided Costs 2012-2020_EGD'!$K:$K)*N212</f>
        <v>7391.9501964127212</v>
      </c>
      <c r="W212" s="65">
        <f>SUMIF('Avoided Costs 2012-2020_EGD'!$A:$A,'2012 Actuals_Auditor'!T212&amp;'2012 Actuals_Auditor'!S212,'Avoided Costs 2012-2020_EGD'!$M:$M)*R212</f>
        <v>0</v>
      </c>
      <c r="X212" s="65">
        <f t="shared" si="115"/>
        <v>31723.574833414837</v>
      </c>
      <c r="Y212" s="146">
        <v>9600</v>
      </c>
      <c r="Z212" s="66">
        <f t="shared" si="110"/>
        <v>8448</v>
      </c>
      <c r="AA212" s="66"/>
      <c r="AB212" s="66"/>
      <c r="AC212" s="66"/>
      <c r="AD212" s="66">
        <f t="shared" si="111"/>
        <v>8448</v>
      </c>
      <c r="AE212" s="66">
        <f t="shared" si="112"/>
        <v>23275.574833414837</v>
      </c>
      <c r="AF212" s="101">
        <f t="shared" si="113"/>
        <v>150201.15532432339</v>
      </c>
      <c r="AG212" s="101">
        <f t="shared" si="114"/>
        <v>170683.13105036746</v>
      </c>
    </row>
    <row r="213" spans="1:33" s="68" customFormat="1" x14ac:dyDescent="0.2">
      <c r="A213" s="147" t="s">
        <v>887</v>
      </c>
      <c r="B213" s="147"/>
      <c r="C213" s="147"/>
      <c r="D213" s="148">
        <v>1</v>
      </c>
      <c r="E213" s="149"/>
      <c r="F213" s="150">
        <v>0.12</v>
      </c>
      <c r="G213" s="150"/>
      <c r="H213" s="67">
        <v>20421</v>
      </c>
      <c r="I213" s="67">
        <f t="shared" si="116"/>
        <v>19520.162517806642</v>
      </c>
      <c r="J213" s="67">
        <f t="shared" si="107"/>
        <v>17177.743015669846</v>
      </c>
      <c r="K213" s="63"/>
      <c r="L213" s="149">
        <v>16474</v>
      </c>
      <c r="M213" s="63">
        <f t="shared" si="85"/>
        <v>16474</v>
      </c>
      <c r="N213" s="63">
        <f t="shared" si="108"/>
        <v>14497.12</v>
      </c>
      <c r="O213" s="69"/>
      <c r="P213" s="149">
        <v>0</v>
      </c>
      <c r="Q213" s="63">
        <f t="shared" si="117"/>
        <v>0</v>
      </c>
      <c r="R213" s="64">
        <f t="shared" si="109"/>
        <v>0</v>
      </c>
      <c r="S213" s="148">
        <v>15</v>
      </c>
      <c r="T213" s="151" t="s">
        <v>15</v>
      </c>
      <c r="U213" s="65">
        <f>SUMIF('Avoided Costs 2012-2020_EGD'!$A:$A,'2012 Actuals_Auditor'!T213&amp;'2012 Actuals_Auditor'!S213,'Avoided Costs 2012-2020_EGD'!$E:$E)*J213</f>
        <v>41740.264340744296</v>
      </c>
      <c r="V213" s="65">
        <f>SUMIF('Avoided Costs 2012-2020_EGD'!$A:$A,'2012 Actuals_Auditor'!T213&amp;'2012 Actuals_Auditor'!S213,'Avoided Costs 2012-2020_EGD'!$K:$K)*N213</f>
        <v>14928.893899191269</v>
      </c>
      <c r="W213" s="65">
        <f>SUMIF('Avoided Costs 2012-2020_EGD'!$A:$A,'2012 Actuals_Auditor'!T213&amp;'2012 Actuals_Auditor'!S213,'Avoided Costs 2012-2020_EGD'!$M:$M)*R213</f>
        <v>0</v>
      </c>
      <c r="X213" s="65">
        <f t="shared" si="115"/>
        <v>56669.158239935568</v>
      </c>
      <c r="Y213" s="146">
        <v>9600</v>
      </c>
      <c r="Z213" s="66">
        <f t="shared" si="110"/>
        <v>8448</v>
      </c>
      <c r="AA213" s="66"/>
      <c r="AB213" s="66"/>
      <c r="AC213" s="66"/>
      <c r="AD213" s="66">
        <f t="shared" si="111"/>
        <v>8448</v>
      </c>
      <c r="AE213" s="66">
        <f t="shared" si="112"/>
        <v>48221.158239935568</v>
      </c>
      <c r="AF213" s="101">
        <f t="shared" si="113"/>
        <v>257666.1452350477</v>
      </c>
      <c r="AG213" s="101">
        <f t="shared" si="114"/>
        <v>292802.43776709965</v>
      </c>
    </row>
    <row r="214" spans="1:33" s="68" customFormat="1" x14ac:dyDescent="0.2">
      <c r="A214" s="147" t="s">
        <v>888</v>
      </c>
      <c r="B214" s="147"/>
      <c r="C214" s="147"/>
      <c r="D214" s="148">
        <v>1</v>
      </c>
      <c r="E214" s="149"/>
      <c r="F214" s="150">
        <v>0.12</v>
      </c>
      <c r="G214" s="150"/>
      <c r="H214" s="67">
        <v>13583</v>
      </c>
      <c r="I214" s="67">
        <f t="shared" si="116"/>
        <v>12983.809190508184</v>
      </c>
      <c r="J214" s="67">
        <f t="shared" si="107"/>
        <v>11425.752087647203</v>
      </c>
      <c r="K214" s="63"/>
      <c r="L214" s="149">
        <v>2000</v>
      </c>
      <c r="M214" s="63">
        <f t="shared" si="85"/>
        <v>2000</v>
      </c>
      <c r="N214" s="63">
        <f t="shared" si="108"/>
        <v>1760</v>
      </c>
      <c r="O214" s="69"/>
      <c r="P214" s="149">
        <v>0</v>
      </c>
      <c r="Q214" s="63">
        <f t="shared" si="117"/>
        <v>0</v>
      </c>
      <c r="R214" s="64">
        <f t="shared" si="109"/>
        <v>0</v>
      </c>
      <c r="S214" s="148">
        <v>15</v>
      </c>
      <c r="T214" s="151" t="s">
        <v>15</v>
      </c>
      <c r="U214" s="65">
        <f>SUMIF('Avoided Costs 2012-2020_EGD'!$A:$A,'2012 Actuals_Auditor'!T214&amp;'2012 Actuals_Auditor'!S214,'Avoided Costs 2012-2020_EGD'!$E:$E)*J214</f>
        <v>27763.479288004008</v>
      </c>
      <c r="V214" s="65">
        <f>SUMIF('Avoided Costs 2012-2020_EGD'!$A:$A,'2012 Actuals_Auditor'!T214&amp;'2012 Actuals_Auditor'!S214,'Avoided Costs 2012-2020_EGD'!$K:$K)*N214</f>
        <v>1812.4188295728138</v>
      </c>
      <c r="W214" s="65">
        <f>SUMIF('Avoided Costs 2012-2020_EGD'!$A:$A,'2012 Actuals_Auditor'!T214&amp;'2012 Actuals_Auditor'!S214,'Avoided Costs 2012-2020_EGD'!$M:$M)*R214</f>
        <v>0</v>
      </c>
      <c r="X214" s="65">
        <f t="shared" si="115"/>
        <v>29575.89811757682</v>
      </c>
      <c r="Y214" s="146">
        <v>9795</v>
      </c>
      <c r="Z214" s="66">
        <f t="shared" si="110"/>
        <v>8619.6</v>
      </c>
      <c r="AA214" s="66"/>
      <c r="AB214" s="66"/>
      <c r="AC214" s="66"/>
      <c r="AD214" s="66">
        <f t="shared" si="111"/>
        <v>8619.6</v>
      </c>
      <c r="AE214" s="66">
        <f t="shared" si="112"/>
        <v>20956.298117576822</v>
      </c>
      <c r="AF214" s="101">
        <f t="shared" si="113"/>
        <v>171386.28131470803</v>
      </c>
      <c r="AG214" s="101">
        <f t="shared" si="114"/>
        <v>194757.13785762276</v>
      </c>
    </row>
    <row r="215" spans="1:33" s="68" customFormat="1" x14ac:dyDescent="0.2">
      <c r="A215" s="147" t="s">
        <v>889</v>
      </c>
      <c r="B215" s="147"/>
      <c r="C215" s="147"/>
      <c r="D215" s="148">
        <v>1</v>
      </c>
      <c r="E215" s="149"/>
      <c r="F215" s="150">
        <v>0.12</v>
      </c>
      <c r="G215" s="150"/>
      <c r="H215" s="67">
        <v>35719</v>
      </c>
      <c r="I215" s="67">
        <f t="shared" si="116"/>
        <v>34143.317417047918</v>
      </c>
      <c r="J215" s="67">
        <f t="shared" si="107"/>
        <v>30046.119327002169</v>
      </c>
      <c r="K215" s="63"/>
      <c r="L215" s="149">
        <v>4294</v>
      </c>
      <c r="M215" s="63">
        <f t="shared" si="85"/>
        <v>4294</v>
      </c>
      <c r="N215" s="63">
        <f t="shared" si="108"/>
        <v>3778.72</v>
      </c>
      <c r="O215" s="69"/>
      <c r="P215" s="149">
        <v>0</v>
      </c>
      <c r="Q215" s="63">
        <f t="shared" si="117"/>
        <v>0</v>
      </c>
      <c r="R215" s="64">
        <f t="shared" si="109"/>
        <v>0</v>
      </c>
      <c r="S215" s="148">
        <v>15</v>
      </c>
      <c r="T215" s="151" t="s">
        <v>15</v>
      </c>
      <c r="U215" s="65">
        <f>SUMIF('Avoided Costs 2012-2020_EGD'!$A:$A,'2012 Actuals_Auditor'!T215&amp;'2012 Actuals_Auditor'!S215,'Avoided Costs 2012-2020_EGD'!$E:$E)*J215</f>
        <v>73009.181821999198</v>
      </c>
      <c r="V215" s="65">
        <f>SUMIF('Avoided Costs 2012-2020_EGD'!$A:$A,'2012 Actuals_Auditor'!T215&amp;'2012 Actuals_Auditor'!S215,'Avoided Costs 2012-2020_EGD'!$K:$K)*N215</f>
        <v>3891.2632270928311</v>
      </c>
      <c r="W215" s="65">
        <f>SUMIF('Avoided Costs 2012-2020_EGD'!$A:$A,'2012 Actuals_Auditor'!T215&amp;'2012 Actuals_Auditor'!S215,'Avoided Costs 2012-2020_EGD'!$M:$M)*R215</f>
        <v>0</v>
      </c>
      <c r="X215" s="65">
        <f t="shared" si="115"/>
        <v>76900.445049092028</v>
      </c>
      <c r="Y215" s="146">
        <v>9795</v>
      </c>
      <c r="Z215" s="66">
        <f t="shared" si="110"/>
        <v>8619.6</v>
      </c>
      <c r="AA215" s="66"/>
      <c r="AB215" s="66"/>
      <c r="AC215" s="66"/>
      <c r="AD215" s="66">
        <f t="shared" si="111"/>
        <v>8619.6</v>
      </c>
      <c r="AE215" s="66">
        <f t="shared" si="112"/>
        <v>68280.845049092022</v>
      </c>
      <c r="AF215" s="101">
        <f t="shared" si="113"/>
        <v>450691.78990503255</v>
      </c>
      <c r="AG215" s="101">
        <f t="shared" si="114"/>
        <v>512149.76125571877</v>
      </c>
    </row>
    <row r="216" spans="1:33" s="68" customFormat="1" x14ac:dyDescent="0.2">
      <c r="A216" s="147" t="s">
        <v>890</v>
      </c>
      <c r="B216" s="147"/>
      <c r="C216" s="147"/>
      <c r="D216" s="148">
        <v>1</v>
      </c>
      <c r="E216" s="149"/>
      <c r="F216" s="150">
        <v>0.12</v>
      </c>
      <c r="G216" s="150"/>
      <c r="H216" s="67">
        <v>34014</v>
      </c>
      <c r="I216" s="67">
        <f t="shared" si="116"/>
        <v>32513.530575421144</v>
      </c>
      <c r="J216" s="67">
        <f t="shared" si="107"/>
        <v>28611.906906370608</v>
      </c>
      <c r="K216" s="63"/>
      <c r="L216" s="149">
        <v>3899</v>
      </c>
      <c r="M216" s="63">
        <f t="shared" si="85"/>
        <v>3899</v>
      </c>
      <c r="N216" s="63">
        <f t="shared" si="108"/>
        <v>3431.12</v>
      </c>
      <c r="O216" s="69"/>
      <c r="P216" s="149">
        <v>0</v>
      </c>
      <c r="Q216" s="63">
        <f t="shared" si="117"/>
        <v>0</v>
      </c>
      <c r="R216" s="64">
        <f t="shared" si="109"/>
        <v>0</v>
      </c>
      <c r="S216" s="148">
        <v>15</v>
      </c>
      <c r="T216" s="151" t="s">
        <v>15</v>
      </c>
      <c r="U216" s="65">
        <f>SUMIF('Avoided Costs 2012-2020_EGD'!$A:$A,'2012 Actuals_Auditor'!T216&amp;'2012 Actuals_Auditor'!S216,'Avoided Costs 2012-2020_EGD'!$E:$E)*J216</f>
        <v>69524.183501595253</v>
      </c>
      <c r="V216" s="65">
        <f>SUMIF('Avoided Costs 2012-2020_EGD'!$A:$A,'2012 Actuals_Auditor'!T216&amp;'2012 Actuals_Auditor'!S216,'Avoided Costs 2012-2020_EGD'!$K:$K)*N216</f>
        <v>3533.3105082522006</v>
      </c>
      <c r="W216" s="65">
        <f>SUMIF('Avoided Costs 2012-2020_EGD'!$A:$A,'2012 Actuals_Auditor'!T216&amp;'2012 Actuals_Auditor'!S216,'Avoided Costs 2012-2020_EGD'!$M:$M)*R216</f>
        <v>0</v>
      </c>
      <c r="X216" s="65">
        <f t="shared" ref="X216:X270" si="118">SUM(U216:W216)</f>
        <v>73057.494009847447</v>
      </c>
      <c r="Y216" s="146">
        <v>9795</v>
      </c>
      <c r="Z216" s="66">
        <f t="shared" si="110"/>
        <v>8619.6</v>
      </c>
      <c r="AA216" s="66"/>
      <c r="AB216" s="66"/>
      <c r="AC216" s="66"/>
      <c r="AD216" s="66">
        <f t="shared" si="111"/>
        <v>8619.6</v>
      </c>
      <c r="AE216" s="66">
        <f t="shared" si="112"/>
        <v>64437.894009847449</v>
      </c>
      <c r="AF216" s="101">
        <f t="shared" si="113"/>
        <v>429178.60359555914</v>
      </c>
      <c r="AG216" s="101">
        <f t="shared" si="114"/>
        <v>487702.95863131713</v>
      </c>
    </row>
    <row r="217" spans="1:33" s="68" customFormat="1" x14ac:dyDescent="0.2">
      <c r="A217" s="147" t="s">
        <v>891</v>
      </c>
      <c r="B217" s="147"/>
      <c r="C217" s="147"/>
      <c r="D217" s="148">
        <v>1</v>
      </c>
      <c r="E217" s="149"/>
      <c r="F217" s="150">
        <v>0.12</v>
      </c>
      <c r="G217" s="150"/>
      <c r="H217" s="67">
        <v>20329</v>
      </c>
      <c r="I217" s="67">
        <f t="shared" si="116"/>
        <v>19432.220940428542</v>
      </c>
      <c r="J217" s="67">
        <f t="shared" si="107"/>
        <v>17100.354427577116</v>
      </c>
      <c r="K217" s="63"/>
      <c r="L217" s="149">
        <v>2296</v>
      </c>
      <c r="M217" s="63">
        <f t="shared" si="85"/>
        <v>2296</v>
      </c>
      <c r="N217" s="63">
        <f t="shared" si="108"/>
        <v>2020.48</v>
      </c>
      <c r="O217" s="69"/>
      <c r="P217" s="149">
        <v>0</v>
      </c>
      <c r="Q217" s="63">
        <f t="shared" si="117"/>
        <v>0</v>
      </c>
      <c r="R217" s="64">
        <f t="shared" si="109"/>
        <v>0</v>
      </c>
      <c r="S217" s="148">
        <v>15</v>
      </c>
      <c r="T217" s="151" t="s">
        <v>15</v>
      </c>
      <c r="U217" s="65">
        <f>SUMIF('Avoided Costs 2012-2020_EGD'!$A:$A,'2012 Actuals_Auditor'!T217&amp;'2012 Actuals_Auditor'!S217,'Avoided Costs 2012-2020_EGD'!$E:$E)*J217</f>
        <v>41552.217510552415</v>
      </c>
      <c r="V217" s="65">
        <f>SUMIF('Avoided Costs 2012-2020_EGD'!$A:$A,'2012 Actuals_Auditor'!T217&amp;'2012 Actuals_Auditor'!S217,'Avoided Costs 2012-2020_EGD'!$K:$K)*N217</f>
        <v>2080.6568163495904</v>
      </c>
      <c r="W217" s="65">
        <f>SUMIF('Avoided Costs 2012-2020_EGD'!$A:$A,'2012 Actuals_Auditor'!T217&amp;'2012 Actuals_Auditor'!S217,'Avoided Costs 2012-2020_EGD'!$M:$M)*R217</f>
        <v>0</v>
      </c>
      <c r="X217" s="65">
        <f t="shared" si="118"/>
        <v>43632.874326902005</v>
      </c>
      <c r="Y217" s="146">
        <v>9795</v>
      </c>
      <c r="Z217" s="66">
        <f t="shared" si="110"/>
        <v>8619.6</v>
      </c>
      <c r="AA217" s="66"/>
      <c r="AB217" s="66"/>
      <c r="AC217" s="66"/>
      <c r="AD217" s="66">
        <f t="shared" si="111"/>
        <v>8619.6</v>
      </c>
      <c r="AE217" s="66">
        <f t="shared" si="112"/>
        <v>35013.274326902007</v>
      </c>
      <c r="AF217" s="101">
        <f t="shared" si="113"/>
        <v>256505.31641365675</v>
      </c>
      <c r="AG217" s="101">
        <f t="shared" si="114"/>
        <v>291483.31410642812</v>
      </c>
    </row>
    <row r="218" spans="1:33" s="68" customFormat="1" x14ac:dyDescent="0.2">
      <c r="A218" s="147" t="s">
        <v>892</v>
      </c>
      <c r="B218" s="147"/>
      <c r="C218" s="147"/>
      <c r="D218" s="148">
        <v>1</v>
      </c>
      <c r="E218" s="149"/>
      <c r="F218" s="150">
        <v>0.12</v>
      </c>
      <c r="G218" s="150"/>
      <c r="H218" s="67">
        <v>13583</v>
      </c>
      <c r="I218" s="67">
        <f t="shared" si="116"/>
        <v>12983.809190508184</v>
      </c>
      <c r="J218" s="67">
        <f t="shared" si="107"/>
        <v>11425.752087647203</v>
      </c>
      <c r="K218" s="63"/>
      <c r="L218" s="149">
        <v>2000</v>
      </c>
      <c r="M218" s="63">
        <f t="shared" si="85"/>
        <v>2000</v>
      </c>
      <c r="N218" s="63">
        <f t="shared" si="108"/>
        <v>1760</v>
      </c>
      <c r="O218" s="69"/>
      <c r="P218" s="149">
        <v>0</v>
      </c>
      <c r="Q218" s="63">
        <f t="shared" si="117"/>
        <v>0</v>
      </c>
      <c r="R218" s="64">
        <f t="shared" si="109"/>
        <v>0</v>
      </c>
      <c r="S218" s="148">
        <v>15</v>
      </c>
      <c r="T218" s="151" t="s">
        <v>15</v>
      </c>
      <c r="U218" s="65">
        <f>SUMIF('Avoided Costs 2012-2020_EGD'!$A:$A,'2012 Actuals_Auditor'!T218&amp;'2012 Actuals_Auditor'!S218,'Avoided Costs 2012-2020_EGD'!$E:$E)*J218</f>
        <v>27763.479288004008</v>
      </c>
      <c r="V218" s="65">
        <f>SUMIF('Avoided Costs 2012-2020_EGD'!$A:$A,'2012 Actuals_Auditor'!T218&amp;'2012 Actuals_Auditor'!S218,'Avoided Costs 2012-2020_EGD'!$K:$K)*N218</f>
        <v>1812.4188295728138</v>
      </c>
      <c r="W218" s="65">
        <f>SUMIF('Avoided Costs 2012-2020_EGD'!$A:$A,'2012 Actuals_Auditor'!T218&amp;'2012 Actuals_Auditor'!S218,'Avoided Costs 2012-2020_EGD'!$M:$M)*R218</f>
        <v>0</v>
      </c>
      <c r="X218" s="65">
        <f t="shared" si="118"/>
        <v>29575.89811757682</v>
      </c>
      <c r="Y218" s="146">
        <v>9795</v>
      </c>
      <c r="Z218" s="66">
        <f t="shared" si="110"/>
        <v>8619.6</v>
      </c>
      <c r="AA218" s="66"/>
      <c r="AB218" s="66"/>
      <c r="AC218" s="66"/>
      <c r="AD218" s="66">
        <f t="shared" si="111"/>
        <v>8619.6</v>
      </c>
      <c r="AE218" s="66">
        <f t="shared" si="112"/>
        <v>20956.298117576822</v>
      </c>
      <c r="AF218" s="101">
        <f t="shared" si="113"/>
        <v>171386.28131470803</v>
      </c>
      <c r="AG218" s="101">
        <f t="shared" si="114"/>
        <v>194757.13785762276</v>
      </c>
    </row>
    <row r="219" spans="1:33" s="68" customFormat="1" x14ac:dyDescent="0.2">
      <c r="A219" s="147" t="s">
        <v>893</v>
      </c>
      <c r="B219" s="147"/>
      <c r="C219" s="147"/>
      <c r="D219" s="148">
        <v>1</v>
      </c>
      <c r="E219" s="149"/>
      <c r="F219" s="150">
        <v>0.12</v>
      </c>
      <c r="G219" s="150"/>
      <c r="H219" s="67">
        <v>26431</v>
      </c>
      <c r="I219" s="67">
        <f t="shared" si="116"/>
        <v>25265.04164870219</v>
      </c>
      <c r="J219" s="67">
        <f t="shared" si="107"/>
        <v>22233.236650857929</v>
      </c>
      <c r="K219" s="63"/>
      <c r="L219" s="149">
        <v>21661</v>
      </c>
      <c r="M219" s="63">
        <f t="shared" si="85"/>
        <v>21661</v>
      </c>
      <c r="N219" s="63">
        <f t="shared" si="108"/>
        <v>19061.68</v>
      </c>
      <c r="O219" s="69"/>
      <c r="P219" s="149">
        <v>0</v>
      </c>
      <c r="Q219" s="63">
        <f t="shared" si="117"/>
        <v>0</v>
      </c>
      <c r="R219" s="64">
        <f t="shared" si="109"/>
        <v>0</v>
      </c>
      <c r="S219" s="148">
        <v>15</v>
      </c>
      <c r="T219" s="151" t="s">
        <v>15</v>
      </c>
      <c r="U219" s="65">
        <f>SUMIF('Avoided Costs 2012-2020_EGD'!$A:$A,'2012 Actuals_Auditor'!T219&amp;'2012 Actuals_Auditor'!S219,'Avoided Costs 2012-2020_EGD'!$E:$E)*J219</f>
        <v>54024.627921757638</v>
      </c>
      <c r="V219" s="65">
        <f>SUMIF('Avoided Costs 2012-2020_EGD'!$A:$A,'2012 Actuals_Auditor'!T219&amp;'2012 Actuals_Auditor'!S219,'Avoided Costs 2012-2020_EGD'!$K:$K)*N219</f>
        <v>19629.40213368836</v>
      </c>
      <c r="W219" s="65">
        <f>SUMIF('Avoided Costs 2012-2020_EGD'!$A:$A,'2012 Actuals_Auditor'!T219&amp;'2012 Actuals_Auditor'!S219,'Avoided Costs 2012-2020_EGD'!$M:$M)*R219</f>
        <v>0</v>
      </c>
      <c r="X219" s="65">
        <f t="shared" si="118"/>
        <v>73654.030055445997</v>
      </c>
      <c r="Y219" s="146">
        <v>9795</v>
      </c>
      <c r="Z219" s="66">
        <f t="shared" si="110"/>
        <v>8619.6</v>
      </c>
      <c r="AA219" s="66"/>
      <c r="AB219" s="66"/>
      <c r="AC219" s="66"/>
      <c r="AD219" s="66">
        <f t="shared" si="111"/>
        <v>8619.6</v>
      </c>
      <c r="AE219" s="66">
        <f t="shared" si="112"/>
        <v>65034.430055445999</v>
      </c>
      <c r="AF219" s="101">
        <f t="shared" si="113"/>
        <v>333498.5497628689</v>
      </c>
      <c r="AG219" s="101">
        <f t="shared" si="114"/>
        <v>378975.62473053287</v>
      </c>
    </row>
    <row r="220" spans="1:33" s="68" customFormat="1" x14ac:dyDescent="0.2">
      <c r="A220" s="147" t="s">
        <v>894</v>
      </c>
      <c r="B220" s="147"/>
      <c r="C220" s="147"/>
      <c r="D220" s="148">
        <v>1</v>
      </c>
      <c r="E220" s="149"/>
      <c r="F220" s="150">
        <v>0.12</v>
      </c>
      <c r="G220" s="150"/>
      <c r="H220" s="67">
        <v>26431</v>
      </c>
      <c r="I220" s="67">
        <f t="shared" si="116"/>
        <v>25265.04164870219</v>
      </c>
      <c r="J220" s="67">
        <f t="shared" si="107"/>
        <v>22233.236650857929</v>
      </c>
      <c r="K220" s="63"/>
      <c r="L220" s="149">
        <v>21661</v>
      </c>
      <c r="M220" s="63">
        <f t="shared" si="85"/>
        <v>21661</v>
      </c>
      <c r="N220" s="63">
        <f t="shared" si="108"/>
        <v>19061.68</v>
      </c>
      <c r="O220" s="69"/>
      <c r="P220" s="149">
        <v>0</v>
      </c>
      <c r="Q220" s="63">
        <f t="shared" si="117"/>
        <v>0</v>
      </c>
      <c r="R220" s="64">
        <f t="shared" si="109"/>
        <v>0</v>
      </c>
      <c r="S220" s="148">
        <v>15</v>
      </c>
      <c r="T220" s="151" t="s">
        <v>15</v>
      </c>
      <c r="U220" s="65">
        <f>SUMIF('Avoided Costs 2012-2020_EGD'!$A:$A,'2012 Actuals_Auditor'!T220&amp;'2012 Actuals_Auditor'!S220,'Avoided Costs 2012-2020_EGD'!$E:$E)*J220</f>
        <v>54024.627921757638</v>
      </c>
      <c r="V220" s="65">
        <f>SUMIF('Avoided Costs 2012-2020_EGD'!$A:$A,'2012 Actuals_Auditor'!T220&amp;'2012 Actuals_Auditor'!S220,'Avoided Costs 2012-2020_EGD'!$K:$K)*N220</f>
        <v>19629.40213368836</v>
      </c>
      <c r="W220" s="65">
        <f>SUMIF('Avoided Costs 2012-2020_EGD'!$A:$A,'2012 Actuals_Auditor'!T220&amp;'2012 Actuals_Auditor'!S220,'Avoided Costs 2012-2020_EGD'!$M:$M)*R220</f>
        <v>0</v>
      </c>
      <c r="X220" s="65">
        <f t="shared" si="118"/>
        <v>73654.030055445997</v>
      </c>
      <c r="Y220" s="146">
        <v>9795</v>
      </c>
      <c r="Z220" s="66">
        <f t="shared" si="110"/>
        <v>8619.6</v>
      </c>
      <c r="AA220" s="66"/>
      <c r="AB220" s="66"/>
      <c r="AC220" s="66"/>
      <c r="AD220" s="66">
        <f t="shared" si="111"/>
        <v>8619.6</v>
      </c>
      <c r="AE220" s="66">
        <f t="shared" si="112"/>
        <v>65034.430055445999</v>
      </c>
      <c r="AF220" s="101">
        <f t="shared" si="113"/>
        <v>333498.5497628689</v>
      </c>
      <c r="AG220" s="101">
        <f t="shared" si="114"/>
        <v>378975.62473053287</v>
      </c>
    </row>
    <row r="221" spans="1:33" s="68" customFormat="1" x14ac:dyDescent="0.2">
      <c r="A221" s="147" t="s">
        <v>895</v>
      </c>
      <c r="B221" s="147"/>
      <c r="C221" s="147"/>
      <c r="D221" s="148">
        <v>1</v>
      </c>
      <c r="E221" s="149"/>
      <c r="F221" s="150">
        <v>0.12</v>
      </c>
      <c r="G221" s="150"/>
      <c r="H221" s="67">
        <v>14050</v>
      </c>
      <c r="I221" s="67">
        <f t="shared" si="116"/>
        <v>13430.208284373113</v>
      </c>
      <c r="J221" s="67">
        <f t="shared" si="107"/>
        <v>11818.58329024834</v>
      </c>
      <c r="K221" s="63"/>
      <c r="L221" s="149">
        <v>10719</v>
      </c>
      <c r="M221" s="63">
        <f t="shared" si="85"/>
        <v>10719</v>
      </c>
      <c r="N221" s="63">
        <f t="shared" si="108"/>
        <v>9432.7199999999993</v>
      </c>
      <c r="O221" s="69"/>
      <c r="P221" s="149">
        <v>0</v>
      </c>
      <c r="Q221" s="63">
        <f t="shared" si="117"/>
        <v>0</v>
      </c>
      <c r="R221" s="64">
        <f t="shared" si="109"/>
        <v>0</v>
      </c>
      <c r="S221" s="148">
        <v>15</v>
      </c>
      <c r="T221" s="151" t="s">
        <v>15</v>
      </c>
      <c r="U221" s="65">
        <f>SUMIF('Avoided Costs 2012-2020_EGD'!$A:$A,'2012 Actuals_Auditor'!T221&amp;'2012 Actuals_Auditor'!S221,'Avoided Costs 2012-2020_EGD'!$E:$E)*J221</f>
        <v>28718.021349956289</v>
      </c>
      <c r="V221" s="65">
        <f>SUMIF('Avoided Costs 2012-2020_EGD'!$A:$A,'2012 Actuals_Auditor'!T221&amp;'2012 Actuals_Auditor'!S221,'Avoided Costs 2012-2020_EGD'!$K:$K)*N221</f>
        <v>9713.6587170954954</v>
      </c>
      <c r="W221" s="65">
        <f>SUMIF('Avoided Costs 2012-2020_EGD'!$A:$A,'2012 Actuals_Auditor'!T221&amp;'2012 Actuals_Auditor'!S221,'Avoided Costs 2012-2020_EGD'!$M:$M)*R221</f>
        <v>0</v>
      </c>
      <c r="X221" s="65">
        <f t="shared" si="118"/>
        <v>38431.680067051784</v>
      </c>
      <c r="Y221" s="146">
        <v>9795</v>
      </c>
      <c r="Z221" s="66">
        <f t="shared" si="110"/>
        <v>8619.6</v>
      </c>
      <c r="AA221" s="66"/>
      <c r="AB221" s="66"/>
      <c r="AC221" s="66"/>
      <c r="AD221" s="66">
        <f t="shared" si="111"/>
        <v>8619.6</v>
      </c>
      <c r="AE221" s="66">
        <f t="shared" si="112"/>
        <v>29812.080067051786</v>
      </c>
      <c r="AF221" s="101">
        <f t="shared" si="113"/>
        <v>177278.74935372508</v>
      </c>
      <c r="AG221" s="101">
        <f t="shared" si="114"/>
        <v>201453.12426559671</v>
      </c>
    </row>
    <row r="222" spans="1:33" s="68" customFormat="1" x14ac:dyDescent="0.2">
      <c r="A222" s="147" t="s">
        <v>896</v>
      </c>
      <c r="B222" s="147"/>
      <c r="C222" s="147"/>
      <c r="D222" s="148">
        <v>1</v>
      </c>
      <c r="E222" s="149"/>
      <c r="F222" s="150">
        <v>0.12</v>
      </c>
      <c r="G222" s="150"/>
      <c r="H222" s="67">
        <v>6364</v>
      </c>
      <c r="I222" s="67">
        <f t="shared" si="116"/>
        <v>6083.2630264591098</v>
      </c>
      <c r="J222" s="67">
        <f t="shared" si="107"/>
        <v>5353.271463284017</v>
      </c>
      <c r="K222" s="63"/>
      <c r="L222" s="149">
        <v>10000</v>
      </c>
      <c r="M222" s="63">
        <f t="shared" si="85"/>
        <v>10000</v>
      </c>
      <c r="N222" s="63">
        <f t="shared" si="108"/>
        <v>8800</v>
      </c>
      <c r="O222" s="69"/>
      <c r="P222" s="149">
        <v>0</v>
      </c>
      <c r="Q222" s="63">
        <f t="shared" si="117"/>
        <v>0</v>
      </c>
      <c r="R222" s="64">
        <f t="shared" si="109"/>
        <v>0</v>
      </c>
      <c r="S222" s="148">
        <v>15</v>
      </c>
      <c r="T222" s="151" t="s">
        <v>15</v>
      </c>
      <c r="U222" s="65">
        <f>SUMIF('Avoided Costs 2012-2020_EGD'!$A:$A,'2012 Actuals_Auditor'!T222&amp;'2012 Actuals_Auditor'!S222,'Avoided Costs 2012-2020_EGD'!$E:$E)*J222</f>
        <v>13007.935079795148</v>
      </c>
      <c r="V222" s="65">
        <f>SUMIF('Avoided Costs 2012-2020_EGD'!$A:$A,'2012 Actuals_Auditor'!T222&amp;'2012 Actuals_Auditor'!S222,'Avoided Costs 2012-2020_EGD'!$K:$K)*N222</f>
        <v>9062.0941478640689</v>
      </c>
      <c r="W222" s="65">
        <f>SUMIF('Avoided Costs 2012-2020_EGD'!$A:$A,'2012 Actuals_Auditor'!T222&amp;'2012 Actuals_Auditor'!S222,'Avoided Costs 2012-2020_EGD'!$M:$M)*R222</f>
        <v>0</v>
      </c>
      <c r="X222" s="65">
        <f t="shared" si="118"/>
        <v>22070.029227659215</v>
      </c>
      <c r="Y222" s="146">
        <v>9795</v>
      </c>
      <c r="Z222" s="66">
        <f t="shared" si="110"/>
        <v>8619.6</v>
      </c>
      <c r="AA222" s="66"/>
      <c r="AB222" s="66"/>
      <c r="AC222" s="66"/>
      <c r="AD222" s="66">
        <f t="shared" si="111"/>
        <v>8619.6</v>
      </c>
      <c r="AE222" s="66">
        <f t="shared" si="112"/>
        <v>13450.429227659215</v>
      </c>
      <c r="AF222" s="101">
        <f t="shared" si="113"/>
        <v>80299.071949260251</v>
      </c>
      <c r="AG222" s="101">
        <f t="shared" si="114"/>
        <v>91248.945396886644</v>
      </c>
    </row>
    <row r="223" spans="1:33" s="68" customFormat="1" x14ac:dyDescent="0.2">
      <c r="A223" s="147" t="s">
        <v>897</v>
      </c>
      <c r="B223" s="147"/>
      <c r="C223" s="147"/>
      <c r="D223" s="148">
        <v>1</v>
      </c>
      <c r="E223" s="149"/>
      <c r="F223" s="150">
        <v>0.12</v>
      </c>
      <c r="G223" s="150"/>
      <c r="H223" s="67">
        <v>12156</v>
      </c>
      <c r="I223" s="67">
        <f t="shared" si="116"/>
        <v>11619.758854436979</v>
      </c>
      <c r="J223" s="67">
        <f t="shared" si="107"/>
        <v>10225.387791904543</v>
      </c>
      <c r="K223" s="63"/>
      <c r="L223" s="149">
        <v>9229</v>
      </c>
      <c r="M223" s="63">
        <f t="shared" si="85"/>
        <v>9229</v>
      </c>
      <c r="N223" s="63">
        <f t="shared" si="108"/>
        <v>8121.52</v>
      </c>
      <c r="O223" s="69"/>
      <c r="P223" s="149">
        <v>0</v>
      </c>
      <c r="Q223" s="63">
        <f t="shared" si="117"/>
        <v>0</v>
      </c>
      <c r="R223" s="64">
        <f t="shared" si="109"/>
        <v>0</v>
      </c>
      <c r="S223" s="148">
        <v>15</v>
      </c>
      <c r="T223" s="151" t="s">
        <v>15</v>
      </c>
      <c r="U223" s="65">
        <f>SUMIF('Avoided Costs 2012-2020_EGD'!$A:$A,'2012 Actuals_Auditor'!T223&amp;'2012 Actuals_Auditor'!S223,'Avoided Costs 2012-2020_EGD'!$E:$E)*J223</f>
        <v>24846.709432745101</v>
      </c>
      <c r="V223" s="65">
        <f>SUMIF('Avoided Costs 2012-2020_EGD'!$A:$A,'2012 Actuals_Auditor'!T223&amp;'2012 Actuals_Auditor'!S223,'Avoided Costs 2012-2020_EGD'!$K:$K)*N223</f>
        <v>8363.4066890637496</v>
      </c>
      <c r="W223" s="65">
        <f>SUMIF('Avoided Costs 2012-2020_EGD'!$A:$A,'2012 Actuals_Auditor'!T223&amp;'2012 Actuals_Auditor'!S223,'Avoided Costs 2012-2020_EGD'!$M:$M)*R223</f>
        <v>0</v>
      </c>
      <c r="X223" s="65">
        <f t="shared" si="118"/>
        <v>33210.116121808853</v>
      </c>
      <c r="Y223" s="146">
        <v>9795</v>
      </c>
      <c r="Z223" s="66">
        <f t="shared" si="110"/>
        <v>8619.6</v>
      </c>
      <c r="AA223" s="66"/>
      <c r="AB223" s="66"/>
      <c r="AC223" s="66"/>
      <c r="AD223" s="66">
        <f t="shared" si="111"/>
        <v>8619.6</v>
      </c>
      <c r="AE223" s="66">
        <f t="shared" si="112"/>
        <v>24590.516121808854</v>
      </c>
      <c r="AF223" s="101">
        <f t="shared" si="113"/>
        <v>153380.81687856815</v>
      </c>
      <c r="AG223" s="101">
        <f t="shared" si="114"/>
        <v>174296.38281655469</v>
      </c>
    </row>
    <row r="224" spans="1:33" s="68" customFormat="1" x14ac:dyDescent="0.2">
      <c r="A224" s="147" t="s">
        <v>898</v>
      </c>
      <c r="B224" s="147"/>
      <c r="C224" s="147"/>
      <c r="D224" s="148">
        <v>1</v>
      </c>
      <c r="E224" s="149"/>
      <c r="F224" s="150">
        <v>0.12</v>
      </c>
      <c r="G224" s="150"/>
      <c r="H224" s="67">
        <v>36449</v>
      </c>
      <c r="I224" s="67">
        <f t="shared" si="116"/>
        <v>34841.114715808937</v>
      </c>
      <c r="J224" s="67">
        <f t="shared" si="107"/>
        <v>30660.180949911864</v>
      </c>
      <c r="K224" s="63"/>
      <c r="L224" s="149">
        <v>21521</v>
      </c>
      <c r="M224" s="63">
        <f t="shared" si="85"/>
        <v>21521</v>
      </c>
      <c r="N224" s="63">
        <f t="shared" si="108"/>
        <v>18938.48</v>
      </c>
      <c r="O224" s="69"/>
      <c r="P224" s="149">
        <v>0</v>
      </c>
      <c r="Q224" s="63">
        <f t="shared" si="117"/>
        <v>0</v>
      </c>
      <c r="R224" s="64">
        <f t="shared" si="109"/>
        <v>0</v>
      </c>
      <c r="S224" s="148">
        <v>15</v>
      </c>
      <c r="T224" s="151" t="s">
        <v>15</v>
      </c>
      <c r="U224" s="65">
        <f>SUMIF('Avoided Costs 2012-2020_EGD'!$A:$A,'2012 Actuals_Auditor'!T224&amp;'2012 Actuals_Auditor'!S224,'Avoided Costs 2012-2020_EGD'!$E:$E)*J224</f>
        <v>74501.2925398261</v>
      </c>
      <c r="V224" s="65">
        <f>SUMIF('Avoided Costs 2012-2020_EGD'!$A:$A,'2012 Actuals_Auditor'!T224&amp;'2012 Actuals_Auditor'!S224,'Avoided Costs 2012-2020_EGD'!$K:$K)*N224</f>
        <v>19502.532815618262</v>
      </c>
      <c r="W224" s="65">
        <f>SUMIF('Avoided Costs 2012-2020_EGD'!$A:$A,'2012 Actuals_Auditor'!T224&amp;'2012 Actuals_Auditor'!S224,'Avoided Costs 2012-2020_EGD'!$M:$M)*R224</f>
        <v>0</v>
      </c>
      <c r="X224" s="65">
        <f t="shared" si="118"/>
        <v>94003.825355444365</v>
      </c>
      <c r="Y224" s="146">
        <v>9795</v>
      </c>
      <c r="Z224" s="66">
        <f t="shared" si="110"/>
        <v>8619.6</v>
      </c>
      <c r="AA224" s="66"/>
      <c r="AB224" s="66"/>
      <c r="AC224" s="66"/>
      <c r="AD224" s="66">
        <f t="shared" si="111"/>
        <v>8619.6</v>
      </c>
      <c r="AE224" s="66">
        <f t="shared" si="112"/>
        <v>85384.22535544436</v>
      </c>
      <c r="AF224" s="101">
        <f t="shared" si="113"/>
        <v>459902.71424867795</v>
      </c>
      <c r="AG224" s="101">
        <f t="shared" si="114"/>
        <v>522616.72073713405</v>
      </c>
    </row>
    <row r="225" spans="1:33" s="68" customFormat="1" x14ac:dyDescent="0.2">
      <c r="A225" s="147" t="s">
        <v>899</v>
      </c>
      <c r="B225" s="147"/>
      <c r="C225" s="147"/>
      <c r="D225" s="148">
        <v>1</v>
      </c>
      <c r="E225" s="149"/>
      <c r="F225" s="150">
        <v>0.12</v>
      </c>
      <c r="G225" s="150"/>
      <c r="H225" s="67">
        <v>3063</v>
      </c>
      <c r="I225" s="67">
        <f t="shared" si="116"/>
        <v>2927.8809946644019</v>
      </c>
      <c r="J225" s="67">
        <f t="shared" si="107"/>
        <v>2576.5352753046736</v>
      </c>
      <c r="K225" s="63"/>
      <c r="L225" s="149">
        <v>100</v>
      </c>
      <c r="M225" s="63">
        <f t="shared" si="85"/>
        <v>100</v>
      </c>
      <c r="N225" s="63">
        <f t="shared" si="108"/>
        <v>88</v>
      </c>
      <c r="O225" s="69"/>
      <c r="P225" s="149">
        <v>0</v>
      </c>
      <c r="Q225" s="63">
        <f t="shared" si="117"/>
        <v>0</v>
      </c>
      <c r="R225" s="64">
        <f t="shared" si="109"/>
        <v>0</v>
      </c>
      <c r="S225" s="148">
        <v>15</v>
      </c>
      <c r="T225" s="151" t="s">
        <v>15</v>
      </c>
      <c r="U225" s="65">
        <f>SUMIF('Avoided Costs 2012-2020_EGD'!$A:$A,'2012 Actuals_Auditor'!T225&amp;'2012 Actuals_Auditor'!S225,'Avoided Costs 2012-2020_EGD'!$E:$E)*J225</f>
        <v>6260.7330530189411</v>
      </c>
      <c r="V225" s="65">
        <f>SUMIF('Avoided Costs 2012-2020_EGD'!$A:$A,'2012 Actuals_Auditor'!T225&amp;'2012 Actuals_Auditor'!S225,'Avoided Costs 2012-2020_EGD'!$K:$K)*N225</f>
        <v>90.620941478640688</v>
      </c>
      <c r="W225" s="65">
        <f>SUMIF('Avoided Costs 2012-2020_EGD'!$A:$A,'2012 Actuals_Auditor'!T225&amp;'2012 Actuals_Auditor'!S225,'Avoided Costs 2012-2020_EGD'!$M:$M)*R225</f>
        <v>0</v>
      </c>
      <c r="X225" s="65">
        <f t="shared" si="118"/>
        <v>6351.3539944975819</v>
      </c>
      <c r="Y225" s="146">
        <v>3525</v>
      </c>
      <c r="Z225" s="66">
        <f t="shared" si="110"/>
        <v>3102</v>
      </c>
      <c r="AA225" s="66"/>
      <c r="AB225" s="66"/>
      <c r="AC225" s="66"/>
      <c r="AD225" s="66">
        <f t="shared" si="111"/>
        <v>3102</v>
      </c>
      <c r="AE225" s="66">
        <f t="shared" si="112"/>
        <v>3249.3539944975819</v>
      </c>
      <c r="AF225" s="101">
        <f t="shared" si="113"/>
        <v>38648.029129570103</v>
      </c>
      <c r="AG225" s="101">
        <f t="shared" si="114"/>
        <v>43918.214919966027</v>
      </c>
    </row>
    <row r="226" spans="1:33" s="68" customFormat="1" x14ac:dyDescent="0.2">
      <c r="A226" s="147" t="s">
        <v>900</v>
      </c>
      <c r="B226" s="147"/>
      <c r="C226" s="147"/>
      <c r="D226" s="148">
        <v>1</v>
      </c>
      <c r="E226" s="149"/>
      <c r="F226" s="150">
        <v>0.12</v>
      </c>
      <c r="G226" s="150"/>
      <c r="H226" s="67">
        <v>3849</v>
      </c>
      <c r="I226" s="67">
        <f t="shared" si="116"/>
        <v>3679.2079492207909</v>
      </c>
      <c r="J226" s="67">
        <f t="shared" si="107"/>
        <v>3237.702995314296</v>
      </c>
      <c r="K226" s="63"/>
      <c r="L226" s="149">
        <v>100</v>
      </c>
      <c r="M226" s="63">
        <f t="shared" si="85"/>
        <v>100</v>
      </c>
      <c r="N226" s="63">
        <f t="shared" si="108"/>
        <v>88</v>
      </c>
      <c r="O226" s="69"/>
      <c r="P226" s="149">
        <v>0</v>
      </c>
      <c r="Q226" s="63">
        <f t="shared" si="117"/>
        <v>0</v>
      </c>
      <c r="R226" s="64">
        <f t="shared" si="109"/>
        <v>0</v>
      </c>
      <c r="S226" s="148">
        <v>15</v>
      </c>
      <c r="T226" s="151" t="s">
        <v>15</v>
      </c>
      <c r="U226" s="65">
        <f>SUMIF('Avoided Costs 2012-2020_EGD'!$A:$A,'2012 Actuals_Auditor'!T226&amp;'2012 Actuals_Auditor'!S226,'Avoided Costs 2012-2020_EGD'!$E:$E)*J226</f>
        <v>7867.3070587887369</v>
      </c>
      <c r="V226" s="65">
        <f>SUMIF('Avoided Costs 2012-2020_EGD'!$A:$A,'2012 Actuals_Auditor'!T226&amp;'2012 Actuals_Auditor'!S226,'Avoided Costs 2012-2020_EGD'!$K:$K)*N226</f>
        <v>90.620941478640688</v>
      </c>
      <c r="W226" s="65">
        <f>SUMIF('Avoided Costs 2012-2020_EGD'!$A:$A,'2012 Actuals_Auditor'!T226&amp;'2012 Actuals_Auditor'!S226,'Avoided Costs 2012-2020_EGD'!$M:$M)*R226</f>
        <v>0</v>
      </c>
      <c r="X226" s="65">
        <f t="shared" si="118"/>
        <v>7957.9280002673777</v>
      </c>
      <c r="Y226" s="146">
        <v>1175</v>
      </c>
      <c r="Z226" s="66">
        <f t="shared" si="110"/>
        <v>1034</v>
      </c>
      <c r="AA226" s="66"/>
      <c r="AB226" s="66"/>
      <c r="AC226" s="66"/>
      <c r="AD226" s="66">
        <f t="shared" si="111"/>
        <v>1034</v>
      </c>
      <c r="AE226" s="66">
        <f t="shared" si="112"/>
        <v>6923.9280002673777</v>
      </c>
      <c r="AF226" s="101">
        <f t="shared" si="113"/>
        <v>48565.544929714437</v>
      </c>
      <c r="AG226" s="101">
        <f t="shared" si="114"/>
        <v>55188.119238311861</v>
      </c>
    </row>
    <row r="227" spans="1:33" s="68" customFormat="1" x14ac:dyDescent="0.2">
      <c r="A227" s="147" t="s">
        <v>901</v>
      </c>
      <c r="B227" s="147"/>
      <c r="C227" s="147"/>
      <c r="D227" s="148">
        <v>1</v>
      </c>
      <c r="E227" s="149"/>
      <c r="F227" s="150">
        <v>0.12</v>
      </c>
      <c r="G227" s="150"/>
      <c r="H227" s="67">
        <v>5176</v>
      </c>
      <c r="I227" s="67">
        <f t="shared" si="116"/>
        <v>4947.669614228842</v>
      </c>
      <c r="J227" s="67">
        <f t="shared" si="107"/>
        <v>4353.9492605213809</v>
      </c>
      <c r="K227" s="63"/>
      <c r="L227" s="149">
        <v>100</v>
      </c>
      <c r="M227" s="63">
        <f t="shared" si="85"/>
        <v>100</v>
      </c>
      <c r="N227" s="63">
        <f t="shared" si="108"/>
        <v>88</v>
      </c>
      <c r="O227" s="69"/>
      <c r="P227" s="149">
        <v>0</v>
      </c>
      <c r="Q227" s="63">
        <f t="shared" si="117"/>
        <v>0</v>
      </c>
      <c r="R227" s="64">
        <f t="shared" si="109"/>
        <v>0</v>
      </c>
      <c r="S227" s="148">
        <v>15</v>
      </c>
      <c r="T227" s="151" t="s">
        <v>15</v>
      </c>
      <c r="U227" s="65">
        <f>SUMIF('Avoided Costs 2012-2020_EGD'!$A:$A,'2012 Actuals_Auditor'!T227&amp;'2012 Actuals_Auditor'!S227,'Avoided Costs 2012-2020_EGD'!$E:$E)*J227</f>
        <v>10579.678185578203</v>
      </c>
      <c r="V227" s="65">
        <f>SUMIF('Avoided Costs 2012-2020_EGD'!$A:$A,'2012 Actuals_Auditor'!T227&amp;'2012 Actuals_Auditor'!S227,'Avoided Costs 2012-2020_EGD'!$K:$K)*N227</f>
        <v>90.620941478640688</v>
      </c>
      <c r="W227" s="65">
        <f>SUMIF('Avoided Costs 2012-2020_EGD'!$A:$A,'2012 Actuals_Auditor'!T227&amp;'2012 Actuals_Auditor'!S227,'Avoided Costs 2012-2020_EGD'!$M:$M)*R227</f>
        <v>0</v>
      </c>
      <c r="X227" s="65">
        <f t="shared" si="118"/>
        <v>10670.299127056844</v>
      </c>
      <c r="Y227" s="146">
        <v>1175</v>
      </c>
      <c r="Z227" s="66">
        <f t="shared" si="110"/>
        <v>1034</v>
      </c>
      <c r="AA227" s="66"/>
      <c r="AB227" s="66"/>
      <c r="AC227" s="66"/>
      <c r="AD227" s="66">
        <f t="shared" si="111"/>
        <v>1034</v>
      </c>
      <c r="AE227" s="66">
        <f t="shared" si="112"/>
        <v>9636.2991270568436</v>
      </c>
      <c r="AF227" s="101">
        <f t="shared" si="113"/>
        <v>65309.238907820712</v>
      </c>
      <c r="AG227" s="101">
        <f t="shared" si="114"/>
        <v>74215.044213432629</v>
      </c>
    </row>
    <row r="228" spans="1:33" s="68" customFormat="1" x14ac:dyDescent="0.2">
      <c r="A228" s="147" t="s">
        <v>902</v>
      </c>
      <c r="B228" s="147"/>
      <c r="C228" s="147"/>
      <c r="D228" s="148">
        <v>1</v>
      </c>
      <c r="E228" s="149"/>
      <c r="F228" s="150">
        <v>0.12</v>
      </c>
      <c r="G228" s="150"/>
      <c r="H228" s="67">
        <v>2634</v>
      </c>
      <c r="I228" s="67">
        <f t="shared" si="116"/>
        <v>2517.805595803472</v>
      </c>
      <c r="J228" s="67">
        <f t="shared" si="107"/>
        <v>2215.6689243070555</v>
      </c>
      <c r="K228" s="63"/>
      <c r="L228" s="149">
        <v>100</v>
      </c>
      <c r="M228" s="63">
        <f t="shared" si="85"/>
        <v>100</v>
      </c>
      <c r="N228" s="63">
        <f t="shared" si="108"/>
        <v>88</v>
      </c>
      <c r="O228" s="69"/>
      <c r="P228" s="149">
        <v>0</v>
      </c>
      <c r="Q228" s="63">
        <f t="shared" si="117"/>
        <v>0</v>
      </c>
      <c r="R228" s="64">
        <f t="shared" si="109"/>
        <v>0</v>
      </c>
      <c r="S228" s="148">
        <v>15</v>
      </c>
      <c r="T228" s="151" t="s">
        <v>15</v>
      </c>
      <c r="U228" s="65">
        <f>SUMIF('Avoided Costs 2012-2020_EGD'!$A:$A,'2012 Actuals_Auditor'!T228&amp;'2012 Actuals_Auditor'!S228,'Avoided Costs 2012-2020_EGD'!$E:$E)*J228</f>
        <v>5383.8625078850446</v>
      </c>
      <c r="V228" s="65">
        <f>SUMIF('Avoided Costs 2012-2020_EGD'!$A:$A,'2012 Actuals_Auditor'!T228&amp;'2012 Actuals_Auditor'!S228,'Avoided Costs 2012-2020_EGD'!$K:$K)*N228</f>
        <v>90.620941478640688</v>
      </c>
      <c r="W228" s="65">
        <f>SUMIF('Avoided Costs 2012-2020_EGD'!$A:$A,'2012 Actuals_Auditor'!T228&amp;'2012 Actuals_Auditor'!S228,'Avoided Costs 2012-2020_EGD'!$M:$M)*R228</f>
        <v>0</v>
      </c>
      <c r="X228" s="65">
        <f t="shared" si="118"/>
        <v>5474.4834493636854</v>
      </c>
      <c r="Y228" s="146">
        <v>2081</v>
      </c>
      <c r="Z228" s="66">
        <f t="shared" si="110"/>
        <v>1831.28</v>
      </c>
      <c r="AA228" s="66"/>
      <c r="AB228" s="66"/>
      <c r="AC228" s="66"/>
      <c r="AD228" s="66">
        <f t="shared" si="111"/>
        <v>1831.28</v>
      </c>
      <c r="AE228" s="66">
        <f t="shared" si="112"/>
        <v>3643.2034493636856</v>
      </c>
      <c r="AF228" s="101">
        <f t="shared" si="113"/>
        <v>33235.03386460583</v>
      </c>
      <c r="AG228" s="101">
        <f t="shared" si="114"/>
        <v>37767.083937052077</v>
      </c>
    </row>
    <row r="229" spans="1:33" s="68" customFormat="1" x14ac:dyDescent="0.2">
      <c r="A229" s="147" t="s">
        <v>903</v>
      </c>
      <c r="B229" s="147"/>
      <c r="C229" s="147"/>
      <c r="D229" s="148">
        <v>1</v>
      </c>
      <c r="E229" s="149"/>
      <c r="F229" s="150">
        <v>0.12</v>
      </c>
      <c r="G229" s="150"/>
      <c r="H229" s="67">
        <v>2523</v>
      </c>
      <c r="I229" s="67">
        <f t="shared" si="116"/>
        <v>2411.7021709233713</v>
      </c>
      <c r="J229" s="67">
        <f t="shared" si="107"/>
        <v>2122.2979104125666</v>
      </c>
      <c r="K229" s="63"/>
      <c r="L229" s="149">
        <v>100</v>
      </c>
      <c r="M229" s="63">
        <f t="shared" si="85"/>
        <v>100</v>
      </c>
      <c r="N229" s="63">
        <f t="shared" si="108"/>
        <v>88</v>
      </c>
      <c r="O229" s="69"/>
      <c r="P229" s="149">
        <v>0</v>
      </c>
      <c r="Q229" s="63">
        <f t="shared" si="117"/>
        <v>0</v>
      </c>
      <c r="R229" s="64">
        <f t="shared" si="109"/>
        <v>0</v>
      </c>
      <c r="S229" s="148">
        <v>15</v>
      </c>
      <c r="T229" s="151" t="s">
        <v>15</v>
      </c>
      <c r="U229" s="65">
        <f>SUMIF('Avoided Costs 2012-2020_EGD'!$A:$A,'2012 Actuals_Auditor'!T229&amp;'2012 Actuals_Auditor'!S229,'Avoided Costs 2012-2020_EGD'!$E:$E)*J229</f>
        <v>5156.9799192839655</v>
      </c>
      <c r="V229" s="65">
        <f>SUMIF('Avoided Costs 2012-2020_EGD'!$A:$A,'2012 Actuals_Auditor'!T229&amp;'2012 Actuals_Auditor'!S229,'Avoided Costs 2012-2020_EGD'!$K:$K)*N229</f>
        <v>90.620941478640688</v>
      </c>
      <c r="W229" s="65">
        <f>SUMIF('Avoided Costs 2012-2020_EGD'!$A:$A,'2012 Actuals_Auditor'!T229&amp;'2012 Actuals_Auditor'!S229,'Avoided Costs 2012-2020_EGD'!$M:$M)*R229</f>
        <v>0</v>
      </c>
      <c r="X229" s="65">
        <f t="shared" si="118"/>
        <v>5247.6008607626063</v>
      </c>
      <c r="Y229" s="146">
        <v>3525</v>
      </c>
      <c r="Z229" s="66">
        <f t="shared" si="110"/>
        <v>3102</v>
      </c>
      <c r="AA229" s="66"/>
      <c r="AB229" s="66"/>
      <c r="AC229" s="66"/>
      <c r="AD229" s="66">
        <f t="shared" si="111"/>
        <v>3102</v>
      </c>
      <c r="AE229" s="66">
        <f t="shared" si="112"/>
        <v>2145.6008607626063</v>
      </c>
      <c r="AF229" s="101">
        <f t="shared" si="113"/>
        <v>31834.468656188499</v>
      </c>
      <c r="AG229" s="101">
        <f t="shared" si="114"/>
        <v>36175.532563850567</v>
      </c>
    </row>
    <row r="230" spans="1:33" s="68" customFormat="1" x14ac:dyDescent="0.2">
      <c r="A230" s="147" t="s">
        <v>904</v>
      </c>
      <c r="B230" s="147"/>
      <c r="C230" s="147"/>
      <c r="D230" s="148">
        <v>1</v>
      </c>
      <c r="E230" s="149"/>
      <c r="F230" s="150">
        <v>0.12</v>
      </c>
      <c r="G230" s="150"/>
      <c r="H230" s="67">
        <v>8368</v>
      </c>
      <c r="I230" s="67">
        <f t="shared" si="116"/>
        <v>7998.859994564712</v>
      </c>
      <c r="J230" s="67">
        <f t="shared" si="107"/>
        <v>7038.9967952169463</v>
      </c>
      <c r="K230" s="63"/>
      <c r="L230" s="149">
        <v>7013</v>
      </c>
      <c r="M230" s="63">
        <f t="shared" si="85"/>
        <v>7013</v>
      </c>
      <c r="N230" s="63">
        <f t="shared" si="108"/>
        <v>6171.44</v>
      </c>
      <c r="O230" s="69"/>
      <c r="P230" s="149">
        <v>0</v>
      </c>
      <c r="Q230" s="63">
        <f t="shared" si="117"/>
        <v>0</v>
      </c>
      <c r="R230" s="64">
        <f t="shared" si="109"/>
        <v>0</v>
      </c>
      <c r="S230" s="148">
        <v>15</v>
      </c>
      <c r="T230" s="151" t="s">
        <v>15</v>
      </c>
      <c r="U230" s="65">
        <f>SUMIF('Avoided Costs 2012-2020_EGD'!$A:$A,'2012 Actuals_Auditor'!T230&amp;'2012 Actuals_Auditor'!S230,'Avoided Costs 2012-2020_EGD'!$E:$E)*J230</f>
        <v>17104.085598322719</v>
      </c>
      <c r="V230" s="65">
        <f>SUMIF('Avoided Costs 2012-2020_EGD'!$A:$A,'2012 Actuals_Auditor'!T230&amp;'2012 Actuals_Auditor'!S230,'Avoided Costs 2012-2020_EGD'!$K:$K)*N230</f>
        <v>6355.2466258970717</v>
      </c>
      <c r="W230" s="65">
        <f>SUMIF('Avoided Costs 2012-2020_EGD'!$A:$A,'2012 Actuals_Auditor'!T230&amp;'2012 Actuals_Auditor'!S230,'Avoided Costs 2012-2020_EGD'!$M:$M)*R230</f>
        <v>0</v>
      </c>
      <c r="X230" s="65">
        <f t="shared" si="118"/>
        <v>23459.33222421979</v>
      </c>
      <c r="Y230" s="146">
        <v>6100</v>
      </c>
      <c r="Z230" s="66">
        <f t="shared" si="110"/>
        <v>5368</v>
      </c>
      <c r="AA230" s="66"/>
      <c r="AB230" s="66"/>
      <c r="AC230" s="66"/>
      <c r="AD230" s="66">
        <f t="shared" si="111"/>
        <v>5368</v>
      </c>
      <c r="AE230" s="66">
        <f t="shared" si="112"/>
        <v>18091.33222421979</v>
      </c>
      <c r="AF230" s="101">
        <f t="shared" si="113"/>
        <v>105584.95192825419</v>
      </c>
      <c r="AG230" s="101">
        <f t="shared" si="114"/>
        <v>119982.89991847068</v>
      </c>
    </row>
    <row r="231" spans="1:33" s="68" customFormat="1" x14ac:dyDescent="0.2">
      <c r="A231" s="147" t="s">
        <v>905</v>
      </c>
      <c r="B231" s="147"/>
      <c r="C231" s="147"/>
      <c r="D231" s="148">
        <v>1</v>
      </c>
      <c r="E231" s="149"/>
      <c r="F231" s="150">
        <v>0.12</v>
      </c>
      <c r="G231" s="150"/>
      <c r="H231" s="67">
        <v>11102</v>
      </c>
      <c r="I231" s="67">
        <f t="shared" si="116"/>
        <v>10612.254261431339</v>
      </c>
      <c r="J231" s="67">
        <f t="shared" ref="J231:J262" si="119">I231*(1-F231)</f>
        <v>9338.7837500595779</v>
      </c>
      <c r="K231" s="63"/>
      <c r="L231" s="149">
        <v>7833</v>
      </c>
      <c r="M231" s="63">
        <f t="shared" si="85"/>
        <v>7833</v>
      </c>
      <c r="N231" s="63">
        <f t="shared" ref="N231:N262" si="120">M231*(1-F231)</f>
        <v>6893.04</v>
      </c>
      <c r="O231" s="69"/>
      <c r="P231" s="149">
        <v>0</v>
      </c>
      <c r="Q231" s="63">
        <f t="shared" si="117"/>
        <v>0</v>
      </c>
      <c r="R231" s="64">
        <f t="shared" ref="R231:R262" si="121">Q231*(1-F231)</f>
        <v>0</v>
      </c>
      <c r="S231" s="148">
        <v>15</v>
      </c>
      <c r="T231" s="151" t="s">
        <v>15</v>
      </c>
      <c r="U231" s="65">
        <f>SUMIF('Avoided Costs 2012-2020_EGD'!$A:$A,'2012 Actuals_Auditor'!T231&amp;'2012 Actuals_Auditor'!S231,'Avoided Costs 2012-2020_EGD'!$E:$E)*J231</f>
        <v>22692.346834677206</v>
      </c>
      <c r="V231" s="65">
        <f>SUMIF('Avoided Costs 2012-2020_EGD'!$A:$A,'2012 Actuals_Auditor'!T231&amp;'2012 Actuals_Auditor'!S231,'Avoided Costs 2012-2020_EGD'!$K:$K)*N231</f>
        <v>7098.3383460219256</v>
      </c>
      <c r="W231" s="65">
        <f>SUMIF('Avoided Costs 2012-2020_EGD'!$A:$A,'2012 Actuals_Auditor'!T231&amp;'2012 Actuals_Auditor'!S231,'Avoided Costs 2012-2020_EGD'!$M:$M)*R231</f>
        <v>0</v>
      </c>
      <c r="X231" s="65">
        <f t="shared" si="118"/>
        <v>29790.685180699133</v>
      </c>
      <c r="Y231" s="146">
        <v>6100</v>
      </c>
      <c r="Z231" s="66">
        <f t="shared" ref="Z231:Z262" si="122">Y231*(1-F231)</f>
        <v>5368</v>
      </c>
      <c r="AA231" s="66"/>
      <c r="AB231" s="66"/>
      <c r="AC231" s="66"/>
      <c r="AD231" s="66">
        <f t="shared" ref="AD231:AD262" si="123">Z231+AB231</f>
        <v>5368</v>
      </c>
      <c r="AE231" s="66">
        <f t="shared" ref="AE231:AE262" si="124">X231-AD231</f>
        <v>24422.685180699133</v>
      </c>
      <c r="AF231" s="101">
        <f t="shared" ref="AF231:AF262" si="125">J231*S231</f>
        <v>140081.75625089367</v>
      </c>
      <c r="AG231" s="101">
        <f t="shared" ref="AG231:AG262" si="126">(I231*S231)</f>
        <v>159183.81392147008</v>
      </c>
    </row>
    <row r="232" spans="1:33" s="68" customFormat="1" x14ac:dyDescent="0.2">
      <c r="A232" s="147" t="s">
        <v>906</v>
      </c>
      <c r="B232" s="147"/>
      <c r="C232" s="147"/>
      <c r="D232" s="148">
        <v>1</v>
      </c>
      <c r="E232" s="149"/>
      <c r="F232" s="150">
        <v>0.12</v>
      </c>
      <c r="G232" s="150"/>
      <c r="H232" s="67">
        <v>12747</v>
      </c>
      <c r="I232" s="67">
        <f t="shared" si="116"/>
        <v>12184.687900420218</v>
      </c>
      <c r="J232" s="67">
        <f t="shared" si="119"/>
        <v>10722.525352369792</v>
      </c>
      <c r="K232" s="63"/>
      <c r="L232" s="149">
        <v>10435</v>
      </c>
      <c r="M232" s="63">
        <f t="shared" si="85"/>
        <v>10435</v>
      </c>
      <c r="N232" s="63">
        <f t="shared" si="120"/>
        <v>9182.7999999999993</v>
      </c>
      <c r="O232" s="69"/>
      <c r="P232" s="149">
        <v>0</v>
      </c>
      <c r="Q232" s="63">
        <f t="shared" si="117"/>
        <v>0</v>
      </c>
      <c r="R232" s="64">
        <f t="shared" si="121"/>
        <v>0</v>
      </c>
      <c r="S232" s="148">
        <v>15</v>
      </c>
      <c r="T232" s="151" t="s">
        <v>15</v>
      </c>
      <c r="U232" s="65">
        <f>SUMIF('Avoided Costs 2012-2020_EGD'!$A:$A,'2012 Actuals_Auditor'!T232&amp;'2012 Actuals_Auditor'!S232,'Avoided Costs 2012-2020_EGD'!$E:$E)*J232</f>
        <v>26054.705917999487</v>
      </c>
      <c r="V232" s="65">
        <f>SUMIF('Avoided Costs 2012-2020_EGD'!$A:$A,'2012 Actuals_Auditor'!T232&amp;'2012 Actuals_Auditor'!S232,'Avoided Costs 2012-2020_EGD'!$K:$K)*N232</f>
        <v>9456.2952432961556</v>
      </c>
      <c r="W232" s="65">
        <f>SUMIF('Avoided Costs 2012-2020_EGD'!$A:$A,'2012 Actuals_Auditor'!T232&amp;'2012 Actuals_Auditor'!S232,'Avoided Costs 2012-2020_EGD'!$M:$M)*R232</f>
        <v>0</v>
      </c>
      <c r="X232" s="65">
        <f t="shared" si="118"/>
        <v>35511.001161295644</v>
      </c>
      <c r="Y232" s="146">
        <v>9600</v>
      </c>
      <c r="Z232" s="66">
        <f t="shared" si="122"/>
        <v>8448</v>
      </c>
      <c r="AA232" s="66"/>
      <c r="AB232" s="66"/>
      <c r="AC232" s="66"/>
      <c r="AD232" s="66">
        <f t="shared" si="123"/>
        <v>8448</v>
      </c>
      <c r="AE232" s="66">
        <f t="shared" si="124"/>
        <v>27063.001161295644</v>
      </c>
      <c r="AF232" s="101">
        <f t="shared" si="125"/>
        <v>160837.88028554688</v>
      </c>
      <c r="AG232" s="101">
        <f t="shared" si="126"/>
        <v>182770.31850630327</v>
      </c>
    </row>
    <row r="233" spans="1:33" s="68" customFormat="1" x14ac:dyDescent="0.2">
      <c r="A233" s="147" t="s">
        <v>907</v>
      </c>
      <c r="B233" s="147"/>
      <c r="C233" s="147"/>
      <c r="D233" s="148">
        <v>1</v>
      </c>
      <c r="E233" s="149"/>
      <c r="F233" s="150">
        <v>0.12</v>
      </c>
      <c r="G233" s="150"/>
      <c r="H233" s="67">
        <v>10826</v>
      </c>
      <c r="I233" s="67">
        <f t="shared" si="116"/>
        <v>10348.429529297033</v>
      </c>
      <c r="J233" s="67">
        <f t="shared" si="119"/>
        <v>9106.6179857813895</v>
      </c>
      <c r="K233" s="63"/>
      <c r="L233" s="149">
        <v>9060</v>
      </c>
      <c r="M233" s="63">
        <f t="shared" si="85"/>
        <v>9060</v>
      </c>
      <c r="N233" s="63">
        <f t="shared" si="120"/>
        <v>7972.8</v>
      </c>
      <c r="O233" s="69"/>
      <c r="P233" s="149">
        <v>0</v>
      </c>
      <c r="Q233" s="63">
        <f t="shared" si="117"/>
        <v>0</v>
      </c>
      <c r="R233" s="64">
        <f t="shared" si="121"/>
        <v>0</v>
      </c>
      <c r="S233" s="148">
        <v>15</v>
      </c>
      <c r="T233" s="151" t="s">
        <v>15</v>
      </c>
      <c r="U233" s="65">
        <f>SUMIF('Avoided Costs 2012-2020_EGD'!$A:$A,'2012 Actuals_Auditor'!T233&amp;'2012 Actuals_Auditor'!S233,'Avoided Costs 2012-2020_EGD'!$E:$E)*J233</f>
        <v>22128.206344101553</v>
      </c>
      <c r="V233" s="65">
        <f>SUMIF('Avoided Costs 2012-2020_EGD'!$A:$A,'2012 Actuals_Auditor'!T233&amp;'2012 Actuals_Auditor'!S233,'Avoided Costs 2012-2020_EGD'!$K:$K)*N233</f>
        <v>8210.2572979648467</v>
      </c>
      <c r="W233" s="65">
        <f>SUMIF('Avoided Costs 2012-2020_EGD'!$A:$A,'2012 Actuals_Auditor'!T233&amp;'2012 Actuals_Auditor'!S233,'Avoided Costs 2012-2020_EGD'!$M:$M)*R233</f>
        <v>0</v>
      </c>
      <c r="X233" s="65">
        <f t="shared" si="118"/>
        <v>30338.463642066399</v>
      </c>
      <c r="Y233" s="146">
        <v>9600</v>
      </c>
      <c r="Z233" s="66">
        <f t="shared" si="122"/>
        <v>8448</v>
      </c>
      <c r="AA233" s="66"/>
      <c r="AB233" s="66"/>
      <c r="AC233" s="66"/>
      <c r="AD233" s="66">
        <f t="shared" si="123"/>
        <v>8448</v>
      </c>
      <c r="AE233" s="66">
        <f t="shared" si="124"/>
        <v>21890.463642066399</v>
      </c>
      <c r="AF233" s="101">
        <f t="shared" si="125"/>
        <v>136599.26978672083</v>
      </c>
      <c r="AG233" s="101">
        <f t="shared" si="126"/>
        <v>155226.4429394555</v>
      </c>
    </row>
    <row r="234" spans="1:33" s="68" customFormat="1" x14ac:dyDescent="0.2">
      <c r="A234" s="147" t="s">
        <v>908</v>
      </c>
      <c r="B234" s="147"/>
      <c r="C234" s="147"/>
      <c r="D234" s="148">
        <v>1</v>
      </c>
      <c r="E234" s="149"/>
      <c r="F234" s="150">
        <v>0.12</v>
      </c>
      <c r="G234" s="150"/>
      <c r="H234" s="67">
        <v>20727</v>
      </c>
      <c r="I234" s="67">
        <f t="shared" si="116"/>
        <v>19812.663851259895</v>
      </c>
      <c r="J234" s="67">
        <f t="shared" si="119"/>
        <v>17435.144189108709</v>
      </c>
      <c r="K234" s="63"/>
      <c r="L234" s="149">
        <v>15990</v>
      </c>
      <c r="M234" s="63">
        <f t="shared" si="85"/>
        <v>15990</v>
      </c>
      <c r="N234" s="63">
        <f t="shared" si="120"/>
        <v>14071.2</v>
      </c>
      <c r="O234" s="69"/>
      <c r="P234" s="149">
        <v>0</v>
      </c>
      <c r="Q234" s="63">
        <f t="shared" si="117"/>
        <v>0</v>
      </c>
      <c r="R234" s="64">
        <f t="shared" si="121"/>
        <v>0</v>
      </c>
      <c r="S234" s="148">
        <v>15</v>
      </c>
      <c r="T234" s="151" t="s">
        <v>15</v>
      </c>
      <c r="U234" s="65">
        <f>SUMIF('Avoided Costs 2012-2020_EGD'!$A:$A,'2012 Actuals_Auditor'!T234&amp;'2012 Actuals_Auditor'!S234,'Avoided Costs 2012-2020_EGD'!$E:$E)*J234</f>
        <v>42365.724449860791</v>
      </c>
      <c r="V234" s="65">
        <f>SUMIF('Avoided Costs 2012-2020_EGD'!$A:$A,'2012 Actuals_Auditor'!T234&amp;'2012 Actuals_Auditor'!S234,'Avoided Costs 2012-2020_EGD'!$K:$K)*N234</f>
        <v>14490.288542434648</v>
      </c>
      <c r="W234" s="65">
        <f>SUMIF('Avoided Costs 2012-2020_EGD'!$A:$A,'2012 Actuals_Auditor'!T234&amp;'2012 Actuals_Auditor'!S234,'Avoided Costs 2012-2020_EGD'!$M:$M)*R234</f>
        <v>0</v>
      </c>
      <c r="X234" s="65">
        <f t="shared" si="118"/>
        <v>56856.012992295437</v>
      </c>
      <c r="Y234" s="146">
        <v>9795</v>
      </c>
      <c r="Z234" s="66">
        <f t="shared" si="122"/>
        <v>8619.6</v>
      </c>
      <c r="AA234" s="66"/>
      <c r="AB234" s="66"/>
      <c r="AC234" s="66"/>
      <c r="AD234" s="66">
        <f t="shared" si="123"/>
        <v>8619.6</v>
      </c>
      <c r="AE234" s="66">
        <f t="shared" si="124"/>
        <v>48236.412992295438</v>
      </c>
      <c r="AF234" s="101">
        <f t="shared" si="125"/>
        <v>261527.16283663062</v>
      </c>
      <c r="AG234" s="101">
        <f t="shared" si="126"/>
        <v>297189.9577688984</v>
      </c>
    </row>
    <row r="235" spans="1:33" s="68" customFormat="1" x14ac:dyDescent="0.2">
      <c r="A235" s="147" t="s">
        <v>909</v>
      </c>
      <c r="B235" s="147"/>
      <c r="C235" s="147"/>
      <c r="D235" s="148">
        <v>1</v>
      </c>
      <c r="E235" s="149"/>
      <c r="F235" s="150">
        <v>0.12</v>
      </c>
      <c r="G235" s="150"/>
      <c r="H235" s="67">
        <v>28026</v>
      </c>
      <c r="I235" s="67">
        <f t="shared" si="116"/>
        <v>26789.680952159491</v>
      </c>
      <c r="J235" s="67">
        <f t="shared" si="119"/>
        <v>23574.919237900354</v>
      </c>
      <c r="K235" s="63"/>
      <c r="L235" s="149">
        <v>21817</v>
      </c>
      <c r="M235" s="63">
        <f t="shared" si="85"/>
        <v>21817</v>
      </c>
      <c r="N235" s="63">
        <f t="shared" si="120"/>
        <v>19198.96</v>
      </c>
      <c r="O235" s="69"/>
      <c r="P235" s="149">
        <v>0</v>
      </c>
      <c r="Q235" s="63">
        <f t="shared" si="117"/>
        <v>0</v>
      </c>
      <c r="R235" s="64">
        <f t="shared" si="121"/>
        <v>0</v>
      </c>
      <c r="S235" s="148">
        <v>15</v>
      </c>
      <c r="T235" s="151" t="s">
        <v>15</v>
      </c>
      <c r="U235" s="65">
        <f>SUMIF('Avoided Costs 2012-2020_EGD'!$A:$A,'2012 Actuals_Auditor'!T235&amp;'2012 Actuals_Auditor'!S235,'Avoided Costs 2012-2020_EGD'!$E:$E)*J235</f>
        <v>57284.787640845199</v>
      </c>
      <c r="V235" s="65">
        <f>SUMIF('Avoided Costs 2012-2020_EGD'!$A:$A,'2012 Actuals_Auditor'!T235&amp;'2012 Actuals_Auditor'!S235,'Avoided Costs 2012-2020_EGD'!$K:$K)*N235</f>
        <v>19770.77080239504</v>
      </c>
      <c r="W235" s="65">
        <f>SUMIF('Avoided Costs 2012-2020_EGD'!$A:$A,'2012 Actuals_Auditor'!T235&amp;'2012 Actuals_Auditor'!S235,'Avoided Costs 2012-2020_EGD'!$M:$M)*R235</f>
        <v>0</v>
      </c>
      <c r="X235" s="65">
        <f t="shared" si="118"/>
        <v>77055.558443240239</v>
      </c>
      <c r="Y235" s="146">
        <v>9795</v>
      </c>
      <c r="Z235" s="66">
        <f t="shared" si="122"/>
        <v>8619.6</v>
      </c>
      <c r="AA235" s="66"/>
      <c r="AB235" s="66"/>
      <c r="AC235" s="66"/>
      <c r="AD235" s="66">
        <f t="shared" si="123"/>
        <v>8619.6</v>
      </c>
      <c r="AE235" s="66">
        <f t="shared" si="124"/>
        <v>68435.958443240233</v>
      </c>
      <c r="AF235" s="101">
        <f t="shared" si="125"/>
        <v>353623.78856850532</v>
      </c>
      <c r="AG235" s="101">
        <f t="shared" si="126"/>
        <v>401845.21428239235</v>
      </c>
    </row>
    <row r="236" spans="1:33" s="68" customFormat="1" x14ac:dyDescent="0.2">
      <c r="A236" s="147" t="s">
        <v>910</v>
      </c>
      <c r="B236" s="147"/>
      <c r="C236" s="147"/>
      <c r="D236" s="148">
        <v>1</v>
      </c>
      <c r="E236" s="149"/>
      <c r="F236" s="150">
        <v>0.12</v>
      </c>
      <c r="G236" s="150"/>
      <c r="H236" s="67">
        <v>6293</v>
      </c>
      <c r="I236" s="67">
        <f t="shared" si="116"/>
        <v>6015.3950700042706</v>
      </c>
      <c r="J236" s="67">
        <f t="shared" si="119"/>
        <v>5293.5476616037586</v>
      </c>
      <c r="K236" s="63"/>
      <c r="L236" s="149">
        <v>3682</v>
      </c>
      <c r="M236" s="63">
        <f t="shared" si="85"/>
        <v>3682</v>
      </c>
      <c r="N236" s="63">
        <f t="shared" si="120"/>
        <v>3240.16</v>
      </c>
      <c r="O236" s="69"/>
      <c r="P236" s="149">
        <v>0</v>
      </c>
      <c r="Q236" s="63">
        <f t="shared" si="117"/>
        <v>0</v>
      </c>
      <c r="R236" s="64">
        <f t="shared" si="121"/>
        <v>0</v>
      </c>
      <c r="S236" s="148">
        <v>15</v>
      </c>
      <c r="T236" s="151" t="s">
        <v>15</v>
      </c>
      <c r="U236" s="65">
        <f>SUMIF('Avoided Costs 2012-2020_EGD'!$A:$A,'2012 Actuals_Auditor'!T236&amp;'2012 Actuals_Auditor'!S236,'Avoided Costs 2012-2020_EGD'!$E:$E)*J236</f>
        <v>12862.811982581847</v>
      </c>
      <c r="V236" s="65">
        <f>SUMIF('Avoided Costs 2012-2020_EGD'!$A:$A,'2012 Actuals_Auditor'!T236&amp;'2012 Actuals_Auditor'!S236,'Avoided Costs 2012-2020_EGD'!$K:$K)*N236</f>
        <v>3336.6630652435501</v>
      </c>
      <c r="W236" s="65">
        <f>SUMIF('Avoided Costs 2012-2020_EGD'!$A:$A,'2012 Actuals_Auditor'!T236&amp;'2012 Actuals_Auditor'!S236,'Avoided Costs 2012-2020_EGD'!$M:$M)*R236</f>
        <v>0</v>
      </c>
      <c r="X236" s="65">
        <f t="shared" si="118"/>
        <v>16199.475047825397</v>
      </c>
      <c r="Y236" s="146">
        <v>6100</v>
      </c>
      <c r="Z236" s="66">
        <f t="shared" si="122"/>
        <v>5368</v>
      </c>
      <c r="AA236" s="66"/>
      <c r="AB236" s="66"/>
      <c r="AC236" s="66"/>
      <c r="AD236" s="66">
        <f t="shared" si="123"/>
        <v>5368</v>
      </c>
      <c r="AE236" s="66">
        <f t="shared" si="124"/>
        <v>10831.475047825397</v>
      </c>
      <c r="AF236" s="101">
        <f t="shared" si="125"/>
        <v>79403.214924056374</v>
      </c>
      <c r="AG236" s="101">
        <f t="shared" si="126"/>
        <v>90230.926050064052</v>
      </c>
    </row>
    <row r="237" spans="1:33" s="68" customFormat="1" x14ac:dyDescent="0.2">
      <c r="A237" s="147" t="s">
        <v>911</v>
      </c>
      <c r="B237" s="147"/>
      <c r="C237" s="147"/>
      <c r="D237" s="148">
        <v>1</v>
      </c>
      <c r="E237" s="149"/>
      <c r="F237" s="150">
        <v>0.12</v>
      </c>
      <c r="G237" s="150"/>
      <c r="H237" s="67">
        <v>19716</v>
      </c>
      <c r="I237" s="67">
        <f t="shared" si="116"/>
        <v>18846.26238681141</v>
      </c>
      <c r="J237" s="67">
        <f t="shared" si="119"/>
        <v>16584.710900394042</v>
      </c>
      <c r="K237" s="63"/>
      <c r="L237" s="149">
        <v>4297</v>
      </c>
      <c r="M237" s="63">
        <f t="shared" si="85"/>
        <v>4297</v>
      </c>
      <c r="N237" s="63">
        <f t="shared" si="120"/>
        <v>3781.36</v>
      </c>
      <c r="O237" s="69"/>
      <c r="P237" s="149">
        <v>0</v>
      </c>
      <c r="Q237" s="63">
        <f t="shared" si="117"/>
        <v>0</v>
      </c>
      <c r="R237" s="64">
        <f t="shared" si="121"/>
        <v>0</v>
      </c>
      <c r="S237" s="148">
        <v>15</v>
      </c>
      <c r="T237" s="151" t="s">
        <v>15</v>
      </c>
      <c r="U237" s="65">
        <f>SUMIF('Avoided Costs 2012-2020_EGD'!$A:$A,'2012 Actuals_Auditor'!T237&amp;'2012 Actuals_Auditor'!S237,'Avoided Costs 2012-2020_EGD'!$E:$E)*J237</f>
        <v>40299.253305034756</v>
      </c>
      <c r="V237" s="65">
        <f>SUMIF('Avoided Costs 2012-2020_EGD'!$A:$A,'2012 Actuals_Auditor'!T237&amp;'2012 Actuals_Auditor'!S237,'Avoided Costs 2012-2020_EGD'!$K:$K)*N237</f>
        <v>3893.9818553371906</v>
      </c>
      <c r="W237" s="65">
        <f>SUMIF('Avoided Costs 2012-2020_EGD'!$A:$A,'2012 Actuals_Auditor'!T237&amp;'2012 Actuals_Auditor'!S237,'Avoided Costs 2012-2020_EGD'!$M:$M)*R237</f>
        <v>0</v>
      </c>
      <c r="X237" s="65">
        <f t="shared" si="118"/>
        <v>44193.235160371943</v>
      </c>
      <c r="Y237" s="146">
        <v>9795</v>
      </c>
      <c r="Z237" s="66">
        <f t="shared" si="122"/>
        <v>8619.6</v>
      </c>
      <c r="AA237" s="66"/>
      <c r="AB237" s="66"/>
      <c r="AC237" s="66"/>
      <c r="AD237" s="66">
        <f t="shared" si="123"/>
        <v>8619.6</v>
      </c>
      <c r="AE237" s="66">
        <f t="shared" si="124"/>
        <v>35573.635160371945</v>
      </c>
      <c r="AF237" s="101">
        <f t="shared" si="125"/>
        <v>248770.66350591063</v>
      </c>
      <c r="AG237" s="101">
        <f t="shared" si="126"/>
        <v>282693.93580217112</v>
      </c>
    </row>
    <row r="238" spans="1:33" s="68" customFormat="1" x14ac:dyDescent="0.2">
      <c r="A238" s="147" t="s">
        <v>912</v>
      </c>
      <c r="B238" s="147"/>
      <c r="C238" s="147"/>
      <c r="D238" s="148">
        <v>1</v>
      </c>
      <c r="E238" s="149"/>
      <c r="F238" s="150">
        <v>0.12</v>
      </c>
      <c r="G238" s="150"/>
      <c r="H238" s="67">
        <v>22333</v>
      </c>
      <c r="I238" s="67">
        <f t="shared" ref="I238:I269" si="127">+$H$42*H238</f>
        <v>21347.817908534143</v>
      </c>
      <c r="J238" s="67">
        <f t="shared" si="119"/>
        <v>18786.079759510045</v>
      </c>
      <c r="K238" s="63"/>
      <c r="L238" s="149">
        <v>17280</v>
      </c>
      <c r="M238" s="63">
        <f t="shared" si="85"/>
        <v>17280</v>
      </c>
      <c r="N238" s="63">
        <f t="shared" si="120"/>
        <v>15206.4</v>
      </c>
      <c r="O238" s="69"/>
      <c r="P238" s="149">
        <v>0</v>
      </c>
      <c r="Q238" s="63">
        <f t="shared" ref="Q238:Q269" si="128">+P238*$P$42</f>
        <v>0</v>
      </c>
      <c r="R238" s="64">
        <f t="shared" si="121"/>
        <v>0</v>
      </c>
      <c r="S238" s="148">
        <v>15</v>
      </c>
      <c r="T238" s="151" t="s">
        <v>15</v>
      </c>
      <c r="U238" s="65">
        <f>SUMIF('Avoided Costs 2012-2020_EGD'!$A:$A,'2012 Actuals_Auditor'!T238&amp;'2012 Actuals_Auditor'!S238,'Avoided Costs 2012-2020_EGD'!$E:$E)*J238</f>
        <v>45648.368029079982</v>
      </c>
      <c r="V238" s="65">
        <f>SUMIF('Avoided Costs 2012-2020_EGD'!$A:$A,'2012 Actuals_Auditor'!T238&amp;'2012 Actuals_Auditor'!S238,'Avoided Costs 2012-2020_EGD'!$K:$K)*N238</f>
        <v>15659.298687509112</v>
      </c>
      <c r="W238" s="65">
        <f>SUMIF('Avoided Costs 2012-2020_EGD'!$A:$A,'2012 Actuals_Auditor'!T238&amp;'2012 Actuals_Auditor'!S238,'Avoided Costs 2012-2020_EGD'!$M:$M)*R238</f>
        <v>0</v>
      </c>
      <c r="X238" s="65">
        <f t="shared" si="118"/>
        <v>61307.666716589098</v>
      </c>
      <c r="Y238" s="146">
        <v>9795</v>
      </c>
      <c r="Z238" s="66">
        <f t="shared" si="122"/>
        <v>8619.6</v>
      </c>
      <c r="AA238" s="66"/>
      <c r="AB238" s="66"/>
      <c r="AC238" s="66"/>
      <c r="AD238" s="66">
        <f t="shared" si="123"/>
        <v>8619.6</v>
      </c>
      <c r="AE238" s="66">
        <f t="shared" si="124"/>
        <v>52688.066716589099</v>
      </c>
      <c r="AF238" s="101">
        <f t="shared" si="125"/>
        <v>281791.19639265066</v>
      </c>
      <c r="AG238" s="101">
        <f t="shared" si="126"/>
        <v>320217.26862801216</v>
      </c>
    </row>
    <row r="239" spans="1:33" s="68" customFormat="1" x14ac:dyDescent="0.2">
      <c r="A239" s="147" t="s">
        <v>913</v>
      </c>
      <c r="B239" s="147"/>
      <c r="C239" s="147"/>
      <c r="D239" s="148">
        <v>1</v>
      </c>
      <c r="E239" s="149"/>
      <c r="F239" s="150">
        <v>0.12</v>
      </c>
      <c r="G239" s="150"/>
      <c r="H239" s="67">
        <v>7966</v>
      </c>
      <c r="I239" s="67">
        <f t="shared" si="127"/>
        <v>7614.593536890834</v>
      </c>
      <c r="J239" s="67">
        <f t="shared" si="119"/>
        <v>6700.8423124639339</v>
      </c>
      <c r="K239" s="63"/>
      <c r="L239" s="149">
        <v>6020</v>
      </c>
      <c r="M239" s="63">
        <f t="shared" si="85"/>
        <v>6020</v>
      </c>
      <c r="N239" s="63">
        <f t="shared" si="120"/>
        <v>5297.6</v>
      </c>
      <c r="O239" s="69"/>
      <c r="P239" s="149">
        <v>0</v>
      </c>
      <c r="Q239" s="63">
        <f t="shared" si="128"/>
        <v>0</v>
      </c>
      <c r="R239" s="64">
        <f t="shared" si="121"/>
        <v>0</v>
      </c>
      <c r="S239" s="148">
        <v>15</v>
      </c>
      <c r="T239" s="151" t="s">
        <v>15</v>
      </c>
      <c r="U239" s="65">
        <f>SUMIF('Avoided Costs 2012-2020_EGD'!$A:$A,'2012 Actuals_Auditor'!T239&amp;'2012 Actuals_Auditor'!S239,'Avoided Costs 2012-2020_EGD'!$E:$E)*J239</f>
        <v>16282.402709875572</v>
      </c>
      <c r="V239" s="65">
        <f>SUMIF('Avoided Costs 2012-2020_EGD'!$A:$A,'2012 Actuals_Auditor'!T239&amp;'2012 Actuals_Auditor'!S239,'Avoided Costs 2012-2020_EGD'!$K:$K)*N239</f>
        <v>5455.38067701417</v>
      </c>
      <c r="W239" s="65">
        <f>SUMIF('Avoided Costs 2012-2020_EGD'!$A:$A,'2012 Actuals_Auditor'!T239&amp;'2012 Actuals_Auditor'!S239,'Avoided Costs 2012-2020_EGD'!$M:$M)*R239</f>
        <v>0</v>
      </c>
      <c r="X239" s="65">
        <f t="shared" si="118"/>
        <v>21737.783386889743</v>
      </c>
      <c r="Y239" s="146">
        <v>6100</v>
      </c>
      <c r="Z239" s="66">
        <f t="shared" si="122"/>
        <v>5368</v>
      </c>
      <c r="AA239" s="66"/>
      <c r="AB239" s="66"/>
      <c r="AC239" s="66"/>
      <c r="AD239" s="66">
        <f t="shared" si="123"/>
        <v>5368</v>
      </c>
      <c r="AE239" s="66">
        <f t="shared" si="124"/>
        <v>16369.783386889743</v>
      </c>
      <c r="AF239" s="101">
        <f t="shared" si="125"/>
        <v>100512.63468695901</v>
      </c>
      <c r="AG239" s="101">
        <f t="shared" si="126"/>
        <v>114218.9030533625</v>
      </c>
    </row>
    <row r="240" spans="1:33" s="68" customFormat="1" x14ac:dyDescent="0.2">
      <c r="A240" s="147" t="s">
        <v>914</v>
      </c>
      <c r="B240" s="147"/>
      <c r="C240" s="147"/>
      <c r="D240" s="148">
        <v>1</v>
      </c>
      <c r="E240" s="149"/>
      <c r="F240" s="150">
        <v>0.12</v>
      </c>
      <c r="G240" s="150"/>
      <c r="H240" s="67">
        <v>5225</v>
      </c>
      <c r="I240" s="67">
        <f t="shared" si="127"/>
        <v>4994.5080630497878</v>
      </c>
      <c r="J240" s="67">
        <f t="shared" si="119"/>
        <v>4395.1670954838137</v>
      </c>
      <c r="K240" s="63"/>
      <c r="L240" s="149">
        <v>3911</v>
      </c>
      <c r="M240" s="63">
        <f t="shared" si="85"/>
        <v>3911</v>
      </c>
      <c r="N240" s="63">
        <f t="shared" si="120"/>
        <v>3441.68</v>
      </c>
      <c r="O240" s="69"/>
      <c r="P240" s="149">
        <v>0</v>
      </c>
      <c r="Q240" s="63">
        <f t="shared" si="128"/>
        <v>0</v>
      </c>
      <c r="R240" s="64">
        <f t="shared" si="121"/>
        <v>0</v>
      </c>
      <c r="S240" s="148">
        <v>15</v>
      </c>
      <c r="T240" s="151" t="s">
        <v>15</v>
      </c>
      <c r="U240" s="65">
        <f>SUMIF('Avoided Costs 2012-2020_EGD'!$A:$A,'2012 Actuals_Auditor'!T240&amp;'2012 Actuals_Auditor'!S240,'Avoided Costs 2012-2020_EGD'!$E:$E)*J240</f>
        <v>10679.833562528231</v>
      </c>
      <c r="V240" s="65">
        <f>SUMIF('Avoided Costs 2012-2020_EGD'!$A:$A,'2012 Actuals_Auditor'!T240&amp;'2012 Actuals_Auditor'!S240,'Avoided Costs 2012-2020_EGD'!$K:$K)*N240</f>
        <v>3544.1850212296372</v>
      </c>
      <c r="W240" s="65">
        <f>SUMIF('Avoided Costs 2012-2020_EGD'!$A:$A,'2012 Actuals_Auditor'!T240&amp;'2012 Actuals_Auditor'!S240,'Avoided Costs 2012-2020_EGD'!$M:$M)*R240</f>
        <v>0</v>
      </c>
      <c r="X240" s="65">
        <f t="shared" si="118"/>
        <v>14224.018583757868</v>
      </c>
      <c r="Y240" s="146">
        <v>6100</v>
      </c>
      <c r="Z240" s="66">
        <f t="shared" si="122"/>
        <v>5368</v>
      </c>
      <c r="AA240" s="66"/>
      <c r="AB240" s="66"/>
      <c r="AC240" s="66"/>
      <c r="AD240" s="66">
        <f t="shared" si="123"/>
        <v>5368</v>
      </c>
      <c r="AE240" s="66">
        <f t="shared" si="124"/>
        <v>8856.0185837578683</v>
      </c>
      <c r="AF240" s="101">
        <f t="shared" si="125"/>
        <v>65927.5064322572</v>
      </c>
      <c r="AG240" s="101">
        <f t="shared" si="126"/>
        <v>74917.620945746821</v>
      </c>
    </row>
    <row r="241" spans="1:33" s="68" customFormat="1" x14ac:dyDescent="0.2">
      <c r="A241" s="147" t="s">
        <v>915</v>
      </c>
      <c r="B241" s="147"/>
      <c r="C241" s="147"/>
      <c r="D241" s="148">
        <v>1</v>
      </c>
      <c r="E241" s="149"/>
      <c r="F241" s="150">
        <v>0.12</v>
      </c>
      <c r="G241" s="150"/>
      <c r="H241" s="67">
        <v>11232</v>
      </c>
      <c r="I241" s="67">
        <f t="shared" si="127"/>
        <v>10736.519533813438</v>
      </c>
      <c r="J241" s="67">
        <f t="shared" si="119"/>
        <v>9448.1371897558256</v>
      </c>
      <c r="K241" s="63"/>
      <c r="L241" s="149">
        <v>2403</v>
      </c>
      <c r="M241" s="63">
        <f t="shared" si="85"/>
        <v>2403</v>
      </c>
      <c r="N241" s="63">
        <f t="shared" si="120"/>
        <v>2114.64</v>
      </c>
      <c r="O241" s="69"/>
      <c r="P241" s="149">
        <v>0</v>
      </c>
      <c r="Q241" s="63">
        <f t="shared" si="128"/>
        <v>0</v>
      </c>
      <c r="R241" s="64">
        <f t="shared" si="121"/>
        <v>0</v>
      </c>
      <c r="S241" s="148">
        <v>15</v>
      </c>
      <c r="T241" s="151" t="s">
        <v>15</v>
      </c>
      <c r="U241" s="65">
        <f>SUMIF('Avoided Costs 2012-2020_EGD'!$A:$A,'2012 Actuals_Auditor'!T241&amp;'2012 Actuals_Auditor'!S241,'Avoided Costs 2012-2020_EGD'!$E:$E)*J241</f>
        <v>22958.065181687478</v>
      </c>
      <c r="V241" s="65">
        <f>SUMIF('Avoided Costs 2012-2020_EGD'!$A:$A,'2012 Actuals_Auditor'!T241&amp;'2012 Actuals_Auditor'!S241,'Avoided Costs 2012-2020_EGD'!$K:$K)*N241</f>
        <v>2177.6212237317359</v>
      </c>
      <c r="W241" s="65">
        <f>SUMIF('Avoided Costs 2012-2020_EGD'!$A:$A,'2012 Actuals_Auditor'!T241&amp;'2012 Actuals_Auditor'!S241,'Avoided Costs 2012-2020_EGD'!$M:$M)*R241</f>
        <v>0</v>
      </c>
      <c r="X241" s="65">
        <f t="shared" si="118"/>
        <v>25135.686405419212</v>
      </c>
      <c r="Y241" s="146">
        <v>9795</v>
      </c>
      <c r="Z241" s="66">
        <f t="shared" si="122"/>
        <v>8619.6</v>
      </c>
      <c r="AA241" s="66"/>
      <c r="AB241" s="66"/>
      <c r="AC241" s="66"/>
      <c r="AD241" s="66">
        <f t="shared" si="123"/>
        <v>8619.6</v>
      </c>
      <c r="AE241" s="66">
        <f t="shared" si="124"/>
        <v>16516.086405419213</v>
      </c>
      <c r="AF241" s="101">
        <f t="shared" si="125"/>
        <v>141722.05784633738</v>
      </c>
      <c r="AG241" s="101">
        <f t="shared" si="126"/>
        <v>161047.79300720157</v>
      </c>
    </row>
    <row r="242" spans="1:33" s="68" customFormat="1" x14ac:dyDescent="0.2">
      <c r="A242" s="147" t="s">
        <v>916</v>
      </c>
      <c r="B242" s="147"/>
      <c r="C242" s="147"/>
      <c r="D242" s="148">
        <v>1</v>
      </c>
      <c r="E242" s="149"/>
      <c r="F242" s="150">
        <v>0.12</v>
      </c>
      <c r="G242" s="150"/>
      <c r="H242" s="67">
        <v>33186</v>
      </c>
      <c r="I242" s="67">
        <f t="shared" si="127"/>
        <v>31722.056379018231</v>
      </c>
      <c r="J242" s="67">
        <f t="shared" si="119"/>
        <v>27915.409613536045</v>
      </c>
      <c r="K242" s="63"/>
      <c r="L242" s="149">
        <v>3801</v>
      </c>
      <c r="M242" s="63">
        <f t="shared" si="85"/>
        <v>3801</v>
      </c>
      <c r="N242" s="63">
        <f t="shared" si="120"/>
        <v>3344.88</v>
      </c>
      <c r="O242" s="69"/>
      <c r="P242" s="149">
        <v>0</v>
      </c>
      <c r="Q242" s="63">
        <f t="shared" si="128"/>
        <v>0</v>
      </c>
      <c r="R242" s="64">
        <f t="shared" si="121"/>
        <v>0</v>
      </c>
      <c r="S242" s="148">
        <v>15</v>
      </c>
      <c r="T242" s="151" t="s">
        <v>15</v>
      </c>
      <c r="U242" s="65">
        <f>SUMIF('Avoided Costs 2012-2020_EGD'!$A:$A,'2012 Actuals_Auditor'!T242&amp;'2012 Actuals_Auditor'!S242,'Avoided Costs 2012-2020_EGD'!$E:$E)*J242</f>
        <v>67831.762029868289</v>
      </c>
      <c r="V242" s="65">
        <f>SUMIF('Avoided Costs 2012-2020_EGD'!$A:$A,'2012 Actuals_Auditor'!T242&amp;'2012 Actuals_Auditor'!S242,'Avoided Costs 2012-2020_EGD'!$K:$K)*N242</f>
        <v>3444.5019856031327</v>
      </c>
      <c r="W242" s="65">
        <f>SUMIF('Avoided Costs 2012-2020_EGD'!$A:$A,'2012 Actuals_Auditor'!T242&amp;'2012 Actuals_Auditor'!S242,'Avoided Costs 2012-2020_EGD'!$M:$M)*R242</f>
        <v>0</v>
      </c>
      <c r="X242" s="65">
        <f t="shared" si="118"/>
        <v>71276.264015471417</v>
      </c>
      <c r="Y242" s="146">
        <v>9795</v>
      </c>
      <c r="Z242" s="66">
        <f t="shared" si="122"/>
        <v>8619.6</v>
      </c>
      <c r="AA242" s="66"/>
      <c r="AB242" s="66"/>
      <c r="AC242" s="66"/>
      <c r="AD242" s="66">
        <f t="shared" si="123"/>
        <v>8619.6</v>
      </c>
      <c r="AE242" s="66">
        <f t="shared" si="124"/>
        <v>62656.664015471419</v>
      </c>
      <c r="AF242" s="101">
        <f t="shared" si="125"/>
        <v>418731.14420304069</v>
      </c>
      <c r="AG242" s="101">
        <f t="shared" si="126"/>
        <v>475830.84568527347</v>
      </c>
    </row>
    <row r="243" spans="1:33" s="68" customFormat="1" x14ac:dyDescent="0.2">
      <c r="A243" s="147" t="s">
        <v>917</v>
      </c>
      <c r="B243" s="147"/>
      <c r="C243" s="147"/>
      <c r="D243" s="148">
        <v>1</v>
      </c>
      <c r="E243" s="149"/>
      <c r="F243" s="150">
        <v>0.12</v>
      </c>
      <c r="G243" s="150"/>
      <c r="H243" s="67">
        <v>12214</v>
      </c>
      <c r="I243" s="67">
        <f t="shared" si="127"/>
        <v>11675.200283653608</v>
      </c>
      <c r="J243" s="67">
        <f t="shared" si="119"/>
        <v>10274.176249615175</v>
      </c>
      <c r="K243" s="63"/>
      <c r="L243" s="149">
        <v>2617</v>
      </c>
      <c r="M243" s="63">
        <f t="shared" si="85"/>
        <v>2617</v>
      </c>
      <c r="N243" s="63">
        <f t="shared" si="120"/>
        <v>2302.96</v>
      </c>
      <c r="O243" s="69"/>
      <c r="P243" s="149">
        <v>0</v>
      </c>
      <c r="Q243" s="63">
        <f t="shared" si="128"/>
        <v>0</v>
      </c>
      <c r="R243" s="64">
        <f t="shared" si="121"/>
        <v>0</v>
      </c>
      <c r="S243" s="148">
        <v>15</v>
      </c>
      <c r="T243" s="151" t="s">
        <v>15</v>
      </c>
      <c r="U243" s="65">
        <f>SUMIF('Avoided Costs 2012-2020_EGD'!$A:$A,'2012 Actuals_Auditor'!T243&amp;'2012 Actuals_Auditor'!S243,'Avoided Costs 2012-2020_EGD'!$E:$E)*J243</f>
        <v>24965.260695257373</v>
      </c>
      <c r="V243" s="65">
        <f>SUMIF('Avoided Costs 2012-2020_EGD'!$A:$A,'2012 Actuals_Auditor'!T243&amp;'2012 Actuals_Auditor'!S243,'Avoided Costs 2012-2020_EGD'!$K:$K)*N243</f>
        <v>2371.5500384960269</v>
      </c>
      <c r="W243" s="65">
        <f>SUMIF('Avoided Costs 2012-2020_EGD'!$A:$A,'2012 Actuals_Auditor'!T243&amp;'2012 Actuals_Auditor'!S243,'Avoided Costs 2012-2020_EGD'!$M:$M)*R243</f>
        <v>0</v>
      </c>
      <c r="X243" s="65">
        <f t="shared" si="118"/>
        <v>27336.810733753402</v>
      </c>
      <c r="Y243" s="146">
        <v>9795</v>
      </c>
      <c r="Z243" s="66">
        <f t="shared" si="122"/>
        <v>8619.6</v>
      </c>
      <c r="AA243" s="66"/>
      <c r="AB243" s="66"/>
      <c r="AC243" s="66"/>
      <c r="AD243" s="66">
        <f t="shared" si="123"/>
        <v>8619.6</v>
      </c>
      <c r="AE243" s="66">
        <f t="shared" si="124"/>
        <v>18717.210733753403</v>
      </c>
      <c r="AF243" s="101">
        <f t="shared" si="125"/>
        <v>154112.64374422762</v>
      </c>
      <c r="AG243" s="101">
        <f t="shared" si="126"/>
        <v>175128.00425480414</v>
      </c>
    </row>
    <row r="244" spans="1:33" s="68" customFormat="1" x14ac:dyDescent="0.2">
      <c r="A244" s="147" t="s">
        <v>918</v>
      </c>
      <c r="B244" s="147"/>
      <c r="C244" s="147"/>
      <c r="D244" s="148">
        <v>1</v>
      </c>
      <c r="E244" s="149"/>
      <c r="F244" s="150">
        <v>0.12</v>
      </c>
      <c r="G244" s="150"/>
      <c r="H244" s="67">
        <v>17896</v>
      </c>
      <c r="I244" s="67">
        <f t="shared" si="127"/>
        <v>17106.548573462009</v>
      </c>
      <c r="J244" s="67">
        <f t="shared" si="119"/>
        <v>15053.762744646569</v>
      </c>
      <c r="K244" s="63"/>
      <c r="L244" s="149">
        <v>2013</v>
      </c>
      <c r="M244" s="63">
        <f t="shared" si="85"/>
        <v>2013</v>
      </c>
      <c r="N244" s="63">
        <f t="shared" si="120"/>
        <v>1771.44</v>
      </c>
      <c r="O244" s="69"/>
      <c r="P244" s="149">
        <v>0</v>
      </c>
      <c r="Q244" s="63">
        <f t="shared" si="128"/>
        <v>0</v>
      </c>
      <c r="R244" s="64">
        <f t="shared" si="121"/>
        <v>0</v>
      </c>
      <c r="S244" s="148">
        <v>15</v>
      </c>
      <c r="T244" s="151" t="s">
        <v>15</v>
      </c>
      <c r="U244" s="65">
        <f>SUMIF('Avoided Costs 2012-2020_EGD'!$A:$A,'2012 Actuals_Auditor'!T244&amp;'2012 Actuals_Auditor'!S244,'Avoided Costs 2012-2020_EGD'!$E:$E)*J244</f>
        <v>36579.196446890943</v>
      </c>
      <c r="V244" s="65">
        <f>SUMIF('Avoided Costs 2012-2020_EGD'!$A:$A,'2012 Actuals_Auditor'!T244&amp;'2012 Actuals_Auditor'!S244,'Avoided Costs 2012-2020_EGD'!$K:$K)*N244</f>
        <v>1824.1995519650372</v>
      </c>
      <c r="W244" s="65">
        <f>SUMIF('Avoided Costs 2012-2020_EGD'!$A:$A,'2012 Actuals_Auditor'!T244&amp;'2012 Actuals_Auditor'!S244,'Avoided Costs 2012-2020_EGD'!$M:$M)*R244</f>
        <v>0</v>
      </c>
      <c r="X244" s="65">
        <f t="shared" si="118"/>
        <v>38403.39599885598</v>
      </c>
      <c r="Y244" s="146">
        <v>9795</v>
      </c>
      <c r="Z244" s="66">
        <f t="shared" si="122"/>
        <v>8619.6</v>
      </c>
      <c r="AA244" s="66"/>
      <c r="AB244" s="66"/>
      <c r="AC244" s="66"/>
      <c r="AD244" s="66">
        <f t="shared" si="123"/>
        <v>8619.6</v>
      </c>
      <c r="AE244" s="66">
        <f t="shared" si="124"/>
        <v>29783.795998855981</v>
      </c>
      <c r="AF244" s="101">
        <f t="shared" si="125"/>
        <v>225806.44116969852</v>
      </c>
      <c r="AG244" s="101">
        <f t="shared" si="126"/>
        <v>256598.22860193014</v>
      </c>
    </row>
    <row r="245" spans="1:33" s="68" customFormat="1" x14ac:dyDescent="0.2">
      <c r="A245" s="147" t="s">
        <v>919</v>
      </c>
      <c r="B245" s="147"/>
      <c r="C245" s="147"/>
      <c r="D245" s="148">
        <v>1</v>
      </c>
      <c r="E245" s="149"/>
      <c r="F245" s="150">
        <v>0.12</v>
      </c>
      <c r="G245" s="150"/>
      <c r="H245" s="67">
        <v>20398</v>
      </c>
      <c r="I245" s="67">
        <f t="shared" si="127"/>
        <v>19498.177123462119</v>
      </c>
      <c r="J245" s="67">
        <f t="shared" si="119"/>
        <v>17158.395868646665</v>
      </c>
      <c r="K245" s="63"/>
      <c r="L245" s="149">
        <v>2306</v>
      </c>
      <c r="M245" s="63">
        <f t="shared" si="85"/>
        <v>2306</v>
      </c>
      <c r="N245" s="63">
        <f t="shared" si="120"/>
        <v>2029.28</v>
      </c>
      <c r="O245" s="69"/>
      <c r="P245" s="149">
        <v>0</v>
      </c>
      <c r="Q245" s="63">
        <f t="shared" si="128"/>
        <v>0</v>
      </c>
      <c r="R245" s="64">
        <f t="shared" si="121"/>
        <v>0</v>
      </c>
      <c r="S245" s="148">
        <v>15</v>
      </c>
      <c r="T245" s="151" t="s">
        <v>15</v>
      </c>
      <c r="U245" s="65">
        <f>SUMIF('Avoided Costs 2012-2020_EGD'!$A:$A,'2012 Actuals_Auditor'!T245&amp;'2012 Actuals_Auditor'!S245,'Avoided Costs 2012-2020_EGD'!$E:$E)*J245</f>
        <v>41693.252633196331</v>
      </c>
      <c r="V245" s="65">
        <f>SUMIF('Avoided Costs 2012-2020_EGD'!$A:$A,'2012 Actuals_Auditor'!T245&amp;'2012 Actuals_Auditor'!S245,'Avoided Costs 2012-2020_EGD'!$K:$K)*N245</f>
        <v>2089.7189104974545</v>
      </c>
      <c r="W245" s="65">
        <f>SUMIF('Avoided Costs 2012-2020_EGD'!$A:$A,'2012 Actuals_Auditor'!T245&amp;'2012 Actuals_Auditor'!S245,'Avoided Costs 2012-2020_EGD'!$M:$M)*R245</f>
        <v>0</v>
      </c>
      <c r="X245" s="65">
        <f t="shared" si="118"/>
        <v>43782.971543693784</v>
      </c>
      <c r="Y245" s="146">
        <v>9795</v>
      </c>
      <c r="Z245" s="66">
        <f t="shared" si="122"/>
        <v>8619.6</v>
      </c>
      <c r="AA245" s="66"/>
      <c r="AB245" s="66"/>
      <c r="AC245" s="66"/>
      <c r="AD245" s="66">
        <f t="shared" si="123"/>
        <v>8619.6</v>
      </c>
      <c r="AE245" s="66">
        <f t="shared" si="124"/>
        <v>35163.371543693785</v>
      </c>
      <c r="AF245" s="101">
        <f t="shared" si="125"/>
        <v>257375.93802969996</v>
      </c>
      <c r="AG245" s="101">
        <f t="shared" si="126"/>
        <v>292472.65685193177</v>
      </c>
    </row>
    <row r="246" spans="1:33" s="68" customFormat="1" x14ac:dyDescent="0.2">
      <c r="A246" s="147" t="s">
        <v>920</v>
      </c>
      <c r="B246" s="147"/>
      <c r="C246" s="147"/>
      <c r="D246" s="148">
        <v>1</v>
      </c>
      <c r="E246" s="149"/>
      <c r="F246" s="150">
        <v>0.12</v>
      </c>
      <c r="G246" s="150"/>
      <c r="H246" s="67">
        <v>11148</v>
      </c>
      <c r="I246" s="67">
        <f t="shared" si="127"/>
        <v>10656.225050120389</v>
      </c>
      <c r="J246" s="67">
        <f t="shared" si="119"/>
        <v>9377.4780441059429</v>
      </c>
      <c r="K246" s="63"/>
      <c r="L246" s="149">
        <v>1235</v>
      </c>
      <c r="M246" s="63">
        <f t="shared" si="85"/>
        <v>1235</v>
      </c>
      <c r="N246" s="63">
        <f t="shared" si="120"/>
        <v>1086.8</v>
      </c>
      <c r="O246" s="69"/>
      <c r="P246" s="149">
        <v>0</v>
      </c>
      <c r="Q246" s="63">
        <f t="shared" si="128"/>
        <v>0</v>
      </c>
      <c r="R246" s="64">
        <f t="shared" si="121"/>
        <v>0</v>
      </c>
      <c r="S246" s="148">
        <v>15</v>
      </c>
      <c r="T246" s="151" t="s">
        <v>15</v>
      </c>
      <c r="U246" s="65">
        <f>SUMIF('Avoided Costs 2012-2020_EGD'!$A:$A,'2012 Actuals_Auditor'!T246&amp;'2012 Actuals_Auditor'!S246,'Avoided Costs 2012-2020_EGD'!$E:$E)*J246</f>
        <v>22786.37024977315</v>
      </c>
      <c r="V246" s="65">
        <f>SUMIF('Avoided Costs 2012-2020_EGD'!$A:$A,'2012 Actuals_Auditor'!T246&amp;'2012 Actuals_Auditor'!S246,'Avoided Costs 2012-2020_EGD'!$K:$K)*N246</f>
        <v>1119.1686272612126</v>
      </c>
      <c r="W246" s="65">
        <f>SUMIF('Avoided Costs 2012-2020_EGD'!$A:$A,'2012 Actuals_Auditor'!T246&amp;'2012 Actuals_Auditor'!S246,'Avoided Costs 2012-2020_EGD'!$M:$M)*R246</f>
        <v>0</v>
      </c>
      <c r="X246" s="65">
        <f t="shared" si="118"/>
        <v>23905.538877034363</v>
      </c>
      <c r="Y246" s="146">
        <v>9795</v>
      </c>
      <c r="Z246" s="66">
        <f t="shared" si="122"/>
        <v>8619.6</v>
      </c>
      <c r="AA246" s="66"/>
      <c r="AB246" s="66"/>
      <c r="AC246" s="66"/>
      <c r="AD246" s="66">
        <f t="shared" si="123"/>
        <v>8619.6</v>
      </c>
      <c r="AE246" s="66">
        <f t="shared" si="124"/>
        <v>15285.938877034363</v>
      </c>
      <c r="AF246" s="101">
        <f t="shared" si="125"/>
        <v>140662.17066158913</v>
      </c>
      <c r="AG246" s="101">
        <f t="shared" si="126"/>
        <v>159843.37575180584</v>
      </c>
    </row>
    <row r="247" spans="1:33" s="68" customFormat="1" x14ac:dyDescent="0.2">
      <c r="A247" s="147" t="s">
        <v>921</v>
      </c>
      <c r="B247" s="147"/>
      <c r="C247" s="147"/>
      <c r="D247" s="148">
        <v>1</v>
      </c>
      <c r="E247" s="149"/>
      <c r="F247" s="150">
        <v>0.12</v>
      </c>
      <c r="G247" s="150"/>
      <c r="H247" s="67">
        <v>19682</v>
      </c>
      <c r="I247" s="67">
        <f t="shared" si="127"/>
        <v>18813.762238649935</v>
      </c>
      <c r="J247" s="67">
        <f t="shared" si="119"/>
        <v>16556.110770011943</v>
      </c>
      <c r="K247" s="63"/>
      <c r="L247" s="149">
        <v>2221</v>
      </c>
      <c r="M247" s="63">
        <f t="shared" si="85"/>
        <v>2221</v>
      </c>
      <c r="N247" s="63">
        <f t="shared" si="120"/>
        <v>1954.48</v>
      </c>
      <c r="O247" s="69"/>
      <c r="P247" s="149">
        <v>0</v>
      </c>
      <c r="Q247" s="63">
        <f t="shared" si="128"/>
        <v>0</v>
      </c>
      <c r="R247" s="64">
        <f t="shared" si="121"/>
        <v>0</v>
      </c>
      <c r="S247" s="148">
        <v>15</v>
      </c>
      <c r="T247" s="151" t="s">
        <v>15</v>
      </c>
      <c r="U247" s="65">
        <f>SUMIF('Avoided Costs 2012-2020_EGD'!$A:$A,'2012 Actuals_Auditor'!T247&amp;'2012 Actuals_Auditor'!S247,'Avoided Costs 2012-2020_EGD'!$E:$E)*J247</f>
        <v>40229.757737355132</v>
      </c>
      <c r="V247" s="65">
        <f>SUMIF('Avoided Costs 2012-2020_EGD'!$A:$A,'2012 Actuals_Auditor'!T247&amp;'2012 Actuals_Auditor'!S247,'Avoided Costs 2012-2020_EGD'!$K:$K)*N247</f>
        <v>2012.6911102406098</v>
      </c>
      <c r="W247" s="65">
        <f>SUMIF('Avoided Costs 2012-2020_EGD'!$A:$A,'2012 Actuals_Auditor'!T247&amp;'2012 Actuals_Auditor'!S247,'Avoided Costs 2012-2020_EGD'!$M:$M)*R247</f>
        <v>0</v>
      </c>
      <c r="X247" s="65">
        <f t="shared" si="118"/>
        <v>42242.448847595741</v>
      </c>
      <c r="Y247" s="146">
        <v>9795</v>
      </c>
      <c r="Z247" s="66">
        <f t="shared" si="122"/>
        <v>8619.6</v>
      </c>
      <c r="AA247" s="66"/>
      <c r="AB247" s="66"/>
      <c r="AC247" s="66"/>
      <c r="AD247" s="66">
        <f t="shared" si="123"/>
        <v>8619.6</v>
      </c>
      <c r="AE247" s="66">
        <f t="shared" si="124"/>
        <v>33622.848847595742</v>
      </c>
      <c r="AF247" s="101">
        <f t="shared" si="125"/>
        <v>248341.66155017915</v>
      </c>
      <c r="AG247" s="101">
        <f t="shared" si="126"/>
        <v>282206.43357974902</v>
      </c>
    </row>
    <row r="248" spans="1:33" s="68" customFormat="1" x14ac:dyDescent="0.2">
      <c r="A248" s="147" t="s">
        <v>922</v>
      </c>
      <c r="B248" s="147"/>
      <c r="C248" s="147"/>
      <c r="D248" s="148">
        <v>1</v>
      </c>
      <c r="E248" s="149"/>
      <c r="F248" s="150">
        <v>0.12</v>
      </c>
      <c r="G248" s="150"/>
      <c r="H248" s="67">
        <v>17057</v>
      </c>
      <c r="I248" s="67">
        <f t="shared" si="127"/>
        <v>16304.559623242149</v>
      </c>
      <c r="J248" s="67">
        <f t="shared" si="119"/>
        <v>14348.012468453091</v>
      </c>
      <c r="K248" s="63"/>
      <c r="L248" s="149">
        <v>3706</v>
      </c>
      <c r="M248" s="63">
        <f t="shared" si="85"/>
        <v>3706</v>
      </c>
      <c r="N248" s="63">
        <f t="shared" si="120"/>
        <v>3261.28</v>
      </c>
      <c r="O248" s="69"/>
      <c r="P248" s="149">
        <v>0</v>
      </c>
      <c r="Q248" s="63">
        <f t="shared" si="128"/>
        <v>0</v>
      </c>
      <c r="R248" s="64">
        <f t="shared" si="121"/>
        <v>0</v>
      </c>
      <c r="S248" s="148">
        <v>15</v>
      </c>
      <c r="T248" s="151" t="s">
        <v>15</v>
      </c>
      <c r="U248" s="65">
        <f>SUMIF('Avoided Costs 2012-2020_EGD'!$A:$A,'2012 Actuals_Auditor'!T248&amp;'2012 Actuals_Auditor'!S248,'Avoided Costs 2012-2020_EGD'!$E:$E)*J248</f>
        <v>34864.291115032342</v>
      </c>
      <c r="V248" s="65">
        <f>SUMIF('Avoided Costs 2012-2020_EGD'!$A:$A,'2012 Actuals_Auditor'!T248&amp;'2012 Actuals_Auditor'!S248,'Avoided Costs 2012-2020_EGD'!$K:$K)*N248</f>
        <v>3358.4120911984242</v>
      </c>
      <c r="W248" s="65">
        <f>SUMIF('Avoided Costs 2012-2020_EGD'!$A:$A,'2012 Actuals_Auditor'!T248&amp;'2012 Actuals_Auditor'!S248,'Avoided Costs 2012-2020_EGD'!$M:$M)*R248</f>
        <v>0</v>
      </c>
      <c r="X248" s="65">
        <f t="shared" si="118"/>
        <v>38222.703206230763</v>
      </c>
      <c r="Y248" s="146">
        <v>9795</v>
      </c>
      <c r="Z248" s="66">
        <f t="shared" si="122"/>
        <v>8619.6</v>
      </c>
      <c r="AA248" s="66"/>
      <c r="AB248" s="66"/>
      <c r="AC248" s="66"/>
      <c r="AD248" s="66">
        <f t="shared" si="123"/>
        <v>8619.6</v>
      </c>
      <c r="AE248" s="66">
        <f t="shared" si="124"/>
        <v>29603.103206230764</v>
      </c>
      <c r="AF248" s="101">
        <f t="shared" si="125"/>
        <v>215220.18702679637</v>
      </c>
      <c r="AG248" s="101">
        <f t="shared" si="126"/>
        <v>244568.39434863222</v>
      </c>
    </row>
    <row r="249" spans="1:33" s="68" customFormat="1" x14ac:dyDescent="0.2">
      <c r="A249" s="147" t="s">
        <v>923</v>
      </c>
      <c r="B249" s="147"/>
      <c r="C249" s="147"/>
      <c r="D249" s="148">
        <v>1</v>
      </c>
      <c r="E249" s="149"/>
      <c r="F249" s="150">
        <v>0.12</v>
      </c>
      <c r="G249" s="150"/>
      <c r="H249" s="67">
        <v>30346</v>
      </c>
      <c r="I249" s="67">
        <f t="shared" si="127"/>
        <v>29007.338120824661</v>
      </c>
      <c r="J249" s="67">
        <f t="shared" si="119"/>
        <v>25526.457546325702</v>
      </c>
      <c r="K249" s="63"/>
      <c r="L249" s="149">
        <v>3466</v>
      </c>
      <c r="M249" s="63">
        <f t="shared" si="85"/>
        <v>3466</v>
      </c>
      <c r="N249" s="63">
        <f t="shared" si="120"/>
        <v>3050.08</v>
      </c>
      <c r="O249" s="69"/>
      <c r="P249" s="149">
        <v>0</v>
      </c>
      <c r="Q249" s="63">
        <f t="shared" si="128"/>
        <v>0</v>
      </c>
      <c r="R249" s="64">
        <f t="shared" si="121"/>
        <v>0</v>
      </c>
      <c r="S249" s="148">
        <v>15</v>
      </c>
      <c r="T249" s="151" t="s">
        <v>15</v>
      </c>
      <c r="U249" s="65">
        <f>SUMIF('Avoided Costs 2012-2020_EGD'!$A:$A,'2012 Actuals_Auditor'!T249&amp;'2012 Actuals_Auditor'!S249,'Avoided Costs 2012-2020_EGD'!$E:$E)*J249</f>
        <v>62026.8381413362</v>
      </c>
      <c r="V249" s="65">
        <f>SUMIF('Avoided Costs 2012-2020_EGD'!$A:$A,'2012 Actuals_Auditor'!T249&amp;'2012 Actuals_Auditor'!S249,'Avoided Costs 2012-2020_EGD'!$K:$K)*N249</f>
        <v>3140.9218316496863</v>
      </c>
      <c r="W249" s="65">
        <f>SUMIF('Avoided Costs 2012-2020_EGD'!$A:$A,'2012 Actuals_Auditor'!T249&amp;'2012 Actuals_Auditor'!S249,'Avoided Costs 2012-2020_EGD'!$M:$M)*R249</f>
        <v>0</v>
      </c>
      <c r="X249" s="65">
        <f t="shared" si="118"/>
        <v>65167.759972985885</v>
      </c>
      <c r="Y249" s="146">
        <v>9795</v>
      </c>
      <c r="Z249" s="66">
        <f t="shared" si="122"/>
        <v>8619.6</v>
      </c>
      <c r="AA249" s="66"/>
      <c r="AB249" s="66"/>
      <c r="AC249" s="66"/>
      <c r="AD249" s="66">
        <f t="shared" si="123"/>
        <v>8619.6</v>
      </c>
      <c r="AE249" s="66">
        <f t="shared" si="124"/>
        <v>56548.159972985886</v>
      </c>
      <c r="AF249" s="101">
        <f t="shared" si="125"/>
        <v>382896.86319488555</v>
      </c>
      <c r="AG249" s="101">
        <f t="shared" si="126"/>
        <v>435110.07181236992</v>
      </c>
    </row>
    <row r="250" spans="1:33" s="68" customFormat="1" x14ac:dyDescent="0.2">
      <c r="A250" s="147" t="s">
        <v>924</v>
      </c>
      <c r="B250" s="147"/>
      <c r="C250" s="147"/>
      <c r="D250" s="148">
        <v>1</v>
      </c>
      <c r="E250" s="149"/>
      <c r="F250" s="150">
        <v>0.12</v>
      </c>
      <c r="G250" s="150"/>
      <c r="H250" s="67">
        <v>26789</v>
      </c>
      <c r="I250" s="67">
        <f t="shared" si="127"/>
        <v>25607.249091108279</v>
      </c>
      <c r="J250" s="67">
        <f t="shared" si="119"/>
        <v>22534.379200175284</v>
      </c>
      <c r="K250" s="63"/>
      <c r="L250" s="149">
        <v>5895</v>
      </c>
      <c r="M250" s="63">
        <f t="shared" si="85"/>
        <v>5895</v>
      </c>
      <c r="N250" s="63">
        <f t="shared" si="120"/>
        <v>5187.6000000000004</v>
      </c>
      <c r="O250" s="69"/>
      <c r="P250" s="149">
        <v>0</v>
      </c>
      <c r="Q250" s="63">
        <f t="shared" si="128"/>
        <v>0</v>
      </c>
      <c r="R250" s="64">
        <f t="shared" si="121"/>
        <v>0</v>
      </c>
      <c r="S250" s="148">
        <v>15</v>
      </c>
      <c r="T250" s="151" t="s">
        <v>15</v>
      </c>
      <c r="U250" s="65">
        <f>SUMIF('Avoided Costs 2012-2020_EGD'!$A:$A,'2012 Actuals_Auditor'!T250&amp;'2012 Actuals_Auditor'!S250,'Avoided Costs 2012-2020_EGD'!$E:$E)*J250</f>
        <v>54756.375369678222</v>
      </c>
      <c r="V250" s="65">
        <f>SUMIF('Avoided Costs 2012-2020_EGD'!$A:$A,'2012 Actuals_Auditor'!T250&amp;'2012 Actuals_Auditor'!S250,'Avoided Costs 2012-2020_EGD'!$K:$K)*N250</f>
        <v>5342.1045001658695</v>
      </c>
      <c r="W250" s="65">
        <f>SUMIF('Avoided Costs 2012-2020_EGD'!$A:$A,'2012 Actuals_Auditor'!T250&amp;'2012 Actuals_Auditor'!S250,'Avoided Costs 2012-2020_EGD'!$M:$M)*R250</f>
        <v>0</v>
      </c>
      <c r="X250" s="65">
        <f t="shared" si="118"/>
        <v>60098.479869844094</v>
      </c>
      <c r="Y250" s="146">
        <v>9795</v>
      </c>
      <c r="Z250" s="66">
        <f t="shared" si="122"/>
        <v>8619.6</v>
      </c>
      <c r="AA250" s="66"/>
      <c r="AB250" s="66"/>
      <c r="AC250" s="66"/>
      <c r="AD250" s="66">
        <f t="shared" si="123"/>
        <v>8619.6</v>
      </c>
      <c r="AE250" s="66">
        <f t="shared" si="124"/>
        <v>51478.879869844095</v>
      </c>
      <c r="AF250" s="101">
        <f t="shared" si="125"/>
        <v>338015.68800262926</v>
      </c>
      <c r="AG250" s="101">
        <f t="shared" si="126"/>
        <v>384108.73636662419</v>
      </c>
    </row>
    <row r="251" spans="1:33" s="68" customFormat="1" x14ac:dyDescent="0.2">
      <c r="A251" s="147" t="s">
        <v>925</v>
      </c>
      <c r="B251" s="147"/>
      <c r="C251" s="147"/>
      <c r="D251" s="148">
        <v>1</v>
      </c>
      <c r="E251" s="149"/>
      <c r="F251" s="150">
        <v>0.12</v>
      </c>
      <c r="G251" s="150"/>
      <c r="H251" s="67">
        <v>10968</v>
      </c>
      <c r="I251" s="67">
        <f t="shared" si="127"/>
        <v>10484.165442206711</v>
      </c>
      <c r="J251" s="67">
        <f t="shared" si="119"/>
        <v>9226.0655891419065</v>
      </c>
      <c r="K251" s="63"/>
      <c r="L251" s="149">
        <v>1215</v>
      </c>
      <c r="M251" s="63">
        <f t="shared" si="85"/>
        <v>1215</v>
      </c>
      <c r="N251" s="63">
        <f t="shared" si="120"/>
        <v>1069.2</v>
      </c>
      <c r="O251" s="69"/>
      <c r="P251" s="149">
        <v>0</v>
      </c>
      <c r="Q251" s="63">
        <f t="shared" si="128"/>
        <v>0</v>
      </c>
      <c r="R251" s="64">
        <f t="shared" si="121"/>
        <v>0</v>
      </c>
      <c r="S251" s="148">
        <v>15</v>
      </c>
      <c r="T251" s="151" t="s">
        <v>15</v>
      </c>
      <c r="U251" s="65">
        <f>SUMIF('Avoided Costs 2012-2020_EGD'!$A:$A,'2012 Actuals_Auditor'!T251&amp;'2012 Actuals_Auditor'!S251,'Avoided Costs 2012-2020_EGD'!$E:$E)*J251</f>
        <v>22418.452538528156</v>
      </c>
      <c r="V251" s="65">
        <f>SUMIF('Avoided Costs 2012-2020_EGD'!$A:$A,'2012 Actuals_Auditor'!T251&amp;'2012 Actuals_Auditor'!S251,'Avoided Costs 2012-2020_EGD'!$K:$K)*N251</f>
        <v>1101.0444389654845</v>
      </c>
      <c r="W251" s="65">
        <f>SUMIF('Avoided Costs 2012-2020_EGD'!$A:$A,'2012 Actuals_Auditor'!T251&amp;'2012 Actuals_Auditor'!S251,'Avoided Costs 2012-2020_EGD'!$M:$M)*R251</f>
        <v>0</v>
      </c>
      <c r="X251" s="65">
        <f t="shared" si="118"/>
        <v>23519.49697749364</v>
      </c>
      <c r="Y251" s="146">
        <v>9795</v>
      </c>
      <c r="Z251" s="66">
        <f t="shared" si="122"/>
        <v>8619.6</v>
      </c>
      <c r="AA251" s="66"/>
      <c r="AB251" s="66"/>
      <c r="AC251" s="66"/>
      <c r="AD251" s="66">
        <f t="shared" si="123"/>
        <v>8619.6</v>
      </c>
      <c r="AE251" s="66">
        <f t="shared" si="124"/>
        <v>14899.896977493639</v>
      </c>
      <c r="AF251" s="101">
        <f t="shared" si="125"/>
        <v>138390.98383712859</v>
      </c>
      <c r="AG251" s="101">
        <f t="shared" si="126"/>
        <v>157262.48163310066</v>
      </c>
    </row>
    <row r="252" spans="1:33" s="68" customFormat="1" x14ac:dyDescent="0.2">
      <c r="A252" s="147" t="s">
        <v>926</v>
      </c>
      <c r="B252" s="147"/>
      <c r="C252" s="147"/>
      <c r="D252" s="148">
        <v>1</v>
      </c>
      <c r="E252" s="149"/>
      <c r="F252" s="150">
        <v>0.12</v>
      </c>
      <c r="G252" s="150"/>
      <c r="H252" s="67">
        <v>19281</v>
      </c>
      <c r="I252" s="67">
        <f t="shared" si="127"/>
        <v>18430.451667686692</v>
      </c>
      <c r="J252" s="67">
        <f t="shared" si="119"/>
        <v>16218.797467564289</v>
      </c>
      <c r="K252" s="63"/>
      <c r="L252" s="149">
        <v>4203</v>
      </c>
      <c r="M252" s="63">
        <f t="shared" si="85"/>
        <v>4203</v>
      </c>
      <c r="N252" s="63">
        <f t="shared" si="120"/>
        <v>3698.64</v>
      </c>
      <c r="O252" s="69"/>
      <c r="P252" s="149">
        <v>0</v>
      </c>
      <c r="Q252" s="63">
        <f t="shared" si="128"/>
        <v>0</v>
      </c>
      <c r="R252" s="64">
        <f t="shared" si="121"/>
        <v>0</v>
      </c>
      <c r="S252" s="148">
        <v>15</v>
      </c>
      <c r="T252" s="151" t="s">
        <v>15</v>
      </c>
      <c r="U252" s="65">
        <f>SUMIF('Avoided Costs 2012-2020_EGD'!$A:$A,'2012 Actuals_Auditor'!T252&amp;'2012 Actuals_Auditor'!S252,'Avoided Costs 2012-2020_EGD'!$E:$E)*J252</f>
        <v>39410.118836192691</v>
      </c>
      <c r="V252" s="65">
        <f>SUMIF('Avoided Costs 2012-2020_EGD'!$A:$A,'2012 Actuals_Auditor'!T252&amp;'2012 Actuals_Auditor'!S252,'Avoided Costs 2012-2020_EGD'!$K:$K)*N252</f>
        <v>3808.7981703472683</v>
      </c>
      <c r="W252" s="65">
        <f>SUMIF('Avoided Costs 2012-2020_EGD'!$A:$A,'2012 Actuals_Auditor'!T252&amp;'2012 Actuals_Auditor'!S252,'Avoided Costs 2012-2020_EGD'!$M:$M)*R252</f>
        <v>0</v>
      </c>
      <c r="X252" s="65">
        <f t="shared" si="118"/>
        <v>43218.917006539959</v>
      </c>
      <c r="Y252" s="146">
        <v>9795</v>
      </c>
      <c r="Z252" s="66">
        <f t="shared" si="122"/>
        <v>8619.6</v>
      </c>
      <c r="AA252" s="66"/>
      <c r="AB252" s="66"/>
      <c r="AC252" s="66"/>
      <c r="AD252" s="66">
        <f t="shared" si="123"/>
        <v>8619.6</v>
      </c>
      <c r="AE252" s="66">
        <f t="shared" si="124"/>
        <v>34599.317006539961</v>
      </c>
      <c r="AF252" s="101">
        <f t="shared" si="125"/>
        <v>243281.96201346433</v>
      </c>
      <c r="AG252" s="101">
        <f t="shared" si="126"/>
        <v>276456.77501530037</v>
      </c>
    </row>
    <row r="253" spans="1:33" s="68" customFormat="1" x14ac:dyDescent="0.2">
      <c r="A253" s="147" t="s">
        <v>927</v>
      </c>
      <c r="B253" s="147"/>
      <c r="C253" s="147"/>
      <c r="D253" s="148">
        <v>1</v>
      </c>
      <c r="E253" s="149"/>
      <c r="F253" s="150">
        <v>0.12</v>
      </c>
      <c r="G253" s="150"/>
      <c r="H253" s="67">
        <v>16859</v>
      </c>
      <c r="I253" s="67">
        <f t="shared" si="127"/>
        <v>16115.294054537104</v>
      </c>
      <c r="J253" s="67">
        <f t="shared" si="119"/>
        <v>14181.458767992652</v>
      </c>
      <c r="K253" s="63"/>
      <c r="L253" s="149">
        <v>2555</v>
      </c>
      <c r="M253" s="63">
        <f t="shared" si="85"/>
        <v>2555</v>
      </c>
      <c r="N253" s="63">
        <f t="shared" si="120"/>
        <v>2248.4</v>
      </c>
      <c r="O253" s="69"/>
      <c r="P253" s="149">
        <v>0</v>
      </c>
      <c r="Q253" s="63">
        <f t="shared" si="128"/>
        <v>0</v>
      </c>
      <c r="R253" s="64">
        <f t="shared" si="121"/>
        <v>0</v>
      </c>
      <c r="S253" s="148">
        <v>15</v>
      </c>
      <c r="T253" s="151" t="s">
        <v>15</v>
      </c>
      <c r="U253" s="65">
        <f>SUMIF('Avoided Costs 2012-2020_EGD'!$A:$A,'2012 Actuals_Auditor'!T253&amp;'2012 Actuals_Auditor'!S253,'Avoided Costs 2012-2020_EGD'!$E:$E)*J253</f>
        <v>34459.581632662856</v>
      </c>
      <c r="V253" s="65">
        <f>SUMIF('Avoided Costs 2012-2020_EGD'!$A:$A,'2012 Actuals_Auditor'!T253&amp;'2012 Actuals_Auditor'!S253,'Avoided Costs 2012-2020_EGD'!$K:$K)*N253</f>
        <v>2315.3650547792699</v>
      </c>
      <c r="W253" s="65">
        <f>SUMIF('Avoided Costs 2012-2020_EGD'!$A:$A,'2012 Actuals_Auditor'!T253&amp;'2012 Actuals_Auditor'!S253,'Avoided Costs 2012-2020_EGD'!$M:$M)*R253</f>
        <v>0</v>
      </c>
      <c r="X253" s="65">
        <f t="shared" si="118"/>
        <v>36774.946687442127</v>
      </c>
      <c r="Y253" s="146">
        <v>9795</v>
      </c>
      <c r="Z253" s="66">
        <f t="shared" si="122"/>
        <v>8619.6</v>
      </c>
      <c r="AA253" s="66"/>
      <c r="AB253" s="66"/>
      <c r="AC253" s="66"/>
      <c r="AD253" s="66">
        <f t="shared" si="123"/>
        <v>8619.6</v>
      </c>
      <c r="AE253" s="66">
        <f t="shared" si="124"/>
        <v>28155.346687442128</v>
      </c>
      <c r="AF253" s="101">
        <f t="shared" si="125"/>
        <v>212721.88151988978</v>
      </c>
      <c r="AG253" s="101">
        <f t="shared" si="126"/>
        <v>241729.41081805655</v>
      </c>
    </row>
    <row r="254" spans="1:33" s="68" customFormat="1" x14ac:dyDescent="0.2">
      <c r="A254" s="147" t="s">
        <v>928</v>
      </c>
      <c r="B254" s="147"/>
      <c r="C254" s="147"/>
      <c r="D254" s="148">
        <v>1</v>
      </c>
      <c r="E254" s="149"/>
      <c r="F254" s="150">
        <v>0.12</v>
      </c>
      <c r="G254" s="150"/>
      <c r="H254" s="67">
        <v>4072</v>
      </c>
      <c r="I254" s="67">
        <f t="shared" si="127"/>
        <v>3892.3706856916237</v>
      </c>
      <c r="J254" s="67">
        <f t="shared" si="119"/>
        <v>3425.2862034086288</v>
      </c>
      <c r="K254" s="63"/>
      <c r="L254" s="149">
        <v>430</v>
      </c>
      <c r="M254" s="63">
        <f t="shared" si="85"/>
        <v>430</v>
      </c>
      <c r="N254" s="63">
        <f t="shared" si="120"/>
        <v>378.4</v>
      </c>
      <c r="O254" s="69"/>
      <c r="P254" s="149">
        <v>0</v>
      </c>
      <c r="Q254" s="63">
        <f t="shared" si="128"/>
        <v>0</v>
      </c>
      <c r="R254" s="64">
        <f t="shared" si="121"/>
        <v>0</v>
      </c>
      <c r="S254" s="148">
        <v>15</v>
      </c>
      <c r="T254" s="151" t="s">
        <v>15</v>
      </c>
      <c r="U254" s="65">
        <f>SUMIF('Avoided Costs 2012-2020_EGD'!$A:$A,'2012 Actuals_Auditor'!T254&amp;'2012 Actuals_Auditor'!S254,'Avoided Costs 2012-2020_EGD'!$E:$E)*J254</f>
        <v>8323.1162232755869</v>
      </c>
      <c r="V254" s="65">
        <f>SUMIF('Avoided Costs 2012-2020_EGD'!$A:$A,'2012 Actuals_Auditor'!T254&amp;'2012 Actuals_Auditor'!S254,'Avoided Costs 2012-2020_EGD'!$K:$K)*N254</f>
        <v>389.67004835815499</v>
      </c>
      <c r="W254" s="65">
        <f>SUMIF('Avoided Costs 2012-2020_EGD'!$A:$A,'2012 Actuals_Auditor'!T254&amp;'2012 Actuals_Auditor'!S254,'Avoided Costs 2012-2020_EGD'!$M:$M)*R254</f>
        <v>0</v>
      </c>
      <c r="X254" s="65">
        <f t="shared" si="118"/>
        <v>8712.7862716337422</v>
      </c>
      <c r="Y254" s="146">
        <v>9795</v>
      </c>
      <c r="Z254" s="66">
        <f t="shared" si="122"/>
        <v>8619.6</v>
      </c>
      <c r="AA254" s="66"/>
      <c r="AB254" s="66"/>
      <c r="AC254" s="66"/>
      <c r="AD254" s="66">
        <f t="shared" si="123"/>
        <v>8619.6</v>
      </c>
      <c r="AE254" s="66">
        <f t="shared" si="124"/>
        <v>93.186271633741853</v>
      </c>
      <c r="AF254" s="101">
        <f t="shared" si="125"/>
        <v>51379.293051129433</v>
      </c>
      <c r="AG254" s="101">
        <f t="shared" si="126"/>
        <v>58385.560285374355</v>
      </c>
    </row>
    <row r="255" spans="1:33" s="68" customFormat="1" x14ac:dyDescent="0.2">
      <c r="A255" s="147" t="s">
        <v>929</v>
      </c>
      <c r="B255" s="147"/>
      <c r="C255" s="147"/>
      <c r="D255" s="148">
        <v>1</v>
      </c>
      <c r="E255" s="149"/>
      <c r="F255" s="150">
        <v>0.12</v>
      </c>
      <c r="G255" s="150"/>
      <c r="H255" s="67">
        <v>17041</v>
      </c>
      <c r="I255" s="67">
        <f t="shared" si="127"/>
        <v>16289.265435872045</v>
      </c>
      <c r="J255" s="67">
        <f t="shared" si="119"/>
        <v>14334.5535835674</v>
      </c>
      <c r="K255" s="63"/>
      <c r="L255" s="149">
        <v>3700</v>
      </c>
      <c r="M255" s="63">
        <f t="shared" si="85"/>
        <v>3700</v>
      </c>
      <c r="N255" s="63">
        <f t="shared" si="120"/>
        <v>3256</v>
      </c>
      <c r="O255" s="69"/>
      <c r="P255" s="149">
        <v>0</v>
      </c>
      <c r="Q255" s="63">
        <f t="shared" si="128"/>
        <v>0</v>
      </c>
      <c r="R255" s="64">
        <f t="shared" si="121"/>
        <v>0</v>
      </c>
      <c r="S255" s="148">
        <v>15</v>
      </c>
      <c r="T255" s="151" t="s">
        <v>15</v>
      </c>
      <c r="U255" s="65">
        <f>SUMIF('Avoided Costs 2012-2020_EGD'!$A:$A,'2012 Actuals_Auditor'!T255&amp;'2012 Actuals_Auditor'!S255,'Avoided Costs 2012-2020_EGD'!$E:$E)*J255</f>
        <v>34831.587318477235</v>
      </c>
      <c r="V255" s="65">
        <f>SUMIF('Avoided Costs 2012-2020_EGD'!$A:$A,'2012 Actuals_Auditor'!T255&amp;'2012 Actuals_Auditor'!S255,'Avoided Costs 2012-2020_EGD'!$K:$K)*N255</f>
        <v>3352.9748347097056</v>
      </c>
      <c r="W255" s="65">
        <f>SUMIF('Avoided Costs 2012-2020_EGD'!$A:$A,'2012 Actuals_Auditor'!T255&amp;'2012 Actuals_Auditor'!S255,'Avoided Costs 2012-2020_EGD'!$M:$M)*R255</f>
        <v>0</v>
      </c>
      <c r="X255" s="65">
        <f t="shared" si="118"/>
        <v>38184.56215318694</v>
      </c>
      <c r="Y255" s="146">
        <v>9795</v>
      </c>
      <c r="Z255" s="66">
        <f t="shared" si="122"/>
        <v>8619.6</v>
      </c>
      <c r="AA255" s="66"/>
      <c r="AB255" s="66"/>
      <c r="AC255" s="66"/>
      <c r="AD255" s="66">
        <f t="shared" si="123"/>
        <v>8619.6</v>
      </c>
      <c r="AE255" s="66">
        <f t="shared" si="124"/>
        <v>29564.962153186942</v>
      </c>
      <c r="AF255" s="101">
        <f t="shared" si="125"/>
        <v>215018.30375351099</v>
      </c>
      <c r="AG255" s="101">
        <f t="shared" si="126"/>
        <v>244338.98153808067</v>
      </c>
    </row>
    <row r="256" spans="1:33" s="68" customFormat="1" x14ac:dyDescent="0.2">
      <c r="A256" s="147" t="s">
        <v>930</v>
      </c>
      <c r="B256" s="147"/>
      <c r="C256" s="147"/>
      <c r="D256" s="148">
        <v>1</v>
      </c>
      <c r="E256" s="149"/>
      <c r="F256" s="150">
        <v>0.12</v>
      </c>
      <c r="G256" s="150"/>
      <c r="H256" s="67">
        <v>22457</v>
      </c>
      <c r="I256" s="67">
        <f t="shared" si="127"/>
        <v>21466.347860652455</v>
      </c>
      <c r="J256" s="67">
        <f t="shared" si="119"/>
        <v>18890.386117374161</v>
      </c>
      <c r="K256" s="63"/>
      <c r="L256" s="149">
        <v>2544</v>
      </c>
      <c r="M256" s="63">
        <f t="shared" si="85"/>
        <v>2544</v>
      </c>
      <c r="N256" s="63">
        <f t="shared" si="120"/>
        <v>2238.7199999999998</v>
      </c>
      <c r="O256" s="69"/>
      <c r="P256" s="149">
        <v>0</v>
      </c>
      <c r="Q256" s="63">
        <f t="shared" si="128"/>
        <v>0</v>
      </c>
      <c r="R256" s="64">
        <f t="shared" si="121"/>
        <v>0</v>
      </c>
      <c r="S256" s="148">
        <v>15</v>
      </c>
      <c r="T256" s="151" t="s">
        <v>15</v>
      </c>
      <c r="U256" s="65">
        <f>SUMIF('Avoided Costs 2012-2020_EGD'!$A:$A,'2012 Actuals_Auditor'!T256&amp;'2012 Actuals_Auditor'!S256,'Avoided Costs 2012-2020_EGD'!$E:$E)*J256</f>
        <v>45901.82245238209</v>
      </c>
      <c r="V256" s="65">
        <f>SUMIF('Avoided Costs 2012-2020_EGD'!$A:$A,'2012 Actuals_Auditor'!T256&amp;'2012 Actuals_Auditor'!S256,'Avoided Costs 2012-2020_EGD'!$K:$K)*N256</f>
        <v>2305.3967512166191</v>
      </c>
      <c r="W256" s="65">
        <f>SUMIF('Avoided Costs 2012-2020_EGD'!$A:$A,'2012 Actuals_Auditor'!T256&amp;'2012 Actuals_Auditor'!S256,'Avoided Costs 2012-2020_EGD'!$M:$M)*R256</f>
        <v>0</v>
      </c>
      <c r="X256" s="65">
        <f t="shared" si="118"/>
        <v>48207.21920359871</v>
      </c>
      <c r="Y256" s="146">
        <v>9795</v>
      </c>
      <c r="Z256" s="66">
        <f t="shared" si="122"/>
        <v>8619.6</v>
      </c>
      <c r="AA256" s="66"/>
      <c r="AB256" s="66"/>
      <c r="AC256" s="66"/>
      <c r="AD256" s="66">
        <f t="shared" si="123"/>
        <v>8619.6</v>
      </c>
      <c r="AE256" s="66">
        <f t="shared" si="124"/>
        <v>39587.619203598711</v>
      </c>
      <c r="AF256" s="101">
        <f t="shared" si="125"/>
        <v>283355.7917606124</v>
      </c>
      <c r="AG256" s="101">
        <f t="shared" si="126"/>
        <v>321995.21790978685</v>
      </c>
    </row>
    <row r="257" spans="1:33" s="68" customFormat="1" x14ac:dyDescent="0.2">
      <c r="A257" s="147" t="s">
        <v>931</v>
      </c>
      <c r="B257" s="147"/>
      <c r="C257" s="147"/>
      <c r="D257" s="148">
        <v>1</v>
      </c>
      <c r="E257" s="149"/>
      <c r="F257" s="150">
        <v>0.12</v>
      </c>
      <c r="G257" s="150"/>
      <c r="H257" s="67">
        <v>28435</v>
      </c>
      <c r="I257" s="67">
        <f t="shared" si="127"/>
        <v>27180.638616807792</v>
      </c>
      <c r="J257" s="67">
        <f t="shared" si="119"/>
        <v>23918.961982790857</v>
      </c>
      <c r="K257" s="63"/>
      <c r="L257" s="149">
        <v>3244</v>
      </c>
      <c r="M257" s="63">
        <f t="shared" si="85"/>
        <v>3244</v>
      </c>
      <c r="N257" s="63">
        <f t="shared" si="120"/>
        <v>2854.72</v>
      </c>
      <c r="O257" s="69"/>
      <c r="P257" s="149">
        <v>0</v>
      </c>
      <c r="Q257" s="63">
        <f t="shared" si="128"/>
        <v>0</v>
      </c>
      <c r="R257" s="64">
        <f t="shared" si="121"/>
        <v>0</v>
      </c>
      <c r="S257" s="148">
        <v>15</v>
      </c>
      <c r="T257" s="151" t="s">
        <v>15</v>
      </c>
      <c r="U257" s="65">
        <f>SUMIF('Avoided Costs 2012-2020_EGD'!$A:$A,'2012 Actuals_Auditor'!T257&amp;'2012 Actuals_Auditor'!S257,'Avoided Costs 2012-2020_EGD'!$E:$E)*J257</f>
        <v>58120.778440285205</v>
      </c>
      <c r="V257" s="65">
        <f>SUMIF('Avoided Costs 2012-2020_EGD'!$A:$A,'2012 Actuals_Auditor'!T257&amp;'2012 Actuals_Auditor'!S257,'Avoided Costs 2012-2020_EGD'!$K:$K)*N257</f>
        <v>2939.7433415671039</v>
      </c>
      <c r="W257" s="65">
        <f>SUMIF('Avoided Costs 2012-2020_EGD'!$A:$A,'2012 Actuals_Auditor'!T257&amp;'2012 Actuals_Auditor'!S257,'Avoided Costs 2012-2020_EGD'!$M:$M)*R257</f>
        <v>0</v>
      </c>
      <c r="X257" s="65">
        <f t="shared" si="118"/>
        <v>61060.521781852309</v>
      </c>
      <c r="Y257" s="146">
        <v>9795</v>
      </c>
      <c r="Z257" s="66">
        <f t="shared" si="122"/>
        <v>8619.6</v>
      </c>
      <c r="AA257" s="66"/>
      <c r="AB257" s="66"/>
      <c r="AC257" s="66"/>
      <c r="AD257" s="66">
        <f t="shared" si="123"/>
        <v>8619.6</v>
      </c>
      <c r="AE257" s="66">
        <f t="shared" si="124"/>
        <v>52440.92178185231</v>
      </c>
      <c r="AF257" s="101">
        <f t="shared" si="125"/>
        <v>358784.42974186287</v>
      </c>
      <c r="AG257" s="101">
        <f t="shared" si="126"/>
        <v>407709.57925211685</v>
      </c>
    </row>
    <row r="258" spans="1:33" s="68" customFormat="1" x14ac:dyDescent="0.2">
      <c r="A258" s="147" t="s">
        <v>932</v>
      </c>
      <c r="B258" s="147"/>
      <c r="C258" s="147"/>
      <c r="D258" s="148">
        <v>1</v>
      </c>
      <c r="E258" s="149"/>
      <c r="F258" s="150">
        <v>0.12</v>
      </c>
      <c r="G258" s="150"/>
      <c r="H258" s="67">
        <v>26237</v>
      </c>
      <c r="I258" s="67">
        <f t="shared" si="127"/>
        <v>25079.59962683967</v>
      </c>
      <c r="J258" s="67">
        <f t="shared" si="119"/>
        <v>22070.047671618911</v>
      </c>
      <c r="K258" s="63"/>
      <c r="L258" s="149">
        <v>2987</v>
      </c>
      <c r="M258" s="63">
        <f t="shared" si="85"/>
        <v>2987</v>
      </c>
      <c r="N258" s="63">
        <f t="shared" si="120"/>
        <v>2628.56</v>
      </c>
      <c r="O258" s="69"/>
      <c r="P258" s="149">
        <v>0</v>
      </c>
      <c r="Q258" s="63">
        <f t="shared" si="128"/>
        <v>0</v>
      </c>
      <c r="R258" s="64">
        <f t="shared" si="121"/>
        <v>0</v>
      </c>
      <c r="S258" s="148">
        <v>15</v>
      </c>
      <c r="T258" s="151" t="s">
        <v>15</v>
      </c>
      <c r="U258" s="65">
        <f>SUMIF('Avoided Costs 2012-2020_EGD'!$A:$A,'2012 Actuals_Auditor'!T258&amp;'2012 Actuals_Auditor'!S258,'Avoided Costs 2012-2020_EGD'!$E:$E)*J258</f>
        <v>53628.094388526923</v>
      </c>
      <c r="V258" s="65">
        <f>SUMIF('Avoided Costs 2012-2020_EGD'!$A:$A,'2012 Actuals_Auditor'!T258&amp;'2012 Actuals_Auditor'!S258,'Avoided Costs 2012-2020_EGD'!$K:$K)*N258</f>
        <v>2706.8475219669976</v>
      </c>
      <c r="W258" s="65">
        <f>SUMIF('Avoided Costs 2012-2020_EGD'!$A:$A,'2012 Actuals_Auditor'!T258&amp;'2012 Actuals_Auditor'!S258,'Avoided Costs 2012-2020_EGD'!$M:$M)*R258</f>
        <v>0</v>
      </c>
      <c r="X258" s="65">
        <f t="shared" si="118"/>
        <v>56334.941910493922</v>
      </c>
      <c r="Y258" s="146">
        <v>9795</v>
      </c>
      <c r="Z258" s="66">
        <f t="shared" si="122"/>
        <v>8619.6</v>
      </c>
      <c r="AA258" s="66"/>
      <c r="AB258" s="66"/>
      <c r="AC258" s="66"/>
      <c r="AD258" s="66">
        <f t="shared" si="123"/>
        <v>8619.6</v>
      </c>
      <c r="AE258" s="66">
        <f t="shared" si="124"/>
        <v>47715.341910493924</v>
      </c>
      <c r="AF258" s="101">
        <f t="shared" si="125"/>
        <v>331050.71507428365</v>
      </c>
      <c r="AG258" s="101">
        <f t="shared" si="126"/>
        <v>376193.99440259504</v>
      </c>
    </row>
    <row r="259" spans="1:33" s="68" customFormat="1" x14ac:dyDescent="0.2">
      <c r="A259" s="147" t="s">
        <v>933</v>
      </c>
      <c r="B259" s="147"/>
      <c r="C259" s="147"/>
      <c r="D259" s="148">
        <v>1</v>
      </c>
      <c r="E259" s="149"/>
      <c r="F259" s="150">
        <v>0.12</v>
      </c>
      <c r="G259" s="150"/>
      <c r="H259" s="67">
        <v>18699</v>
      </c>
      <c r="I259" s="67">
        <f t="shared" si="127"/>
        <v>17874.125602099135</v>
      </c>
      <c r="J259" s="67">
        <f t="shared" si="119"/>
        <v>15729.230529847238</v>
      </c>
      <c r="K259" s="63"/>
      <c r="L259" s="149">
        <v>2107</v>
      </c>
      <c r="M259" s="63">
        <f t="shared" si="85"/>
        <v>2107</v>
      </c>
      <c r="N259" s="63">
        <f t="shared" si="120"/>
        <v>1854.16</v>
      </c>
      <c r="O259" s="69"/>
      <c r="P259" s="149">
        <v>0</v>
      </c>
      <c r="Q259" s="63">
        <f t="shared" si="128"/>
        <v>0</v>
      </c>
      <c r="R259" s="64">
        <f t="shared" si="121"/>
        <v>0</v>
      </c>
      <c r="S259" s="148">
        <v>15</v>
      </c>
      <c r="T259" s="151" t="s">
        <v>15</v>
      </c>
      <c r="U259" s="65">
        <f>SUMIF('Avoided Costs 2012-2020_EGD'!$A:$A,'2012 Actuals_Auditor'!T259&amp;'2012 Actuals_Auditor'!S259,'Avoided Costs 2012-2020_EGD'!$E:$E)*J259</f>
        <v>38220.518236500546</v>
      </c>
      <c r="V259" s="65">
        <f>SUMIF('Avoided Costs 2012-2020_EGD'!$A:$A,'2012 Actuals_Auditor'!T259&amp;'2012 Actuals_Auditor'!S259,'Avoided Costs 2012-2020_EGD'!$K:$K)*N259</f>
        <v>1909.3832369549596</v>
      </c>
      <c r="W259" s="65">
        <f>SUMIF('Avoided Costs 2012-2020_EGD'!$A:$A,'2012 Actuals_Auditor'!T259&amp;'2012 Actuals_Auditor'!S259,'Avoided Costs 2012-2020_EGD'!$M:$M)*R259</f>
        <v>0</v>
      </c>
      <c r="X259" s="65">
        <f t="shared" si="118"/>
        <v>40129.901473455502</v>
      </c>
      <c r="Y259" s="146">
        <v>9795</v>
      </c>
      <c r="Z259" s="66">
        <f t="shared" si="122"/>
        <v>8619.6</v>
      </c>
      <c r="AA259" s="66"/>
      <c r="AB259" s="66"/>
      <c r="AC259" s="66"/>
      <c r="AD259" s="66">
        <f t="shared" si="123"/>
        <v>8619.6</v>
      </c>
      <c r="AE259" s="66">
        <f t="shared" si="124"/>
        <v>31510.301473455504</v>
      </c>
      <c r="AF259" s="101">
        <f t="shared" si="125"/>
        <v>235938.45794770858</v>
      </c>
      <c r="AG259" s="101">
        <f t="shared" si="126"/>
        <v>268111.88403148705</v>
      </c>
    </row>
    <row r="260" spans="1:33" s="68" customFormat="1" x14ac:dyDescent="0.2">
      <c r="A260" s="147" t="s">
        <v>934</v>
      </c>
      <c r="B260" s="147"/>
      <c r="C260" s="147"/>
      <c r="D260" s="148">
        <v>1</v>
      </c>
      <c r="E260" s="149"/>
      <c r="F260" s="150">
        <v>0.12</v>
      </c>
      <c r="G260" s="150"/>
      <c r="H260" s="67">
        <v>12456</v>
      </c>
      <c r="I260" s="67">
        <f t="shared" si="127"/>
        <v>11906.524867626442</v>
      </c>
      <c r="J260" s="67">
        <f t="shared" si="119"/>
        <v>10477.741883511269</v>
      </c>
      <c r="K260" s="63"/>
      <c r="L260" s="149">
        <v>1384</v>
      </c>
      <c r="M260" s="63">
        <f t="shared" si="85"/>
        <v>1384</v>
      </c>
      <c r="N260" s="63">
        <f t="shared" si="120"/>
        <v>1217.92</v>
      </c>
      <c r="O260" s="69"/>
      <c r="P260" s="149">
        <v>0</v>
      </c>
      <c r="Q260" s="63">
        <f t="shared" si="128"/>
        <v>0</v>
      </c>
      <c r="R260" s="64">
        <f t="shared" si="121"/>
        <v>0</v>
      </c>
      <c r="S260" s="148">
        <v>15</v>
      </c>
      <c r="T260" s="151" t="s">
        <v>15</v>
      </c>
      <c r="U260" s="65">
        <f>SUMIF('Avoided Costs 2012-2020_EGD'!$A:$A,'2012 Actuals_Auditor'!T260&amp;'2012 Actuals_Auditor'!S260,'Avoided Costs 2012-2020_EGD'!$E:$E)*J260</f>
        <v>25459.905618153422</v>
      </c>
      <c r="V260" s="65">
        <f>SUMIF('Avoided Costs 2012-2020_EGD'!$A:$A,'2012 Actuals_Auditor'!T260&amp;'2012 Actuals_Auditor'!S260,'Avoided Costs 2012-2020_EGD'!$K:$K)*N260</f>
        <v>1254.1938300643874</v>
      </c>
      <c r="W260" s="65">
        <f>SUMIF('Avoided Costs 2012-2020_EGD'!$A:$A,'2012 Actuals_Auditor'!T260&amp;'2012 Actuals_Auditor'!S260,'Avoided Costs 2012-2020_EGD'!$M:$M)*R260</f>
        <v>0</v>
      </c>
      <c r="X260" s="65">
        <f t="shared" si="118"/>
        <v>26714.09944821781</v>
      </c>
      <c r="Y260" s="146">
        <v>9795</v>
      </c>
      <c r="Z260" s="66">
        <f t="shared" si="122"/>
        <v>8619.6</v>
      </c>
      <c r="AA260" s="66"/>
      <c r="AB260" s="66"/>
      <c r="AC260" s="66"/>
      <c r="AD260" s="66">
        <f t="shared" si="123"/>
        <v>8619.6</v>
      </c>
      <c r="AE260" s="66">
        <f t="shared" si="124"/>
        <v>18094.499448217808</v>
      </c>
      <c r="AF260" s="101">
        <f t="shared" si="125"/>
        <v>157166.12825266903</v>
      </c>
      <c r="AG260" s="101">
        <f t="shared" si="126"/>
        <v>178597.87301439664</v>
      </c>
    </row>
    <row r="261" spans="1:33" s="68" customFormat="1" x14ac:dyDescent="0.2">
      <c r="A261" s="147" t="s">
        <v>935</v>
      </c>
      <c r="B261" s="147"/>
      <c r="C261" s="147"/>
      <c r="D261" s="148">
        <v>1</v>
      </c>
      <c r="E261" s="149"/>
      <c r="F261" s="150">
        <v>0.12</v>
      </c>
      <c r="G261" s="150"/>
      <c r="H261" s="67">
        <v>10207</v>
      </c>
      <c r="I261" s="67">
        <f t="shared" si="127"/>
        <v>9756.7356554161106</v>
      </c>
      <c r="J261" s="67">
        <f t="shared" si="119"/>
        <v>8585.927376766178</v>
      </c>
      <c r="K261" s="63"/>
      <c r="L261" s="149">
        <v>2177</v>
      </c>
      <c r="M261" s="63">
        <f t="shared" si="85"/>
        <v>2177</v>
      </c>
      <c r="N261" s="63">
        <f t="shared" si="120"/>
        <v>1915.76</v>
      </c>
      <c r="O261" s="69"/>
      <c r="P261" s="149">
        <v>0</v>
      </c>
      <c r="Q261" s="63">
        <f t="shared" si="128"/>
        <v>0</v>
      </c>
      <c r="R261" s="64">
        <f t="shared" si="121"/>
        <v>0</v>
      </c>
      <c r="S261" s="148">
        <v>15</v>
      </c>
      <c r="T261" s="151" t="s">
        <v>15</v>
      </c>
      <c r="U261" s="65">
        <f>SUMIF('Avoided Costs 2012-2020_EGD'!$A:$A,'2012 Actuals_Auditor'!T261&amp;'2012 Actuals_Auditor'!S261,'Avoided Costs 2012-2020_EGD'!$E:$E)*J261</f>
        <v>20862.978214875719</v>
      </c>
      <c r="V261" s="65">
        <f>SUMIF('Avoided Costs 2012-2020_EGD'!$A:$A,'2012 Actuals_Auditor'!T261&amp;'2012 Actuals_Auditor'!S261,'Avoided Costs 2012-2020_EGD'!$K:$K)*N261</f>
        <v>1972.8178959900079</v>
      </c>
      <c r="W261" s="65">
        <f>SUMIF('Avoided Costs 2012-2020_EGD'!$A:$A,'2012 Actuals_Auditor'!T261&amp;'2012 Actuals_Auditor'!S261,'Avoided Costs 2012-2020_EGD'!$M:$M)*R261</f>
        <v>0</v>
      </c>
      <c r="X261" s="65">
        <f t="shared" si="118"/>
        <v>22835.796110865725</v>
      </c>
      <c r="Y261" s="146">
        <v>9795</v>
      </c>
      <c r="Z261" s="66">
        <f t="shared" si="122"/>
        <v>8619.6</v>
      </c>
      <c r="AA261" s="66"/>
      <c r="AB261" s="66"/>
      <c r="AC261" s="66"/>
      <c r="AD261" s="66">
        <f t="shared" si="123"/>
        <v>8619.6</v>
      </c>
      <c r="AE261" s="66">
        <f t="shared" si="124"/>
        <v>14216.196110865725</v>
      </c>
      <c r="AF261" s="101">
        <f t="shared" si="125"/>
        <v>128788.91065149267</v>
      </c>
      <c r="AG261" s="101">
        <f t="shared" si="126"/>
        <v>146351.03483124165</v>
      </c>
    </row>
    <row r="262" spans="1:33" s="68" customFormat="1" x14ac:dyDescent="0.2">
      <c r="A262" s="147" t="s">
        <v>936</v>
      </c>
      <c r="B262" s="147"/>
      <c r="C262" s="147"/>
      <c r="D262" s="148">
        <v>1</v>
      </c>
      <c r="E262" s="149"/>
      <c r="F262" s="150">
        <v>0.12</v>
      </c>
      <c r="G262" s="150"/>
      <c r="H262" s="67">
        <v>14289</v>
      </c>
      <c r="I262" s="67">
        <f t="shared" si="127"/>
        <v>13658.66520821405</v>
      </c>
      <c r="J262" s="67">
        <f t="shared" si="119"/>
        <v>12019.625383228364</v>
      </c>
      <c r="K262" s="63"/>
      <c r="L262" s="149">
        <v>1112</v>
      </c>
      <c r="M262" s="63">
        <f t="shared" si="85"/>
        <v>1112</v>
      </c>
      <c r="N262" s="63">
        <f t="shared" si="120"/>
        <v>978.56000000000006</v>
      </c>
      <c r="O262" s="69"/>
      <c r="P262" s="149">
        <v>0</v>
      </c>
      <c r="Q262" s="63">
        <f t="shared" si="128"/>
        <v>0</v>
      </c>
      <c r="R262" s="64">
        <f t="shared" si="121"/>
        <v>0</v>
      </c>
      <c r="S262" s="148">
        <v>15</v>
      </c>
      <c r="T262" s="151" t="s">
        <v>15</v>
      </c>
      <c r="U262" s="65">
        <f>SUMIF('Avoided Costs 2012-2020_EGD'!$A:$A,'2012 Actuals_Auditor'!T262&amp;'2012 Actuals_Auditor'!S262,'Avoided Costs 2012-2020_EGD'!$E:$E)*J262</f>
        <v>29206.53431099825</v>
      </c>
      <c r="V262" s="65">
        <f>SUMIF('Avoided Costs 2012-2020_EGD'!$A:$A,'2012 Actuals_Auditor'!T262&amp;'2012 Actuals_Auditor'!S262,'Avoided Costs 2012-2020_EGD'!$K:$K)*N262</f>
        <v>1007.7048692424846</v>
      </c>
      <c r="W262" s="65">
        <f>SUMIF('Avoided Costs 2012-2020_EGD'!$A:$A,'2012 Actuals_Auditor'!T262&amp;'2012 Actuals_Auditor'!S262,'Avoided Costs 2012-2020_EGD'!$M:$M)*R262</f>
        <v>0</v>
      </c>
      <c r="X262" s="65">
        <f t="shared" si="118"/>
        <v>30214.239180240733</v>
      </c>
      <c r="Y262" s="146">
        <v>9795</v>
      </c>
      <c r="Z262" s="66">
        <f t="shared" si="122"/>
        <v>8619.6</v>
      </c>
      <c r="AA262" s="66"/>
      <c r="AB262" s="66"/>
      <c r="AC262" s="66"/>
      <c r="AD262" s="66">
        <f t="shared" si="123"/>
        <v>8619.6</v>
      </c>
      <c r="AE262" s="66">
        <f t="shared" si="124"/>
        <v>21594.639180240731</v>
      </c>
      <c r="AF262" s="101">
        <f t="shared" si="125"/>
        <v>180294.38074842546</v>
      </c>
      <c r="AG262" s="101">
        <f t="shared" si="126"/>
        <v>204879.97812321075</v>
      </c>
    </row>
    <row r="263" spans="1:33" s="68" customFormat="1" x14ac:dyDescent="0.2">
      <c r="A263" s="147" t="s">
        <v>937</v>
      </c>
      <c r="B263" s="147"/>
      <c r="C263" s="147"/>
      <c r="D263" s="148">
        <v>1</v>
      </c>
      <c r="E263" s="149"/>
      <c r="F263" s="150">
        <v>0.12</v>
      </c>
      <c r="G263" s="150"/>
      <c r="H263" s="67">
        <v>30643</v>
      </c>
      <c r="I263" s="67">
        <f t="shared" si="127"/>
        <v>29291.236473882229</v>
      </c>
      <c r="J263" s="67">
        <f t="shared" ref="J263:J294" si="129">I263*(1-F263)</f>
        <v>25776.288097016361</v>
      </c>
      <c r="K263" s="63"/>
      <c r="L263" s="149">
        <v>6764</v>
      </c>
      <c r="M263" s="63">
        <f t="shared" si="85"/>
        <v>6764</v>
      </c>
      <c r="N263" s="63">
        <f t="shared" ref="N263:N294" si="130">M263*(1-F263)</f>
        <v>5952.32</v>
      </c>
      <c r="O263" s="69"/>
      <c r="P263" s="149">
        <v>0</v>
      </c>
      <c r="Q263" s="63">
        <f t="shared" si="128"/>
        <v>0</v>
      </c>
      <c r="R263" s="64">
        <f t="shared" ref="R263:R294" si="131">Q263*(1-F263)</f>
        <v>0</v>
      </c>
      <c r="S263" s="148">
        <v>15</v>
      </c>
      <c r="T263" s="151" t="s">
        <v>15</v>
      </c>
      <c r="U263" s="65">
        <f>SUMIF('Avoided Costs 2012-2020_EGD'!$A:$A,'2012 Actuals_Auditor'!T263&amp;'2012 Actuals_Auditor'!S263,'Avoided Costs 2012-2020_EGD'!$E:$E)*J263</f>
        <v>62633.902364890433</v>
      </c>
      <c r="V263" s="65">
        <f>SUMIF('Avoided Costs 2012-2020_EGD'!$A:$A,'2012 Actuals_Auditor'!T263&amp;'2012 Actuals_Auditor'!S263,'Avoided Costs 2012-2020_EGD'!$K:$K)*N263</f>
        <v>6129.6004816152563</v>
      </c>
      <c r="W263" s="65">
        <f>SUMIF('Avoided Costs 2012-2020_EGD'!$A:$A,'2012 Actuals_Auditor'!T263&amp;'2012 Actuals_Auditor'!S263,'Avoided Costs 2012-2020_EGD'!$M:$M)*R263</f>
        <v>0</v>
      </c>
      <c r="X263" s="65">
        <f t="shared" si="118"/>
        <v>68763.502846505697</v>
      </c>
      <c r="Y263" s="146">
        <v>9795</v>
      </c>
      <c r="Z263" s="66">
        <f t="shared" ref="Z263:Z294" si="132">Y263*(1-F263)</f>
        <v>8619.6</v>
      </c>
      <c r="AA263" s="66"/>
      <c r="AB263" s="66"/>
      <c r="AC263" s="66"/>
      <c r="AD263" s="66">
        <f t="shared" ref="AD263:AD294" si="133">Z263+AB263</f>
        <v>8619.6</v>
      </c>
      <c r="AE263" s="66">
        <f t="shared" ref="AE263:AE294" si="134">X263-AD263</f>
        <v>60143.902846505698</v>
      </c>
      <c r="AF263" s="101">
        <f t="shared" ref="AF263:AF294" si="135">J263*S263</f>
        <v>386644.32145524543</v>
      </c>
      <c r="AG263" s="101">
        <f t="shared" ref="AG263:AG294" si="136">(I263*S263)</f>
        <v>439368.54710823344</v>
      </c>
    </row>
    <row r="264" spans="1:33" s="68" customFormat="1" x14ac:dyDescent="0.2">
      <c r="A264" s="147" t="s">
        <v>938</v>
      </c>
      <c r="B264" s="147"/>
      <c r="C264" s="147"/>
      <c r="D264" s="148">
        <v>1</v>
      </c>
      <c r="E264" s="149"/>
      <c r="F264" s="150">
        <v>0.12</v>
      </c>
      <c r="G264" s="150"/>
      <c r="H264" s="67">
        <v>26758</v>
      </c>
      <c r="I264" s="67">
        <f t="shared" si="127"/>
        <v>25577.616603078703</v>
      </c>
      <c r="J264" s="67">
        <f t="shared" si="129"/>
        <v>22508.302610709259</v>
      </c>
      <c r="K264" s="63"/>
      <c r="L264" s="149">
        <v>3049</v>
      </c>
      <c r="M264" s="63">
        <f t="shared" si="85"/>
        <v>3049</v>
      </c>
      <c r="N264" s="63">
        <f t="shared" si="130"/>
        <v>2683.12</v>
      </c>
      <c r="O264" s="69"/>
      <c r="P264" s="149">
        <v>0</v>
      </c>
      <c r="Q264" s="63">
        <f t="shared" si="128"/>
        <v>0</v>
      </c>
      <c r="R264" s="64">
        <f t="shared" si="131"/>
        <v>0</v>
      </c>
      <c r="S264" s="148">
        <v>15</v>
      </c>
      <c r="T264" s="151" t="s">
        <v>15</v>
      </c>
      <c r="U264" s="65">
        <f>SUMIF('Avoided Costs 2012-2020_EGD'!$A:$A,'2012 Actuals_Auditor'!T264&amp;'2012 Actuals_Auditor'!S264,'Avoided Costs 2012-2020_EGD'!$E:$E)*J264</f>
        <v>54693.011763852701</v>
      </c>
      <c r="V264" s="65">
        <f>SUMIF('Avoided Costs 2012-2020_EGD'!$A:$A,'2012 Actuals_Auditor'!T264&amp;'2012 Actuals_Auditor'!S264,'Avoided Costs 2012-2020_EGD'!$K:$K)*N264</f>
        <v>2763.0325056837546</v>
      </c>
      <c r="W264" s="65">
        <f>SUMIF('Avoided Costs 2012-2020_EGD'!$A:$A,'2012 Actuals_Auditor'!T264&amp;'2012 Actuals_Auditor'!S264,'Avoided Costs 2012-2020_EGD'!$M:$M)*R264</f>
        <v>0</v>
      </c>
      <c r="X264" s="65">
        <f t="shared" si="118"/>
        <v>57456.044269536455</v>
      </c>
      <c r="Y264" s="146">
        <v>9795</v>
      </c>
      <c r="Z264" s="66">
        <f t="shared" si="132"/>
        <v>8619.6</v>
      </c>
      <c r="AA264" s="66"/>
      <c r="AB264" s="66"/>
      <c r="AC264" s="66"/>
      <c r="AD264" s="66">
        <f t="shared" si="133"/>
        <v>8619.6</v>
      </c>
      <c r="AE264" s="66">
        <f t="shared" si="134"/>
        <v>48836.444269536456</v>
      </c>
      <c r="AF264" s="101">
        <f t="shared" si="135"/>
        <v>337624.53916063887</v>
      </c>
      <c r="AG264" s="101">
        <f t="shared" si="136"/>
        <v>383664.24904618051</v>
      </c>
    </row>
    <row r="265" spans="1:33" s="68" customFormat="1" x14ac:dyDescent="0.2">
      <c r="A265" s="147" t="s">
        <v>939</v>
      </c>
      <c r="B265" s="147"/>
      <c r="C265" s="147"/>
      <c r="D265" s="148">
        <v>1</v>
      </c>
      <c r="E265" s="149"/>
      <c r="F265" s="150">
        <v>0.12</v>
      </c>
      <c r="G265" s="150"/>
      <c r="H265" s="67">
        <v>12462</v>
      </c>
      <c r="I265" s="67">
        <f t="shared" si="127"/>
        <v>11912.26018789023</v>
      </c>
      <c r="J265" s="67">
        <f t="shared" si="129"/>
        <v>10482.788965343401</v>
      </c>
      <c r="K265" s="63"/>
      <c r="L265" s="149">
        <v>2674</v>
      </c>
      <c r="M265" s="63">
        <f t="shared" si="85"/>
        <v>2674</v>
      </c>
      <c r="N265" s="63">
        <f t="shared" si="130"/>
        <v>2353.12</v>
      </c>
      <c r="O265" s="69"/>
      <c r="P265" s="149">
        <v>0</v>
      </c>
      <c r="Q265" s="63">
        <f t="shared" si="128"/>
        <v>0</v>
      </c>
      <c r="R265" s="64">
        <f t="shared" si="131"/>
        <v>0</v>
      </c>
      <c r="S265" s="148">
        <v>15</v>
      </c>
      <c r="T265" s="151" t="s">
        <v>15</v>
      </c>
      <c r="U265" s="65">
        <f>SUMIF('Avoided Costs 2012-2020_EGD'!$A:$A,'2012 Actuals_Auditor'!T265&amp;'2012 Actuals_Auditor'!S265,'Avoided Costs 2012-2020_EGD'!$E:$E)*J265</f>
        <v>25472.169541861582</v>
      </c>
      <c r="V265" s="65">
        <f>SUMIF('Avoided Costs 2012-2020_EGD'!$A:$A,'2012 Actuals_Auditor'!T265&amp;'2012 Actuals_Auditor'!S265,'Avoided Costs 2012-2020_EGD'!$K:$K)*N265</f>
        <v>2423.203975138852</v>
      </c>
      <c r="W265" s="65">
        <f>SUMIF('Avoided Costs 2012-2020_EGD'!$A:$A,'2012 Actuals_Auditor'!T265&amp;'2012 Actuals_Auditor'!S265,'Avoided Costs 2012-2020_EGD'!$M:$M)*R265</f>
        <v>0</v>
      </c>
      <c r="X265" s="65">
        <f t="shared" si="118"/>
        <v>27895.373517000433</v>
      </c>
      <c r="Y265" s="146">
        <v>9795</v>
      </c>
      <c r="Z265" s="66">
        <f t="shared" si="132"/>
        <v>8619.6</v>
      </c>
      <c r="AA265" s="66"/>
      <c r="AB265" s="66"/>
      <c r="AC265" s="66"/>
      <c r="AD265" s="66">
        <f t="shared" si="133"/>
        <v>8619.6</v>
      </c>
      <c r="AE265" s="66">
        <f t="shared" si="134"/>
        <v>19275.773517000431</v>
      </c>
      <c r="AF265" s="101">
        <f t="shared" si="135"/>
        <v>157241.83448015101</v>
      </c>
      <c r="AG265" s="101">
        <f t="shared" si="136"/>
        <v>178683.90281835344</v>
      </c>
    </row>
    <row r="266" spans="1:33" s="68" customFormat="1" x14ac:dyDescent="0.2">
      <c r="A266" s="147" t="s">
        <v>940</v>
      </c>
      <c r="B266" s="147"/>
      <c r="C266" s="147"/>
      <c r="D266" s="148">
        <v>1</v>
      </c>
      <c r="E266" s="149"/>
      <c r="F266" s="150">
        <v>0.12</v>
      </c>
      <c r="G266" s="150"/>
      <c r="H266" s="67">
        <v>11833</v>
      </c>
      <c r="I266" s="67">
        <f t="shared" si="127"/>
        <v>11311.007446902993</v>
      </c>
      <c r="J266" s="67">
        <f t="shared" si="129"/>
        <v>9953.6865532746342</v>
      </c>
      <c r="K266" s="63"/>
      <c r="L266" s="149">
        <v>10430</v>
      </c>
      <c r="M266" s="63">
        <f t="shared" si="85"/>
        <v>10430</v>
      </c>
      <c r="N266" s="63">
        <f t="shared" si="130"/>
        <v>9178.4</v>
      </c>
      <c r="O266" s="69"/>
      <c r="P266" s="149">
        <v>0</v>
      </c>
      <c r="Q266" s="63">
        <f t="shared" si="128"/>
        <v>0</v>
      </c>
      <c r="R266" s="64">
        <f t="shared" si="131"/>
        <v>0</v>
      </c>
      <c r="S266" s="148">
        <v>15</v>
      </c>
      <c r="T266" s="151" t="s">
        <v>15</v>
      </c>
      <c r="U266" s="65">
        <f>SUMIF('Avoided Costs 2012-2020_EGD'!$A:$A,'2012 Actuals_Auditor'!T266&amp;'2012 Actuals_Auditor'!S266,'Avoided Costs 2012-2020_EGD'!$E:$E)*J266</f>
        <v>24186.501539788813</v>
      </c>
      <c r="V266" s="65">
        <f>SUMIF('Avoided Costs 2012-2020_EGD'!$A:$A,'2012 Actuals_Auditor'!T266&amp;'2012 Actuals_Auditor'!S266,'Avoided Costs 2012-2020_EGD'!$K:$K)*N266</f>
        <v>9451.7641962222242</v>
      </c>
      <c r="W266" s="65">
        <f>SUMIF('Avoided Costs 2012-2020_EGD'!$A:$A,'2012 Actuals_Auditor'!T266&amp;'2012 Actuals_Auditor'!S266,'Avoided Costs 2012-2020_EGD'!$M:$M)*R266</f>
        <v>0</v>
      </c>
      <c r="X266" s="65">
        <f t="shared" si="118"/>
        <v>33638.265736011039</v>
      </c>
      <c r="Y266" s="146">
        <v>6100</v>
      </c>
      <c r="Z266" s="66">
        <f t="shared" si="132"/>
        <v>5368</v>
      </c>
      <c r="AA266" s="66"/>
      <c r="AB266" s="66"/>
      <c r="AC266" s="66"/>
      <c r="AD266" s="66">
        <f t="shared" si="133"/>
        <v>5368</v>
      </c>
      <c r="AE266" s="66">
        <f t="shared" si="134"/>
        <v>28270.265736011039</v>
      </c>
      <c r="AF266" s="101">
        <f t="shared" si="135"/>
        <v>149305.29829911952</v>
      </c>
      <c r="AG266" s="101">
        <f t="shared" si="136"/>
        <v>169665.11170354491</v>
      </c>
    </row>
    <row r="267" spans="1:33" s="68" customFormat="1" x14ac:dyDescent="0.2">
      <c r="A267" s="147" t="s">
        <v>941</v>
      </c>
      <c r="B267" s="147"/>
      <c r="C267" s="147"/>
      <c r="D267" s="148">
        <v>1</v>
      </c>
      <c r="E267" s="149"/>
      <c r="F267" s="150">
        <v>0.12</v>
      </c>
      <c r="G267" s="150"/>
      <c r="H267" s="67">
        <v>12156</v>
      </c>
      <c r="I267" s="67">
        <f t="shared" si="127"/>
        <v>11619.758854436979</v>
      </c>
      <c r="J267" s="67">
        <f t="shared" si="129"/>
        <v>10225.387791904543</v>
      </c>
      <c r="K267" s="63"/>
      <c r="L267" s="149">
        <v>1352</v>
      </c>
      <c r="M267" s="63">
        <f t="shared" si="85"/>
        <v>1352</v>
      </c>
      <c r="N267" s="63">
        <f t="shared" si="130"/>
        <v>1189.76</v>
      </c>
      <c r="O267" s="69"/>
      <c r="P267" s="149">
        <v>0</v>
      </c>
      <c r="Q267" s="63">
        <f t="shared" si="128"/>
        <v>0</v>
      </c>
      <c r="R267" s="64">
        <f t="shared" si="131"/>
        <v>0</v>
      </c>
      <c r="S267" s="148">
        <v>15</v>
      </c>
      <c r="T267" s="151" t="s">
        <v>15</v>
      </c>
      <c r="U267" s="65">
        <f>SUMIF('Avoided Costs 2012-2020_EGD'!$A:$A,'2012 Actuals_Auditor'!T267&amp;'2012 Actuals_Auditor'!S267,'Avoided Costs 2012-2020_EGD'!$E:$E)*J267</f>
        <v>24846.709432745101</v>
      </c>
      <c r="V267" s="65">
        <f>SUMIF('Avoided Costs 2012-2020_EGD'!$A:$A,'2012 Actuals_Auditor'!T267&amp;'2012 Actuals_Auditor'!S267,'Avoided Costs 2012-2020_EGD'!$K:$K)*N267</f>
        <v>1225.1951287912223</v>
      </c>
      <c r="W267" s="65">
        <f>SUMIF('Avoided Costs 2012-2020_EGD'!$A:$A,'2012 Actuals_Auditor'!T267&amp;'2012 Actuals_Auditor'!S267,'Avoided Costs 2012-2020_EGD'!$M:$M)*R267</f>
        <v>0</v>
      </c>
      <c r="X267" s="65">
        <f t="shared" si="118"/>
        <v>26071.904561536325</v>
      </c>
      <c r="Y267" s="146">
        <v>9795</v>
      </c>
      <c r="Z267" s="66">
        <f t="shared" si="132"/>
        <v>8619.6</v>
      </c>
      <c r="AA267" s="66"/>
      <c r="AB267" s="66"/>
      <c r="AC267" s="66"/>
      <c r="AD267" s="66">
        <f t="shared" si="133"/>
        <v>8619.6</v>
      </c>
      <c r="AE267" s="66">
        <f t="shared" si="134"/>
        <v>17452.304561536323</v>
      </c>
      <c r="AF267" s="101">
        <f t="shared" si="135"/>
        <v>153380.81687856815</v>
      </c>
      <c r="AG267" s="101">
        <f t="shared" si="136"/>
        <v>174296.38281655469</v>
      </c>
    </row>
    <row r="268" spans="1:33" s="68" customFormat="1" x14ac:dyDescent="0.2">
      <c r="A268" s="147" t="s">
        <v>942</v>
      </c>
      <c r="B268" s="147"/>
      <c r="C268" s="147"/>
      <c r="D268" s="148">
        <v>1</v>
      </c>
      <c r="E268" s="149"/>
      <c r="F268" s="150">
        <v>0.12</v>
      </c>
      <c r="G268" s="150"/>
      <c r="H268" s="67">
        <v>22511</v>
      </c>
      <c r="I268" s="67">
        <f t="shared" si="127"/>
        <v>21517.965743026558</v>
      </c>
      <c r="J268" s="67">
        <f t="shared" si="129"/>
        <v>18935.809853863371</v>
      </c>
      <c r="K268" s="63"/>
      <c r="L268" s="149">
        <v>2550</v>
      </c>
      <c r="M268" s="63">
        <f t="shared" si="85"/>
        <v>2550</v>
      </c>
      <c r="N268" s="63">
        <f t="shared" si="130"/>
        <v>2244</v>
      </c>
      <c r="O268" s="69"/>
      <c r="P268" s="149">
        <v>0</v>
      </c>
      <c r="Q268" s="63">
        <f t="shared" si="128"/>
        <v>0</v>
      </c>
      <c r="R268" s="64">
        <f t="shared" si="131"/>
        <v>0</v>
      </c>
      <c r="S268" s="148">
        <v>15</v>
      </c>
      <c r="T268" s="151" t="s">
        <v>15</v>
      </c>
      <c r="U268" s="65">
        <f>SUMIF('Avoided Costs 2012-2020_EGD'!$A:$A,'2012 Actuals_Auditor'!T268&amp;'2012 Actuals_Auditor'!S268,'Avoided Costs 2012-2020_EGD'!$E:$E)*J268</f>
        <v>46012.197765755591</v>
      </c>
      <c r="V268" s="65">
        <f>SUMIF('Avoided Costs 2012-2020_EGD'!$A:$A,'2012 Actuals_Auditor'!T268&amp;'2012 Actuals_Auditor'!S268,'Avoided Costs 2012-2020_EGD'!$K:$K)*N268</f>
        <v>2310.8340077053376</v>
      </c>
      <c r="W268" s="65">
        <f>SUMIF('Avoided Costs 2012-2020_EGD'!$A:$A,'2012 Actuals_Auditor'!T268&amp;'2012 Actuals_Auditor'!S268,'Avoided Costs 2012-2020_EGD'!$M:$M)*R268</f>
        <v>0</v>
      </c>
      <c r="X268" s="65">
        <f t="shared" si="118"/>
        <v>48323.031773460927</v>
      </c>
      <c r="Y268" s="146">
        <v>9795</v>
      </c>
      <c r="Z268" s="66">
        <f t="shared" si="132"/>
        <v>8619.6</v>
      </c>
      <c r="AA268" s="66"/>
      <c r="AB268" s="66"/>
      <c r="AC268" s="66"/>
      <c r="AD268" s="66">
        <f t="shared" si="133"/>
        <v>8619.6</v>
      </c>
      <c r="AE268" s="66">
        <f t="shared" si="134"/>
        <v>39703.431773460929</v>
      </c>
      <c r="AF268" s="101">
        <f t="shared" si="135"/>
        <v>284037.14780795056</v>
      </c>
      <c r="AG268" s="101">
        <f t="shared" si="136"/>
        <v>322769.48614539835</v>
      </c>
    </row>
    <row r="269" spans="1:33" s="68" customFormat="1" x14ac:dyDescent="0.2">
      <c r="A269" s="147" t="s">
        <v>943</v>
      </c>
      <c r="B269" s="147"/>
      <c r="C269" s="147"/>
      <c r="D269" s="148">
        <v>1</v>
      </c>
      <c r="E269" s="149"/>
      <c r="F269" s="150">
        <v>0.12</v>
      </c>
      <c r="G269" s="150"/>
      <c r="H269" s="67">
        <v>27809</v>
      </c>
      <c r="I269" s="67">
        <f t="shared" si="127"/>
        <v>26582.253535952448</v>
      </c>
      <c r="J269" s="67">
        <f t="shared" si="129"/>
        <v>23392.383111638155</v>
      </c>
      <c r="K269" s="63"/>
      <c r="L269" s="149">
        <v>3173</v>
      </c>
      <c r="M269" s="63">
        <f t="shared" si="85"/>
        <v>3173</v>
      </c>
      <c r="N269" s="63">
        <f t="shared" si="130"/>
        <v>2792.2400000000002</v>
      </c>
      <c r="O269" s="69"/>
      <c r="P269" s="149">
        <v>0</v>
      </c>
      <c r="Q269" s="63">
        <f t="shared" si="128"/>
        <v>0</v>
      </c>
      <c r="R269" s="64">
        <f t="shared" si="131"/>
        <v>0</v>
      </c>
      <c r="S269" s="148">
        <v>15</v>
      </c>
      <c r="T269" s="151" t="s">
        <v>15</v>
      </c>
      <c r="U269" s="65">
        <f>SUMIF('Avoided Costs 2012-2020_EGD'!$A:$A,'2012 Actuals_Auditor'!T269&amp;'2012 Actuals_Auditor'!S269,'Avoided Costs 2012-2020_EGD'!$E:$E)*J269</f>
        <v>56841.242400066512</v>
      </c>
      <c r="V269" s="65">
        <f>SUMIF('Avoided Costs 2012-2020_EGD'!$A:$A,'2012 Actuals_Auditor'!T269&amp;'2012 Actuals_Auditor'!S269,'Avoided Costs 2012-2020_EGD'!$K:$K)*N269</f>
        <v>2875.4024731172694</v>
      </c>
      <c r="W269" s="65">
        <f>SUMIF('Avoided Costs 2012-2020_EGD'!$A:$A,'2012 Actuals_Auditor'!T269&amp;'2012 Actuals_Auditor'!S269,'Avoided Costs 2012-2020_EGD'!$M:$M)*R269</f>
        <v>0</v>
      </c>
      <c r="X269" s="65">
        <f t="shared" si="118"/>
        <v>59716.644873183781</v>
      </c>
      <c r="Y269" s="146">
        <v>9795</v>
      </c>
      <c r="Z269" s="66">
        <f t="shared" si="132"/>
        <v>8619.6</v>
      </c>
      <c r="AA269" s="66"/>
      <c r="AB269" s="66"/>
      <c r="AC269" s="66"/>
      <c r="AD269" s="66">
        <f t="shared" si="133"/>
        <v>8619.6</v>
      </c>
      <c r="AE269" s="66">
        <f t="shared" si="134"/>
        <v>51097.044873183782</v>
      </c>
      <c r="AF269" s="101">
        <f t="shared" si="135"/>
        <v>350885.74667457235</v>
      </c>
      <c r="AG269" s="101">
        <f t="shared" si="136"/>
        <v>398733.80303928675</v>
      </c>
    </row>
    <row r="270" spans="1:33" s="68" customFormat="1" x14ac:dyDescent="0.2">
      <c r="A270" s="147" t="s">
        <v>944</v>
      </c>
      <c r="B270" s="147"/>
      <c r="C270" s="147"/>
      <c r="D270" s="148">
        <v>1</v>
      </c>
      <c r="E270" s="149"/>
      <c r="F270" s="150">
        <v>0.12</v>
      </c>
      <c r="G270" s="150"/>
      <c r="H270" s="67">
        <v>25983</v>
      </c>
      <c r="I270" s="67">
        <f t="shared" ref="I270:I301" si="137">+$H$42*H270</f>
        <v>24836.804402339261</v>
      </c>
      <c r="J270" s="67">
        <f t="shared" si="129"/>
        <v>21856.38787405855</v>
      </c>
      <c r="K270" s="63"/>
      <c r="L270" s="149">
        <v>2958</v>
      </c>
      <c r="M270" s="63">
        <f t="shared" si="85"/>
        <v>2958</v>
      </c>
      <c r="N270" s="63">
        <f t="shared" si="130"/>
        <v>2603.04</v>
      </c>
      <c r="O270" s="69"/>
      <c r="P270" s="149">
        <v>0</v>
      </c>
      <c r="Q270" s="63">
        <f t="shared" ref="Q270:Q301" si="138">+P270*$P$42</f>
        <v>0</v>
      </c>
      <c r="R270" s="64">
        <f t="shared" si="131"/>
        <v>0</v>
      </c>
      <c r="S270" s="148">
        <v>15</v>
      </c>
      <c r="T270" s="151" t="s">
        <v>15</v>
      </c>
      <c r="U270" s="65">
        <f>SUMIF('Avoided Costs 2012-2020_EGD'!$A:$A,'2012 Actuals_Auditor'!T270&amp;'2012 Actuals_Auditor'!S270,'Avoided Costs 2012-2020_EGD'!$E:$E)*J270</f>
        <v>53108.921618214539</v>
      </c>
      <c r="V270" s="65">
        <f>SUMIF('Avoided Costs 2012-2020_EGD'!$A:$A,'2012 Actuals_Auditor'!T270&amp;'2012 Actuals_Auditor'!S270,'Avoided Costs 2012-2020_EGD'!$K:$K)*N270</f>
        <v>2680.5674489381918</v>
      </c>
      <c r="W270" s="65">
        <f>SUMIF('Avoided Costs 2012-2020_EGD'!$A:$A,'2012 Actuals_Auditor'!T270&amp;'2012 Actuals_Auditor'!S270,'Avoided Costs 2012-2020_EGD'!$M:$M)*R270</f>
        <v>0</v>
      </c>
      <c r="X270" s="65">
        <f t="shared" si="118"/>
        <v>55789.489067152732</v>
      </c>
      <c r="Y270" s="146">
        <v>9795</v>
      </c>
      <c r="Z270" s="66">
        <f t="shared" si="132"/>
        <v>8619.6</v>
      </c>
      <c r="AA270" s="66"/>
      <c r="AB270" s="66"/>
      <c r="AC270" s="66"/>
      <c r="AD270" s="66">
        <f t="shared" si="133"/>
        <v>8619.6</v>
      </c>
      <c r="AE270" s="66">
        <f t="shared" si="134"/>
        <v>47169.889067152733</v>
      </c>
      <c r="AF270" s="101">
        <f t="shared" si="135"/>
        <v>327845.81811087823</v>
      </c>
      <c r="AG270" s="101">
        <f t="shared" si="136"/>
        <v>372552.06603508891</v>
      </c>
    </row>
    <row r="271" spans="1:33" s="68" customFormat="1" x14ac:dyDescent="0.2">
      <c r="A271" s="147" t="s">
        <v>945</v>
      </c>
      <c r="B271" s="147"/>
      <c r="C271" s="147"/>
      <c r="D271" s="148">
        <v>1</v>
      </c>
      <c r="E271" s="149"/>
      <c r="F271" s="150">
        <v>0.12</v>
      </c>
      <c r="G271" s="150"/>
      <c r="H271" s="67">
        <v>6810</v>
      </c>
      <c r="I271" s="67">
        <f t="shared" si="137"/>
        <v>6509.5884994007756</v>
      </c>
      <c r="J271" s="67">
        <f t="shared" si="129"/>
        <v>5728.4378794726827</v>
      </c>
      <c r="K271" s="63"/>
      <c r="L271" s="149">
        <v>4770</v>
      </c>
      <c r="M271" s="63">
        <f t="shared" si="85"/>
        <v>4770</v>
      </c>
      <c r="N271" s="63">
        <f t="shared" si="130"/>
        <v>4197.6000000000004</v>
      </c>
      <c r="O271" s="69"/>
      <c r="P271" s="149">
        <v>0</v>
      </c>
      <c r="Q271" s="63">
        <f t="shared" si="138"/>
        <v>0</v>
      </c>
      <c r="R271" s="64">
        <f t="shared" si="131"/>
        <v>0</v>
      </c>
      <c r="S271" s="148">
        <v>15</v>
      </c>
      <c r="T271" s="151" t="s">
        <v>15</v>
      </c>
      <c r="U271" s="65">
        <f>SUMIF('Avoided Costs 2012-2020_EGD'!$A:$A,'2012 Actuals_Auditor'!T271&amp;'2012 Actuals_Auditor'!S271,'Avoided Costs 2012-2020_EGD'!$E:$E)*J271</f>
        <v>13919.553408768848</v>
      </c>
      <c r="V271" s="65">
        <f>SUMIF('Avoided Costs 2012-2020_EGD'!$A:$A,'2012 Actuals_Auditor'!T271&amp;'2012 Actuals_Auditor'!S271,'Avoided Costs 2012-2020_EGD'!$K:$K)*N271</f>
        <v>4322.6189085311617</v>
      </c>
      <c r="W271" s="65">
        <f>SUMIF('Avoided Costs 2012-2020_EGD'!$A:$A,'2012 Actuals_Auditor'!T271&amp;'2012 Actuals_Auditor'!S271,'Avoided Costs 2012-2020_EGD'!$M:$M)*R271</f>
        <v>0</v>
      </c>
      <c r="X271" s="65">
        <f t="shared" ref="X271:X292" si="139">SUM(U271:W271)</f>
        <v>18242.17231730001</v>
      </c>
      <c r="Y271" s="146">
        <v>9600</v>
      </c>
      <c r="Z271" s="66">
        <f t="shared" si="132"/>
        <v>8448</v>
      </c>
      <c r="AA271" s="66"/>
      <c r="AB271" s="66"/>
      <c r="AC271" s="66"/>
      <c r="AD271" s="66">
        <f t="shared" si="133"/>
        <v>8448</v>
      </c>
      <c r="AE271" s="66">
        <f t="shared" si="134"/>
        <v>9794.17231730001</v>
      </c>
      <c r="AF271" s="101">
        <f t="shared" si="135"/>
        <v>85926.568192090243</v>
      </c>
      <c r="AG271" s="101">
        <f t="shared" si="136"/>
        <v>97643.827491011631</v>
      </c>
    </row>
    <row r="272" spans="1:33" s="68" customFormat="1" x14ac:dyDescent="0.2">
      <c r="A272" s="147" t="s">
        <v>946</v>
      </c>
      <c r="B272" s="147"/>
      <c r="C272" s="147"/>
      <c r="D272" s="148">
        <v>1</v>
      </c>
      <c r="E272" s="149"/>
      <c r="F272" s="150">
        <v>0.12</v>
      </c>
      <c r="G272" s="150"/>
      <c r="H272" s="67">
        <v>33186</v>
      </c>
      <c r="I272" s="67">
        <f t="shared" si="137"/>
        <v>31722.056379018231</v>
      </c>
      <c r="J272" s="67">
        <f t="shared" si="129"/>
        <v>27915.409613536045</v>
      </c>
      <c r="K272" s="63"/>
      <c r="L272" s="149">
        <v>2358</v>
      </c>
      <c r="M272" s="63">
        <f t="shared" si="85"/>
        <v>2358</v>
      </c>
      <c r="N272" s="63">
        <f t="shared" si="130"/>
        <v>2075.04</v>
      </c>
      <c r="O272" s="69"/>
      <c r="P272" s="149">
        <v>0</v>
      </c>
      <c r="Q272" s="63">
        <f t="shared" si="138"/>
        <v>0</v>
      </c>
      <c r="R272" s="64">
        <f t="shared" si="131"/>
        <v>0</v>
      </c>
      <c r="S272" s="148">
        <v>15</v>
      </c>
      <c r="T272" s="151" t="s">
        <v>15</v>
      </c>
      <c r="U272" s="65">
        <f>SUMIF('Avoided Costs 2012-2020_EGD'!$A:$A,'2012 Actuals_Auditor'!T272&amp;'2012 Actuals_Auditor'!S272,'Avoided Costs 2012-2020_EGD'!$E:$E)*J272</f>
        <v>67831.762029868289</v>
      </c>
      <c r="V272" s="65">
        <f>SUMIF('Avoided Costs 2012-2020_EGD'!$A:$A,'2012 Actuals_Auditor'!T272&amp;'2012 Actuals_Auditor'!S272,'Avoided Costs 2012-2020_EGD'!$K:$K)*N272</f>
        <v>2136.8418000663473</v>
      </c>
      <c r="W272" s="65">
        <f>SUMIF('Avoided Costs 2012-2020_EGD'!$A:$A,'2012 Actuals_Auditor'!T272&amp;'2012 Actuals_Auditor'!S272,'Avoided Costs 2012-2020_EGD'!$M:$M)*R272</f>
        <v>0</v>
      </c>
      <c r="X272" s="65">
        <f t="shared" si="139"/>
        <v>69968.60382993464</v>
      </c>
      <c r="Y272" s="146">
        <v>9795</v>
      </c>
      <c r="Z272" s="66">
        <f t="shared" si="132"/>
        <v>8619.6</v>
      </c>
      <c r="AA272" s="66"/>
      <c r="AB272" s="66"/>
      <c r="AC272" s="66"/>
      <c r="AD272" s="66">
        <f t="shared" si="133"/>
        <v>8619.6</v>
      </c>
      <c r="AE272" s="66">
        <f t="shared" si="134"/>
        <v>61349.003829934642</v>
      </c>
      <c r="AF272" s="101">
        <f t="shared" si="135"/>
        <v>418731.14420304069</v>
      </c>
      <c r="AG272" s="101">
        <f t="shared" si="136"/>
        <v>475830.84568527347</v>
      </c>
    </row>
    <row r="273" spans="1:33" s="68" customFormat="1" x14ac:dyDescent="0.2">
      <c r="A273" s="147" t="s">
        <v>947</v>
      </c>
      <c r="B273" s="147"/>
      <c r="C273" s="147"/>
      <c r="D273" s="148">
        <v>1</v>
      </c>
      <c r="E273" s="149"/>
      <c r="F273" s="150">
        <v>0.12</v>
      </c>
      <c r="G273" s="150"/>
      <c r="H273" s="67">
        <v>20689</v>
      </c>
      <c r="I273" s="67">
        <f t="shared" si="137"/>
        <v>19776.340156255897</v>
      </c>
      <c r="J273" s="67">
        <f t="shared" si="129"/>
        <v>17403.179337505189</v>
      </c>
      <c r="K273" s="63"/>
      <c r="L273" s="149">
        <v>2339</v>
      </c>
      <c r="M273" s="63">
        <f t="shared" si="85"/>
        <v>2339</v>
      </c>
      <c r="N273" s="63">
        <f t="shared" si="130"/>
        <v>2058.3200000000002</v>
      </c>
      <c r="O273" s="69"/>
      <c r="P273" s="149">
        <v>0</v>
      </c>
      <c r="Q273" s="63">
        <f t="shared" si="138"/>
        <v>0</v>
      </c>
      <c r="R273" s="64">
        <f t="shared" si="131"/>
        <v>0</v>
      </c>
      <c r="S273" s="148">
        <v>15</v>
      </c>
      <c r="T273" s="151" t="s">
        <v>15</v>
      </c>
      <c r="U273" s="65">
        <f>SUMIF('Avoided Costs 2012-2020_EGD'!$A:$A,'2012 Actuals_Auditor'!T273&amp;'2012 Actuals_Auditor'!S273,'Avoided Costs 2012-2020_EGD'!$E:$E)*J273</f>
        <v>42288.052933042396</v>
      </c>
      <c r="V273" s="65">
        <f>SUMIF('Avoided Costs 2012-2020_EGD'!$A:$A,'2012 Actuals_Auditor'!T273&amp;'2012 Actuals_Auditor'!S273,'Avoided Costs 2012-2020_EGD'!$K:$K)*N273</f>
        <v>2119.6238211854061</v>
      </c>
      <c r="W273" s="65">
        <f>SUMIF('Avoided Costs 2012-2020_EGD'!$A:$A,'2012 Actuals_Auditor'!T273&amp;'2012 Actuals_Auditor'!S273,'Avoided Costs 2012-2020_EGD'!$M:$M)*R273</f>
        <v>0</v>
      </c>
      <c r="X273" s="65">
        <f t="shared" si="139"/>
        <v>44407.676754227803</v>
      </c>
      <c r="Y273" s="146">
        <v>9795</v>
      </c>
      <c r="Z273" s="66">
        <f t="shared" si="132"/>
        <v>8619.6</v>
      </c>
      <c r="AA273" s="66"/>
      <c r="AB273" s="66"/>
      <c r="AC273" s="66"/>
      <c r="AD273" s="66">
        <f t="shared" si="133"/>
        <v>8619.6</v>
      </c>
      <c r="AE273" s="66">
        <f t="shared" si="134"/>
        <v>35788.076754227804</v>
      </c>
      <c r="AF273" s="101">
        <f t="shared" si="135"/>
        <v>261047.69006257784</v>
      </c>
      <c r="AG273" s="101">
        <f t="shared" si="136"/>
        <v>296645.10234383849</v>
      </c>
    </row>
    <row r="274" spans="1:33" s="68" customFormat="1" x14ac:dyDescent="0.2">
      <c r="A274" s="147" t="s">
        <v>948</v>
      </c>
      <c r="B274" s="147"/>
      <c r="C274" s="147"/>
      <c r="D274" s="148">
        <v>1</v>
      </c>
      <c r="E274" s="149"/>
      <c r="F274" s="150">
        <v>0.12</v>
      </c>
      <c r="G274" s="150"/>
      <c r="H274" s="67">
        <v>8353</v>
      </c>
      <c r="I274" s="67">
        <f t="shared" si="137"/>
        <v>7984.5216939052398</v>
      </c>
      <c r="J274" s="67">
        <f t="shared" si="129"/>
        <v>7026.3790906366112</v>
      </c>
      <c r="K274" s="63"/>
      <c r="L274" s="149">
        <v>6355</v>
      </c>
      <c r="M274" s="63">
        <f t="shared" si="85"/>
        <v>6355</v>
      </c>
      <c r="N274" s="63">
        <f t="shared" si="130"/>
        <v>5592.4</v>
      </c>
      <c r="O274" s="69"/>
      <c r="P274" s="149">
        <v>0</v>
      </c>
      <c r="Q274" s="63">
        <f t="shared" si="138"/>
        <v>0</v>
      </c>
      <c r="R274" s="64">
        <f t="shared" si="131"/>
        <v>0</v>
      </c>
      <c r="S274" s="148">
        <v>15</v>
      </c>
      <c r="T274" s="151" t="s">
        <v>15</v>
      </c>
      <c r="U274" s="65">
        <f>SUMIF('Avoided Costs 2012-2020_EGD'!$A:$A,'2012 Actuals_Auditor'!T274&amp;'2012 Actuals_Auditor'!S274,'Avoided Costs 2012-2020_EGD'!$E:$E)*J274</f>
        <v>17073.425789052308</v>
      </c>
      <c r="V274" s="65">
        <f>SUMIF('Avoided Costs 2012-2020_EGD'!$A:$A,'2012 Actuals_Auditor'!T274&amp;'2012 Actuals_Auditor'!S274,'Avoided Costs 2012-2020_EGD'!$K:$K)*N274</f>
        <v>5758.9608309676159</v>
      </c>
      <c r="W274" s="65">
        <f>SUMIF('Avoided Costs 2012-2020_EGD'!$A:$A,'2012 Actuals_Auditor'!T274&amp;'2012 Actuals_Auditor'!S274,'Avoided Costs 2012-2020_EGD'!$M:$M)*R274</f>
        <v>0</v>
      </c>
      <c r="X274" s="65">
        <f t="shared" si="139"/>
        <v>22832.386620019923</v>
      </c>
      <c r="Y274" s="146">
        <v>6100</v>
      </c>
      <c r="Z274" s="66">
        <f t="shared" si="132"/>
        <v>5368</v>
      </c>
      <c r="AA274" s="66"/>
      <c r="AB274" s="66"/>
      <c r="AC274" s="66"/>
      <c r="AD274" s="66">
        <f t="shared" si="133"/>
        <v>5368</v>
      </c>
      <c r="AE274" s="66">
        <f t="shared" si="134"/>
        <v>17464.386620019923</v>
      </c>
      <c r="AF274" s="101">
        <f t="shared" si="135"/>
        <v>105395.68635954917</v>
      </c>
      <c r="AG274" s="101">
        <f t="shared" si="136"/>
        <v>119767.8254085786</v>
      </c>
    </row>
    <row r="275" spans="1:33" s="68" customFormat="1" x14ac:dyDescent="0.2">
      <c r="A275" s="147" t="s">
        <v>949</v>
      </c>
      <c r="B275" s="147"/>
      <c r="C275" s="147"/>
      <c r="D275" s="148">
        <v>1</v>
      </c>
      <c r="E275" s="149"/>
      <c r="F275" s="150">
        <v>0.12</v>
      </c>
      <c r="G275" s="150"/>
      <c r="H275" s="67">
        <v>17241</v>
      </c>
      <c r="I275" s="67">
        <f t="shared" si="137"/>
        <v>16480.442777998353</v>
      </c>
      <c r="J275" s="67">
        <f t="shared" si="129"/>
        <v>14502.789644638551</v>
      </c>
      <c r="K275" s="63"/>
      <c r="L275" s="149">
        <v>1717</v>
      </c>
      <c r="M275" s="63">
        <f t="shared" si="85"/>
        <v>1717</v>
      </c>
      <c r="N275" s="63">
        <f t="shared" si="130"/>
        <v>1510.96</v>
      </c>
      <c r="O275" s="69"/>
      <c r="P275" s="149">
        <v>0</v>
      </c>
      <c r="Q275" s="63">
        <f t="shared" si="138"/>
        <v>0</v>
      </c>
      <c r="R275" s="64">
        <f t="shared" si="131"/>
        <v>0</v>
      </c>
      <c r="S275" s="148">
        <v>15</v>
      </c>
      <c r="T275" s="151" t="s">
        <v>15</v>
      </c>
      <c r="U275" s="65">
        <f>SUMIF('Avoided Costs 2012-2020_EGD'!$A:$A,'2012 Actuals_Auditor'!T275&amp;'2012 Actuals_Auditor'!S275,'Avoided Costs 2012-2020_EGD'!$E:$E)*J275</f>
        <v>35240.384775416118</v>
      </c>
      <c r="V275" s="65">
        <f>SUMIF('Avoided Costs 2012-2020_EGD'!$A:$A,'2012 Actuals_Auditor'!T275&amp;'2012 Actuals_Auditor'!S275,'Avoided Costs 2012-2020_EGD'!$K:$K)*N275</f>
        <v>1555.9615651882607</v>
      </c>
      <c r="W275" s="65">
        <f>SUMIF('Avoided Costs 2012-2020_EGD'!$A:$A,'2012 Actuals_Auditor'!T275&amp;'2012 Actuals_Auditor'!S275,'Avoided Costs 2012-2020_EGD'!$M:$M)*R275</f>
        <v>0</v>
      </c>
      <c r="X275" s="65">
        <f t="shared" si="139"/>
        <v>36796.346340604381</v>
      </c>
      <c r="Y275" s="146">
        <v>9795</v>
      </c>
      <c r="Z275" s="66">
        <f t="shared" si="132"/>
        <v>8619.6</v>
      </c>
      <c r="AA275" s="66"/>
      <c r="AB275" s="66"/>
      <c r="AC275" s="66"/>
      <c r="AD275" s="66">
        <f t="shared" si="133"/>
        <v>8619.6</v>
      </c>
      <c r="AE275" s="66">
        <f t="shared" si="134"/>
        <v>28176.746340604383</v>
      </c>
      <c r="AF275" s="101">
        <f t="shared" si="135"/>
        <v>217541.84466957828</v>
      </c>
      <c r="AG275" s="101">
        <f t="shared" si="136"/>
        <v>247206.6416699753</v>
      </c>
    </row>
    <row r="276" spans="1:33" s="68" customFormat="1" x14ac:dyDescent="0.2">
      <c r="A276" s="147" t="s">
        <v>950</v>
      </c>
      <c r="B276" s="147"/>
      <c r="C276" s="147"/>
      <c r="D276" s="148">
        <v>1</v>
      </c>
      <c r="E276" s="149"/>
      <c r="F276" s="150">
        <v>0.12</v>
      </c>
      <c r="G276" s="150"/>
      <c r="H276" s="67">
        <v>10159</v>
      </c>
      <c r="I276" s="67">
        <f t="shared" si="137"/>
        <v>9710.8530933057973</v>
      </c>
      <c r="J276" s="67">
        <f t="shared" si="129"/>
        <v>8545.5507221091011</v>
      </c>
      <c r="K276" s="63"/>
      <c r="L276" s="149">
        <v>5595</v>
      </c>
      <c r="M276" s="63">
        <f t="shared" si="85"/>
        <v>5595</v>
      </c>
      <c r="N276" s="63">
        <f t="shared" si="130"/>
        <v>4923.6000000000004</v>
      </c>
      <c r="O276" s="69"/>
      <c r="P276" s="149">
        <v>0</v>
      </c>
      <c r="Q276" s="63">
        <f t="shared" si="138"/>
        <v>0</v>
      </c>
      <c r="R276" s="64">
        <f t="shared" si="131"/>
        <v>0</v>
      </c>
      <c r="S276" s="148">
        <v>15</v>
      </c>
      <c r="T276" s="151" t="s">
        <v>15</v>
      </c>
      <c r="U276" s="65">
        <f>SUMIF('Avoided Costs 2012-2020_EGD'!$A:$A,'2012 Actuals_Auditor'!T276&amp;'2012 Actuals_Auditor'!S276,'Avoided Costs 2012-2020_EGD'!$E:$E)*J276</f>
        <v>20764.866825210385</v>
      </c>
      <c r="V276" s="65">
        <f>SUMIF('Avoided Costs 2012-2020_EGD'!$A:$A,'2012 Actuals_Auditor'!T276&amp;'2012 Actuals_Auditor'!S276,'Avoided Costs 2012-2020_EGD'!$K:$K)*N276</f>
        <v>5070.241675729947</v>
      </c>
      <c r="W276" s="65">
        <f>SUMIF('Avoided Costs 2012-2020_EGD'!$A:$A,'2012 Actuals_Auditor'!T276&amp;'2012 Actuals_Auditor'!S276,'Avoided Costs 2012-2020_EGD'!$M:$M)*R276</f>
        <v>0</v>
      </c>
      <c r="X276" s="65">
        <f t="shared" si="139"/>
        <v>25835.108500940332</v>
      </c>
      <c r="Y276" s="146">
        <v>9600</v>
      </c>
      <c r="Z276" s="66">
        <f t="shared" si="132"/>
        <v>8448</v>
      </c>
      <c r="AA276" s="66"/>
      <c r="AB276" s="66"/>
      <c r="AC276" s="66"/>
      <c r="AD276" s="66">
        <f t="shared" si="133"/>
        <v>8448</v>
      </c>
      <c r="AE276" s="66">
        <f t="shared" si="134"/>
        <v>17387.108500940332</v>
      </c>
      <c r="AF276" s="101">
        <f t="shared" si="135"/>
        <v>128183.26083163652</v>
      </c>
      <c r="AG276" s="101">
        <f t="shared" si="136"/>
        <v>145662.79639958695</v>
      </c>
    </row>
    <row r="277" spans="1:33" s="68" customFormat="1" x14ac:dyDescent="0.2">
      <c r="A277" s="147" t="s">
        <v>951</v>
      </c>
      <c r="B277" s="147"/>
      <c r="C277" s="147"/>
      <c r="D277" s="148">
        <v>1</v>
      </c>
      <c r="E277" s="149"/>
      <c r="F277" s="150">
        <v>0.12</v>
      </c>
      <c r="G277" s="150"/>
      <c r="H277" s="67">
        <v>7984</v>
      </c>
      <c r="I277" s="67">
        <f t="shared" si="137"/>
        <v>7631.7994976822019</v>
      </c>
      <c r="J277" s="67">
        <f t="shared" si="129"/>
        <v>6715.9835579603377</v>
      </c>
      <c r="K277" s="63"/>
      <c r="L277" s="149">
        <v>5865</v>
      </c>
      <c r="M277" s="63">
        <f t="shared" si="85"/>
        <v>5865</v>
      </c>
      <c r="N277" s="63">
        <f t="shared" si="130"/>
        <v>5161.2</v>
      </c>
      <c r="O277" s="69"/>
      <c r="P277" s="149">
        <v>0</v>
      </c>
      <c r="Q277" s="63">
        <f t="shared" si="138"/>
        <v>0</v>
      </c>
      <c r="R277" s="64">
        <f t="shared" si="131"/>
        <v>0</v>
      </c>
      <c r="S277" s="148">
        <v>15</v>
      </c>
      <c r="T277" s="151" t="s">
        <v>15</v>
      </c>
      <c r="U277" s="65">
        <f>SUMIF('Avoided Costs 2012-2020_EGD'!$A:$A,'2012 Actuals_Auditor'!T277&amp;'2012 Actuals_Auditor'!S277,'Avoided Costs 2012-2020_EGD'!$E:$E)*J277</f>
        <v>16319.194481000073</v>
      </c>
      <c r="V277" s="65">
        <f>SUMIF('Avoided Costs 2012-2020_EGD'!$A:$A,'2012 Actuals_Auditor'!T277&amp;'2012 Actuals_Auditor'!S277,'Avoided Costs 2012-2020_EGD'!$K:$K)*N277</f>
        <v>5314.9182177222765</v>
      </c>
      <c r="W277" s="65">
        <f>SUMIF('Avoided Costs 2012-2020_EGD'!$A:$A,'2012 Actuals_Auditor'!T277&amp;'2012 Actuals_Auditor'!S277,'Avoided Costs 2012-2020_EGD'!$M:$M)*R277</f>
        <v>0</v>
      </c>
      <c r="X277" s="65">
        <f t="shared" si="139"/>
        <v>21634.112698722351</v>
      </c>
      <c r="Y277" s="146">
        <v>9600</v>
      </c>
      <c r="Z277" s="66">
        <f t="shared" si="132"/>
        <v>8448</v>
      </c>
      <c r="AA277" s="66"/>
      <c r="AB277" s="66"/>
      <c r="AC277" s="66"/>
      <c r="AD277" s="66">
        <f t="shared" si="133"/>
        <v>8448</v>
      </c>
      <c r="AE277" s="66">
        <f t="shared" si="134"/>
        <v>13186.112698722351</v>
      </c>
      <c r="AF277" s="101">
        <f t="shared" si="135"/>
        <v>100739.75336940507</v>
      </c>
      <c r="AG277" s="101">
        <f t="shared" si="136"/>
        <v>114476.99246523302</v>
      </c>
    </row>
    <row r="278" spans="1:33" s="68" customFormat="1" x14ac:dyDescent="0.2">
      <c r="A278" s="147" t="s">
        <v>952</v>
      </c>
      <c r="B278" s="147"/>
      <c r="C278" s="147"/>
      <c r="D278" s="148">
        <v>1</v>
      </c>
      <c r="E278" s="149"/>
      <c r="F278" s="150">
        <v>0.12</v>
      </c>
      <c r="G278" s="150"/>
      <c r="H278" s="67">
        <v>8119</v>
      </c>
      <c r="I278" s="67">
        <f t="shared" si="137"/>
        <v>7760.8442036174592</v>
      </c>
      <c r="J278" s="67">
        <f t="shared" si="129"/>
        <v>6829.5428991833642</v>
      </c>
      <c r="K278" s="63"/>
      <c r="L278" s="149">
        <v>6160</v>
      </c>
      <c r="M278" s="63">
        <f t="shared" si="85"/>
        <v>6160</v>
      </c>
      <c r="N278" s="63">
        <f t="shared" si="130"/>
        <v>5420.8</v>
      </c>
      <c r="O278" s="69"/>
      <c r="P278" s="149">
        <v>0</v>
      </c>
      <c r="Q278" s="63">
        <f t="shared" si="138"/>
        <v>0</v>
      </c>
      <c r="R278" s="64">
        <f t="shared" si="131"/>
        <v>0</v>
      </c>
      <c r="S278" s="148">
        <v>15</v>
      </c>
      <c r="T278" s="151" t="s">
        <v>15</v>
      </c>
      <c r="U278" s="65">
        <f>SUMIF('Avoided Costs 2012-2020_EGD'!$A:$A,'2012 Actuals_Auditor'!T278&amp;'2012 Actuals_Auditor'!S278,'Avoided Costs 2012-2020_EGD'!$E:$E)*J278</f>
        <v>16595.132764433816</v>
      </c>
      <c r="V278" s="65">
        <f>SUMIF('Avoided Costs 2012-2020_EGD'!$A:$A,'2012 Actuals_Auditor'!T278&amp;'2012 Actuals_Auditor'!S278,'Avoided Costs 2012-2020_EGD'!$K:$K)*N278</f>
        <v>5582.2499950842666</v>
      </c>
      <c r="W278" s="65">
        <f>SUMIF('Avoided Costs 2012-2020_EGD'!$A:$A,'2012 Actuals_Auditor'!T278&amp;'2012 Actuals_Auditor'!S278,'Avoided Costs 2012-2020_EGD'!$M:$M)*R278</f>
        <v>0</v>
      </c>
      <c r="X278" s="65">
        <f t="shared" si="139"/>
        <v>22177.382759518085</v>
      </c>
      <c r="Y278" s="146">
        <v>9600</v>
      </c>
      <c r="Z278" s="66">
        <f t="shared" si="132"/>
        <v>8448</v>
      </c>
      <c r="AA278" s="66"/>
      <c r="AB278" s="66"/>
      <c r="AC278" s="66"/>
      <c r="AD278" s="66">
        <f t="shared" si="133"/>
        <v>8448</v>
      </c>
      <c r="AE278" s="66">
        <f t="shared" si="134"/>
        <v>13729.382759518085</v>
      </c>
      <c r="AF278" s="101">
        <f t="shared" si="135"/>
        <v>102443.14348775047</v>
      </c>
      <c r="AG278" s="101">
        <f t="shared" si="136"/>
        <v>116412.6630542619</v>
      </c>
    </row>
    <row r="279" spans="1:33" s="68" customFormat="1" x14ac:dyDescent="0.2">
      <c r="A279" s="147" t="s">
        <v>953</v>
      </c>
      <c r="B279" s="147"/>
      <c r="C279" s="147"/>
      <c r="D279" s="148">
        <v>1</v>
      </c>
      <c r="E279" s="149"/>
      <c r="F279" s="150">
        <v>0.12</v>
      </c>
      <c r="G279" s="150"/>
      <c r="H279" s="67">
        <v>10802</v>
      </c>
      <c r="I279" s="67">
        <f t="shared" si="137"/>
        <v>10325.488248241876</v>
      </c>
      <c r="J279" s="67">
        <f t="shared" si="129"/>
        <v>9086.4296584528511</v>
      </c>
      <c r="K279" s="63"/>
      <c r="L279" s="149">
        <v>5817</v>
      </c>
      <c r="M279" s="63">
        <f t="shared" si="85"/>
        <v>5817</v>
      </c>
      <c r="N279" s="63">
        <f t="shared" si="130"/>
        <v>5118.96</v>
      </c>
      <c r="O279" s="69"/>
      <c r="P279" s="149">
        <v>0</v>
      </c>
      <c r="Q279" s="63">
        <f t="shared" si="138"/>
        <v>0</v>
      </c>
      <c r="R279" s="64">
        <f t="shared" si="131"/>
        <v>0</v>
      </c>
      <c r="S279" s="148">
        <v>15</v>
      </c>
      <c r="T279" s="151" t="s">
        <v>15</v>
      </c>
      <c r="U279" s="65">
        <f>SUMIF('Avoided Costs 2012-2020_EGD'!$A:$A,'2012 Actuals_Auditor'!T279&amp;'2012 Actuals_Auditor'!S279,'Avoided Costs 2012-2020_EGD'!$E:$E)*J279</f>
        <v>22079.150649268886</v>
      </c>
      <c r="V279" s="65">
        <f>SUMIF('Avoided Costs 2012-2020_EGD'!$A:$A,'2012 Actuals_Auditor'!T279&amp;'2012 Actuals_Auditor'!S279,'Avoided Costs 2012-2020_EGD'!$K:$K)*N279</f>
        <v>5271.4201658125294</v>
      </c>
      <c r="W279" s="65">
        <f>SUMIF('Avoided Costs 2012-2020_EGD'!$A:$A,'2012 Actuals_Auditor'!T279&amp;'2012 Actuals_Auditor'!S279,'Avoided Costs 2012-2020_EGD'!$M:$M)*R279</f>
        <v>0</v>
      </c>
      <c r="X279" s="65">
        <f t="shared" si="139"/>
        <v>27350.570815081417</v>
      </c>
      <c r="Y279" s="146">
        <v>9600</v>
      </c>
      <c r="Z279" s="66">
        <f t="shared" si="132"/>
        <v>8448</v>
      </c>
      <c r="AA279" s="66"/>
      <c r="AB279" s="66"/>
      <c r="AC279" s="66"/>
      <c r="AD279" s="66">
        <f t="shared" si="133"/>
        <v>8448</v>
      </c>
      <c r="AE279" s="66">
        <f t="shared" si="134"/>
        <v>18902.570815081417</v>
      </c>
      <c r="AF279" s="101">
        <f t="shared" si="135"/>
        <v>136296.44487679275</v>
      </c>
      <c r="AG279" s="101">
        <f t="shared" si="136"/>
        <v>154882.32372362813</v>
      </c>
    </row>
    <row r="280" spans="1:33" s="68" customFormat="1" x14ac:dyDescent="0.2">
      <c r="A280" s="147" t="s">
        <v>954</v>
      </c>
      <c r="B280" s="147"/>
      <c r="C280" s="147"/>
      <c r="D280" s="148">
        <v>1</v>
      </c>
      <c r="E280" s="149"/>
      <c r="F280" s="150">
        <v>0.12</v>
      </c>
      <c r="G280" s="150"/>
      <c r="H280" s="67">
        <v>11053</v>
      </c>
      <c r="I280" s="67">
        <f t="shared" si="137"/>
        <v>10565.415812610392</v>
      </c>
      <c r="J280" s="67">
        <f t="shared" si="129"/>
        <v>9297.565915097146</v>
      </c>
      <c r="K280" s="63"/>
      <c r="L280" s="149">
        <v>5952</v>
      </c>
      <c r="M280" s="63">
        <f t="shared" si="85"/>
        <v>5952</v>
      </c>
      <c r="N280" s="63">
        <f t="shared" si="130"/>
        <v>5237.76</v>
      </c>
      <c r="O280" s="69"/>
      <c r="P280" s="149">
        <v>0</v>
      </c>
      <c r="Q280" s="63">
        <f t="shared" si="138"/>
        <v>0</v>
      </c>
      <c r="R280" s="64">
        <f t="shared" si="131"/>
        <v>0</v>
      </c>
      <c r="S280" s="148">
        <v>15</v>
      </c>
      <c r="T280" s="151" t="s">
        <v>15</v>
      </c>
      <c r="U280" s="65">
        <f>SUMIF('Avoided Costs 2012-2020_EGD'!$A:$A,'2012 Actuals_Auditor'!T280&amp;'2012 Actuals_Auditor'!S280,'Avoided Costs 2012-2020_EGD'!$E:$E)*J280</f>
        <v>22592.191457727182</v>
      </c>
      <c r="V280" s="65">
        <f>SUMIF('Avoided Costs 2012-2020_EGD'!$A:$A,'2012 Actuals_Auditor'!T280&amp;'2012 Actuals_Auditor'!S280,'Avoided Costs 2012-2020_EGD'!$K:$K)*N280</f>
        <v>5393.7584368086946</v>
      </c>
      <c r="W280" s="65">
        <f>SUMIF('Avoided Costs 2012-2020_EGD'!$A:$A,'2012 Actuals_Auditor'!T280&amp;'2012 Actuals_Auditor'!S280,'Avoided Costs 2012-2020_EGD'!$M:$M)*R280</f>
        <v>0</v>
      </c>
      <c r="X280" s="65">
        <f t="shared" si="139"/>
        <v>27985.949894535876</v>
      </c>
      <c r="Y280" s="146">
        <v>9600</v>
      </c>
      <c r="Z280" s="66">
        <f t="shared" si="132"/>
        <v>8448</v>
      </c>
      <c r="AA280" s="66"/>
      <c r="AB280" s="66"/>
      <c r="AC280" s="66"/>
      <c r="AD280" s="66">
        <f t="shared" si="133"/>
        <v>8448</v>
      </c>
      <c r="AE280" s="66">
        <f t="shared" si="134"/>
        <v>19537.949894535876</v>
      </c>
      <c r="AF280" s="101">
        <f t="shared" si="135"/>
        <v>139463.4887264572</v>
      </c>
      <c r="AG280" s="101">
        <f t="shared" si="136"/>
        <v>158481.23718915589</v>
      </c>
    </row>
    <row r="281" spans="1:33" s="68" customFormat="1" x14ac:dyDescent="0.2">
      <c r="A281" s="147" t="s">
        <v>955</v>
      </c>
      <c r="B281" s="147"/>
      <c r="C281" s="147"/>
      <c r="D281" s="148">
        <v>1</v>
      </c>
      <c r="E281" s="149"/>
      <c r="F281" s="150">
        <v>0.12</v>
      </c>
      <c r="G281" s="150"/>
      <c r="H281" s="67">
        <v>8283</v>
      </c>
      <c r="I281" s="67">
        <f t="shared" si="137"/>
        <v>7917.6096241610321</v>
      </c>
      <c r="J281" s="67">
        <f t="shared" si="129"/>
        <v>6967.4964692617086</v>
      </c>
      <c r="K281" s="63"/>
      <c r="L281" s="149">
        <v>6166</v>
      </c>
      <c r="M281" s="63">
        <f t="shared" si="85"/>
        <v>6166</v>
      </c>
      <c r="N281" s="63">
        <f t="shared" si="130"/>
        <v>5426.08</v>
      </c>
      <c r="O281" s="69"/>
      <c r="P281" s="149">
        <v>0</v>
      </c>
      <c r="Q281" s="63">
        <f t="shared" si="138"/>
        <v>0</v>
      </c>
      <c r="R281" s="64">
        <f t="shared" si="131"/>
        <v>0</v>
      </c>
      <c r="S281" s="148">
        <v>15</v>
      </c>
      <c r="T281" s="151" t="s">
        <v>15</v>
      </c>
      <c r="U281" s="65">
        <f>SUMIF('Avoided Costs 2012-2020_EGD'!$A:$A,'2012 Actuals_Auditor'!T281&amp;'2012 Actuals_Auditor'!S281,'Avoided Costs 2012-2020_EGD'!$E:$E)*J281</f>
        <v>16930.346679123701</v>
      </c>
      <c r="V281" s="65">
        <f>SUMIF('Avoided Costs 2012-2020_EGD'!$A:$A,'2012 Actuals_Auditor'!T281&amp;'2012 Actuals_Auditor'!S281,'Avoided Costs 2012-2020_EGD'!$K:$K)*N281</f>
        <v>5587.6872515729847</v>
      </c>
      <c r="W281" s="65">
        <f>SUMIF('Avoided Costs 2012-2020_EGD'!$A:$A,'2012 Actuals_Auditor'!T281&amp;'2012 Actuals_Auditor'!S281,'Avoided Costs 2012-2020_EGD'!$M:$M)*R281</f>
        <v>0</v>
      </c>
      <c r="X281" s="65">
        <f t="shared" si="139"/>
        <v>22518.033930696685</v>
      </c>
      <c r="Y281" s="146">
        <v>9600</v>
      </c>
      <c r="Z281" s="66">
        <f t="shared" si="132"/>
        <v>8448</v>
      </c>
      <c r="AA281" s="66"/>
      <c r="AB281" s="66"/>
      <c r="AC281" s="66"/>
      <c r="AD281" s="66">
        <f t="shared" si="133"/>
        <v>8448</v>
      </c>
      <c r="AE281" s="66">
        <f t="shared" si="134"/>
        <v>14070.033930696685</v>
      </c>
      <c r="AF281" s="101">
        <f t="shared" si="135"/>
        <v>104512.44703892563</v>
      </c>
      <c r="AG281" s="101">
        <f t="shared" si="136"/>
        <v>118764.14436241548</v>
      </c>
    </row>
    <row r="282" spans="1:33" s="68" customFormat="1" x14ac:dyDescent="0.2">
      <c r="A282" s="147" t="s">
        <v>956</v>
      </c>
      <c r="B282" s="147"/>
      <c r="C282" s="147"/>
      <c r="D282" s="148">
        <v>1</v>
      </c>
      <c r="E282" s="149"/>
      <c r="F282" s="150">
        <v>0.12</v>
      </c>
      <c r="G282" s="150"/>
      <c r="H282" s="67">
        <v>3941</v>
      </c>
      <c r="I282" s="67">
        <f t="shared" si="137"/>
        <v>3767.1495265988924</v>
      </c>
      <c r="J282" s="67">
        <f t="shared" si="129"/>
        <v>3315.0915834070252</v>
      </c>
      <c r="K282" s="63"/>
      <c r="L282" s="149">
        <v>2873</v>
      </c>
      <c r="M282" s="63">
        <f t="shared" si="85"/>
        <v>2873</v>
      </c>
      <c r="N282" s="63">
        <f t="shared" si="130"/>
        <v>2528.2400000000002</v>
      </c>
      <c r="O282" s="69"/>
      <c r="P282" s="149">
        <v>0</v>
      </c>
      <c r="Q282" s="63">
        <f t="shared" si="138"/>
        <v>0</v>
      </c>
      <c r="R282" s="64">
        <f t="shared" si="131"/>
        <v>0</v>
      </c>
      <c r="S282" s="148">
        <v>15</v>
      </c>
      <c r="T282" s="151" t="s">
        <v>15</v>
      </c>
      <c r="U282" s="65">
        <f>SUMIF('Avoided Costs 2012-2020_EGD'!$A:$A,'2012 Actuals_Auditor'!T282&amp;'2012 Actuals_Auditor'!S282,'Avoided Costs 2012-2020_EGD'!$E:$E)*J282</f>
        <v>8055.3538889806214</v>
      </c>
      <c r="V282" s="65">
        <f>SUMIF('Avoided Costs 2012-2020_EGD'!$A:$A,'2012 Actuals_Auditor'!T282&amp;'2012 Actuals_Auditor'!S282,'Avoided Costs 2012-2020_EGD'!$K:$K)*N282</f>
        <v>2603.5396486813474</v>
      </c>
      <c r="W282" s="65">
        <f>SUMIF('Avoided Costs 2012-2020_EGD'!$A:$A,'2012 Actuals_Auditor'!T282&amp;'2012 Actuals_Auditor'!S282,'Avoided Costs 2012-2020_EGD'!$M:$M)*R282</f>
        <v>0</v>
      </c>
      <c r="X282" s="65">
        <f t="shared" si="139"/>
        <v>10658.893537661968</v>
      </c>
      <c r="Y282" s="146">
        <v>9600</v>
      </c>
      <c r="Z282" s="66">
        <f t="shared" si="132"/>
        <v>8448</v>
      </c>
      <c r="AA282" s="66"/>
      <c r="AB282" s="66"/>
      <c r="AC282" s="66"/>
      <c r="AD282" s="66">
        <f t="shared" si="133"/>
        <v>8448</v>
      </c>
      <c r="AE282" s="66">
        <f t="shared" si="134"/>
        <v>2210.8935376619684</v>
      </c>
      <c r="AF282" s="101">
        <f t="shared" si="135"/>
        <v>49726.373751105377</v>
      </c>
      <c r="AG282" s="101">
        <f t="shared" si="136"/>
        <v>56507.242898983386</v>
      </c>
    </row>
    <row r="283" spans="1:33" s="68" customFormat="1" x14ac:dyDescent="0.2">
      <c r="A283" s="147" t="s">
        <v>957</v>
      </c>
      <c r="B283" s="147"/>
      <c r="C283" s="147"/>
      <c r="D283" s="148">
        <v>1</v>
      </c>
      <c r="E283" s="149"/>
      <c r="F283" s="150">
        <v>0.12</v>
      </c>
      <c r="G283" s="150"/>
      <c r="H283" s="67">
        <v>9741</v>
      </c>
      <c r="I283" s="67">
        <f t="shared" si="137"/>
        <v>9311.2924482618146</v>
      </c>
      <c r="J283" s="67">
        <f t="shared" si="129"/>
        <v>8193.9373544703976</v>
      </c>
      <c r="K283" s="63"/>
      <c r="L283" s="149">
        <v>6882</v>
      </c>
      <c r="M283" s="63">
        <f t="shared" si="85"/>
        <v>6882</v>
      </c>
      <c r="N283" s="63">
        <f t="shared" si="130"/>
        <v>6056.16</v>
      </c>
      <c r="O283" s="69"/>
      <c r="P283" s="149">
        <v>0</v>
      </c>
      <c r="Q283" s="63">
        <f t="shared" si="138"/>
        <v>0</v>
      </c>
      <c r="R283" s="64">
        <f t="shared" si="131"/>
        <v>0</v>
      </c>
      <c r="S283" s="148">
        <v>15</v>
      </c>
      <c r="T283" s="151" t="s">
        <v>15</v>
      </c>
      <c r="U283" s="65">
        <f>SUMIF('Avoided Costs 2012-2020_EGD'!$A:$A,'2012 Actuals_Auditor'!T283&amp;'2012 Actuals_Auditor'!S283,'Avoided Costs 2012-2020_EGD'!$E:$E)*J283</f>
        <v>19910.480140208132</v>
      </c>
      <c r="V283" s="65">
        <f>SUMIF('Avoided Costs 2012-2020_EGD'!$A:$A,'2012 Actuals_Auditor'!T283&amp;'2012 Actuals_Auditor'!S283,'Avoided Costs 2012-2020_EGD'!$K:$K)*N283</f>
        <v>6236.5331925600522</v>
      </c>
      <c r="W283" s="65">
        <f>SUMIF('Avoided Costs 2012-2020_EGD'!$A:$A,'2012 Actuals_Auditor'!T283&amp;'2012 Actuals_Auditor'!S283,'Avoided Costs 2012-2020_EGD'!$M:$M)*R283</f>
        <v>0</v>
      </c>
      <c r="X283" s="65">
        <f t="shared" si="139"/>
        <v>26147.013332768183</v>
      </c>
      <c r="Y283" s="146">
        <v>9600</v>
      </c>
      <c r="Z283" s="66">
        <f t="shared" si="132"/>
        <v>8448</v>
      </c>
      <c r="AA283" s="66"/>
      <c r="AB283" s="66"/>
      <c r="AC283" s="66"/>
      <c r="AD283" s="66">
        <f t="shared" si="133"/>
        <v>8448</v>
      </c>
      <c r="AE283" s="66">
        <f t="shared" si="134"/>
        <v>17699.013332768183</v>
      </c>
      <c r="AF283" s="101">
        <f t="shared" si="135"/>
        <v>122909.06031705596</v>
      </c>
      <c r="AG283" s="101">
        <f t="shared" si="136"/>
        <v>139669.38672392722</v>
      </c>
    </row>
    <row r="284" spans="1:33" s="68" customFormat="1" x14ac:dyDescent="0.2">
      <c r="A284" s="147" t="s">
        <v>958</v>
      </c>
      <c r="B284" s="147"/>
      <c r="C284" s="147"/>
      <c r="D284" s="148">
        <v>1</v>
      </c>
      <c r="E284" s="149"/>
      <c r="F284" s="150">
        <v>0.12</v>
      </c>
      <c r="G284" s="150"/>
      <c r="H284" s="67">
        <v>9387</v>
      </c>
      <c r="I284" s="67">
        <f t="shared" si="137"/>
        <v>8972.9085526982508</v>
      </c>
      <c r="J284" s="67">
        <f t="shared" si="129"/>
        <v>7896.1595263744612</v>
      </c>
      <c r="K284" s="63"/>
      <c r="L284" s="149">
        <v>6575</v>
      </c>
      <c r="M284" s="63">
        <f t="shared" si="85"/>
        <v>6575</v>
      </c>
      <c r="N284" s="63">
        <f t="shared" si="130"/>
        <v>5786</v>
      </c>
      <c r="O284" s="69"/>
      <c r="P284" s="149">
        <v>0</v>
      </c>
      <c r="Q284" s="63">
        <f t="shared" si="138"/>
        <v>0</v>
      </c>
      <c r="R284" s="64">
        <f t="shared" si="131"/>
        <v>0</v>
      </c>
      <c r="S284" s="148">
        <v>15</v>
      </c>
      <c r="T284" s="151" t="s">
        <v>15</v>
      </c>
      <c r="U284" s="65">
        <f>SUMIF('Avoided Costs 2012-2020_EGD'!$A:$A,'2012 Actuals_Auditor'!T284&amp;'2012 Actuals_Auditor'!S284,'Avoided Costs 2012-2020_EGD'!$E:$E)*J284</f>
        <v>19186.908641426315</v>
      </c>
      <c r="V284" s="65">
        <f>SUMIF('Avoided Costs 2012-2020_EGD'!$A:$A,'2012 Actuals_Auditor'!T284&amp;'2012 Actuals_Auditor'!S284,'Avoided Costs 2012-2020_EGD'!$K:$K)*N284</f>
        <v>5958.3269022206259</v>
      </c>
      <c r="W284" s="65">
        <f>SUMIF('Avoided Costs 2012-2020_EGD'!$A:$A,'2012 Actuals_Auditor'!T284&amp;'2012 Actuals_Auditor'!S284,'Avoided Costs 2012-2020_EGD'!$M:$M)*R284</f>
        <v>0</v>
      </c>
      <c r="X284" s="65">
        <f t="shared" si="139"/>
        <v>25145.235543646941</v>
      </c>
      <c r="Y284" s="146">
        <v>9600</v>
      </c>
      <c r="Z284" s="66">
        <f t="shared" si="132"/>
        <v>8448</v>
      </c>
      <c r="AA284" s="66"/>
      <c r="AB284" s="66"/>
      <c r="AC284" s="66"/>
      <c r="AD284" s="66">
        <f t="shared" si="133"/>
        <v>8448</v>
      </c>
      <c r="AE284" s="66">
        <f t="shared" si="134"/>
        <v>16697.235543646941</v>
      </c>
      <c r="AF284" s="101">
        <f t="shared" si="135"/>
        <v>118442.39289561691</v>
      </c>
      <c r="AG284" s="101">
        <f t="shared" si="136"/>
        <v>134593.62829047377</v>
      </c>
    </row>
    <row r="285" spans="1:33" s="68" customFormat="1" x14ac:dyDescent="0.2">
      <c r="A285" s="147" t="s">
        <v>959</v>
      </c>
      <c r="B285" s="147"/>
      <c r="C285" s="147"/>
      <c r="D285" s="148">
        <v>1</v>
      </c>
      <c r="E285" s="149"/>
      <c r="F285" s="150">
        <v>0.12</v>
      </c>
      <c r="G285" s="150"/>
      <c r="H285" s="67">
        <v>8312</v>
      </c>
      <c r="I285" s="67">
        <f t="shared" si="137"/>
        <v>7945.3303387693459</v>
      </c>
      <c r="J285" s="67">
        <f t="shared" si="129"/>
        <v>6991.8906981170248</v>
      </c>
      <c r="K285" s="63"/>
      <c r="L285" s="149">
        <v>4887</v>
      </c>
      <c r="M285" s="63">
        <f t="shared" si="85"/>
        <v>4887</v>
      </c>
      <c r="N285" s="63">
        <f t="shared" si="130"/>
        <v>4300.5600000000004</v>
      </c>
      <c r="O285" s="69"/>
      <c r="P285" s="149">
        <v>0</v>
      </c>
      <c r="Q285" s="63">
        <f t="shared" si="138"/>
        <v>0</v>
      </c>
      <c r="R285" s="64">
        <f t="shared" si="131"/>
        <v>0</v>
      </c>
      <c r="S285" s="148">
        <v>15</v>
      </c>
      <c r="T285" s="151" t="s">
        <v>15</v>
      </c>
      <c r="U285" s="65">
        <f>SUMIF('Avoided Costs 2012-2020_EGD'!$A:$A,'2012 Actuals_Auditor'!T285&amp;'2012 Actuals_Auditor'!S285,'Avoided Costs 2012-2020_EGD'!$E:$E)*J285</f>
        <v>16989.622310379837</v>
      </c>
      <c r="V285" s="65">
        <f>SUMIF('Avoided Costs 2012-2020_EGD'!$A:$A,'2012 Actuals_Auditor'!T285&amp;'2012 Actuals_Auditor'!S285,'Avoided Costs 2012-2020_EGD'!$K:$K)*N285</f>
        <v>4428.6454100611709</v>
      </c>
      <c r="W285" s="65">
        <f>SUMIF('Avoided Costs 2012-2020_EGD'!$A:$A,'2012 Actuals_Auditor'!T285&amp;'2012 Actuals_Auditor'!S285,'Avoided Costs 2012-2020_EGD'!$M:$M)*R285</f>
        <v>0</v>
      </c>
      <c r="X285" s="65">
        <f t="shared" si="139"/>
        <v>21418.267720441007</v>
      </c>
      <c r="Y285" s="146">
        <v>9600</v>
      </c>
      <c r="Z285" s="66">
        <f t="shared" si="132"/>
        <v>8448</v>
      </c>
      <c r="AA285" s="66"/>
      <c r="AB285" s="66"/>
      <c r="AC285" s="66"/>
      <c r="AD285" s="66">
        <f t="shared" si="133"/>
        <v>8448</v>
      </c>
      <c r="AE285" s="66">
        <f t="shared" si="134"/>
        <v>12970.267720441007</v>
      </c>
      <c r="AF285" s="101">
        <f t="shared" si="135"/>
        <v>104878.36047175537</v>
      </c>
      <c r="AG285" s="101">
        <f t="shared" si="136"/>
        <v>119179.95508154019</v>
      </c>
    </row>
    <row r="286" spans="1:33" s="68" customFormat="1" x14ac:dyDescent="0.2">
      <c r="A286" s="147" t="s">
        <v>960</v>
      </c>
      <c r="B286" s="147"/>
      <c r="C286" s="147"/>
      <c r="D286" s="148">
        <v>1</v>
      </c>
      <c r="E286" s="149"/>
      <c r="F286" s="150">
        <v>0.12</v>
      </c>
      <c r="G286" s="150"/>
      <c r="H286" s="67">
        <v>4553</v>
      </c>
      <c r="I286" s="67">
        <f t="shared" si="137"/>
        <v>4352.1521935053943</v>
      </c>
      <c r="J286" s="67">
        <f t="shared" si="129"/>
        <v>3829.8939302847471</v>
      </c>
      <c r="K286" s="63"/>
      <c r="L286" s="149">
        <v>3390</v>
      </c>
      <c r="M286" s="63">
        <f t="shared" si="85"/>
        <v>3390</v>
      </c>
      <c r="N286" s="63">
        <f t="shared" si="130"/>
        <v>2983.2</v>
      </c>
      <c r="O286" s="69"/>
      <c r="P286" s="149">
        <v>0</v>
      </c>
      <c r="Q286" s="63">
        <f t="shared" si="138"/>
        <v>0</v>
      </c>
      <c r="R286" s="64">
        <f t="shared" si="131"/>
        <v>0</v>
      </c>
      <c r="S286" s="148">
        <v>15</v>
      </c>
      <c r="T286" s="151" t="s">
        <v>15</v>
      </c>
      <c r="U286" s="65">
        <f>SUMIF('Avoided Costs 2012-2020_EGD'!$A:$A,'2012 Actuals_Auditor'!T286&amp;'2012 Actuals_Auditor'!S286,'Avoided Costs 2012-2020_EGD'!$E:$E)*J286</f>
        <v>9306.2741072135941</v>
      </c>
      <c r="V286" s="65">
        <f>SUMIF('Avoided Costs 2012-2020_EGD'!$A:$A,'2012 Actuals_Auditor'!T286&amp;'2012 Actuals_Auditor'!S286,'Avoided Costs 2012-2020_EGD'!$K:$K)*N286</f>
        <v>3072.0499161259195</v>
      </c>
      <c r="W286" s="65">
        <f>SUMIF('Avoided Costs 2012-2020_EGD'!$A:$A,'2012 Actuals_Auditor'!T286&amp;'2012 Actuals_Auditor'!S286,'Avoided Costs 2012-2020_EGD'!$M:$M)*R286</f>
        <v>0</v>
      </c>
      <c r="X286" s="65">
        <f t="shared" si="139"/>
        <v>12378.324023339514</v>
      </c>
      <c r="Y286" s="146">
        <v>9600</v>
      </c>
      <c r="Z286" s="66">
        <f t="shared" si="132"/>
        <v>8448</v>
      </c>
      <c r="AA286" s="66"/>
      <c r="AB286" s="66"/>
      <c r="AC286" s="66"/>
      <c r="AD286" s="66">
        <f t="shared" si="133"/>
        <v>8448</v>
      </c>
      <c r="AE286" s="66">
        <f t="shared" si="134"/>
        <v>3930.3240233395136</v>
      </c>
      <c r="AF286" s="101">
        <f t="shared" si="135"/>
        <v>57448.408954271203</v>
      </c>
      <c r="AG286" s="101">
        <f t="shared" si="136"/>
        <v>65282.282902580911</v>
      </c>
    </row>
    <row r="287" spans="1:33" s="68" customFormat="1" x14ac:dyDescent="0.2">
      <c r="A287" s="147" t="s">
        <v>961</v>
      </c>
      <c r="B287" s="147"/>
      <c r="C287" s="147"/>
      <c r="D287" s="148">
        <v>1</v>
      </c>
      <c r="E287" s="149"/>
      <c r="F287" s="150">
        <v>0.12</v>
      </c>
      <c r="G287" s="150"/>
      <c r="H287" s="67">
        <v>10676</v>
      </c>
      <c r="I287" s="67">
        <f t="shared" si="137"/>
        <v>10205.046522702303</v>
      </c>
      <c r="J287" s="67">
        <f t="shared" si="129"/>
        <v>8980.440939978027</v>
      </c>
      <c r="K287" s="63"/>
      <c r="L287" s="149">
        <v>8443</v>
      </c>
      <c r="M287" s="63">
        <f t="shared" si="85"/>
        <v>8443</v>
      </c>
      <c r="N287" s="63">
        <f t="shared" si="130"/>
        <v>7429.84</v>
      </c>
      <c r="O287" s="69"/>
      <c r="P287" s="149">
        <v>0</v>
      </c>
      <c r="Q287" s="63">
        <f t="shared" si="138"/>
        <v>0</v>
      </c>
      <c r="R287" s="64">
        <f t="shared" si="131"/>
        <v>0</v>
      </c>
      <c r="S287" s="148">
        <v>15</v>
      </c>
      <c r="T287" s="151" t="s">
        <v>15</v>
      </c>
      <c r="U287" s="65">
        <f>SUMIF('Avoided Costs 2012-2020_EGD'!$A:$A,'2012 Actuals_Auditor'!T287&amp;'2012 Actuals_Auditor'!S287,'Avoided Costs 2012-2020_EGD'!$E:$E)*J287</f>
        <v>21821.608251397392</v>
      </c>
      <c r="V287" s="65">
        <f>SUMIF('Avoided Costs 2012-2020_EGD'!$A:$A,'2012 Actuals_Auditor'!T287&amp;'2012 Actuals_Auditor'!S287,'Avoided Costs 2012-2020_EGD'!$K:$K)*N287</f>
        <v>7651.1260890416343</v>
      </c>
      <c r="W287" s="65">
        <f>SUMIF('Avoided Costs 2012-2020_EGD'!$A:$A,'2012 Actuals_Auditor'!T287&amp;'2012 Actuals_Auditor'!S287,'Avoided Costs 2012-2020_EGD'!$M:$M)*R287</f>
        <v>0</v>
      </c>
      <c r="X287" s="65">
        <f t="shared" si="139"/>
        <v>29472.734340439027</v>
      </c>
      <c r="Y287" s="146">
        <v>6100</v>
      </c>
      <c r="Z287" s="66">
        <f t="shared" si="132"/>
        <v>5368</v>
      </c>
      <c r="AA287" s="66"/>
      <c r="AB287" s="66"/>
      <c r="AC287" s="66"/>
      <c r="AD287" s="66">
        <f t="shared" si="133"/>
        <v>5368</v>
      </c>
      <c r="AE287" s="66">
        <f t="shared" si="134"/>
        <v>24104.734340439027</v>
      </c>
      <c r="AF287" s="101">
        <f t="shared" si="135"/>
        <v>134706.61409967041</v>
      </c>
      <c r="AG287" s="101">
        <f t="shared" si="136"/>
        <v>153075.69784053456</v>
      </c>
    </row>
    <row r="288" spans="1:33" s="68" customFormat="1" x14ac:dyDescent="0.2">
      <c r="A288" s="147" t="s">
        <v>962</v>
      </c>
      <c r="B288" s="147"/>
      <c r="C288" s="147"/>
      <c r="D288" s="148">
        <v>1</v>
      </c>
      <c r="E288" s="149"/>
      <c r="F288" s="150">
        <v>0.12</v>
      </c>
      <c r="G288" s="150"/>
      <c r="H288" s="67">
        <v>9234</v>
      </c>
      <c r="I288" s="67">
        <f t="shared" si="137"/>
        <v>8826.6578859716246</v>
      </c>
      <c r="J288" s="67">
        <f t="shared" si="129"/>
        <v>7767.45893965503</v>
      </c>
      <c r="K288" s="63"/>
      <c r="L288" s="149">
        <v>6426</v>
      </c>
      <c r="M288" s="63">
        <f t="shared" si="85"/>
        <v>6426</v>
      </c>
      <c r="N288" s="63">
        <f t="shared" si="130"/>
        <v>5654.88</v>
      </c>
      <c r="O288" s="69"/>
      <c r="P288" s="149">
        <v>0</v>
      </c>
      <c r="Q288" s="63">
        <f t="shared" si="138"/>
        <v>0</v>
      </c>
      <c r="R288" s="64">
        <f t="shared" si="131"/>
        <v>0</v>
      </c>
      <c r="S288" s="148">
        <v>15</v>
      </c>
      <c r="T288" s="151" t="s">
        <v>15</v>
      </c>
      <c r="U288" s="65">
        <f>SUMIF('Avoided Costs 2012-2020_EGD'!$A:$A,'2012 Actuals_Auditor'!T288&amp;'2012 Actuals_Auditor'!S288,'Avoided Costs 2012-2020_EGD'!$E:$E)*J288</f>
        <v>18874.178586868071</v>
      </c>
      <c r="V288" s="65">
        <f>SUMIF('Avoided Costs 2012-2020_EGD'!$A:$A,'2012 Actuals_Auditor'!T288&amp;'2012 Actuals_Auditor'!S288,'Avoided Costs 2012-2020_EGD'!$K:$K)*N288</f>
        <v>5823.3016994174513</v>
      </c>
      <c r="W288" s="65">
        <f>SUMIF('Avoided Costs 2012-2020_EGD'!$A:$A,'2012 Actuals_Auditor'!T288&amp;'2012 Actuals_Auditor'!S288,'Avoided Costs 2012-2020_EGD'!$M:$M)*R288</f>
        <v>0</v>
      </c>
      <c r="X288" s="65">
        <f t="shared" si="139"/>
        <v>24697.480286285521</v>
      </c>
      <c r="Y288" s="146">
        <v>6100</v>
      </c>
      <c r="Z288" s="66">
        <f t="shared" si="132"/>
        <v>5368</v>
      </c>
      <c r="AA288" s="66"/>
      <c r="AB288" s="66"/>
      <c r="AC288" s="66"/>
      <c r="AD288" s="66">
        <f t="shared" si="133"/>
        <v>5368</v>
      </c>
      <c r="AE288" s="66">
        <f t="shared" si="134"/>
        <v>19329.480286285521</v>
      </c>
      <c r="AF288" s="101">
        <f t="shared" si="135"/>
        <v>116511.88409482545</v>
      </c>
      <c r="AG288" s="101">
        <f t="shared" si="136"/>
        <v>132399.86828957437</v>
      </c>
    </row>
    <row r="289" spans="1:33" s="68" customFormat="1" x14ac:dyDescent="0.2">
      <c r="A289" s="147" t="s">
        <v>963</v>
      </c>
      <c r="B289" s="147"/>
      <c r="C289" s="147"/>
      <c r="D289" s="148">
        <v>1</v>
      </c>
      <c r="E289" s="149"/>
      <c r="F289" s="150">
        <v>0.12</v>
      </c>
      <c r="G289" s="150"/>
      <c r="H289" s="67">
        <v>3450</v>
      </c>
      <c r="I289" s="67">
        <f t="shared" si="137"/>
        <v>3297.8091516788072</v>
      </c>
      <c r="J289" s="67">
        <f t="shared" si="129"/>
        <v>2902.0720534773504</v>
      </c>
      <c r="K289" s="63"/>
      <c r="L289" s="149">
        <v>362</v>
      </c>
      <c r="M289" s="63">
        <f t="shared" si="85"/>
        <v>362</v>
      </c>
      <c r="N289" s="63">
        <f t="shared" si="130"/>
        <v>318.56</v>
      </c>
      <c r="O289" s="69"/>
      <c r="P289" s="149">
        <v>0</v>
      </c>
      <c r="Q289" s="63">
        <f t="shared" si="138"/>
        <v>0</v>
      </c>
      <c r="R289" s="64">
        <f t="shared" si="131"/>
        <v>0</v>
      </c>
      <c r="S289" s="148">
        <v>15</v>
      </c>
      <c r="T289" s="151" t="s">
        <v>15</v>
      </c>
      <c r="U289" s="65">
        <f>SUMIF('Avoided Costs 2012-2020_EGD'!$A:$A,'2012 Actuals_Auditor'!T289&amp;'2012 Actuals_Auditor'!S289,'Avoided Costs 2012-2020_EGD'!$E:$E)*J289</f>
        <v>7051.7561321956728</v>
      </c>
      <c r="V289" s="65">
        <f>SUMIF('Avoided Costs 2012-2020_EGD'!$A:$A,'2012 Actuals_Auditor'!T289&amp;'2012 Actuals_Auditor'!S289,'Avoided Costs 2012-2020_EGD'!$K:$K)*N289</f>
        <v>328.04780815267929</v>
      </c>
      <c r="W289" s="65">
        <f>SUMIF('Avoided Costs 2012-2020_EGD'!$A:$A,'2012 Actuals_Auditor'!T289&amp;'2012 Actuals_Auditor'!S289,'Avoided Costs 2012-2020_EGD'!$M:$M)*R289</f>
        <v>0</v>
      </c>
      <c r="X289" s="65">
        <f t="shared" si="139"/>
        <v>7379.8039403483517</v>
      </c>
      <c r="Y289" s="146">
        <v>9795</v>
      </c>
      <c r="Z289" s="66">
        <f t="shared" si="132"/>
        <v>8619.6</v>
      </c>
      <c r="AA289" s="66"/>
      <c r="AB289" s="66"/>
      <c r="AC289" s="66"/>
      <c r="AD289" s="66">
        <f t="shared" si="133"/>
        <v>8619.6</v>
      </c>
      <c r="AE289" s="66">
        <f t="shared" si="134"/>
        <v>-1239.7960596516486</v>
      </c>
      <c r="AF289" s="101">
        <f t="shared" si="135"/>
        <v>43531.080802160257</v>
      </c>
      <c r="AG289" s="101">
        <f t="shared" si="136"/>
        <v>49467.137275182111</v>
      </c>
    </row>
    <row r="290" spans="1:33" s="68" customFormat="1" x14ac:dyDescent="0.2">
      <c r="A290" s="147" t="s">
        <v>964</v>
      </c>
      <c r="B290" s="147"/>
      <c r="C290" s="147"/>
      <c r="D290" s="148">
        <v>1</v>
      </c>
      <c r="E290" s="149"/>
      <c r="F290" s="150">
        <v>0.12</v>
      </c>
      <c r="G290" s="150"/>
      <c r="H290" s="67">
        <v>29720</v>
      </c>
      <c r="I290" s="67">
        <f t="shared" si="137"/>
        <v>28408.953039969318</v>
      </c>
      <c r="J290" s="67">
        <f t="shared" si="129"/>
        <v>24999.878675173</v>
      </c>
      <c r="K290" s="63"/>
      <c r="L290" s="149">
        <v>6556</v>
      </c>
      <c r="M290" s="63">
        <f t="shared" si="85"/>
        <v>6556</v>
      </c>
      <c r="N290" s="63">
        <f t="shared" si="130"/>
        <v>5769.28</v>
      </c>
      <c r="O290" s="69"/>
      <c r="P290" s="149">
        <v>0</v>
      </c>
      <c r="Q290" s="63">
        <f t="shared" si="138"/>
        <v>0</v>
      </c>
      <c r="R290" s="64">
        <f t="shared" si="131"/>
        <v>0</v>
      </c>
      <c r="S290" s="148">
        <v>15</v>
      </c>
      <c r="T290" s="151" t="s">
        <v>15</v>
      </c>
      <c r="U290" s="65">
        <f>SUMIF('Avoided Costs 2012-2020_EGD'!$A:$A,'2012 Actuals_Auditor'!T290&amp;'2012 Actuals_Auditor'!S290,'Avoided Costs 2012-2020_EGD'!$E:$E)*J290</f>
        <v>60747.302101117508</v>
      </c>
      <c r="V290" s="65">
        <f>SUMIF('Avoided Costs 2012-2020_EGD'!$A:$A,'2012 Actuals_Auditor'!T290&amp;'2012 Actuals_Auditor'!S290,'Avoided Costs 2012-2020_EGD'!$K:$K)*N290</f>
        <v>5941.1089233396833</v>
      </c>
      <c r="W290" s="65">
        <f>SUMIF('Avoided Costs 2012-2020_EGD'!$A:$A,'2012 Actuals_Auditor'!T290&amp;'2012 Actuals_Auditor'!S290,'Avoided Costs 2012-2020_EGD'!$M:$M)*R290</f>
        <v>0</v>
      </c>
      <c r="X290" s="65">
        <f t="shared" si="139"/>
        <v>66688.411024457193</v>
      </c>
      <c r="Y290" s="146">
        <v>9795</v>
      </c>
      <c r="Z290" s="66">
        <f t="shared" si="132"/>
        <v>8619.6</v>
      </c>
      <c r="AA290" s="66"/>
      <c r="AB290" s="66"/>
      <c r="AC290" s="66"/>
      <c r="AD290" s="66">
        <f t="shared" si="133"/>
        <v>8619.6</v>
      </c>
      <c r="AE290" s="66">
        <f t="shared" si="134"/>
        <v>58068.811024457194</v>
      </c>
      <c r="AF290" s="101">
        <f t="shared" si="135"/>
        <v>374998.18012759503</v>
      </c>
      <c r="AG290" s="101">
        <f t="shared" si="136"/>
        <v>426134.29559953976</v>
      </c>
    </row>
    <row r="291" spans="1:33" s="68" customFormat="1" x14ac:dyDescent="0.2">
      <c r="A291" s="147" t="s">
        <v>965</v>
      </c>
      <c r="B291" s="147"/>
      <c r="C291" s="147"/>
      <c r="D291" s="148">
        <v>1</v>
      </c>
      <c r="E291" s="149"/>
      <c r="F291" s="150">
        <v>0.12</v>
      </c>
      <c r="G291" s="150"/>
      <c r="H291" s="67">
        <v>9764</v>
      </c>
      <c r="I291" s="67">
        <f t="shared" si="137"/>
        <v>9333.2778426063396</v>
      </c>
      <c r="J291" s="67">
        <f t="shared" si="129"/>
        <v>8213.2845014935792</v>
      </c>
      <c r="K291" s="63"/>
      <c r="L291" s="149">
        <v>7229</v>
      </c>
      <c r="M291" s="63">
        <f t="shared" si="85"/>
        <v>7229</v>
      </c>
      <c r="N291" s="63">
        <f t="shared" si="130"/>
        <v>6361.52</v>
      </c>
      <c r="O291" s="69"/>
      <c r="P291" s="149">
        <v>0</v>
      </c>
      <c r="Q291" s="63">
        <f t="shared" si="138"/>
        <v>0</v>
      </c>
      <c r="R291" s="64">
        <f t="shared" si="131"/>
        <v>0</v>
      </c>
      <c r="S291" s="148">
        <v>15</v>
      </c>
      <c r="T291" s="151" t="s">
        <v>15</v>
      </c>
      <c r="U291" s="65">
        <f>SUMIF('Avoided Costs 2012-2020_EGD'!$A:$A,'2012 Actuals_Auditor'!T291&amp;'2012 Actuals_Auditor'!S291,'Avoided Costs 2012-2020_EGD'!$E:$E)*J291</f>
        <v>19957.4918477561</v>
      </c>
      <c r="V291" s="65">
        <f>SUMIF('Avoided Costs 2012-2020_EGD'!$A:$A,'2012 Actuals_Auditor'!T291&amp;'2012 Actuals_Auditor'!S291,'Avoided Costs 2012-2020_EGD'!$K:$K)*N291</f>
        <v>6550.987859490936</v>
      </c>
      <c r="W291" s="65">
        <f>SUMIF('Avoided Costs 2012-2020_EGD'!$A:$A,'2012 Actuals_Auditor'!T291&amp;'2012 Actuals_Auditor'!S291,'Avoided Costs 2012-2020_EGD'!$M:$M)*R291</f>
        <v>0</v>
      </c>
      <c r="X291" s="65">
        <f t="shared" si="139"/>
        <v>26508.479707247036</v>
      </c>
      <c r="Y291" s="146">
        <v>9600</v>
      </c>
      <c r="Z291" s="66">
        <f t="shared" si="132"/>
        <v>8448</v>
      </c>
      <c r="AA291" s="66"/>
      <c r="AB291" s="66"/>
      <c r="AC291" s="66"/>
      <c r="AD291" s="66">
        <f t="shared" si="133"/>
        <v>8448</v>
      </c>
      <c r="AE291" s="66">
        <f t="shared" si="134"/>
        <v>18060.479707247036</v>
      </c>
      <c r="AF291" s="101">
        <f t="shared" si="135"/>
        <v>123199.26752240369</v>
      </c>
      <c r="AG291" s="101">
        <f t="shared" si="136"/>
        <v>139999.1676390951</v>
      </c>
    </row>
    <row r="292" spans="1:33" s="68" customFormat="1" x14ac:dyDescent="0.2">
      <c r="A292" s="147" t="s">
        <v>966</v>
      </c>
      <c r="B292" s="147"/>
      <c r="C292" s="147"/>
      <c r="D292" s="148">
        <v>1</v>
      </c>
      <c r="E292" s="149"/>
      <c r="F292" s="150">
        <v>0.12</v>
      </c>
      <c r="G292" s="150"/>
      <c r="H292" s="67">
        <v>8023</v>
      </c>
      <c r="I292" s="67">
        <f t="shared" si="137"/>
        <v>7669.0790793968317</v>
      </c>
      <c r="J292" s="67">
        <f t="shared" si="129"/>
        <v>6748.7895898692123</v>
      </c>
      <c r="K292" s="63"/>
      <c r="L292" s="149">
        <v>5972</v>
      </c>
      <c r="M292" s="63">
        <f t="shared" si="85"/>
        <v>5972</v>
      </c>
      <c r="N292" s="63">
        <f t="shared" si="130"/>
        <v>5255.36</v>
      </c>
      <c r="O292" s="69"/>
      <c r="P292" s="149">
        <v>0</v>
      </c>
      <c r="Q292" s="63">
        <f t="shared" si="138"/>
        <v>0</v>
      </c>
      <c r="R292" s="64">
        <f t="shared" si="131"/>
        <v>0</v>
      </c>
      <c r="S292" s="148">
        <v>15</v>
      </c>
      <c r="T292" s="151" t="s">
        <v>15</v>
      </c>
      <c r="U292" s="65">
        <f>SUMIF('Avoided Costs 2012-2020_EGD'!$A:$A,'2012 Actuals_Auditor'!T292&amp;'2012 Actuals_Auditor'!S292,'Avoided Costs 2012-2020_EGD'!$E:$E)*J292</f>
        <v>16398.909985103153</v>
      </c>
      <c r="V292" s="65">
        <f>SUMIF('Avoided Costs 2012-2020_EGD'!$A:$A,'2012 Actuals_Auditor'!T292&amp;'2012 Actuals_Auditor'!S292,'Avoided Costs 2012-2020_EGD'!$K:$K)*N292</f>
        <v>5411.882625104422</v>
      </c>
      <c r="W292" s="65">
        <f>SUMIF('Avoided Costs 2012-2020_EGD'!$A:$A,'2012 Actuals_Auditor'!T292&amp;'2012 Actuals_Auditor'!S292,'Avoided Costs 2012-2020_EGD'!$M:$M)*R292</f>
        <v>0</v>
      </c>
      <c r="X292" s="65">
        <f t="shared" si="139"/>
        <v>21810.792610207576</v>
      </c>
      <c r="Y292" s="146">
        <v>9600</v>
      </c>
      <c r="Z292" s="66">
        <f t="shared" si="132"/>
        <v>8448</v>
      </c>
      <c r="AA292" s="66"/>
      <c r="AB292" s="66"/>
      <c r="AC292" s="66"/>
      <c r="AD292" s="66">
        <f t="shared" si="133"/>
        <v>8448</v>
      </c>
      <c r="AE292" s="66">
        <f t="shared" si="134"/>
        <v>13362.792610207576</v>
      </c>
      <c r="AF292" s="101">
        <f t="shared" si="135"/>
        <v>101231.84384803819</v>
      </c>
      <c r="AG292" s="101">
        <f t="shared" si="136"/>
        <v>115036.18619095247</v>
      </c>
    </row>
    <row r="293" spans="1:33" s="68" customFormat="1" x14ac:dyDescent="0.2">
      <c r="A293" s="147" t="s">
        <v>967</v>
      </c>
      <c r="B293" s="147"/>
      <c r="C293" s="147"/>
      <c r="D293" s="148">
        <v>1</v>
      </c>
      <c r="E293" s="149"/>
      <c r="F293" s="150">
        <v>0.12</v>
      </c>
      <c r="G293" s="150"/>
      <c r="H293" s="67">
        <v>10703</v>
      </c>
      <c r="I293" s="67">
        <f t="shared" si="137"/>
        <v>10230.855463889355</v>
      </c>
      <c r="J293" s="67">
        <f t="shared" si="129"/>
        <v>9003.1528082226323</v>
      </c>
      <c r="K293" s="63"/>
      <c r="L293" s="149">
        <v>5894</v>
      </c>
      <c r="M293" s="63">
        <f t="shared" si="85"/>
        <v>5894</v>
      </c>
      <c r="N293" s="63">
        <f t="shared" si="130"/>
        <v>5186.72</v>
      </c>
      <c r="O293" s="69"/>
      <c r="P293" s="149">
        <v>0</v>
      </c>
      <c r="Q293" s="63">
        <f t="shared" si="138"/>
        <v>0</v>
      </c>
      <c r="R293" s="64">
        <f t="shared" si="131"/>
        <v>0</v>
      </c>
      <c r="S293" s="148">
        <v>15</v>
      </c>
      <c r="T293" s="151" t="s">
        <v>15</v>
      </c>
      <c r="U293" s="65">
        <f>SUMIF('Avoided Costs 2012-2020_EGD'!$A:$A,'2012 Actuals_Auditor'!T293&amp;'2012 Actuals_Auditor'!S293,'Avoided Costs 2012-2020_EGD'!$E:$E)*J293</f>
        <v>21876.795908084143</v>
      </c>
      <c r="V293" s="65">
        <f>SUMIF('Avoided Costs 2012-2020_EGD'!$A:$A,'2012 Actuals_Auditor'!T293&amp;'2012 Actuals_Auditor'!S293,'Avoided Costs 2012-2020_EGD'!$K:$K)*N293</f>
        <v>5341.1982907510828</v>
      </c>
      <c r="W293" s="65">
        <f>SUMIF('Avoided Costs 2012-2020_EGD'!$A:$A,'2012 Actuals_Auditor'!T293&amp;'2012 Actuals_Auditor'!S293,'Avoided Costs 2012-2020_EGD'!$M:$M)*R293</f>
        <v>0</v>
      </c>
      <c r="X293" s="65">
        <f t="shared" ref="X293:X308" si="140">SUM(U293:W293)</f>
        <v>27217.994198835226</v>
      </c>
      <c r="Y293" s="146">
        <v>9600</v>
      </c>
      <c r="Z293" s="66">
        <f t="shared" si="132"/>
        <v>8448</v>
      </c>
      <c r="AA293" s="66"/>
      <c r="AB293" s="66"/>
      <c r="AC293" s="66"/>
      <c r="AD293" s="66">
        <f t="shared" si="133"/>
        <v>8448</v>
      </c>
      <c r="AE293" s="66">
        <f t="shared" si="134"/>
        <v>18769.994198835226</v>
      </c>
      <c r="AF293" s="101">
        <f t="shared" si="135"/>
        <v>135047.29212333949</v>
      </c>
      <c r="AG293" s="101">
        <f t="shared" si="136"/>
        <v>153462.83195834031</v>
      </c>
    </row>
    <row r="294" spans="1:33" s="68" customFormat="1" x14ac:dyDescent="0.2">
      <c r="A294" s="147" t="s">
        <v>968</v>
      </c>
      <c r="B294" s="147"/>
      <c r="C294" s="147"/>
      <c r="D294" s="148">
        <v>1</v>
      </c>
      <c r="E294" s="149"/>
      <c r="F294" s="150">
        <v>0.12</v>
      </c>
      <c r="G294" s="150"/>
      <c r="H294" s="67">
        <v>7849</v>
      </c>
      <c r="I294" s="67">
        <f t="shared" si="137"/>
        <v>7502.7547917469437</v>
      </c>
      <c r="J294" s="67">
        <f t="shared" si="129"/>
        <v>6602.4242167373104</v>
      </c>
      <c r="K294" s="63"/>
      <c r="L294" s="149">
        <v>1782</v>
      </c>
      <c r="M294" s="63">
        <f t="shared" si="85"/>
        <v>1782</v>
      </c>
      <c r="N294" s="63">
        <f t="shared" si="130"/>
        <v>1568.16</v>
      </c>
      <c r="O294" s="69"/>
      <c r="P294" s="149">
        <v>0</v>
      </c>
      <c r="Q294" s="63">
        <f t="shared" si="138"/>
        <v>0</v>
      </c>
      <c r="R294" s="64">
        <f t="shared" si="131"/>
        <v>0</v>
      </c>
      <c r="S294" s="148">
        <v>15</v>
      </c>
      <c r="T294" s="151" t="s">
        <v>15</v>
      </c>
      <c r="U294" s="65">
        <f>SUMIF('Avoided Costs 2012-2020_EGD'!$A:$A,'2012 Actuals_Auditor'!T294&amp;'2012 Actuals_Auditor'!S294,'Avoided Costs 2012-2020_EGD'!$E:$E)*J294</f>
        <v>16043.256197566328</v>
      </c>
      <c r="V294" s="65">
        <f>SUMIF('Avoided Costs 2012-2020_EGD'!$A:$A,'2012 Actuals_Auditor'!T294&amp;'2012 Actuals_Auditor'!S294,'Avoided Costs 2012-2020_EGD'!$K:$K)*N294</f>
        <v>1614.8651771493771</v>
      </c>
      <c r="W294" s="65">
        <f>SUMIF('Avoided Costs 2012-2020_EGD'!$A:$A,'2012 Actuals_Auditor'!T294&amp;'2012 Actuals_Auditor'!S294,'Avoided Costs 2012-2020_EGD'!$M:$M)*R294</f>
        <v>0</v>
      </c>
      <c r="X294" s="65">
        <f t="shared" si="140"/>
        <v>17658.121374715705</v>
      </c>
      <c r="Y294" s="146">
        <v>6100</v>
      </c>
      <c r="Z294" s="66">
        <f t="shared" si="132"/>
        <v>5368</v>
      </c>
      <c r="AA294" s="66"/>
      <c r="AB294" s="66"/>
      <c r="AC294" s="66"/>
      <c r="AD294" s="66">
        <f t="shared" si="133"/>
        <v>5368</v>
      </c>
      <c r="AE294" s="66">
        <f t="shared" si="134"/>
        <v>12290.121374715705</v>
      </c>
      <c r="AF294" s="101">
        <f t="shared" si="135"/>
        <v>99036.363251059651</v>
      </c>
      <c r="AG294" s="101">
        <f t="shared" si="136"/>
        <v>112541.32187620415</v>
      </c>
    </row>
    <row r="295" spans="1:33" s="68" customFormat="1" x14ac:dyDescent="0.2">
      <c r="A295" s="147" t="s">
        <v>969</v>
      </c>
      <c r="B295" s="147"/>
      <c r="C295" s="147"/>
      <c r="D295" s="148">
        <v>1</v>
      </c>
      <c r="E295" s="149"/>
      <c r="F295" s="150">
        <v>0.12</v>
      </c>
      <c r="G295" s="150"/>
      <c r="H295" s="67">
        <v>26228</v>
      </c>
      <c r="I295" s="67">
        <f t="shared" si="137"/>
        <v>25070.996646443986</v>
      </c>
      <c r="J295" s="67">
        <f t="shared" ref="J295:J308" si="141">I295*(1-F295)</f>
        <v>22062.477048870707</v>
      </c>
      <c r="K295" s="63"/>
      <c r="L295" s="149">
        <v>5770</v>
      </c>
      <c r="M295" s="63">
        <f t="shared" si="85"/>
        <v>5770</v>
      </c>
      <c r="N295" s="63">
        <f t="shared" ref="N295:N308" si="142">M295*(1-F295)</f>
        <v>5077.6000000000004</v>
      </c>
      <c r="O295" s="69"/>
      <c r="P295" s="149">
        <v>0</v>
      </c>
      <c r="Q295" s="63">
        <f t="shared" si="138"/>
        <v>0</v>
      </c>
      <c r="R295" s="64">
        <f t="shared" ref="R295:R308" si="143">Q295*(1-F295)</f>
        <v>0</v>
      </c>
      <c r="S295" s="148">
        <v>15</v>
      </c>
      <c r="T295" s="151" t="s">
        <v>15</v>
      </c>
      <c r="U295" s="65">
        <f>SUMIF('Avoided Costs 2012-2020_EGD'!$A:$A,'2012 Actuals_Auditor'!T295&amp;'2012 Actuals_Auditor'!S295,'Avoided Costs 2012-2020_EGD'!$E:$E)*J295</f>
        <v>53609.698502964668</v>
      </c>
      <c r="V295" s="65">
        <f>SUMIF('Avoided Costs 2012-2020_EGD'!$A:$A,'2012 Actuals_Auditor'!T295&amp;'2012 Actuals_Auditor'!S295,'Avoided Costs 2012-2020_EGD'!$K:$K)*N295</f>
        <v>5228.828323317568</v>
      </c>
      <c r="W295" s="65">
        <f>SUMIF('Avoided Costs 2012-2020_EGD'!$A:$A,'2012 Actuals_Auditor'!T295&amp;'2012 Actuals_Auditor'!S295,'Avoided Costs 2012-2020_EGD'!$M:$M)*R295</f>
        <v>0</v>
      </c>
      <c r="X295" s="65">
        <f t="shared" si="140"/>
        <v>58838.526826282236</v>
      </c>
      <c r="Y295" s="146">
        <v>9795</v>
      </c>
      <c r="Z295" s="66">
        <f t="shared" ref="Z295:Z308" si="144">Y295*(1-F295)</f>
        <v>8619.6</v>
      </c>
      <c r="AA295" s="66"/>
      <c r="AB295" s="66"/>
      <c r="AC295" s="66"/>
      <c r="AD295" s="66">
        <f t="shared" ref="AD295:AD309" si="145">Z295+AB295</f>
        <v>8619.6</v>
      </c>
      <c r="AE295" s="66">
        <f t="shared" ref="AE295:AE326" si="146">X295-AD295</f>
        <v>50218.926826282237</v>
      </c>
      <c r="AF295" s="101">
        <f t="shared" ref="AF295:AF308" si="147">J295*S295</f>
        <v>330937.15573306062</v>
      </c>
      <c r="AG295" s="101">
        <f t="shared" ref="AG295:AG308" si="148">(I295*S295)</f>
        <v>376064.94969665981</v>
      </c>
    </row>
    <row r="296" spans="1:33" s="68" customFormat="1" x14ac:dyDescent="0.2">
      <c r="A296" s="147" t="s">
        <v>970</v>
      </c>
      <c r="B296" s="147"/>
      <c r="C296" s="147"/>
      <c r="D296" s="148">
        <v>1</v>
      </c>
      <c r="E296" s="149"/>
      <c r="F296" s="150">
        <v>0.12</v>
      </c>
      <c r="G296" s="150"/>
      <c r="H296" s="67">
        <v>24114</v>
      </c>
      <c r="I296" s="67">
        <f t="shared" si="137"/>
        <v>23050.252140168916</v>
      </c>
      <c r="J296" s="67">
        <f t="shared" si="141"/>
        <v>20284.221883348644</v>
      </c>
      <c r="K296" s="63"/>
      <c r="L296" s="149">
        <v>13003</v>
      </c>
      <c r="M296" s="63">
        <f t="shared" si="85"/>
        <v>13003</v>
      </c>
      <c r="N296" s="63">
        <f t="shared" si="142"/>
        <v>11442.64</v>
      </c>
      <c r="O296" s="69"/>
      <c r="P296" s="149">
        <v>0</v>
      </c>
      <c r="Q296" s="63">
        <f t="shared" si="138"/>
        <v>0</v>
      </c>
      <c r="R296" s="64">
        <f t="shared" si="143"/>
        <v>0</v>
      </c>
      <c r="S296" s="148">
        <v>15</v>
      </c>
      <c r="T296" s="151" t="s">
        <v>15</v>
      </c>
      <c r="U296" s="65">
        <f>SUMIF('Avoided Costs 2012-2020_EGD'!$A:$A,'2012 Actuals_Auditor'!T296&amp;'2012 Actuals_Auditor'!S296,'Avoided Costs 2012-2020_EGD'!$E:$E)*J296</f>
        <v>49288.709383120709</v>
      </c>
      <c r="V296" s="65">
        <f>SUMIF('Avoided Costs 2012-2020_EGD'!$A:$A,'2012 Actuals_Auditor'!T296&amp;'2012 Actuals_Auditor'!S296,'Avoided Costs 2012-2020_EGD'!$K:$K)*N296</f>
        <v>11783.44102046765</v>
      </c>
      <c r="W296" s="65">
        <f>SUMIF('Avoided Costs 2012-2020_EGD'!$A:$A,'2012 Actuals_Auditor'!T296&amp;'2012 Actuals_Auditor'!S296,'Avoided Costs 2012-2020_EGD'!$M:$M)*R296</f>
        <v>0</v>
      </c>
      <c r="X296" s="65">
        <f t="shared" si="140"/>
        <v>61072.150403588355</v>
      </c>
      <c r="Y296" s="146">
        <v>9795</v>
      </c>
      <c r="Z296" s="66">
        <f t="shared" si="144"/>
        <v>8619.6</v>
      </c>
      <c r="AA296" s="66"/>
      <c r="AB296" s="66"/>
      <c r="AC296" s="66"/>
      <c r="AD296" s="66">
        <f t="shared" si="145"/>
        <v>8619.6</v>
      </c>
      <c r="AE296" s="66">
        <f t="shared" si="146"/>
        <v>52452.550403588357</v>
      </c>
      <c r="AF296" s="101">
        <f t="shared" si="147"/>
        <v>304263.32825022965</v>
      </c>
      <c r="AG296" s="101">
        <f t="shared" si="148"/>
        <v>345753.78210253373</v>
      </c>
    </row>
    <row r="297" spans="1:33" s="68" customFormat="1" x14ac:dyDescent="0.2">
      <c r="A297" s="147" t="s">
        <v>971</v>
      </c>
      <c r="B297" s="147"/>
      <c r="C297" s="147"/>
      <c r="D297" s="148">
        <v>1</v>
      </c>
      <c r="E297" s="149"/>
      <c r="F297" s="150">
        <v>0.12</v>
      </c>
      <c r="G297" s="150"/>
      <c r="H297" s="67">
        <v>10245</v>
      </c>
      <c r="I297" s="67">
        <f t="shared" si="137"/>
        <v>9793.0593504201097</v>
      </c>
      <c r="J297" s="67">
        <f t="shared" si="141"/>
        <v>8617.8922283696975</v>
      </c>
      <c r="K297" s="63"/>
      <c r="L297" s="149">
        <v>7597</v>
      </c>
      <c r="M297" s="63">
        <f t="shared" si="85"/>
        <v>7597</v>
      </c>
      <c r="N297" s="63">
        <f t="shared" si="142"/>
        <v>6685.36</v>
      </c>
      <c r="O297" s="69"/>
      <c r="P297" s="149">
        <v>0</v>
      </c>
      <c r="Q297" s="63">
        <f t="shared" si="138"/>
        <v>0</v>
      </c>
      <c r="R297" s="64">
        <f t="shared" si="143"/>
        <v>0</v>
      </c>
      <c r="S297" s="148">
        <v>15</v>
      </c>
      <c r="T297" s="151" t="s">
        <v>15</v>
      </c>
      <c r="U297" s="65">
        <f>SUMIF('Avoided Costs 2012-2020_EGD'!$A:$A,'2012 Actuals_Auditor'!T297&amp;'2012 Actuals_Auditor'!S297,'Avoided Costs 2012-2020_EGD'!$E:$E)*J297</f>
        <v>20940.64973169411</v>
      </c>
      <c r="V297" s="65">
        <f>SUMIF('Avoided Costs 2012-2020_EGD'!$A:$A,'2012 Actuals_Auditor'!T297&amp;'2012 Actuals_Auditor'!S297,'Avoided Costs 2012-2020_EGD'!$K:$K)*N297</f>
        <v>6884.472924132333</v>
      </c>
      <c r="W297" s="65">
        <f>SUMIF('Avoided Costs 2012-2020_EGD'!$A:$A,'2012 Actuals_Auditor'!T297&amp;'2012 Actuals_Auditor'!S297,'Avoided Costs 2012-2020_EGD'!$M:$M)*R297</f>
        <v>0</v>
      </c>
      <c r="X297" s="65">
        <f t="shared" si="140"/>
        <v>27825.122655826442</v>
      </c>
      <c r="Y297" s="146">
        <v>6100</v>
      </c>
      <c r="Z297" s="66">
        <f t="shared" si="144"/>
        <v>5368</v>
      </c>
      <c r="AA297" s="66"/>
      <c r="AB297" s="66"/>
      <c r="AC297" s="66"/>
      <c r="AD297" s="66">
        <f t="shared" si="145"/>
        <v>5368</v>
      </c>
      <c r="AE297" s="66">
        <f t="shared" si="146"/>
        <v>22457.122655826442</v>
      </c>
      <c r="AF297" s="101">
        <f t="shared" si="147"/>
        <v>129268.38342554546</v>
      </c>
      <c r="AG297" s="101">
        <f t="shared" si="148"/>
        <v>146895.89025630165</v>
      </c>
    </row>
    <row r="298" spans="1:33" s="68" customFormat="1" x14ac:dyDescent="0.2">
      <c r="A298" s="147" t="s">
        <v>972</v>
      </c>
      <c r="B298" s="147"/>
      <c r="C298" s="147"/>
      <c r="D298" s="148">
        <v>1</v>
      </c>
      <c r="E298" s="149"/>
      <c r="F298" s="150">
        <v>0.12</v>
      </c>
      <c r="G298" s="150"/>
      <c r="H298" s="67">
        <v>9526</v>
      </c>
      <c r="I298" s="67">
        <f t="shared" si="137"/>
        <v>9105.7768054760345</v>
      </c>
      <c r="J298" s="67">
        <f t="shared" si="141"/>
        <v>8013.0835888189104</v>
      </c>
      <c r="K298" s="63"/>
      <c r="L298" s="149">
        <v>1049</v>
      </c>
      <c r="M298" s="63">
        <f t="shared" si="85"/>
        <v>1049</v>
      </c>
      <c r="N298" s="63">
        <f t="shared" si="142"/>
        <v>923.12</v>
      </c>
      <c r="O298" s="69"/>
      <c r="P298" s="149">
        <v>0</v>
      </c>
      <c r="Q298" s="63">
        <f t="shared" si="138"/>
        <v>0</v>
      </c>
      <c r="R298" s="64">
        <f t="shared" si="143"/>
        <v>0</v>
      </c>
      <c r="S298" s="148">
        <v>15</v>
      </c>
      <c r="T298" s="151" t="s">
        <v>15</v>
      </c>
      <c r="U298" s="65">
        <f>SUMIF('Avoided Costs 2012-2020_EGD'!$A:$A,'2012 Actuals_Auditor'!T298&amp;'2012 Actuals_Auditor'!S298,'Avoided Costs 2012-2020_EGD'!$E:$E)*J298</f>
        <v>19471.022873998834</v>
      </c>
      <c r="V298" s="65">
        <f>SUMIF('Avoided Costs 2012-2020_EGD'!$A:$A,'2012 Actuals_Auditor'!T298&amp;'2012 Actuals_Auditor'!S298,'Avoided Costs 2012-2020_EGD'!$K:$K)*N298</f>
        <v>950.6136761109409</v>
      </c>
      <c r="W298" s="65">
        <f>SUMIF('Avoided Costs 2012-2020_EGD'!$A:$A,'2012 Actuals_Auditor'!T298&amp;'2012 Actuals_Auditor'!S298,'Avoided Costs 2012-2020_EGD'!$M:$M)*R298</f>
        <v>0</v>
      </c>
      <c r="X298" s="65">
        <f t="shared" si="140"/>
        <v>20421.636550109775</v>
      </c>
      <c r="Y298" s="146">
        <v>9795</v>
      </c>
      <c r="Z298" s="66">
        <f t="shared" si="144"/>
        <v>8619.6</v>
      </c>
      <c r="AA298" s="66"/>
      <c r="AB298" s="66"/>
      <c r="AC298" s="66"/>
      <c r="AD298" s="66">
        <f t="shared" si="145"/>
        <v>8619.6</v>
      </c>
      <c r="AE298" s="66">
        <f t="shared" si="146"/>
        <v>11802.036550109775</v>
      </c>
      <c r="AF298" s="101">
        <f t="shared" si="147"/>
        <v>120196.25383228366</v>
      </c>
      <c r="AG298" s="101">
        <f t="shared" si="148"/>
        <v>136586.65208214053</v>
      </c>
    </row>
    <row r="299" spans="1:33" s="68" customFormat="1" x14ac:dyDescent="0.2">
      <c r="A299" s="147" t="s">
        <v>973</v>
      </c>
      <c r="B299" s="147"/>
      <c r="C299" s="147"/>
      <c r="D299" s="148">
        <v>1</v>
      </c>
      <c r="E299" s="149"/>
      <c r="F299" s="150">
        <v>0.12</v>
      </c>
      <c r="G299" s="150"/>
      <c r="H299" s="67">
        <v>30208</v>
      </c>
      <c r="I299" s="67">
        <f t="shared" si="137"/>
        <v>28875.425754757507</v>
      </c>
      <c r="J299" s="67">
        <f t="shared" si="141"/>
        <v>25410.374664186606</v>
      </c>
      <c r="K299" s="63"/>
      <c r="L299" s="149">
        <v>3700</v>
      </c>
      <c r="M299" s="63">
        <f t="shared" si="85"/>
        <v>3700</v>
      </c>
      <c r="N299" s="63">
        <f t="shared" si="142"/>
        <v>3256</v>
      </c>
      <c r="O299" s="69"/>
      <c r="P299" s="149">
        <v>0</v>
      </c>
      <c r="Q299" s="63">
        <f t="shared" si="138"/>
        <v>0</v>
      </c>
      <c r="R299" s="64">
        <f t="shared" si="143"/>
        <v>0</v>
      </c>
      <c r="S299" s="148">
        <v>15</v>
      </c>
      <c r="T299" s="151" t="s">
        <v>15</v>
      </c>
      <c r="U299" s="65">
        <f>SUMIF('Avoided Costs 2012-2020_EGD'!$A:$A,'2012 Actuals_Auditor'!T299&amp;'2012 Actuals_Auditor'!S299,'Avoided Costs 2012-2020_EGD'!$E:$E)*J299</f>
        <v>61744.767896048361</v>
      </c>
      <c r="V299" s="65">
        <f>SUMIF('Avoided Costs 2012-2020_EGD'!$A:$A,'2012 Actuals_Auditor'!T299&amp;'2012 Actuals_Auditor'!S299,'Avoided Costs 2012-2020_EGD'!$K:$K)*N299</f>
        <v>3352.9748347097056</v>
      </c>
      <c r="W299" s="65">
        <f>SUMIF('Avoided Costs 2012-2020_EGD'!$A:$A,'2012 Actuals_Auditor'!T299&amp;'2012 Actuals_Auditor'!S299,'Avoided Costs 2012-2020_EGD'!$M:$M)*R299</f>
        <v>0</v>
      </c>
      <c r="X299" s="65">
        <f t="shared" si="140"/>
        <v>65097.742730758066</v>
      </c>
      <c r="Y299" s="146">
        <v>9795</v>
      </c>
      <c r="Z299" s="66">
        <f t="shared" si="144"/>
        <v>8619.6</v>
      </c>
      <c r="AA299" s="66"/>
      <c r="AB299" s="66"/>
      <c r="AC299" s="66"/>
      <c r="AD299" s="66">
        <f t="shared" si="145"/>
        <v>8619.6</v>
      </c>
      <c r="AE299" s="66">
        <f t="shared" si="146"/>
        <v>56478.142730758067</v>
      </c>
      <c r="AF299" s="101">
        <f t="shared" si="147"/>
        <v>381155.61996279907</v>
      </c>
      <c r="AG299" s="101">
        <f t="shared" si="148"/>
        <v>433131.38632136263</v>
      </c>
    </row>
    <row r="300" spans="1:33" s="68" customFormat="1" x14ac:dyDescent="0.2">
      <c r="A300" s="147" t="s">
        <v>974</v>
      </c>
      <c r="B300" s="147"/>
      <c r="C300" s="147"/>
      <c r="D300" s="148">
        <v>1</v>
      </c>
      <c r="E300" s="149"/>
      <c r="F300" s="150">
        <v>0.12</v>
      </c>
      <c r="G300" s="150"/>
      <c r="H300" s="67">
        <v>10786</v>
      </c>
      <c r="I300" s="67">
        <f t="shared" si="137"/>
        <v>10310.194060871772</v>
      </c>
      <c r="J300" s="67">
        <f t="shared" si="141"/>
        <v>9072.97077356716</v>
      </c>
      <c r="K300" s="63"/>
      <c r="L300" s="149">
        <v>7472</v>
      </c>
      <c r="M300" s="63">
        <f t="shared" ref="M300:M307" si="149">+$L$42*L300</f>
        <v>7472</v>
      </c>
      <c r="N300" s="63">
        <f t="shared" si="142"/>
        <v>6575.36</v>
      </c>
      <c r="O300" s="69"/>
      <c r="P300" s="149">
        <v>0</v>
      </c>
      <c r="Q300" s="63">
        <f t="shared" si="138"/>
        <v>0</v>
      </c>
      <c r="R300" s="64">
        <f t="shared" si="143"/>
        <v>0</v>
      </c>
      <c r="S300" s="148">
        <v>15</v>
      </c>
      <c r="T300" s="151" t="s">
        <v>15</v>
      </c>
      <c r="U300" s="65">
        <f>SUMIF('Avoided Costs 2012-2020_EGD'!$A:$A,'2012 Actuals_Auditor'!T300&amp;'2012 Actuals_Auditor'!S300,'Avoided Costs 2012-2020_EGD'!$E:$E)*J300</f>
        <v>22046.446852713776</v>
      </c>
      <c r="V300" s="65">
        <f>SUMIF('Avoided Costs 2012-2020_EGD'!$A:$A,'2012 Actuals_Auditor'!T300&amp;'2012 Actuals_Auditor'!S300,'Avoided Costs 2012-2020_EGD'!$K:$K)*N300</f>
        <v>6771.1967472840324</v>
      </c>
      <c r="W300" s="65">
        <f>SUMIF('Avoided Costs 2012-2020_EGD'!$A:$A,'2012 Actuals_Auditor'!T300&amp;'2012 Actuals_Auditor'!S300,'Avoided Costs 2012-2020_EGD'!$M:$M)*R300</f>
        <v>0</v>
      </c>
      <c r="X300" s="65">
        <f t="shared" si="140"/>
        <v>28817.643599997809</v>
      </c>
      <c r="Y300" s="146">
        <v>6100</v>
      </c>
      <c r="Z300" s="66">
        <f t="shared" si="144"/>
        <v>5368</v>
      </c>
      <c r="AA300" s="66"/>
      <c r="AB300" s="66"/>
      <c r="AC300" s="66"/>
      <c r="AD300" s="66">
        <f t="shared" si="145"/>
        <v>5368</v>
      </c>
      <c r="AE300" s="66">
        <f t="shared" si="146"/>
        <v>23449.643599997809</v>
      </c>
      <c r="AF300" s="101">
        <f t="shared" si="147"/>
        <v>136094.56160350741</v>
      </c>
      <c r="AG300" s="101">
        <f t="shared" si="148"/>
        <v>154652.91091307657</v>
      </c>
    </row>
    <row r="301" spans="1:33" s="68" customFormat="1" x14ac:dyDescent="0.2">
      <c r="A301" s="147" t="s">
        <v>975</v>
      </c>
      <c r="B301" s="147"/>
      <c r="C301" s="147"/>
      <c r="D301" s="148">
        <v>1</v>
      </c>
      <c r="E301" s="149"/>
      <c r="F301" s="150">
        <v>0.12</v>
      </c>
      <c r="G301" s="150"/>
      <c r="H301" s="67">
        <v>9823</v>
      </c>
      <c r="I301" s="67">
        <f t="shared" si="137"/>
        <v>9389.6751585336006</v>
      </c>
      <c r="J301" s="67">
        <f t="shared" si="141"/>
        <v>8262.9141395095685</v>
      </c>
      <c r="K301" s="63"/>
      <c r="L301" s="149">
        <v>7640</v>
      </c>
      <c r="M301" s="63">
        <f t="shared" si="149"/>
        <v>7640</v>
      </c>
      <c r="N301" s="63">
        <f t="shared" si="142"/>
        <v>6723.2</v>
      </c>
      <c r="O301" s="69"/>
      <c r="P301" s="149">
        <v>0</v>
      </c>
      <c r="Q301" s="63">
        <f t="shared" si="138"/>
        <v>0</v>
      </c>
      <c r="R301" s="64">
        <f t="shared" si="143"/>
        <v>0</v>
      </c>
      <c r="S301" s="148">
        <v>15</v>
      </c>
      <c r="T301" s="151" t="s">
        <v>15</v>
      </c>
      <c r="U301" s="65">
        <f>SUMIF('Avoided Costs 2012-2020_EGD'!$A:$A,'2012 Actuals_Auditor'!T301&amp;'2012 Actuals_Auditor'!S301,'Avoided Costs 2012-2020_EGD'!$E:$E)*J301</f>
        <v>20078.087097553071</v>
      </c>
      <c r="V301" s="65">
        <f>SUMIF('Avoided Costs 2012-2020_EGD'!$A:$A,'2012 Actuals_Auditor'!T301&amp;'2012 Actuals_Auditor'!S301,'Avoided Costs 2012-2020_EGD'!$K:$K)*N301</f>
        <v>6923.4399289681487</v>
      </c>
      <c r="W301" s="65">
        <f>SUMIF('Avoided Costs 2012-2020_EGD'!$A:$A,'2012 Actuals_Auditor'!T301&amp;'2012 Actuals_Auditor'!S301,'Avoided Costs 2012-2020_EGD'!$M:$M)*R301</f>
        <v>0</v>
      </c>
      <c r="X301" s="65">
        <f t="shared" si="140"/>
        <v>27001.52702652122</v>
      </c>
      <c r="Y301" s="146">
        <v>6100</v>
      </c>
      <c r="Z301" s="66">
        <f t="shared" si="144"/>
        <v>5368</v>
      </c>
      <c r="AA301" s="66"/>
      <c r="AB301" s="66"/>
      <c r="AC301" s="66"/>
      <c r="AD301" s="66">
        <f t="shared" si="145"/>
        <v>5368</v>
      </c>
      <c r="AE301" s="66">
        <f t="shared" si="146"/>
        <v>21633.52702652122</v>
      </c>
      <c r="AF301" s="101">
        <f t="shared" si="147"/>
        <v>123943.71209264353</v>
      </c>
      <c r="AG301" s="101">
        <f t="shared" si="148"/>
        <v>140845.12737800402</v>
      </c>
    </row>
    <row r="302" spans="1:33" s="68" customFormat="1" x14ac:dyDescent="0.2">
      <c r="A302" s="147" t="s">
        <v>976</v>
      </c>
      <c r="B302" s="147"/>
      <c r="C302" s="147"/>
      <c r="D302" s="148">
        <v>1</v>
      </c>
      <c r="E302" s="149"/>
      <c r="F302" s="150">
        <v>0.12</v>
      </c>
      <c r="G302" s="150"/>
      <c r="H302" s="67">
        <v>8368</v>
      </c>
      <c r="I302" s="67">
        <f t="shared" ref="I302:I307" si="150">+$H$42*H302</f>
        <v>7998.859994564712</v>
      </c>
      <c r="J302" s="67">
        <f t="shared" si="141"/>
        <v>7038.9967952169463</v>
      </c>
      <c r="K302" s="63"/>
      <c r="L302" s="149">
        <v>11825</v>
      </c>
      <c r="M302" s="63">
        <f t="shared" si="149"/>
        <v>11825</v>
      </c>
      <c r="N302" s="63">
        <f t="shared" si="142"/>
        <v>10406</v>
      </c>
      <c r="O302" s="69"/>
      <c r="P302" s="149">
        <v>0</v>
      </c>
      <c r="Q302" s="63">
        <f t="shared" ref="Q302:Q307" si="151">+P302*$P$42</f>
        <v>0</v>
      </c>
      <c r="R302" s="64">
        <f t="shared" si="143"/>
        <v>0</v>
      </c>
      <c r="S302" s="148">
        <v>15</v>
      </c>
      <c r="T302" s="151" t="s">
        <v>15</v>
      </c>
      <c r="U302" s="65">
        <f>SUMIF('Avoided Costs 2012-2020_EGD'!$A:$A,'2012 Actuals_Auditor'!T302&amp;'2012 Actuals_Auditor'!S302,'Avoided Costs 2012-2020_EGD'!$E:$E)*J302</f>
        <v>17104.085598322719</v>
      </c>
      <c r="V302" s="65">
        <f>SUMIF('Avoided Costs 2012-2020_EGD'!$A:$A,'2012 Actuals_Auditor'!T302&amp;'2012 Actuals_Auditor'!S302,'Avoided Costs 2012-2020_EGD'!$K:$K)*N302</f>
        <v>10715.926329849262</v>
      </c>
      <c r="W302" s="65">
        <f>SUMIF('Avoided Costs 2012-2020_EGD'!$A:$A,'2012 Actuals_Auditor'!T302&amp;'2012 Actuals_Auditor'!S302,'Avoided Costs 2012-2020_EGD'!$M:$M)*R302</f>
        <v>0</v>
      </c>
      <c r="X302" s="65">
        <f t="shared" si="140"/>
        <v>27820.011928171982</v>
      </c>
      <c r="Y302" s="146">
        <v>6100</v>
      </c>
      <c r="Z302" s="66">
        <f t="shared" si="144"/>
        <v>5368</v>
      </c>
      <c r="AA302" s="66"/>
      <c r="AB302" s="66"/>
      <c r="AC302" s="66"/>
      <c r="AD302" s="66">
        <f t="shared" si="145"/>
        <v>5368</v>
      </c>
      <c r="AE302" s="66">
        <f t="shared" si="146"/>
        <v>22452.011928171982</v>
      </c>
      <c r="AF302" s="101">
        <f t="shared" si="147"/>
        <v>105584.95192825419</v>
      </c>
      <c r="AG302" s="101">
        <f t="shared" si="148"/>
        <v>119982.89991847068</v>
      </c>
    </row>
    <row r="303" spans="1:33" s="68" customFormat="1" x14ac:dyDescent="0.2">
      <c r="A303" s="147" t="s">
        <v>977</v>
      </c>
      <c r="B303" s="147"/>
      <c r="C303" s="147"/>
      <c r="D303" s="148">
        <v>1</v>
      </c>
      <c r="E303" s="149"/>
      <c r="F303" s="150">
        <v>0.12</v>
      </c>
      <c r="G303" s="150"/>
      <c r="H303" s="67">
        <v>10134</v>
      </c>
      <c r="I303" s="67">
        <f t="shared" si="150"/>
        <v>9686.955925540009</v>
      </c>
      <c r="J303" s="67">
        <f t="shared" si="141"/>
        <v>8524.5212144752077</v>
      </c>
      <c r="K303" s="63"/>
      <c r="L303" s="149">
        <v>7139</v>
      </c>
      <c r="M303" s="63">
        <f t="shared" si="149"/>
        <v>7139</v>
      </c>
      <c r="N303" s="63">
        <f t="shared" si="142"/>
        <v>6282.32</v>
      </c>
      <c r="O303" s="69"/>
      <c r="P303" s="149">
        <v>0</v>
      </c>
      <c r="Q303" s="63">
        <f t="shared" si="151"/>
        <v>0</v>
      </c>
      <c r="R303" s="64">
        <f t="shared" si="143"/>
        <v>0</v>
      </c>
      <c r="S303" s="148">
        <v>15</v>
      </c>
      <c r="T303" s="151" t="s">
        <v>15</v>
      </c>
      <c r="U303" s="65">
        <f>SUMIF('Avoided Costs 2012-2020_EGD'!$A:$A,'2012 Actuals_Auditor'!T303&amp;'2012 Actuals_Auditor'!S303,'Avoided Costs 2012-2020_EGD'!$E:$E)*J303</f>
        <v>20713.767143093028</v>
      </c>
      <c r="V303" s="65">
        <f>SUMIF('Avoided Costs 2012-2020_EGD'!$A:$A,'2012 Actuals_Auditor'!T303&amp;'2012 Actuals_Auditor'!S303,'Avoided Costs 2012-2020_EGD'!$K:$K)*N303</f>
        <v>6469.4290121601589</v>
      </c>
      <c r="W303" s="65">
        <f>SUMIF('Avoided Costs 2012-2020_EGD'!$A:$A,'2012 Actuals_Auditor'!T303&amp;'2012 Actuals_Auditor'!S303,'Avoided Costs 2012-2020_EGD'!$M:$M)*R303</f>
        <v>0</v>
      </c>
      <c r="X303" s="65">
        <f t="shared" si="140"/>
        <v>27183.196155253187</v>
      </c>
      <c r="Y303" s="146">
        <v>6100</v>
      </c>
      <c r="Z303" s="66">
        <f t="shared" si="144"/>
        <v>5368</v>
      </c>
      <c r="AA303" s="66"/>
      <c r="AB303" s="66"/>
      <c r="AC303" s="66"/>
      <c r="AD303" s="66">
        <f t="shared" si="145"/>
        <v>5368</v>
      </c>
      <c r="AE303" s="66">
        <f t="shared" si="146"/>
        <v>21815.196155253187</v>
      </c>
      <c r="AF303" s="101">
        <f t="shared" si="147"/>
        <v>127867.81821712811</v>
      </c>
      <c r="AG303" s="101">
        <f t="shared" si="148"/>
        <v>145304.33888310014</v>
      </c>
    </row>
    <row r="304" spans="1:33" s="68" customFormat="1" x14ac:dyDescent="0.2">
      <c r="A304" s="147" t="s">
        <v>978</v>
      </c>
      <c r="B304" s="147"/>
      <c r="C304" s="147"/>
      <c r="D304" s="148">
        <v>1</v>
      </c>
      <c r="E304" s="149"/>
      <c r="F304" s="150">
        <v>0.12</v>
      </c>
      <c r="G304" s="150"/>
      <c r="H304" s="67">
        <v>2821</v>
      </c>
      <c r="I304" s="67">
        <f t="shared" si="150"/>
        <v>2696.5564106915695</v>
      </c>
      <c r="J304" s="67">
        <f t="shared" si="141"/>
        <v>2372.9696414085811</v>
      </c>
      <c r="K304" s="63"/>
      <c r="L304" s="149">
        <v>100</v>
      </c>
      <c r="M304" s="63">
        <f t="shared" si="149"/>
        <v>100</v>
      </c>
      <c r="N304" s="63">
        <f t="shared" si="142"/>
        <v>88</v>
      </c>
      <c r="O304" s="69"/>
      <c r="P304" s="149">
        <v>0</v>
      </c>
      <c r="Q304" s="63">
        <f t="shared" si="151"/>
        <v>0</v>
      </c>
      <c r="R304" s="64">
        <f t="shared" si="143"/>
        <v>0</v>
      </c>
      <c r="S304" s="148">
        <v>15</v>
      </c>
      <c r="T304" s="151" t="s">
        <v>15</v>
      </c>
      <c r="U304" s="65">
        <f>SUMIF('Avoided Costs 2012-2020_EGD'!$A:$A,'2012 Actuals_Auditor'!T304&amp;'2012 Actuals_Auditor'!S304,'Avoided Costs 2012-2020_EGD'!$E:$E)*J304</f>
        <v>5766.0881301228965</v>
      </c>
      <c r="V304" s="65">
        <f>SUMIF('Avoided Costs 2012-2020_EGD'!$A:$A,'2012 Actuals_Auditor'!T304&amp;'2012 Actuals_Auditor'!S304,'Avoided Costs 2012-2020_EGD'!$K:$K)*N304</f>
        <v>90.620941478640688</v>
      </c>
      <c r="W304" s="65">
        <f>SUMIF('Avoided Costs 2012-2020_EGD'!$A:$A,'2012 Actuals_Auditor'!T304&amp;'2012 Actuals_Auditor'!S304,'Avoided Costs 2012-2020_EGD'!$M:$M)*R304</f>
        <v>0</v>
      </c>
      <c r="X304" s="65">
        <f t="shared" si="140"/>
        <v>5856.7090716015373</v>
      </c>
      <c r="Y304" s="146">
        <v>1175</v>
      </c>
      <c r="Z304" s="66">
        <f t="shared" si="144"/>
        <v>1034</v>
      </c>
      <c r="AA304" s="66"/>
      <c r="AB304" s="66"/>
      <c r="AC304" s="66"/>
      <c r="AD304" s="66">
        <f t="shared" si="145"/>
        <v>1034</v>
      </c>
      <c r="AE304" s="66">
        <f t="shared" si="146"/>
        <v>4822.7090716015373</v>
      </c>
      <c r="AF304" s="101">
        <f t="shared" si="147"/>
        <v>35594.54462112872</v>
      </c>
      <c r="AG304" s="101">
        <f t="shared" si="148"/>
        <v>40448.346160373541</v>
      </c>
    </row>
    <row r="305" spans="1:33" s="68" customFormat="1" x14ac:dyDescent="0.2">
      <c r="A305" s="147" t="s">
        <v>979</v>
      </c>
      <c r="B305" s="147"/>
      <c r="C305" s="147"/>
      <c r="D305" s="148">
        <v>1</v>
      </c>
      <c r="E305" s="149"/>
      <c r="F305" s="150">
        <v>0.12</v>
      </c>
      <c r="G305" s="150"/>
      <c r="H305" s="67">
        <v>3134</v>
      </c>
      <c r="I305" s="67">
        <f t="shared" si="150"/>
        <v>2995.7489511192412</v>
      </c>
      <c r="J305" s="67">
        <f t="shared" si="141"/>
        <v>2636.2590769849321</v>
      </c>
      <c r="K305" s="63"/>
      <c r="L305" s="149">
        <v>100</v>
      </c>
      <c r="M305" s="63">
        <f t="shared" si="149"/>
        <v>100</v>
      </c>
      <c r="N305" s="63">
        <f t="shared" si="142"/>
        <v>88</v>
      </c>
      <c r="O305" s="69"/>
      <c r="P305" s="149">
        <v>0</v>
      </c>
      <c r="Q305" s="63">
        <f t="shared" si="151"/>
        <v>0</v>
      </c>
      <c r="R305" s="64">
        <f t="shared" si="143"/>
        <v>0</v>
      </c>
      <c r="S305" s="148">
        <v>15</v>
      </c>
      <c r="T305" s="151" t="s">
        <v>15</v>
      </c>
      <c r="U305" s="65">
        <f>SUMIF('Avoided Costs 2012-2020_EGD'!$A:$A,'2012 Actuals_Auditor'!T305&amp;'2012 Actuals_Auditor'!S305,'Avoided Costs 2012-2020_EGD'!$E:$E)*J305</f>
        <v>6405.8561502322427</v>
      </c>
      <c r="V305" s="65">
        <f>SUMIF('Avoided Costs 2012-2020_EGD'!$A:$A,'2012 Actuals_Auditor'!T305&amp;'2012 Actuals_Auditor'!S305,'Avoided Costs 2012-2020_EGD'!$K:$K)*N305</f>
        <v>90.620941478640688</v>
      </c>
      <c r="W305" s="65">
        <f>SUMIF('Avoided Costs 2012-2020_EGD'!$A:$A,'2012 Actuals_Auditor'!T305&amp;'2012 Actuals_Auditor'!S305,'Avoided Costs 2012-2020_EGD'!$M:$M)*R305</f>
        <v>0</v>
      </c>
      <c r="X305" s="65">
        <f t="shared" si="140"/>
        <v>6496.4770917108835</v>
      </c>
      <c r="Y305" s="146">
        <v>6243</v>
      </c>
      <c r="Z305" s="66">
        <f t="shared" si="144"/>
        <v>5493.84</v>
      </c>
      <c r="AA305" s="66"/>
      <c r="AB305" s="66"/>
      <c r="AC305" s="66"/>
      <c r="AD305" s="66">
        <f t="shared" si="145"/>
        <v>5493.84</v>
      </c>
      <c r="AE305" s="66">
        <f t="shared" si="146"/>
        <v>1002.6370917108834</v>
      </c>
      <c r="AF305" s="101">
        <f t="shared" si="147"/>
        <v>39543.88615477398</v>
      </c>
      <c r="AG305" s="101">
        <f t="shared" si="148"/>
        <v>44936.234266788619</v>
      </c>
    </row>
    <row r="306" spans="1:33" s="68" customFormat="1" x14ac:dyDescent="0.2">
      <c r="A306" s="147" t="s">
        <v>980</v>
      </c>
      <c r="B306" s="147"/>
      <c r="C306" s="147"/>
      <c r="D306" s="148">
        <v>1</v>
      </c>
      <c r="E306" s="149"/>
      <c r="F306" s="150">
        <v>0.12</v>
      </c>
      <c r="G306" s="150"/>
      <c r="H306" s="67">
        <v>3065</v>
      </c>
      <c r="I306" s="67">
        <f t="shared" si="150"/>
        <v>2929.7927680856646</v>
      </c>
      <c r="J306" s="67">
        <f t="shared" si="141"/>
        <v>2578.217635915385</v>
      </c>
      <c r="K306" s="63"/>
      <c r="L306" s="149">
        <v>100</v>
      </c>
      <c r="M306" s="63">
        <f t="shared" si="149"/>
        <v>100</v>
      </c>
      <c r="N306" s="63">
        <f t="shared" si="142"/>
        <v>88</v>
      </c>
      <c r="O306" s="69"/>
      <c r="P306" s="149">
        <v>0</v>
      </c>
      <c r="Q306" s="63">
        <f t="shared" si="151"/>
        <v>0</v>
      </c>
      <c r="R306" s="64">
        <f t="shared" si="143"/>
        <v>0</v>
      </c>
      <c r="S306" s="148">
        <v>15</v>
      </c>
      <c r="T306" s="151" t="s">
        <v>15</v>
      </c>
      <c r="U306" s="65">
        <f>SUMIF('Avoided Costs 2012-2020_EGD'!$A:$A,'2012 Actuals_Auditor'!T306&amp;'2012 Actuals_Auditor'!S306,'Avoided Costs 2012-2020_EGD'!$E:$E)*J306</f>
        <v>6264.8210275883293</v>
      </c>
      <c r="V306" s="65">
        <f>SUMIF('Avoided Costs 2012-2020_EGD'!$A:$A,'2012 Actuals_Auditor'!T306&amp;'2012 Actuals_Auditor'!S306,'Avoided Costs 2012-2020_EGD'!$K:$K)*N306</f>
        <v>90.620941478640688</v>
      </c>
      <c r="W306" s="65">
        <f>SUMIF('Avoided Costs 2012-2020_EGD'!$A:$A,'2012 Actuals_Auditor'!T306&amp;'2012 Actuals_Auditor'!S306,'Avoided Costs 2012-2020_EGD'!$M:$M)*R306</f>
        <v>0</v>
      </c>
      <c r="X306" s="65">
        <f t="shared" si="140"/>
        <v>6355.4419690669702</v>
      </c>
      <c r="Y306" s="146">
        <v>1175</v>
      </c>
      <c r="Z306" s="66">
        <f t="shared" si="144"/>
        <v>1034</v>
      </c>
      <c r="AA306" s="66"/>
      <c r="AB306" s="66"/>
      <c r="AC306" s="66"/>
      <c r="AD306" s="66">
        <f t="shared" si="145"/>
        <v>1034</v>
      </c>
      <c r="AE306" s="66">
        <f t="shared" si="146"/>
        <v>5321.4419690669702</v>
      </c>
      <c r="AF306" s="101">
        <f t="shared" si="147"/>
        <v>38673.264538730778</v>
      </c>
      <c r="AG306" s="101">
        <f t="shared" si="148"/>
        <v>43946.891521284968</v>
      </c>
    </row>
    <row r="307" spans="1:33" s="68" customFormat="1" x14ac:dyDescent="0.2">
      <c r="A307" s="147" t="s">
        <v>981</v>
      </c>
      <c r="B307" s="147"/>
      <c r="C307" s="147"/>
      <c r="D307" s="148">
        <v>1</v>
      </c>
      <c r="E307" s="149"/>
      <c r="F307" s="150">
        <v>0.12</v>
      </c>
      <c r="G307" s="150"/>
      <c r="H307" s="67">
        <v>7645</v>
      </c>
      <c r="I307" s="67">
        <f t="shared" si="150"/>
        <v>7307.7539027781104</v>
      </c>
      <c r="J307" s="67">
        <f t="shared" si="141"/>
        <v>6430.8234344447374</v>
      </c>
      <c r="K307" s="63"/>
      <c r="L307" s="149">
        <v>5260</v>
      </c>
      <c r="M307" s="63">
        <f t="shared" si="149"/>
        <v>5260</v>
      </c>
      <c r="N307" s="63">
        <f t="shared" si="142"/>
        <v>4628.8</v>
      </c>
      <c r="O307" s="69"/>
      <c r="P307" s="149">
        <v>0</v>
      </c>
      <c r="Q307" s="63">
        <f t="shared" si="151"/>
        <v>0</v>
      </c>
      <c r="R307" s="64">
        <f t="shared" si="143"/>
        <v>0</v>
      </c>
      <c r="S307" s="148">
        <v>15</v>
      </c>
      <c r="T307" s="151" t="s">
        <v>15</v>
      </c>
      <c r="U307" s="65">
        <f>SUMIF('Avoided Costs 2012-2020_EGD'!$A:$A,'2012 Actuals_Auditor'!T307&amp;'2012 Actuals_Auditor'!S307,'Avoided Costs 2012-2020_EGD'!$E:$E)*J307</f>
        <v>15626.282791488673</v>
      </c>
      <c r="V307" s="65">
        <f>SUMIF('Avoided Costs 2012-2020_EGD'!$A:$A,'2012 Actuals_Auditor'!T307&amp;'2012 Actuals_Auditor'!S307,'Avoided Costs 2012-2020_EGD'!$K:$K)*N307</f>
        <v>4766.6615217765011</v>
      </c>
      <c r="W307" s="65">
        <f>SUMIF('Avoided Costs 2012-2020_EGD'!$A:$A,'2012 Actuals_Auditor'!T307&amp;'2012 Actuals_Auditor'!S307,'Avoided Costs 2012-2020_EGD'!$M:$M)*R307</f>
        <v>0</v>
      </c>
      <c r="X307" s="65">
        <f t="shared" si="140"/>
        <v>20392.944313265172</v>
      </c>
      <c r="Y307" s="146">
        <v>6100</v>
      </c>
      <c r="Z307" s="66">
        <f t="shared" si="144"/>
        <v>5368</v>
      </c>
      <c r="AA307" s="66"/>
      <c r="AB307" s="66"/>
      <c r="AC307" s="66"/>
      <c r="AD307" s="66">
        <f t="shared" si="145"/>
        <v>5368</v>
      </c>
      <c r="AE307" s="66">
        <f t="shared" si="146"/>
        <v>15024.944313265172</v>
      </c>
      <c r="AF307" s="101">
        <f t="shared" si="147"/>
        <v>96462.351516671057</v>
      </c>
      <c r="AG307" s="101">
        <f t="shared" si="148"/>
        <v>109616.30854167165</v>
      </c>
    </row>
    <row r="308" spans="1:33" s="68" customFormat="1" x14ac:dyDescent="0.2">
      <c r="A308" s="147" t="s">
        <v>982</v>
      </c>
      <c r="B308" s="147"/>
      <c r="C308" s="147"/>
      <c r="D308" s="148">
        <v>1</v>
      </c>
      <c r="E308" s="149"/>
      <c r="F308" s="150">
        <v>0.12</v>
      </c>
      <c r="G308" s="150"/>
      <c r="H308" s="67">
        <v>69910</v>
      </c>
      <c r="I308" s="67">
        <f>H308</f>
        <v>69910</v>
      </c>
      <c r="J308" s="67">
        <f t="shared" si="141"/>
        <v>61520.800000000003</v>
      </c>
      <c r="K308" s="63"/>
      <c r="L308" s="149">
        <v>0</v>
      </c>
      <c r="M308" s="63">
        <f>L308</f>
        <v>0</v>
      </c>
      <c r="N308" s="63">
        <f t="shared" si="142"/>
        <v>0</v>
      </c>
      <c r="O308" s="69"/>
      <c r="P308" s="149">
        <v>0</v>
      </c>
      <c r="Q308" s="63">
        <f>+P308</f>
        <v>0</v>
      </c>
      <c r="R308" s="64">
        <f t="shared" si="143"/>
        <v>0</v>
      </c>
      <c r="S308" s="148">
        <v>25</v>
      </c>
      <c r="T308" s="151" t="s">
        <v>15</v>
      </c>
      <c r="U308" s="65">
        <f>SUMIF('Avoided Costs 2012-2020_EGD'!$A:$A,'2012 Actuals_Auditor'!T308&amp;'2012 Actuals_Auditor'!S308,'Avoided Costs 2012-2020_EGD'!$E:$E)*J308</f>
        <v>211262.11952909827</v>
      </c>
      <c r="V308" s="65">
        <f>SUMIF('Avoided Costs 2012-2020_EGD'!$A:$A,'2012 Actuals_Auditor'!T308&amp;'2012 Actuals_Auditor'!S308,'Avoided Costs 2012-2020_EGD'!$K:$K)*N308</f>
        <v>0</v>
      </c>
      <c r="W308" s="65">
        <f>SUMIF('Avoided Costs 2012-2020_EGD'!$A:$A,'2012 Actuals_Auditor'!T308&amp;'2012 Actuals_Auditor'!S308,'Avoided Costs 2012-2020_EGD'!$M:$M)*R308</f>
        <v>0</v>
      </c>
      <c r="X308" s="65">
        <f t="shared" si="140"/>
        <v>211262.11952909827</v>
      </c>
      <c r="Y308" s="146">
        <v>9000</v>
      </c>
      <c r="Z308" s="66">
        <f t="shared" si="144"/>
        <v>7920</v>
      </c>
      <c r="AA308" s="66"/>
      <c r="AB308" s="66"/>
      <c r="AC308" s="66"/>
      <c r="AD308" s="66">
        <f t="shared" si="145"/>
        <v>7920</v>
      </c>
      <c r="AE308" s="66">
        <f t="shared" si="146"/>
        <v>203342.11952909827</v>
      </c>
      <c r="AF308" s="101">
        <f t="shared" si="147"/>
        <v>1538020</v>
      </c>
      <c r="AG308" s="101">
        <f t="shared" si="148"/>
        <v>1747750</v>
      </c>
    </row>
    <row r="309" spans="1:33" s="59" customFormat="1" x14ac:dyDescent="0.2">
      <c r="A309" s="152" t="s">
        <v>3</v>
      </c>
      <c r="B309" s="152" t="s">
        <v>983</v>
      </c>
      <c r="C309" s="155"/>
      <c r="D309" s="153">
        <f>SUM(D135:D308)</f>
        <v>173</v>
      </c>
      <c r="E309" s="67"/>
      <c r="F309" s="154"/>
      <c r="G309" s="228"/>
      <c r="H309" s="67">
        <f>SUM(H135:H308)</f>
        <v>2275680</v>
      </c>
      <c r="I309" s="67">
        <f>SUM(I135:I308)</f>
        <v>2183913.8591507301</v>
      </c>
      <c r="J309" s="67">
        <f>SUM(J135:J308)</f>
        <v>1921844.1960526425</v>
      </c>
      <c r="K309" s="64"/>
      <c r="L309" s="67">
        <f>SUM(L135:L308)</f>
        <v>865639</v>
      </c>
      <c r="M309" s="67">
        <f>SUM(M135:M308)</f>
        <v>865639</v>
      </c>
      <c r="N309" s="67">
        <f>SUM(N135:N308)</f>
        <v>761762.32</v>
      </c>
      <c r="O309" s="229"/>
      <c r="P309" s="67">
        <f>SUM(P135:P308)</f>
        <v>0</v>
      </c>
      <c r="Q309" s="67">
        <f>SUM(Q135:Q308)</f>
        <v>0</v>
      </c>
      <c r="R309" s="67">
        <f>SUM(R135:R308)</f>
        <v>0</v>
      </c>
      <c r="S309" s="153"/>
      <c r="T309" s="155"/>
      <c r="U309" s="66">
        <f>SUM(U135:U308)</f>
        <v>4842589.2496462716</v>
      </c>
      <c r="V309" s="66">
        <f>SUM(V135:V308)</f>
        <v>784450.21160629031</v>
      </c>
      <c r="W309" s="66">
        <f>SUM(W135:W308)</f>
        <v>0</v>
      </c>
      <c r="X309" s="66">
        <f>SUM(X135:X308)</f>
        <v>5627039.4612525655</v>
      </c>
      <c r="Y309" s="146"/>
      <c r="Z309" s="66">
        <f>SUM(Z135:Z308)</f>
        <v>1154712.2399999995</v>
      </c>
      <c r="AA309" s="66">
        <v>594218.62</v>
      </c>
      <c r="AB309" s="66">
        <v>5000</v>
      </c>
      <c r="AC309" s="66">
        <f>AB309+AA309</f>
        <v>599218.62</v>
      </c>
      <c r="AD309" s="66">
        <f t="shared" si="145"/>
        <v>1159712.2399999995</v>
      </c>
      <c r="AE309" s="230">
        <f t="shared" si="146"/>
        <v>4467327.2212525662</v>
      </c>
      <c r="AF309" s="101">
        <f>SUM(AF135:AF308)</f>
        <v>30547552.540789641</v>
      </c>
      <c r="AG309" s="101">
        <f>SUM(AG135:AG308)</f>
        <v>34713127.887260944</v>
      </c>
    </row>
    <row r="310" spans="1:33" x14ac:dyDescent="0.2">
      <c r="A310" s="140"/>
      <c r="F310" s="17"/>
      <c r="G310" s="17"/>
      <c r="M310" s="17"/>
      <c r="O310" s="17"/>
      <c r="P310" s="17"/>
      <c r="Q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</row>
    <row r="311" spans="1:33" x14ac:dyDescent="0.2">
      <c r="A311" s="140" t="s">
        <v>1090</v>
      </c>
      <c r="B311" s="10" t="s">
        <v>1091</v>
      </c>
      <c r="K311" s="54"/>
      <c r="L311" s="54"/>
      <c r="O311" s="21"/>
      <c r="P311" s="22"/>
      <c r="R311" s="13"/>
      <c r="S311" s="13"/>
      <c r="Z311" s="57"/>
      <c r="AA311" s="57"/>
      <c r="AC311" s="57"/>
      <c r="AD311" s="57"/>
      <c r="AE311" s="57"/>
      <c r="AF311" s="100"/>
      <c r="AG311" s="100"/>
    </row>
    <row r="312" spans="1:33" s="68" customFormat="1" x14ac:dyDescent="0.2">
      <c r="A312" s="147" t="s">
        <v>1093</v>
      </c>
      <c r="B312" s="147"/>
      <c r="C312" s="147"/>
      <c r="D312" s="148">
        <v>1</v>
      </c>
      <c r="E312" s="149"/>
      <c r="F312" s="150">
        <v>0.12</v>
      </c>
      <c r="G312" s="150"/>
      <c r="H312" s="67">
        <v>14211</v>
      </c>
      <c r="I312" s="67">
        <f t="shared" ref="I312:I329" si="152">+$H$42*H312</f>
        <v>13584.10604478479</v>
      </c>
      <c r="J312" s="67">
        <f t="shared" ref="J312:J330" si="153">I312*(1-F312)</f>
        <v>11954.013319410615</v>
      </c>
      <c r="K312" s="63"/>
      <c r="L312" s="149">
        <v>-5021</v>
      </c>
      <c r="M312" s="63">
        <f t="shared" ref="M312:M329" si="154">+$L$42*L312</f>
        <v>-5021</v>
      </c>
      <c r="N312" s="63">
        <f t="shared" ref="N312:N330" si="155">M312*(1-F312)</f>
        <v>-4418.4800000000005</v>
      </c>
      <c r="O312" s="69"/>
      <c r="P312" s="149">
        <v>0</v>
      </c>
      <c r="Q312" s="63">
        <f t="shared" ref="Q312:Q329" si="156">+P312*$P$42</f>
        <v>0</v>
      </c>
      <c r="R312" s="64">
        <f t="shared" ref="R312:R330" si="157">Q312*(1-F312)</f>
        <v>0</v>
      </c>
      <c r="S312" s="148">
        <v>15</v>
      </c>
      <c r="T312" s="151" t="s">
        <v>15</v>
      </c>
      <c r="U312" s="65">
        <f>SUMIF('Avoided Costs 2012-2020_EGD'!$A:$A,'2012 Actuals_Auditor'!T312&amp;'2012 Actuals_Auditor'!S312,'Avoided Costs 2012-2020_EGD'!$E:$E)*J312</f>
        <v>29047.103302792086</v>
      </c>
      <c r="V312" s="65">
        <f>SUMIF('Avoided Costs 2012-2020_EGD'!$A:$A,'2012 Actuals_Auditor'!T312&amp;'2012 Actuals_Auditor'!S312,'Avoided Costs 2012-2020_EGD'!$K:$K)*N312</f>
        <v>-4550.0774716425494</v>
      </c>
      <c r="W312" s="65">
        <f>SUMIF('Avoided Costs 2012-2020_EGD'!$A:$A,'2012 Actuals_Auditor'!T312&amp;'2012 Actuals_Auditor'!S312,'Avoided Costs 2012-2020_EGD'!$M:$M)*R312</f>
        <v>0</v>
      </c>
      <c r="X312" s="65">
        <f t="shared" ref="X312:X330" si="158">SUM(U312:W312)</f>
        <v>24497.025831149534</v>
      </c>
      <c r="Y312" s="146">
        <v>12221.4</v>
      </c>
      <c r="Z312" s="66">
        <f t="shared" ref="Z312:Z330" si="159">Y312*(1-F312)</f>
        <v>10754.832</v>
      </c>
      <c r="AA312" s="66"/>
      <c r="AB312" s="66"/>
      <c r="AC312" s="66"/>
      <c r="AD312" s="66">
        <f t="shared" ref="AD312:AD331" si="160">Z312+AB312</f>
        <v>10754.832</v>
      </c>
      <c r="AE312" s="66">
        <f t="shared" ref="AE312:AE331" si="161">X312-AD312</f>
        <v>13742.193831149534</v>
      </c>
      <c r="AF312" s="101">
        <f t="shared" ref="AF312:AF330" si="162">J312*S312</f>
        <v>179310.19979115922</v>
      </c>
      <c r="AG312" s="101">
        <f t="shared" ref="AG312:AG330" si="163">(I312*S312)</f>
        <v>203761.59067177185</v>
      </c>
    </row>
    <row r="313" spans="1:33" s="68" customFormat="1" x14ac:dyDescent="0.2">
      <c r="A313" s="147" t="s">
        <v>1094</v>
      </c>
      <c r="B313" s="147"/>
      <c r="C313" s="147"/>
      <c r="D313" s="148">
        <v>1</v>
      </c>
      <c r="E313" s="149"/>
      <c r="F313" s="150">
        <v>0.12</v>
      </c>
      <c r="G313" s="150"/>
      <c r="H313" s="67">
        <v>215256</v>
      </c>
      <c r="I313" s="67">
        <f t="shared" si="152"/>
        <v>205760.3497837024</v>
      </c>
      <c r="J313" s="67">
        <f t="shared" si="153"/>
        <v>181069.1078096581</v>
      </c>
      <c r="K313" s="63"/>
      <c r="L313" s="149">
        <v>-55665</v>
      </c>
      <c r="M313" s="63">
        <f t="shared" si="154"/>
        <v>-55665</v>
      </c>
      <c r="N313" s="63">
        <f t="shared" si="155"/>
        <v>-48985.2</v>
      </c>
      <c r="O313" s="69"/>
      <c r="P313" s="149">
        <v>0</v>
      </c>
      <c r="Q313" s="63">
        <f t="shared" si="156"/>
        <v>0</v>
      </c>
      <c r="R313" s="64">
        <f t="shared" si="157"/>
        <v>0</v>
      </c>
      <c r="S313" s="148">
        <v>15</v>
      </c>
      <c r="T313" s="151" t="s">
        <v>15</v>
      </c>
      <c r="U313" s="65">
        <f>SUMIF('Avoided Costs 2012-2020_EGD'!$A:$A,'2012 Actuals_Auditor'!T313&amp;'2012 Actuals_Auditor'!S313,'Avoided Costs 2012-2020_EGD'!$E:$E)*J313</f>
        <v>439980.52695417724</v>
      </c>
      <c r="V313" s="65">
        <f>SUMIF('Avoided Costs 2012-2020_EGD'!$A:$A,'2012 Actuals_Auditor'!T313&amp;'2012 Actuals_Auditor'!S313,'Avoided Costs 2012-2020_EGD'!$K:$K)*N313</f>
        <v>-50444.14707408534</v>
      </c>
      <c r="W313" s="65">
        <f>SUMIF('Avoided Costs 2012-2020_EGD'!$A:$A,'2012 Actuals_Auditor'!T313&amp;'2012 Actuals_Auditor'!S313,'Avoided Costs 2012-2020_EGD'!$M:$M)*R313</f>
        <v>0</v>
      </c>
      <c r="X313" s="65">
        <f t="shared" ref="X313:X322" si="164">SUM(U313:W313)</f>
        <v>389536.37988009187</v>
      </c>
      <c r="Y313" s="146">
        <v>263330</v>
      </c>
      <c r="Z313" s="66">
        <f t="shared" si="159"/>
        <v>231730.4</v>
      </c>
      <c r="AA313" s="66"/>
      <c r="AB313" s="66"/>
      <c r="AC313" s="66"/>
      <c r="AD313" s="66">
        <f t="shared" si="160"/>
        <v>231730.4</v>
      </c>
      <c r="AE313" s="66">
        <f t="shared" si="161"/>
        <v>157805.97988009188</v>
      </c>
      <c r="AF313" s="101">
        <f t="shared" si="162"/>
        <v>2716036.6171448715</v>
      </c>
      <c r="AG313" s="101">
        <f t="shared" si="163"/>
        <v>3086405.2467555362</v>
      </c>
    </row>
    <row r="314" spans="1:33" s="68" customFormat="1" x14ac:dyDescent="0.2">
      <c r="A314" s="147" t="s">
        <v>1095</v>
      </c>
      <c r="B314" s="147"/>
      <c r="C314" s="147"/>
      <c r="D314" s="148">
        <v>1</v>
      </c>
      <c r="E314" s="149"/>
      <c r="F314" s="150">
        <v>0.12</v>
      </c>
      <c r="G314" s="150"/>
      <c r="H314" s="67">
        <v>101358</v>
      </c>
      <c r="I314" s="67">
        <f t="shared" si="152"/>
        <v>96886.765216191459</v>
      </c>
      <c r="J314" s="67">
        <f t="shared" si="153"/>
        <v>85260.353390248478</v>
      </c>
      <c r="K314" s="63"/>
      <c r="L314" s="149">
        <v>-56227</v>
      </c>
      <c r="M314" s="63">
        <f t="shared" si="154"/>
        <v>-56227</v>
      </c>
      <c r="N314" s="63">
        <f t="shared" si="155"/>
        <v>-49479.76</v>
      </c>
      <c r="O314" s="69"/>
      <c r="P314" s="149">
        <v>0</v>
      </c>
      <c r="Q314" s="63">
        <f t="shared" si="156"/>
        <v>0</v>
      </c>
      <c r="R314" s="64">
        <f t="shared" si="157"/>
        <v>0</v>
      </c>
      <c r="S314" s="148">
        <v>15</v>
      </c>
      <c r="T314" s="151" t="s">
        <v>15</v>
      </c>
      <c r="U314" s="65">
        <f>SUMIF('Avoided Costs 2012-2020_EGD'!$A:$A,'2012 Actuals_Auditor'!T314&amp;'2012 Actuals_Auditor'!S314,'Avoided Costs 2012-2020_EGD'!$E:$E)*J314</f>
        <v>207174.46320205476</v>
      </c>
      <c r="V314" s="65">
        <f>SUMIF('Avoided Costs 2012-2020_EGD'!$A:$A,'2012 Actuals_Auditor'!T314&amp;'2012 Actuals_Auditor'!S314,'Avoided Costs 2012-2020_EGD'!$K:$K)*N314</f>
        <v>-50953.436765195307</v>
      </c>
      <c r="W314" s="65">
        <f>SUMIF('Avoided Costs 2012-2020_EGD'!$A:$A,'2012 Actuals_Auditor'!T314&amp;'2012 Actuals_Auditor'!S314,'Avoided Costs 2012-2020_EGD'!$M:$M)*R314</f>
        <v>0</v>
      </c>
      <c r="X314" s="65">
        <f t="shared" si="164"/>
        <v>156221.02643685945</v>
      </c>
      <c r="Y314" s="146">
        <v>213968</v>
      </c>
      <c r="Z314" s="66">
        <f t="shared" si="159"/>
        <v>188291.84</v>
      </c>
      <c r="AA314" s="66"/>
      <c r="AB314" s="66"/>
      <c r="AC314" s="66"/>
      <c r="AD314" s="66">
        <f t="shared" si="160"/>
        <v>188291.84</v>
      </c>
      <c r="AE314" s="66">
        <f t="shared" si="161"/>
        <v>-32070.813563140546</v>
      </c>
      <c r="AF314" s="101">
        <f t="shared" si="162"/>
        <v>1278905.3008537272</v>
      </c>
      <c r="AG314" s="101">
        <f t="shared" si="163"/>
        <v>1453301.4782428718</v>
      </c>
    </row>
    <row r="315" spans="1:33" s="68" customFormat="1" x14ac:dyDescent="0.2">
      <c r="A315" s="147" t="s">
        <v>1096</v>
      </c>
      <c r="B315" s="147"/>
      <c r="C315" s="147"/>
      <c r="D315" s="148">
        <v>1</v>
      </c>
      <c r="E315" s="149"/>
      <c r="F315" s="150">
        <v>0.12</v>
      </c>
      <c r="G315" s="150"/>
      <c r="H315" s="67">
        <v>3629</v>
      </c>
      <c r="I315" s="67">
        <f t="shared" si="152"/>
        <v>3468.9128728818523</v>
      </c>
      <c r="J315" s="67">
        <f t="shared" si="153"/>
        <v>3052.64332813603</v>
      </c>
      <c r="K315" s="63"/>
      <c r="L315" s="149">
        <v>0</v>
      </c>
      <c r="M315" s="63">
        <f t="shared" si="154"/>
        <v>0</v>
      </c>
      <c r="N315" s="63">
        <f t="shared" si="155"/>
        <v>0</v>
      </c>
      <c r="O315" s="69"/>
      <c r="P315" s="149">
        <v>0</v>
      </c>
      <c r="Q315" s="63">
        <f t="shared" si="156"/>
        <v>0</v>
      </c>
      <c r="R315" s="64">
        <f t="shared" si="157"/>
        <v>0</v>
      </c>
      <c r="S315" s="148">
        <v>25</v>
      </c>
      <c r="T315" s="151" t="s">
        <v>52</v>
      </c>
      <c r="U315" s="65">
        <f>SUMIF('Avoided Costs 2012-2020_EGD'!$A:$A,'2012 Actuals_Auditor'!T315&amp;'2012 Actuals_Auditor'!S315,'Avoided Costs 2012-2020_EGD'!$E:$E)*J315</f>
        <v>9850.24390367265</v>
      </c>
      <c r="V315" s="65">
        <f>SUMIF('Avoided Costs 2012-2020_EGD'!$A:$A,'2012 Actuals_Auditor'!T315&amp;'2012 Actuals_Auditor'!S315,'Avoided Costs 2012-2020_EGD'!$K:$K)*N315</f>
        <v>0</v>
      </c>
      <c r="W315" s="65">
        <f>SUMIF('Avoided Costs 2012-2020_EGD'!$A:$A,'2012 Actuals_Auditor'!T315&amp;'2012 Actuals_Auditor'!S315,'Avoided Costs 2012-2020_EGD'!$M:$M)*R315</f>
        <v>0</v>
      </c>
      <c r="X315" s="65">
        <f t="shared" si="164"/>
        <v>9850.24390367265</v>
      </c>
      <c r="Y315" s="146">
        <v>7245</v>
      </c>
      <c r="Z315" s="66">
        <f t="shared" si="159"/>
        <v>6375.6</v>
      </c>
      <c r="AA315" s="66"/>
      <c r="AB315" s="66"/>
      <c r="AC315" s="66"/>
      <c r="AD315" s="66">
        <f t="shared" si="160"/>
        <v>6375.6</v>
      </c>
      <c r="AE315" s="66">
        <f t="shared" si="161"/>
        <v>3474.6439036726497</v>
      </c>
      <c r="AF315" s="101">
        <f t="shared" si="162"/>
        <v>76316.083203400747</v>
      </c>
      <c r="AG315" s="101">
        <f t="shared" si="163"/>
        <v>86722.821822046302</v>
      </c>
    </row>
    <row r="316" spans="1:33" s="68" customFormat="1" x14ac:dyDescent="0.2">
      <c r="A316" s="147" t="s">
        <v>1097</v>
      </c>
      <c r="B316" s="147"/>
      <c r="C316" s="147"/>
      <c r="D316" s="148">
        <v>1</v>
      </c>
      <c r="E316" s="149"/>
      <c r="F316" s="150">
        <v>0.12</v>
      </c>
      <c r="G316" s="150"/>
      <c r="H316" s="67">
        <v>32555</v>
      </c>
      <c r="I316" s="67">
        <f t="shared" si="152"/>
        <v>31118.89186460973</v>
      </c>
      <c r="J316" s="67">
        <f t="shared" si="153"/>
        <v>27384.624840856563</v>
      </c>
      <c r="K316" s="63"/>
      <c r="L316" s="149">
        <v>-3463</v>
      </c>
      <c r="M316" s="63">
        <f t="shared" si="154"/>
        <v>-3463</v>
      </c>
      <c r="N316" s="63">
        <f t="shared" si="155"/>
        <v>-3047.44</v>
      </c>
      <c r="O316" s="69"/>
      <c r="P316" s="149">
        <v>0</v>
      </c>
      <c r="Q316" s="63">
        <f t="shared" si="156"/>
        <v>0</v>
      </c>
      <c r="R316" s="64">
        <f t="shared" si="157"/>
        <v>0</v>
      </c>
      <c r="S316" s="148">
        <v>15</v>
      </c>
      <c r="T316" s="151" t="s">
        <v>15</v>
      </c>
      <c r="U316" s="65">
        <f>SUMIF('Avoided Costs 2012-2020_EGD'!$A:$A,'2012 Actuals_Auditor'!T316&amp;'2012 Actuals_Auditor'!S316,'Avoided Costs 2012-2020_EGD'!$E:$E)*J316</f>
        <v>66542.006053226127</v>
      </c>
      <c r="V316" s="65">
        <f>SUMIF('Avoided Costs 2012-2020_EGD'!$A:$A,'2012 Actuals_Auditor'!T316&amp;'2012 Actuals_Auditor'!S316,'Avoided Costs 2012-2020_EGD'!$K:$K)*N316</f>
        <v>-3138.2032034053273</v>
      </c>
      <c r="W316" s="65">
        <f>SUMIF('Avoided Costs 2012-2020_EGD'!$A:$A,'2012 Actuals_Auditor'!T316&amp;'2012 Actuals_Auditor'!S316,'Avoided Costs 2012-2020_EGD'!$M:$M)*R316</f>
        <v>0</v>
      </c>
      <c r="X316" s="65">
        <f t="shared" si="164"/>
        <v>63403.8028498208</v>
      </c>
      <c r="Y316" s="146">
        <v>21767</v>
      </c>
      <c r="Z316" s="66">
        <f t="shared" si="159"/>
        <v>19154.96</v>
      </c>
      <c r="AA316" s="66"/>
      <c r="AB316" s="66"/>
      <c r="AC316" s="66"/>
      <c r="AD316" s="66">
        <f t="shared" si="160"/>
        <v>19154.96</v>
      </c>
      <c r="AE316" s="66">
        <f t="shared" si="161"/>
        <v>44248.842849820801</v>
      </c>
      <c r="AF316" s="101">
        <f t="shared" si="162"/>
        <v>410769.37261284841</v>
      </c>
      <c r="AG316" s="101">
        <f t="shared" si="163"/>
        <v>466783.37796914595</v>
      </c>
    </row>
    <row r="317" spans="1:33" s="68" customFormat="1" x14ac:dyDescent="0.2">
      <c r="A317" s="147" t="s">
        <v>1098</v>
      </c>
      <c r="B317" s="147"/>
      <c r="C317" s="147"/>
      <c r="D317" s="148">
        <v>1</v>
      </c>
      <c r="E317" s="149"/>
      <c r="F317" s="150">
        <v>0.12</v>
      </c>
      <c r="G317" s="150"/>
      <c r="H317" s="67">
        <v>6939</v>
      </c>
      <c r="I317" s="67">
        <f t="shared" si="152"/>
        <v>6632.8978850722442</v>
      </c>
      <c r="J317" s="67">
        <f t="shared" si="153"/>
        <v>5836.9501388635754</v>
      </c>
      <c r="K317" s="63"/>
      <c r="L317" s="149">
        <v>-12071</v>
      </c>
      <c r="M317" s="63">
        <f t="shared" si="154"/>
        <v>-12071</v>
      </c>
      <c r="N317" s="63">
        <f t="shared" si="155"/>
        <v>-10622.48</v>
      </c>
      <c r="O317" s="69"/>
      <c r="P317" s="149">
        <v>0</v>
      </c>
      <c r="Q317" s="63">
        <f t="shared" si="156"/>
        <v>0</v>
      </c>
      <c r="R317" s="64">
        <f t="shared" si="157"/>
        <v>0</v>
      </c>
      <c r="S317" s="148">
        <v>15</v>
      </c>
      <c r="T317" s="151" t="s">
        <v>15</v>
      </c>
      <c r="U317" s="65">
        <f>SUMIF('Avoided Costs 2012-2020_EGD'!$A:$A,'2012 Actuals_Auditor'!T317&amp;'2012 Actuals_Auditor'!S317,'Avoided Costs 2012-2020_EGD'!$E:$E)*J317</f>
        <v>14183.227768494427</v>
      </c>
      <c r="V317" s="65">
        <f>SUMIF('Avoided Costs 2012-2020_EGD'!$A:$A,'2012 Actuals_Auditor'!T317&amp;'2012 Actuals_Auditor'!S317,'Avoided Costs 2012-2020_EGD'!$K:$K)*N317</f>
        <v>-10938.853845886717</v>
      </c>
      <c r="W317" s="65">
        <f>SUMIF('Avoided Costs 2012-2020_EGD'!$A:$A,'2012 Actuals_Auditor'!T317&amp;'2012 Actuals_Auditor'!S317,'Avoided Costs 2012-2020_EGD'!$M:$M)*R317</f>
        <v>0</v>
      </c>
      <c r="X317" s="65">
        <f t="shared" si="164"/>
        <v>3244.3739226077105</v>
      </c>
      <c r="Y317" s="146">
        <v>0</v>
      </c>
      <c r="Z317" s="66">
        <f t="shared" si="159"/>
        <v>0</v>
      </c>
      <c r="AA317" s="66"/>
      <c r="AB317" s="66"/>
      <c r="AC317" s="66"/>
      <c r="AD317" s="66">
        <f t="shared" si="160"/>
        <v>0</v>
      </c>
      <c r="AE317" s="66">
        <f t="shared" si="161"/>
        <v>3244.3739226077105</v>
      </c>
      <c r="AF317" s="101">
        <f t="shared" si="162"/>
        <v>87554.252082953637</v>
      </c>
      <c r="AG317" s="101">
        <f t="shared" si="163"/>
        <v>99493.468276083659</v>
      </c>
    </row>
    <row r="318" spans="1:33" s="68" customFormat="1" x14ac:dyDescent="0.2">
      <c r="A318" s="147" t="s">
        <v>1099</v>
      </c>
      <c r="B318" s="147"/>
      <c r="C318" s="147"/>
      <c r="D318" s="148">
        <v>1</v>
      </c>
      <c r="E318" s="149"/>
      <c r="F318" s="150">
        <v>0.12</v>
      </c>
      <c r="G318" s="150"/>
      <c r="H318" s="67">
        <v>34440</v>
      </c>
      <c r="I318" s="67">
        <f t="shared" si="152"/>
        <v>32920.738314150178</v>
      </c>
      <c r="J318" s="67">
        <f t="shared" si="153"/>
        <v>28970.249716452156</v>
      </c>
      <c r="K318" s="63"/>
      <c r="L318" s="149">
        <v>-13786</v>
      </c>
      <c r="M318" s="63">
        <f t="shared" si="154"/>
        <v>-13786</v>
      </c>
      <c r="N318" s="63">
        <f t="shared" si="155"/>
        <v>-12131.68</v>
      </c>
      <c r="O318" s="69"/>
      <c r="P318" s="149">
        <v>0</v>
      </c>
      <c r="Q318" s="63">
        <f t="shared" si="156"/>
        <v>0</v>
      </c>
      <c r="R318" s="64">
        <f t="shared" si="157"/>
        <v>0</v>
      </c>
      <c r="S318" s="148">
        <v>15</v>
      </c>
      <c r="T318" s="151" t="s">
        <v>15</v>
      </c>
      <c r="U318" s="65">
        <f>SUMIF('Avoided Costs 2012-2020_EGD'!$A:$A,'2012 Actuals_Auditor'!T318&amp;'2012 Actuals_Auditor'!S318,'Avoided Costs 2012-2020_EGD'!$E:$E)*J318</f>
        <v>70394.922084875056</v>
      </c>
      <c r="V318" s="65">
        <f>SUMIF('Avoided Costs 2012-2020_EGD'!$A:$A,'2012 Actuals_Auditor'!T318&amp;'2012 Actuals_Auditor'!S318,'Avoided Costs 2012-2020_EGD'!$K:$K)*N318</f>
        <v>-12493.002992245407</v>
      </c>
      <c r="W318" s="65">
        <f>SUMIF('Avoided Costs 2012-2020_EGD'!$A:$A,'2012 Actuals_Auditor'!T318&amp;'2012 Actuals_Auditor'!S318,'Avoided Costs 2012-2020_EGD'!$M:$M)*R318</f>
        <v>0</v>
      </c>
      <c r="X318" s="65">
        <f t="shared" si="164"/>
        <v>57901.919092629651</v>
      </c>
      <c r="Y318" s="146">
        <v>40414</v>
      </c>
      <c r="Z318" s="66">
        <f t="shared" si="159"/>
        <v>35564.32</v>
      </c>
      <c r="AA318" s="66"/>
      <c r="AB318" s="66"/>
      <c r="AC318" s="66"/>
      <c r="AD318" s="66">
        <f t="shared" si="160"/>
        <v>35564.32</v>
      </c>
      <c r="AE318" s="66">
        <f t="shared" si="161"/>
        <v>22337.599092629651</v>
      </c>
      <c r="AF318" s="101">
        <f t="shared" si="162"/>
        <v>434553.74574678234</v>
      </c>
      <c r="AG318" s="101">
        <f t="shared" si="163"/>
        <v>493811.07471225265</v>
      </c>
    </row>
    <row r="319" spans="1:33" s="68" customFormat="1" x14ac:dyDescent="0.2">
      <c r="A319" s="147" t="s">
        <v>1100</v>
      </c>
      <c r="B319" s="147"/>
      <c r="C319" s="147"/>
      <c r="D319" s="148">
        <v>1</v>
      </c>
      <c r="E319" s="149"/>
      <c r="F319" s="150">
        <v>0.12</v>
      </c>
      <c r="G319" s="150"/>
      <c r="H319" s="67">
        <v>8620</v>
      </c>
      <c r="I319" s="67">
        <f t="shared" si="152"/>
        <v>8239.7434456438605</v>
      </c>
      <c r="J319" s="67">
        <f t="shared" si="153"/>
        <v>7250.9742321665972</v>
      </c>
      <c r="K319" s="63"/>
      <c r="L319" s="149">
        <v>-8098</v>
      </c>
      <c r="M319" s="63">
        <f t="shared" si="154"/>
        <v>-8098</v>
      </c>
      <c r="N319" s="63">
        <f t="shared" si="155"/>
        <v>-7126.24</v>
      </c>
      <c r="O319" s="69"/>
      <c r="P319" s="149">
        <v>0</v>
      </c>
      <c r="Q319" s="63">
        <f t="shared" si="156"/>
        <v>0</v>
      </c>
      <c r="R319" s="64">
        <f t="shared" si="157"/>
        <v>0</v>
      </c>
      <c r="S319" s="148">
        <v>15</v>
      </c>
      <c r="T319" s="151" t="s">
        <v>15</v>
      </c>
      <c r="U319" s="65">
        <f>SUMIF('Avoided Costs 2012-2020_EGD'!$A:$A,'2012 Actuals_Auditor'!T319&amp;'2012 Actuals_Auditor'!S319,'Avoided Costs 2012-2020_EGD'!$E:$E)*J319</f>
        <v>17619.17039406571</v>
      </c>
      <c r="V319" s="65">
        <f>SUMIF('Avoided Costs 2012-2020_EGD'!$A:$A,'2012 Actuals_Auditor'!T319&amp;'2012 Actuals_Auditor'!S319,'Avoided Costs 2012-2020_EGD'!$K:$K)*N319</f>
        <v>-7338.4838409403228</v>
      </c>
      <c r="W319" s="65">
        <f>SUMIF('Avoided Costs 2012-2020_EGD'!$A:$A,'2012 Actuals_Auditor'!T319&amp;'2012 Actuals_Auditor'!S319,'Avoided Costs 2012-2020_EGD'!$M:$M)*R319</f>
        <v>0</v>
      </c>
      <c r="X319" s="65">
        <f t="shared" si="164"/>
        <v>10280.686553125386</v>
      </c>
      <c r="Y319" s="146">
        <v>9753</v>
      </c>
      <c r="Z319" s="66">
        <f t="shared" si="159"/>
        <v>8582.64</v>
      </c>
      <c r="AA319" s="66"/>
      <c r="AB319" s="66"/>
      <c r="AC319" s="66"/>
      <c r="AD319" s="66">
        <f t="shared" si="160"/>
        <v>8582.64</v>
      </c>
      <c r="AE319" s="66">
        <f t="shared" si="161"/>
        <v>1698.0465531253867</v>
      </c>
      <c r="AF319" s="101">
        <f t="shared" si="162"/>
        <v>108764.61348249896</v>
      </c>
      <c r="AG319" s="101">
        <f t="shared" si="163"/>
        <v>123596.1516846579</v>
      </c>
    </row>
    <row r="320" spans="1:33" s="68" customFormat="1" x14ac:dyDescent="0.2">
      <c r="A320" s="147" t="s">
        <v>1101</v>
      </c>
      <c r="B320" s="147"/>
      <c r="C320" s="147"/>
      <c r="D320" s="148">
        <v>1</v>
      </c>
      <c r="E320" s="149"/>
      <c r="F320" s="150">
        <v>0.12</v>
      </c>
      <c r="G320" s="150"/>
      <c r="H320" s="67">
        <v>19273</v>
      </c>
      <c r="I320" s="67">
        <f t="shared" si="152"/>
        <v>18422.804574001639</v>
      </c>
      <c r="J320" s="67">
        <f t="shared" si="153"/>
        <v>16212.068025121442</v>
      </c>
      <c r="K320" s="63"/>
      <c r="L320" s="149">
        <v>-4082</v>
      </c>
      <c r="M320" s="63">
        <f t="shared" si="154"/>
        <v>-4082</v>
      </c>
      <c r="N320" s="63">
        <f t="shared" si="155"/>
        <v>-3592.16</v>
      </c>
      <c r="O320" s="69"/>
      <c r="P320" s="149">
        <v>0</v>
      </c>
      <c r="Q320" s="63">
        <f t="shared" si="156"/>
        <v>0</v>
      </c>
      <c r="R320" s="64">
        <f t="shared" si="157"/>
        <v>0</v>
      </c>
      <c r="S320" s="148">
        <v>15</v>
      </c>
      <c r="T320" s="151" t="s">
        <v>15</v>
      </c>
      <c r="U320" s="65">
        <f>SUMIF('Avoided Costs 2012-2020_EGD'!$A:$A,'2012 Actuals_Auditor'!T320&amp;'2012 Actuals_Auditor'!S320,'Avoided Costs 2012-2020_EGD'!$E:$E)*J320</f>
        <v>39393.766937915134</v>
      </c>
      <c r="V320" s="65">
        <f>SUMIF('Avoided Costs 2012-2020_EGD'!$A:$A,'2012 Actuals_Auditor'!T320&amp;'2012 Actuals_Auditor'!S320,'Avoided Costs 2012-2020_EGD'!$K:$K)*N320</f>
        <v>-3699.1468311581129</v>
      </c>
      <c r="W320" s="65">
        <f>SUMIF('Avoided Costs 2012-2020_EGD'!$A:$A,'2012 Actuals_Auditor'!T320&amp;'2012 Actuals_Auditor'!S320,'Avoided Costs 2012-2020_EGD'!$M:$M)*R320</f>
        <v>0</v>
      </c>
      <c r="X320" s="65">
        <f t="shared" si="164"/>
        <v>35694.620106757022</v>
      </c>
      <c r="Y320" s="146">
        <v>12700</v>
      </c>
      <c r="Z320" s="66">
        <f t="shared" si="159"/>
        <v>11176</v>
      </c>
      <c r="AA320" s="66"/>
      <c r="AB320" s="66"/>
      <c r="AC320" s="66"/>
      <c r="AD320" s="66">
        <f t="shared" si="160"/>
        <v>11176</v>
      </c>
      <c r="AE320" s="66">
        <f t="shared" si="161"/>
        <v>24518.620106757022</v>
      </c>
      <c r="AF320" s="101">
        <f t="shared" si="162"/>
        <v>243181.02037682163</v>
      </c>
      <c r="AG320" s="101">
        <f t="shared" si="163"/>
        <v>276342.06861002458</v>
      </c>
    </row>
    <row r="321" spans="1:33" s="68" customFormat="1" x14ac:dyDescent="0.2">
      <c r="A321" s="147" t="s">
        <v>1102</v>
      </c>
      <c r="B321" s="147"/>
      <c r="C321" s="147"/>
      <c r="D321" s="148">
        <v>1</v>
      </c>
      <c r="E321" s="149"/>
      <c r="F321" s="150">
        <v>0.12</v>
      </c>
      <c r="G321" s="150"/>
      <c r="H321" s="67">
        <v>89324</v>
      </c>
      <c r="I321" s="67">
        <f t="shared" si="152"/>
        <v>85383.624540451521</v>
      </c>
      <c r="J321" s="67">
        <f t="shared" si="153"/>
        <v>75137.589595597339</v>
      </c>
      <c r="K321" s="63"/>
      <c r="L321" s="149">
        <v>-14114</v>
      </c>
      <c r="M321" s="63">
        <f t="shared" si="154"/>
        <v>-14114</v>
      </c>
      <c r="N321" s="63">
        <f t="shared" si="155"/>
        <v>-12420.32</v>
      </c>
      <c r="O321" s="69"/>
      <c r="P321" s="149">
        <v>0</v>
      </c>
      <c r="Q321" s="63">
        <f t="shared" si="156"/>
        <v>0</v>
      </c>
      <c r="R321" s="64">
        <f t="shared" si="157"/>
        <v>0</v>
      </c>
      <c r="S321" s="148">
        <v>15</v>
      </c>
      <c r="T321" s="151" t="s">
        <v>15</v>
      </c>
      <c r="U321" s="65">
        <f>SUMIF('Avoided Costs 2012-2020_EGD'!$A:$A,'2012 Actuals_Auditor'!T321&amp;'2012 Actuals_Auditor'!S321,'Avoided Costs 2012-2020_EGD'!$E:$E)*J321</f>
        <v>182577.12021804237</v>
      </c>
      <c r="V321" s="65">
        <f>SUMIF('Avoided Costs 2012-2020_EGD'!$A:$A,'2012 Actuals_Auditor'!T321&amp;'2012 Actuals_Auditor'!S321,'Avoided Costs 2012-2020_EGD'!$K:$K)*N321</f>
        <v>-12790.239680295348</v>
      </c>
      <c r="W321" s="65">
        <f>SUMIF('Avoided Costs 2012-2020_EGD'!$A:$A,'2012 Actuals_Auditor'!T321&amp;'2012 Actuals_Auditor'!S321,'Avoided Costs 2012-2020_EGD'!$M:$M)*R321</f>
        <v>0</v>
      </c>
      <c r="X321" s="65">
        <f t="shared" si="164"/>
        <v>169786.88053774703</v>
      </c>
      <c r="Y321" s="146">
        <v>38348</v>
      </c>
      <c r="Z321" s="66">
        <f t="shared" si="159"/>
        <v>33746.239999999998</v>
      </c>
      <c r="AA321" s="66"/>
      <c r="AB321" s="66"/>
      <c r="AC321" s="66"/>
      <c r="AD321" s="66">
        <f t="shared" si="160"/>
        <v>33746.239999999998</v>
      </c>
      <c r="AE321" s="66">
        <f t="shared" si="161"/>
        <v>136040.64053774704</v>
      </c>
      <c r="AF321" s="101">
        <f t="shared" si="162"/>
        <v>1127063.8439339602</v>
      </c>
      <c r="AG321" s="101">
        <f t="shared" si="163"/>
        <v>1280754.3681067729</v>
      </c>
    </row>
    <row r="322" spans="1:33" s="68" customFormat="1" x14ac:dyDescent="0.2">
      <c r="A322" s="147" t="s">
        <v>1103</v>
      </c>
      <c r="B322" s="147"/>
      <c r="C322" s="147"/>
      <c r="D322" s="148">
        <v>1</v>
      </c>
      <c r="E322" s="149"/>
      <c r="F322" s="150">
        <v>0.12</v>
      </c>
      <c r="G322" s="150"/>
      <c r="H322" s="67">
        <v>36395</v>
      </c>
      <c r="I322" s="67">
        <f t="shared" si="152"/>
        <v>34789.496833434838</v>
      </c>
      <c r="J322" s="67">
        <f t="shared" si="153"/>
        <v>30614.757213422658</v>
      </c>
      <c r="K322" s="63"/>
      <c r="L322" s="149">
        <v>0</v>
      </c>
      <c r="M322" s="63">
        <f t="shared" si="154"/>
        <v>0</v>
      </c>
      <c r="N322" s="63">
        <f t="shared" si="155"/>
        <v>0</v>
      </c>
      <c r="O322" s="69"/>
      <c r="P322" s="149">
        <v>0</v>
      </c>
      <c r="Q322" s="63">
        <f t="shared" si="156"/>
        <v>0</v>
      </c>
      <c r="R322" s="64">
        <f t="shared" si="157"/>
        <v>0</v>
      </c>
      <c r="S322" s="148">
        <v>15</v>
      </c>
      <c r="T322" s="151" t="s">
        <v>15</v>
      </c>
      <c r="U322" s="65">
        <f>SUMIF('Avoided Costs 2012-2020_EGD'!$A:$A,'2012 Actuals_Auditor'!T322&amp;'2012 Actuals_Auditor'!S322,'Avoided Costs 2012-2020_EGD'!$E:$E)*J322</f>
        <v>74390.917226452613</v>
      </c>
      <c r="V322" s="65">
        <f>SUMIF('Avoided Costs 2012-2020_EGD'!$A:$A,'2012 Actuals_Auditor'!T322&amp;'2012 Actuals_Auditor'!S322,'Avoided Costs 2012-2020_EGD'!$K:$K)*N322</f>
        <v>0</v>
      </c>
      <c r="W322" s="65">
        <f>SUMIF('Avoided Costs 2012-2020_EGD'!$A:$A,'2012 Actuals_Auditor'!T322&amp;'2012 Actuals_Auditor'!S322,'Avoided Costs 2012-2020_EGD'!$M:$M)*R322</f>
        <v>0</v>
      </c>
      <c r="X322" s="65">
        <f t="shared" si="164"/>
        <v>74390.917226452613</v>
      </c>
      <c r="Y322" s="146">
        <v>13538</v>
      </c>
      <c r="Z322" s="66">
        <f t="shared" si="159"/>
        <v>11913.44</v>
      </c>
      <c r="AA322" s="66"/>
      <c r="AB322" s="66"/>
      <c r="AC322" s="66"/>
      <c r="AD322" s="66">
        <f t="shared" si="160"/>
        <v>11913.44</v>
      </c>
      <c r="AE322" s="66">
        <f t="shared" si="161"/>
        <v>62477.477226452611</v>
      </c>
      <c r="AF322" s="101">
        <f t="shared" si="162"/>
        <v>459221.35820133984</v>
      </c>
      <c r="AG322" s="101">
        <f t="shared" si="163"/>
        <v>521842.45250152255</v>
      </c>
    </row>
    <row r="323" spans="1:33" s="68" customFormat="1" x14ac:dyDescent="0.2">
      <c r="A323" s="147" t="s">
        <v>1104</v>
      </c>
      <c r="B323" s="147"/>
      <c r="C323" s="147"/>
      <c r="D323" s="148">
        <v>1</v>
      </c>
      <c r="E323" s="149"/>
      <c r="F323" s="150">
        <v>0.12</v>
      </c>
      <c r="G323" s="150"/>
      <c r="H323" s="67">
        <v>69304</v>
      </c>
      <c r="I323" s="67">
        <f t="shared" si="152"/>
        <v>66246.772593608126</v>
      </c>
      <c r="J323" s="67">
        <f t="shared" si="153"/>
        <v>58297.159882375148</v>
      </c>
      <c r="K323" s="63"/>
      <c r="L323" s="149">
        <v>-8935</v>
      </c>
      <c r="M323" s="63">
        <f t="shared" si="154"/>
        <v>-8935</v>
      </c>
      <c r="N323" s="63">
        <f t="shared" si="155"/>
        <v>-7862.8</v>
      </c>
      <c r="O323" s="69"/>
      <c r="P323" s="149">
        <v>0</v>
      </c>
      <c r="Q323" s="63">
        <f t="shared" si="156"/>
        <v>0</v>
      </c>
      <c r="R323" s="64">
        <f t="shared" si="157"/>
        <v>0</v>
      </c>
      <c r="S323" s="148">
        <v>15</v>
      </c>
      <c r="T323" s="151" t="s">
        <v>15</v>
      </c>
      <c r="U323" s="65">
        <f>SUMIF('Avoided Costs 2012-2020_EGD'!$A:$A,'2012 Actuals_Auditor'!T323&amp;'2012 Actuals_Auditor'!S323,'Avoided Costs 2012-2020_EGD'!$E:$E)*J323</f>
        <v>141656.49477846053</v>
      </c>
      <c r="V323" s="65">
        <f>SUMIF('Avoided Costs 2012-2020_EGD'!$A:$A,'2012 Actuals_Auditor'!T323&amp;'2012 Actuals_Auditor'!S323,'Avoided Costs 2012-2020_EGD'!$K:$K)*N323</f>
        <v>-8096.9811211165461</v>
      </c>
      <c r="W323" s="65">
        <f>SUMIF('Avoided Costs 2012-2020_EGD'!$A:$A,'2012 Actuals_Auditor'!T323&amp;'2012 Actuals_Auditor'!S323,'Avoided Costs 2012-2020_EGD'!$M:$M)*R323</f>
        <v>0</v>
      </c>
      <c r="X323" s="65">
        <f t="shared" si="158"/>
        <v>133559.51365734398</v>
      </c>
      <c r="Y323" s="146">
        <v>60625</v>
      </c>
      <c r="Z323" s="66">
        <f t="shared" si="159"/>
        <v>53350</v>
      </c>
      <c r="AA323" s="66"/>
      <c r="AB323" s="66"/>
      <c r="AC323" s="66"/>
      <c r="AD323" s="66">
        <f t="shared" si="160"/>
        <v>53350</v>
      </c>
      <c r="AE323" s="66">
        <f t="shared" si="161"/>
        <v>80209.513657343981</v>
      </c>
      <c r="AF323" s="101">
        <f t="shared" si="162"/>
        <v>874457.39823562722</v>
      </c>
      <c r="AG323" s="101">
        <f t="shared" si="163"/>
        <v>993701.58890412189</v>
      </c>
    </row>
    <row r="324" spans="1:33" s="68" customFormat="1" x14ac:dyDescent="0.2">
      <c r="A324" s="147" t="s">
        <v>1105</v>
      </c>
      <c r="B324" s="147"/>
      <c r="C324" s="147"/>
      <c r="D324" s="148">
        <v>1</v>
      </c>
      <c r="E324" s="149"/>
      <c r="F324" s="150">
        <v>0.12</v>
      </c>
      <c r="G324" s="150"/>
      <c r="H324" s="67">
        <v>48032</v>
      </c>
      <c r="I324" s="67">
        <f t="shared" si="152"/>
        <v>45913.150485054044</v>
      </c>
      <c r="J324" s="67">
        <f t="shared" si="153"/>
        <v>40403.572426847561</v>
      </c>
      <c r="K324" s="63"/>
      <c r="L324" s="149">
        <v>-21340</v>
      </c>
      <c r="M324" s="63">
        <f t="shared" si="154"/>
        <v>-21340</v>
      </c>
      <c r="N324" s="63">
        <f t="shared" si="155"/>
        <v>-18779.2</v>
      </c>
      <c r="O324" s="69"/>
      <c r="P324" s="149">
        <v>0</v>
      </c>
      <c r="Q324" s="63">
        <f t="shared" si="156"/>
        <v>0</v>
      </c>
      <c r="R324" s="64">
        <f t="shared" si="157"/>
        <v>0</v>
      </c>
      <c r="S324" s="148">
        <v>15</v>
      </c>
      <c r="T324" s="151" t="s">
        <v>15</v>
      </c>
      <c r="U324" s="65">
        <f>SUMIF('Avoided Costs 2012-2020_EGD'!$A:$A,'2012 Actuals_Auditor'!T324&amp;'2012 Actuals_Auditor'!S324,'Avoided Costs 2012-2020_EGD'!$E:$E)*J324</f>
        <v>98176.797258441307</v>
      </c>
      <c r="V324" s="65">
        <f>SUMIF('Avoided Costs 2012-2020_EGD'!$A:$A,'2012 Actuals_Auditor'!T324&amp;'2012 Actuals_Auditor'!S324,'Avoided Costs 2012-2020_EGD'!$K:$K)*N324</f>
        <v>-19338.508911541925</v>
      </c>
      <c r="W324" s="65">
        <f>SUMIF('Avoided Costs 2012-2020_EGD'!$A:$A,'2012 Actuals_Auditor'!T324&amp;'2012 Actuals_Auditor'!S324,'Avoided Costs 2012-2020_EGD'!$M:$M)*R324</f>
        <v>0</v>
      </c>
      <c r="X324" s="65">
        <f t="shared" si="158"/>
        <v>78838.288346899382</v>
      </c>
      <c r="Y324" s="146">
        <v>64382.5</v>
      </c>
      <c r="Z324" s="66">
        <f t="shared" si="159"/>
        <v>56656.6</v>
      </c>
      <c r="AA324" s="66"/>
      <c r="AB324" s="66"/>
      <c r="AC324" s="66"/>
      <c r="AD324" s="66">
        <f t="shared" si="160"/>
        <v>56656.6</v>
      </c>
      <c r="AE324" s="66">
        <f t="shared" si="161"/>
        <v>22181.688346899384</v>
      </c>
      <c r="AF324" s="101">
        <f t="shared" si="162"/>
        <v>606053.58640271344</v>
      </c>
      <c r="AG324" s="101">
        <f t="shared" si="163"/>
        <v>688697.2572758107</v>
      </c>
    </row>
    <row r="325" spans="1:33" s="68" customFormat="1" x14ac:dyDescent="0.2">
      <c r="A325" s="141" t="s">
        <v>1106</v>
      </c>
      <c r="B325" s="141"/>
      <c r="C325" s="141"/>
      <c r="D325" s="142">
        <v>1</v>
      </c>
      <c r="E325" s="143"/>
      <c r="F325" s="144">
        <v>0.12</v>
      </c>
      <c r="G325" s="144"/>
      <c r="H325" s="67">
        <v>11328</v>
      </c>
      <c r="I325" s="67">
        <f t="shared" si="152"/>
        <v>10828.284658034067</v>
      </c>
      <c r="J325" s="67">
        <f t="shared" si="153"/>
        <v>9528.8904990699793</v>
      </c>
      <c r="K325" s="143"/>
      <c r="L325" s="143">
        <v>2556</v>
      </c>
      <c r="M325" s="63">
        <f t="shared" si="154"/>
        <v>2556</v>
      </c>
      <c r="N325" s="63">
        <f t="shared" si="155"/>
        <v>2249.2800000000002</v>
      </c>
      <c r="O325" s="143"/>
      <c r="P325" s="143">
        <v>0</v>
      </c>
      <c r="Q325" s="63">
        <f t="shared" si="156"/>
        <v>0</v>
      </c>
      <c r="R325" s="64">
        <f t="shared" si="157"/>
        <v>0</v>
      </c>
      <c r="S325" s="142">
        <v>15</v>
      </c>
      <c r="T325" s="145" t="s">
        <v>15</v>
      </c>
      <c r="U325" s="65">
        <f>SUMIF('Avoided Costs 2012-2020_EGD'!$A:$A,'2012 Actuals_Auditor'!T325&amp;'2012 Actuals_Auditor'!S325,'Avoided Costs 2012-2020_EGD'!$E:$E)*J325</f>
        <v>23154.287961018141</v>
      </c>
      <c r="V325" s="65">
        <f>SUMIF('Avoided Costs 2012-2020_EGD'!$A:$A,'2012 Actuals_Auditor'!T325&amp;'2012 Actuals_Auditor'!S325,'Avoided Costs 2012-2020_EGD'!$K:$K)*N325</f>
        <v>2316.2712641940561</v>
      </c>
      <c r="W325" s="65">
        <f>SUMIF('Avoided Costs 2012-2020_EGD'!$A:$A,'2012 Actuals_Auditor'!T325&amp;'2012 Actuals_Auditor'!S325,'Avoided Costs 2012-2020_EGD'!$M:$M)*R325</f>
        <v>0</v>
      </c>
      <c r="X325" s="65">
        <f t="shared" si="158"/>
        <v>25470.559225212197</v>
      </c>
      <c r="Y325" s="146">
        <v>3800</v>
      </c>
      <c r="Z325" s="66">
        <f t="shared" si="159"/>
        <v>3344</v>
      </c>
      <c r="AA325" s="66"/>
      <c r="AB325" s="66"/>
      <c r="AC325" s="66"/>
      <c r="AD325" s="66">
        <f t="shared" si="160"/>
        <v>3344</v>
      </c>
      <c r="AE325" s="66">
        <f t="shared" si="161"/>
        <v>22126.559225212197</v>
      </c>
      <c r="AF325" s="101">
        <f t="shared" si="162"/>
        <v>142933.3574860497</v>
      </c>
      <c r="AG325" s="101">
        <f t="shared" si="163"/>
        <v>162424.26987051099</v>
      </c>
    </row>
    <row r="326" spans="1:33" s="68" customFormat="1" x14ac:dyDescent="0.2">
      <c r="A326" s="147" t="s">
        <v>1107</v>
      </c>
      <c r="B326" s="147"/>
      <c r="C326" s="147"/>
      <c r="D326" s="148">
        <v>1</v>
      </c>
      <c r="E326" s="149"/>
      <c r="F326" s="150">
        <v>0.12</v>
      </c>
      <c r="G326" s="150"/>
      <c r="H326" s="67">
        <v>10415</v>
      </c>
      <c r="I326" s="67">
        <f t="shared" si="152"/>
        <v>9955.5600912274713</v>
      </c>
      <c r="J326" s="67">
        <f t="shared" si="153"/>
        <v>8760.8928802801747</v>
      </c>
      <c r="K326" s="63"/>
      <c r="L326" s="149">
        <v>-16941</v>
      </c>
      <c r="M326" s="63">
        <f t="shared" si="154"/>
        <v>-16941</v>
      </c>
      <c r="N326" s="63">
        <f t="shared" si="155"/>
        <v>-14908.08</v>
      </c>
      <c r="O326" s="69"/>
      <c r="P326" s="149">
        <v>0</v>
      </c>
      <c r="Q326" s="63">
        <f t="shared" si="156"/>
        <v>0</v>
      </c>
      <c r="R326" s="64">
        <f t="shared" si="157"/>
        <v>0</v>
      </c>
      <c r="S326" s="148">
        <v>15</v>
      </c>
      <c r="T326" s="151" t="s">
        <v>15</v>
      </c>
      <c r="U326" s="65">
        <f>SUMIF('Avoided Costs 2012-2020_EGD'!$A:$A,'2012 Actuals_Auditor'!T326&amp;'2012 Actuals_Auditor'!S326,'Avoided Costs 2012-2020_EGD'!$E:$E)*J326</f>
        <v>21288.127570092154</v>
      </c>
      <c r="V326" s="65">
        <f>SUMIF('Avoided Costs 2012-2020_EGD'!$A:$A,'2012 Actuals_Auditor'!T326&amp;'2012 Actuals_Auditor'!S326,'Avoided Costs 2012-2020_EGD'!$K:$K)*N326</f>
        <v>-15352.093695896519</v>
      </c>
      <c r="W326" s="65">
        <f>SUMIF('Avoided Costs 2012-2020_EGD'!$A:$A,'2012 Actuals_Auditor'!T326&amp;'2012 Actuals_Auditor'!S326,'Avoided Costs 2012-2020_EGD'!$M:$M)*R326</f>
        <v>0</v>
      </c>
      <c r="X326" s="65">
        <f t="shared" si="158"/>
        <v>5936.0338741956348</v>
      </c>
      <c r="Y326" s="146">
        <v>20474</v>
      </c>
      <c r="Z326" s="66">
        <f t="shared" si="159"/>
        <v>18017.12</v>
      </c>
      <c r="AA326" s="66"/>
      <c r="AB326" s="66"/>
      <c r="AC326" s="66"/>
      <c r="AD326" s="66">
        <f t="shared" si="160"/>
        <v>18017.12</v>
      </c>
      <c r="AE326" s="66">
        <f t="shared" si="161"/>
        <v>-12081.086125804364</v>
      </c>
      <c r="AF326" s="101">
        <f t="shared" si="162"/>
        <v>131413.39320420261</v>
      </c>
      <c r="AG326" s="101">
        <f t="shared" si="163"/>
        <v>149333.40136841207</v>
      </c>
    </row>
    <row r="327" spans="1:33" s="68" customFormat="1" x14ac:dyDescent="0.2">
      <c r="A327" s="147" t="s">
        <v>1108</v>
      </c>
      <c r="B327" s="147"/>
      <c r="C327" s="147"/>
      <c r="D327" s="148">
        <v>1</v>
      </c>
      <c r="E327" s="149"/>
      <c r="F327" s="150">
        <v>0.12</v>
      </c>
      <c r="G327" s="150"/>
      <c r="H327" s="67">
        <v>22797</v>
      </c>
      <c r="I327" s="67">
        <f t="shared" si="152"/>
        <v>21791.349342267178</v>
      </c>
      <c r="J327" s="67">
        <f t="shared" si="153"/>
        <v>19176.387421195115</v>
      </c>
      <c r="K327" s="63"/>
      <c r="L327" s="149">
        <v>5689</v>
      </c>
      <c r="M327" s="63">
        <f t="shared" si="154"/>
        <v>5689</v>
      </c>
      <c r="N327" s="63">
        <f t="shared" si="155"/>
        <v>5006.32</v>
      </c>
      <c r="O327" s="69"/>
      <c r="P327" s="149">
        <v>0</v>
      </c>
      <c r="Q327" s="63">
        <f t="shared" si="156"/>
        <v>0</v>
      </c>
      <c r="R327" s="64">
        <f t="shared" si="157"/>
        <v>0</v>
      </c>
      <c r="S327" s="148">
        <v>15</v>
      </c>
      <c r="T327" s="151" t="s">
        <v>15</v>
      </c>
      <c r="U327" s="65">
        <f>SUMIF('Avoided Costs 2012-2020_EGD'!$A:$A,'2012 Actuals_Auditor'!T327&amp;'2012 Actuals_Auditor'!S327,'Avoided Costs 2012-2020_EGD'!$E:$E)*J327</f>
        <v>46596.778129178179</v>
      </c>
      <c r="V327" s="65">
        <f>SUMIF('Avoided Costs 2012-2020_EGD'!$A:$A,'2012 Actuals_Auditor'!T327&amp;'2012 Actuals_Auditor'!S327,'Avoided Costs 2012-2020_EGD'!$K:$K)*N327</f>
        <v>5155.4253607198689</v>
      </c>
      <c r="W327" s="65">
        <f>SUMIF('Avoided Costs 2012-2020_EGD'!$A:$A,'2012 Actuals_Auditor'!T327&amp;'2012 Actuals_Auditor'!S327,'Avoided Costs 2012-2020_EGD'!$M:$M)*R327</f>
        <v>0</v>
      </c>
      <c r="X327" s="65">
        <f t="shared" si="158"/>
        <v>51752.203489898049</v>
      </c>
      <c r="Y327" s="146">
        <v>15100</v>
      </c>
      <c r="Z327" s="66">
        <f t="shared" si="159"/>
        <v>13288</v>
      </c>
      <c r="AA327" s="66"/>
      <c r="AB327" s="66"/>
      <c r="AC327" s="66"/>
      <c r="AD327" s="66">
        <f t="shared" si="160"/>
        <v>13288</v>
      </c>
      <c r="AE327" s="66">
        <f t="shared" si="161"/>
        <v>38464.203489898049</v>
      </c>
      <c r="AF327" s="101">
        <f t="shared" si="162"/>
        <v>287645.81131792674</v>
      </c>
      <c r="AG327" s="101">
        <f t="shared" si="163"/>
        <v>326870.24013400765</v>
      </c>
    </row>
    <row r="328" spans="1:33" s="68" customFormat="1" x14ac:dyDescent="0.2">
      <c r="A328" s="147" t="s">
        <v>1109</v>
      </c>
      <c r="B328" s="147"/>
      <c r="C328" s="147"/>
      <c r="D328" s="148">
        <v>1</v>
      </c>
      <c r="E328" s="149"/>
      <c r="F328" s="150">
        <v>0.12</v>
      </c>
      <c r="G328" s="150"/>
      <c r="H328" s="67">
        <v>53102</v>
      </c>
      <c r="I328" s="67">
        <f t="shared" si="152"/>
        <v>50759.496107955943</v>
      </c>
      <c r="J328" s="67">
        <f t="shared" si="153"/>
        <v>44668.356575001228</v>
      </c>
      <c r="K328" s="63"/>
      <c r="L328" s="149">
        <v>-17193</v>
      </c>
      <c r="M328" s="63">
        <f t="shared" si="154"/>
        <v>-17193</v>
      </c>
      <c r="N328" s="63">
        <f t="shared" si="155"/>
        <v>-15129.84</v>
      </c>
      <c r="O328" s="69"/>
      <c r="P328" s="149">
        <v>0</v>
      </c>
      <c r="Q328" s="63">
        <f t="shared" si="156"/>
        <v>0</v>
      </c>
      <c r="R328" s="64">
        <f t="shared" si="157"/>
        <v>0</v>
      </c>
      <c r="S328" s="148">
        <v>15</v>
      </c>
      <c r="T328" s="151" t="s">
        <v>15</v>
      </c>
      <c r="U328" s="65">
        <f>SUMIF('Avoided Costs 2012-2020_EGD'!$A:$A,'2012 Actuals_Auditor'!T328&amp;'2012 Actuals_Auditor'!S328,'Avoided Costs 2012-2020_EGD'!$E:$E)*J328</f>
        <v>108539.8127918419</v>
      </c>
      <c r="V328" s="65">
        <f>SUMIF('Avoided Costs 2012-2020_EGD'!$A:$A,'2012 Actuals_Auditor'!T328&amp;'2012 Actuals_Auditor'!S328,'Avoided Costs 2012-2020_EGD'!$K:$K)*N328</f>
        <v>-15580.458468422694</v>
      </c>
      <c r="W328" s="65">
        <f>SUMIF('Avoided Costs 2012-2020_EGD'!$A:$A,'2012 Actuals_Auditor'!T328&amp;'2012 Actuals_Auditor'!S328,'Avoided Costs 2012-2020_EGD'!$M:$M)*R328</f>
        <v>0</v>
      </c>
      <c r="X328" s="65">
        <f t="shared" si="158"/>
        <v>92959.354323419218</v>
      </c>
      <c r="Y328" s="146">
        <v>26910</v>
      </c>
      <c r="Z328" s="66">
        <f t="shared" si="159"/>
        <v>23680.799999999999</v>
      </c>
      <c r="AA328" s="66"/>
      <c r="AB328" s="66"/>
      <c r="AC328" s="66"/>
      <c r="AD328" s="66">
        <f t="shared" si="160"/>
        <v>23680.799999999999</v>
      </c>
      <c r="AE328" s="66">
        <f t="shared" si="161"/>
        <v>69278.554323419216</v>
      </c>
      <c r="AF328" s="101">
        <f t="shared" si="162"/>
        <v>670025.34862501838</v>
      </c>
      <c r="AG328" s="101">
        <f t="shared" si="163"/>
        <v>761392.44161933917</v>
      </c>
    </row>
    <row r="329" spans="1:33" s="68" customFormat="1" x14ac:dyDescent="0.2">
      <c r="A329" s="147" t="s">
        <v>1110</v>
      </c>
      <c r="B329" s="147"/>
      <c r="C329" s="147"/>
      <c r="D329" s="148">
        <v>1</v>
      </c>
      <c r="E329" s="149"/>
      <c r="F329" s="150">
        <v>0.12</v>
      </c>
      <c r="G329" s="150"/>
      <c r="H329" s="67">
        <v>149420</v>
      </c>
      <c r="I329" s="67">
        <f t="shared" si="152"/>
        <v>142828.59230256444</v>
      </c>
      <c r="J329" s="67">
        <f t="shared" si="153"/>
        <v>125689.16122625671</v>
      </c>
      <c r="K329" s="63"/>
      <c r="L329" s="149">
        <v>65350</v>
      </c>
      <c r="M329" s="63">
        <f t="shared" si="154"/>
        <v>65350</v>
      </c>
      <c r="N329" s="63">
        <f t="shared" si="155"/>
        <v>57508</v>
      </c>
      <c r="O329" s="69"/>
      <c r="P329" s="149">
        <v>0</v>
      </c>
      <c r="Q329" s="63">
        <f t="shared" si="156"/>
        <v>0</v>
      </c>
      <c r="R329" s="64">
        <f t="shared" si="157"/>
        <v>0</v>
      </c>
      <c r="S329" s="148">
        <v>15</v>
      </c>
      <c r="T329" s="151" t="s">
        <v>15</v>
      </c>
      <c r="U329" s="65">
        <f>SUMIF('Avoided Costs 2012-2020_EGD'!$A:$A,'2012 Actuals_Auditor'!T329&amp;'2012 Actuals_Auditor'!S329,'Avoided Costs 2012-2020_EGD'!$E:$E)*J329</f>
        <v>305412.58007903688</v>
      </c>
      <c r="V329" s="65">
        <f>SUMIF('Avoided Costs 2012-2020_EGD'!$A:$A,'2012 Actuals_Auditor'!T329&amp;'2012 Actuals_Auditor'!S329,'Avoided Costs 2012-2020_EGD'!$K:$K)*N329</f>
        <v>59220.785256291696</v>
      </c>
      <c r="W329" s="65">
        <f>SUMIF('Avoided Costs 2012-2020_EGD'!$A:$A,'2012 Actuals_Auditor'!T329&amp;'2012 Actuals_Auditor'!S329,'Avoided Costs 2012-2020_EGD'!$M:$M)*R329</f>
        <v>0</v>
      </c>
      <c r="X329" s="65">
        <f t="shared" si="158"/>
        <v>364633.36533532856</v>
      </c>
      <c r="Y329" s="146">
        <v>212186</v>
      </c>
      <c r="Z329" s="66">
        <f t="shared" si="159"/>
        <v>186723.68</v>
      </c>
      <c r="AA329" s="66"/>
      <c r="AB329" s="66"/>
      <c r="AC329" s="66"/>
      <c r="AD329" s="66">
        <f t="shared" si="160"/>
        <v>186723.68</v>
      </c>
      <c r="AE329" s="66">
        <f t="shared" si="161"/>
        <v>177909.68533532857</v>
      </c>
      <c r="AF329" s="101">
        <f t="shared" si="162"/>
        <v>1885337.4183938506</v>
      </c>
      <c r="AG329" s="101">
        <f t="shared" si="163"/>
        <v>2142428.8845384666</v>
      </c>
    </row>
    <row r="330" spans="1:33" s="68" customFormat="1" x14ac:dyDescent="0.2">
      <c r="A330" s="147" t="s">
        <v>1111</v>
      </c>
      <c r="B330" s="147"/>
      <c r="C330" s="147"/>
      <c r="D330" s="148">
        <v>1</v>
      </c>
      <c r="E330" s="149"/>
      <c r="F330" s="150">
        <v>0.12</v>
      </c>
      <c r="G330" s="150"/>
      <c r="H330" s="67">
        <v>3076</v>
      </c>
      <c r="I330" s="67">
        <f>H330</f>
        <v>3076</v>
      </c>
      <c r="J330" s="67">
        <f t="shared" si="153"/>
        <v>2706.88</v>
      </c>
      <c r="K330" s="63"/>
      <c r="L330" s="149">
        <v>0</v>
      </c>
      <c r="M330" s="63">
        <f>L330</f>
        <v>0</v>
      </c>
      <c r="N330" s="63">
        <f t="shared" si="155"/>
        <v>0</v>
      </c>
      <c r="O330" s="69"/>
      <c r="P330" s="149">
        <v>0</v>
      </c>
      <c r="Q330" s="63">
        <f>+P330</f>
        <v>0</v>
      </c>
      <c r="R330" s="64">
        <f t="shared" si="157"/>
        <v>0</v>
      </c>
      <c r="S330" s="148">
        <v>25</v>
      </c>
      <c r="T330" s="151" t="s">
        <v>15</v>
      </c>
      <c r="U330" s="65">
        <f>SUMIF('Avoided Costs 2012-2020_EGD'!$A:$A,'2012 Actuals_Auditor'!T330&amp;'2012 Actuals_Auditor'!S330,'Avoided Costs 2012-2020_EGD'!$E:$E)*J330</f>
        <v>9295.4123826563628</v>
      </c>
      <c r="V330" s="65">
        <f>SUMIF('Avoided Costs 2012-2020_EGD'!$A:$A,'2012 Actuals_Auditor'!T330&amp;'2012 Actuals_Auditor'!S330,'Avoided Costs 2012-2020_EGD'!$K:$K)*N330</f>
        <v>0</v>
      </c>
      <c r="W330" s="65">
        <f>SUMIF('Avoided Costs 2012-2020_EGD'!$A:$A,'2012 Actuals_Auditor'!T330&amp;'2012 Actuals_Auditor'!S330,'Avoided Costs 2012-2020_EGD'!$M:$M)*R330</f>
        <v>0</v>
      </c>
      <c r="X330" s="65">
        <f t="shared" si="158"/>
        <v>9295.4123826563628</v>
      </c>
      <c r="Y330" s="146">
        <v>6000</v>
      </c>
      <c r="Z330" s="66">
        <f t="shared" si="159"/>
        <v>5280</v>
      </c>
      <c r="AA330" s="66"/>
      <c r="AB330" s="66"/>
      <c r="AC330" s="66"/>
      <c r="AD330" s="66">
        <f t="shared" si="160"/>
        <v>5280</v>
      </c>
      <c r="AE330" s="66">
        <f t="shared" si="161"/>
        <v>4015.4123826563628</v>
      </c>
      <c r="AF330" s="101">
        <f t="shared" si="162"/>
        <v>67672</v>
      </c>
      <c r="AG330" s="101">
        <f t="shared" si="163"/>
        <v>76900</v>
      </c>
    </row>
    <row r="331" spans="1:33" s="59" customFormat="1" x14ac:dyDescent="0.2">
      <c r="A331" s="152" t="s">
        <v>3</v>
      </c>
      <c r="B331" s="152" t="s">
        <v>1092</v>
      </c>
      <c r="C331" s="155"/>
      <c r="D331" s="153">
        <f>SUM(D312:D330)</f>
        <v>19</v>
      </c>
      <c r="E331" s="67"/>
      <c r="F331" s="154"/>
      <c r="G331" s="228"/>
      <c r="H331" s="67">
        <f>SUM(H312:H330)</f>
        <v>929474</v>
      </c>
      <c r="I331" s="67">
        <f>SUM(I312:I330)</f>
        <v>888607.53695563576</v>
      </c>
      <c r="J331" s="67">
        <f>SUM(J312:J330)</f>
        <v>781974.6325209596</v>
      </c>
      <c r="K331" s="64"/>
      <c r="L331" s="67">
        <f>SUM(L312:L330)</f>
        <v>-163341</v>
      </c>
      <c r="M331" s="67">
        <f>SUM(M312:M330)</f>
        <v>-163341</v>
      </c>
      <c r="N331" s="67">
        <f>SUM(N312:N330)</f>
        <v>-143740.07999999999</v>
      </c>
      <c r="O331" s="229"/>
      <c r="P331" s="67">
        <f>SUM(P312:P330)</f>
        <v>0</v>
      </c>
      <c r="Q331" s="67">
        <f>SUM(Q312:Q330)</f>
        <v>0</v>
      </c>
      <c r="R331" s="67">
        <f>SUM(R312:R330)</f>
        <v>0</v>
      </c>
      <c r="S331" s="153"/>
      <c r="T331" s="155"/>
      <c r="U331" s="66">
        <f>SUM(U312:U330)</f>
        <v>1905273.7589964934</v>
      </c>
      <c r="V331" s="66">
        <f>SUM(V312:V330)</f>
        <v>-148021.15202062653</v>
      </c>
      <c r="W331" s="66">
        <f>SUM(W312:W330)</f>
        <v>0</v>
      </c>
      <c r="X331" s="66">
        <f>SUM(X312:X330)</f>
        <v>1757252.6069758672</v>
      </c>
      <c r="Y331" s="146"/>
      <c r="Z331" s="66">
        <f>SUM(Z312:Z330)</f>
        <v>917630.47200000007</v>
      </c>
      <c r="AA331" s="66">
        <v>140899.35</v>
      </c>
      <c r="AB331" s="66">
        <v>6955.58</v>
      </c>
      <c r="AC331" s="66">
        <f>AB331+AA331</f>
        <v>147854.93</v>
      </c>
      <c r="AD331" s="66">
        <f t="shared" si="160"/>
        <v>924586.05200000003</v>
      </c>
      <c r="AE331" s="230">
        <f t="shared" si="161"/>
        <v>832666.55497586716</v>
      </c>
      <c r="AF331" s="101">
        <f>SUM(AF312:AF330)</f>
        <v>11787214.721095754</v>
      </c>
      <c r="AG331" s="101">
        <f>SUM(AG312:AG330)</f>
        <v>13394562.183063352</v>
      </c>
    </row>
    <row r="332" spans="1:33" x14ac:dyDescent="0.2">
      <c r="A332" s="140"/>
      <c r="F332" s="17"/>
      <c r="G332" s="17"/>
      <c r="M332" s="17"/>
      <c r="O332" s="17"/>
      <c r="P332" s="17"/>
      <c r="Q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</row>
    <row r="333" spans="1:33" x14ac:dyDescent="0.2">
      <c r="A333" s="140" t="s">
        <v>732</v>
      </c>
      <c r="B333" s="10" t="s">
        <v>58</v>
      </c>
      <c r="K333" s="54"/>
      <c r="L333" s="54"/>
      <c r="O333" s="21"/>
      <c r="P333" s="22"/>
      <c r="R333" s="13"/>
      <c r="S333" s="13"/>
      <c r="Z333" s="57"/>
      <c r="AA333" s="57"/>
      <c r="AC333" s="57"/>
      <c r="AD333" s="57"/>
      <c r="AE333" s="57"/>
      <c r="AF333" s="100"/>
      <c r="AG333" s="100"/>
    </row>
    <row r="334" spans="1:33" s="68" customFormat="1" x14ac:dyDescent="0.2">
      <c r="A334" s="147" t="s">
        <v>733</v>
      </c>
      <c r="B334" s="147"/>
      <c r="C334" s="147"/>
      <c r="D334" s="148">
        <v>1</v>
      </c>
      <c r="E334" s="149"/>
      <c r="F334" s="150">
        <v>0.12</v>
      </c>
      <c r="G334" s="150"/>
      <c r="H334" s="67">
        <v>3855</v>
      </c>
      <c r="I334" s="67">
        <f>+$H$42*H334</f>
        <v>3684.94326948458</v>
      </c>
      <c r="J334" s="67">
        <f t="shared" ref="J334:J352" si="165">I334*(1-F334)</f>
        <v>3242.7500771464306</v>
      </c>
      <c r="K334" s="63"/>
      <c r="L334" s="149">
        <v>0</v>
      </c>
      <c r="M334" s="63">
        <f t="shared" ref="M334:M350" si="166">+$L$42*L334</f>
        <v>0</v>
      </c>
      <c r="N334" s="63">
        <f t="shared" ref="N334:N352" si="167">M334*(1-F334)</f>
        <v>0</v>
      </c>
      <c r="O334" s="69"/>
      <c r="P334" s="149">
        <v>0</v>
      </c>
      <c r="Q334" s="63">
        <f>+P334*$P$42</f>
        <v>0</v>
      </c>
      <c r="R334" s="64">
        <f t="shared" ref="R334:R352" si="168">Q334*(1-F334)</f>
        <v>0</v>
      </c>
      <c r="S334" s="148">
        <v>25</v>
      </c>
      <c r="T334" s="151" t="s">
        <v>15</v>
      </c>
      <c r="U334" s="65">
        <f>SUMIF('Avoided Costs 2012-2020_EGD'!$A:$A,'2012 Actuals_Auditor'!T334&amp;'2012 Actuals_Auditor'!S334,'Avoided Costs 2012-2020_EGD'!$E:$E)*J334</f>
        <v>11135.587547644078</v>
      </c>
      <c r="V334" s="65">
        <f>SUMIF('Avoided Costs 2012-2020_EGD'!$A:$A,'2012 Actuals_Auditor'!T334&amp;'2012 Actuals_Auditor'!S334,'Avoided Costs 2012-2020_EGD'!$K:$K)*N334</f>
        <v>0</v>
      </c>
      <c r="W334" s="65">
        <f>SUMIF('Avoided Costs 2012-2020_EGD'!$A:$A,'2012 Actuals_Auditor'!T334&amp;'2012 Actuals_Auditor'!S334,'Avoided Costs 2012-2020_EGD'!$M:$M)*R334</f>
        <v>0</v>
      </c>
      <c r="X334" s="65">
        <f>SUM(U334:W334)</f>
        <v>11135.587547644078</v>
      </c>
      <c r="Y334" s="146">
        <v>7077</v>
      </c>
      <c r="Z334" s="66">
        <f t="shared" ref="Z334:Z352" si="169">Y334*(1-F334)</f>
        <v>6227.76</v>
      </c>
      <c r="AA334" s="66"/>
      <c r="AB334" s="66"/>
      <c r="AC334" s="66"/>
      <c r="AD334" s="66">
        <f t="shared" ref="AD334:AD353" si="170">Z334+AB334</f>
        <v>6227.76</v>
      </c>
      <c r="AE334" s="66">
        <f t="shared" ref="AE334:AE353" si="171">X334-AD334</f>
        <v>4907.8275476440776</v>
      </c>
      <c r="AF334" s="101">
        <f t="shared" ref="AF334:AF352" si="172">J334*S334</f>
        <v>81068.751928660771</v>
      </c>
      <c r="AG334" s="101">
        <f t="shared" ref="AG334:AG352" si="173">(I334*S334)</f>
        <v>92123.581737114495</v>
      </c>
    </row>
    <row r="335" spans="1:33" s="68" customFormat="1" x14ac:dyDescent="0.2">
      <c r="A335" s="147" t="s">
        <v>734</v>
      </c>
      <c r="B335" s="147"/>
      <c r="C335" s="147"/>
      <c r="D335" s="148">
        <v>1</v>
      </c>
      <c r="E335" s="149"/>
      <c r="F335" s="150">
        <v>0.12</v>
      </c>
      <c r="G335" s="150"/>
      <c r="H335" s="67">
        <v>27325</v>
      </c>
      <c r="I335" s="67">
        <f>H335</f>
        <v>27325</v>
      </c>
      <c r="J335" s="67">
        <f t="shared" si="165"/>
        <v>24046</v>
      </c>
      <c r="K335" s="63"/>
      <c r="L335" s="149">
        <v>0</v>
      </c>
      <c r="M335" s="63">
        <f>L335</f>
        <v>0</v>
      </c>
      <c r="N335" s="63">
        <f t="shared" si="167"/>
        <v>0</v>
      </c>
      <c r="O335" s="69"/>
      <c r="P335" s="149">
        <v>0</v>
      </c>
      <c r="Q335" s="63">
        <f>+P335</f>
        <v>0</v>
      </c>
      <c r="R335" s="64">
        <f t="shared" si="168"/>
        <v>0</v>
      </c>
      <c r="S335" s="148">
        <v>25</v>
      </c>
      <c r="T335" s="151" t="s">
        <v>15</v>
      </c>
      <c r="U335" s="65">
        <f>SUMIF('Avoided Costs 2012-2020_EGD'!$A:$A,'2012 Actuals_Auditor'!T335&amp;'2012 Actuals_Auditor'!S335,'Avoided Costs 2012-2020_EGD'!$E:$E)*J335</f>
        <v>82573.843743850812</v>
      </c>
      <c r="V335" s="65">
        <f>SUMIF('Avoided Costs 2012-2020_EGD'!$A:$A,'2012 Actuals_Auditor'!T335&amp;'2012 Actuals_Auditor'!S335,'Avoided Costs 2012-2020_EGD'!$K:$K)*N335</f>
        <v>0</v>
      </c>
      <c r="W335" s="65">
        <f>SUMIF('Avoided Costs 2012-2020_EGD'!$A:$A,'2012 Actuals_Auditor'!T335&amp;'2012 Actuals_Auditor'!S335,'Avoided Costs 2012-2020_EGD'!$M:$M)*R335</f>
        <v>0</v>
      </c>
      <c r="X335" s="65">
        <f t="shared" ref="X335:X352" si="174">SUM(U335:W335)</f>
        <v>82573.843743850812</v>
      </c>
      <c r="Y335" s="146">
        <v>7050</v>
      </c>
      <c r="Z335" s="66">
        <f t="shared" si="169"/>
        <v>6204</v>
      </c>
      <c r="AA335" s="66"/>
      <c r="AB335" s="66"/>
      <c r="AC335" s="66"/>
      <c r="AD335" s="66">
        <f t="shared" si="170"/>
        <v>6204</v>
      </c>
      <c r="AE335" s="66">
        <f t="shared" si="171"/>
        <v>76369.843743850812</v>
      </c>
      <c r="AF335" s="101">
        <f t="shared" si="172"/>
        <v>601150</v>
      </c>
      <c r="AG335" s="101">
        <f t="shared" si="173"/>
        <v>683125</v>
      </c>
    </row>
    <row r="336" spans="1:33" s="68" customFormat="1" x14ac:dyDescent="0.2">
      <c r="A336" s="147" t="s">
        <v>735</v>
      </c>
      <c r="B336" s="147"/>
      <c r="C336" s="147"/>
      <c r="D336" s="148">
        <v>1</v>
      </c>
      <c r="E336" s="149"/>
      <c r="F336" s="150">
        <v>0.12</v>
      </c>
      <c r="G336" s="150"/>
      <c r="H336" s="67">
        <v>27325</v>
      </c>
      <c r="I336" s="67">
        <f>H336</f>
        <v>27325</v>
      </c>
      <c r="J336" s="67">
        <f t="shared" si="165"/>
        <v>24046</v>
      </c>
      <c r="K336" s="63"/>
      <c r="L336" s="149">
        <v>0</v>
      </c>
      <c r="M336" s="63">
        <f>L336</f>
        <v>0</v>
      </c>
      <c r="N336" s="63">
        <f t="shared" si="167"/>
        <v>0</v>
      </c>
      <c r="O336" s="69"/>
      <c r="P336" s="149">
        <v>0</v>
      </c>
      <c r="Q336" s="63">
        <f>+P336</f>
        <v>0</v>
      </c>
      <c r="R336" s="64">
        <f t="shared" si="168"/>
        <v>0</v>
      </c>
      <c r="S336" s="148">
        <v>25</v>
      </c>
      <c r="T336" s="151" t="s">
        <v>15</v>
      </c>
      <c r="U336" s="65">
        <f>SUMIF('Avoided Costs 2012-2020_EGD'!$A:$A,'2012 Actuals_Auditor'!T336&amp;'2012 Actuals_Auditor'!S336,'Avoided Costs 2012-2020_EGD'!$E:$E)*J336</f>
        <v>82573.843743850812</v>
      </c>
      <c r="V336" s="65">
        <f>SUMIF('Avoided Costs 2012-2020_EGD'!$A:$A,'2012 Actuals_Auditor'!T336&amp;'2012 Actuals_Auditor'!S336,'Avoided Costs 2012-2020_EGD'!$K:$K)*N336</f>
        <v>0</v>
      </c>
      <c r="W336" s="65">
        <f>SUMIF('Avoided Costs 2012-2020_EGD'!$A:$A,'2012 Actuals_Auditor'!T336&amp;'2012 Actuals_Auditor'!S336,'Avoided Costs 2012-2020_EGD'!$M:$M)*R336</f>
        <v>0</v>
      </c>
      <c r="X336" s="65">
        <f t="shared" si="174"/>
        <v>82573.843743850812</v>
      </c>
      <c r="Y336" s="146">
        <v>7050</v>
      </c>
      <c r="Z336" s="66">
        <f t="shared" si="169"/>
        <v>6204</v>
      </c>
      <c r="AA336" s="66"/>
      <c r="AB336" s="66"/>
      <c r="AC336" s="66"/>
      <c r="AD336" s="66">
        <f t="shared" si="170"/>
        <v>6204</v>
      </c>
      <c r="AE336" s="66">
        <f t="shared" si="171"/>
        <v>76369.843743850812</v>
      </c>
      <c r="AF336" s="101">
        <f t="shared" si="172"/>
        <v>601150</v>
      </c>
      <c r="AG336" s="101">
        <f t="shared" si="173"/>
        <v>683125</v>
      </c>
    </row>
    <row r="337" spans="1:33" s="68" customFormat="1" x14ac:dyDescent="0.2">
      <c r="A337" s="147" t="s">
        <v>736</v>
      </c>
      <c r="B337" s="147"/>
      <c r="C337" s="147"/>
      <c r="D337" s="148">
        <v>1</v>
      </c>
      <c r="E337" s="149"/>
      <c r="F337" s="150">
        <v>0.12</v>
      </c>
      <c r="G337" s="150"/>
      <c r="H337" s="67">
        <v>13606</v>
      </c>
      <c r="I337" s="67">
        <f>+$H$42*H337</f>
        <v>13005.794584852711</v>
      </c>
      <c r="J337" s="67">
        <f t="shared" si="165"/>
        <v>11445.099234670386</v>
      </c>
      <c r="K337" s="63"/>
      <c r="L337" s="149">
        <v>0</v>
      </c>
      <c r="M337" s="63">
        <f t="shared" si="166"/>
        <v>0</v>
      </c>
      <c r="N337" s="63">
        <f t="shared" si="167"/>
        <v>0</v>
      </c>
      <c r="O337" s="69"/>
      <c r="P337" s="149">
        <v>0</v>
      </c>
      <c r="Q337" s="63">
        <f>+P337*$P$42</f>
        <v>0</v>
      </c>
      <c r="R337" s="64">
        <f t="shared" si="168"/>
        <v>0</v>
      </c>
      <c r="S337" s="148">
        <v>5</v>
      </c>
      <c r="T337" s="151" t="s">
        <v>15</v>
      </c>
      <c r="U337" s="65">
        <f>SUMIF('Avoided Costs 2012-2020_EGD'!$A:$A,'2012 Actuals_Auditor'!T337&amp;'2012 Actuals_Auditor'!S337,'Avoided Costs 2012-2020_EGD'!$E:$E)*J337</f>
        <v>9540.088517512002</v>
      </c>
      <c r="V337" s="65">
        <f>SUMIF('Avoided Costs 2012-2020_EGD'!$A:$A,'2012 Actuals_Auditor'!T337&amp;'2012 Actuals_Auditor'!S337,'Avoided Costs 2012-2020_EGD'!$K:$K)*N337</f>
        <v>0</v>
      </c>
      <c r="W337" s="65">
        <f>SUMIF('Avoided Costs 2012-2020_EGD'!$A:$A,'2012 Actuals_Auditor'!T337&amp;'2012 Actuals_Auditor'!S337,'Avoided Costs 2012-2020_EGD'!$M:$M)*R337</f>
        <v>0</v>
      </c>
      <c r="X337" s="65">
        <f t="shared" si="174"/>
        <v>9540.088517512002</v>
      </c>
      <c r="Y337" s="146">
        <v>515.95000000000005</v>
      </c>
      <c r="Z337" s="66">
        <f t="shared" si="169"/>
        <v>454.03600000000006</v>
      </c>
      <c r="AA337" s="66"/>
      <c r="AB337" s="66"/>
      <c r="AC337" s="66"/>
      <c r="AD337" s="66">
        <f t="shared" si="170"/>
        <v>454.03600000000006</v>
      </c>
      <c r="AE337" s="66">
        <f t="shared" si="171"/>
        <v>9086.0525175120019</v>
      </c>
      <c r="AF337" s="101">
        <f t="shared" si="172"/>
        <v>57225.49617335193</v>
      </c>
      <c r="AG337" s="101">
        <f t="shared" si="173"/>
        <v>65028.972924263551</v>
      </c>
    </row>
    <row r="338" spans="1:33" s="68" customFormat="1" x14ac:dyDescent="0.2">
      <c r="A338" s="141" t="s">
        <v>737</v>
      </c>
      <c r="B338" s="141"/>
      <c r="C338" s="141"/>
      <c r="D338" s="142">
        <v>1</v>
      </c>
      <c r="E338" s="143"/>
      <c r="F338" s="144">
        <v>0.12</v>
      </c>
      <c r="G338" s="144"/>
      <c r="H338" s="67">
        <v>16346</v>
      </c>
      <c r="I338" s="67">
        <f>+$H$42*H338</f>
        <v>15624.924171983124</v>
      </c>
      <c r="J338" s="67">
        <f t="shared" si="165"/>
        <v>13749.933271345149</v>
      </c>
      <c r="K338" s="143"/>
      <c r="L338" s="143">
        <v>733</v>
      </c>
      <c r="M338" s="63">
        <f t="shared" si="166"/>
        <v>733</v>
      </c>
      <c r="N338" s="63">
        <f t="shared" si="167"/>
        <v>645.04</v>
      </c>
      <c r="O338" s="143"/>
      <c r="P338" s="143">
        <v>0</v>
      </c>
      <c r="Q338" s="63">
        <f>+P338*$P$42</f>
        <v>0</v>
      </c>
      <c r="R338" s="64">
        <f t="shared" si="168"/>
        <v>0</v>
      </c>
      <c r="S338" s="142">
        <v>15</v>
      </c>
      <c r="T338" s="145" t="s">
        <v>15</v>
      </c>
      <c r="U338" s="65">
        <f>SUMIF('Avoided Costs 2012-2020_EGD'!$A:$A,'2012 Actuals_Auditor'!T338&amp;'2012 Actuals_Auditor'!S338,'Avoided Costs 2012-2020_EGD'!$E:$E)*J338</f>
        <v>33411.016155614627</v>
      </c>
      <c r="V338" s="65">
        <f>SUMIF('Avoided Costs 2012-2020_EGD'!$A:$A,'2012 Actuals_Auditor'!T338&amp;'2012 Actuals_Auditor'!S338,'Avoided Costs 2012-2020_EGD'!$K:$K)*N338</f>
        <v>664.25150103843623</v>
      </c>
      <c r="W338" s="65">
        <f>SUMIF('Avoided Costs 2012-2020_EGD'!$A:$A,'2012 Actuals_Auditor'!T338&amp;'2012 Actuals_Auditor'!S338,'Avoided Costs 2012-2020_EGD'!$M:$M)*R338</f>
        <v>0</v>
      </c>
      <c r="X338" s="65">
        <f t="shared" si="174"/>
        <v>34075.267656653064</v>
      </c>
      <c r="Y338" s="146">
        <v>5386</v>
      </c>
      <c r="Z338" s="66">
        <f t="shared" si="169"/>
        <v>4739.68</v>
      </c>
      <c r="AA338" s="66"/>
      <c r="AB338" s="66"/>
      <c r="AC338" s="66"/>
      <c r="AD338" s="66">
        <f t="shared" si="170"/>
        <v>4739.68</v>
      </c>
      <c r="AE338" s="66">
        <f t="shared" si="171"/>
        <v>29335.587656653064</v>
      </c>
      <c r="AF338" s="101">
        <f t="shared" si="172"/>
        <v>206248.99907017723</v>
      </c>
      <c r="AG338" s="101">
        <f t="shared" si="173"/>
        <v>234373.86257974687</v>
      </c>
    </row>
    <row r="339" spans="1:33" s="68" customFormat="1" x14ac:dyDescent="0.2">
      <c r="A339" s="141" t="s">
        <v>738</v>
      </c>
      <c r="B339" s="141"/>
      <c r="C339" s="141"/>
      <c r="D339" s="142">
        <v>1</v>
      </c>
      <c r="E339" s="143"/>
      <c r="F339" s="144">
        <v>0.12</v>
      </c>
      <c r="G339" s="144"/>
      <c r="H339" s="67">
        <v>13265</v>
      </c>
      <c r="I339" s="67">
        <f>H339</f>
        <v>13265</v>
      </c>
      <c r="J339" s="67">
        <f t="shared" si="165"/>
        <v>11673.2</v>
      </c>
      <c r="K339" s="143"/>
      <c r="L339" s="143">
        <v>0</v>
      </c>
      <c r="M339" s="63">
        <f>L339</f>
        <v>0</v>
      </c>
      <c r="N339" s="63">
        <f t="shared" si="167"/>
        <v>0</v>
      </c>
      <c r="O339" s="143"/>
      <c r="P339" s="143">
        <v>0</v>
      </c>
      <c r="Q339" s="63">
        <f>+P339</f>
        <v>0</v>
      </c>
      <c r="R339" s="64">
        <f t="shared" si="168"/>
        <v>0</v>
      </c>
      <c r="S339" s="142">
        <v>25</v>
      </c>
      <c r="T339" s="145" t="s">
        <v>15</v>
      </c>
      <c r="U339" s="65">
        <f>SUMIF('Avoided Costs 2012-2020_EGD'!$A:$A,'2012 Actuals_Auditor'!T339&amp;'2012 Actuals_Auditor'!S339,'Avoided Costs 2012-2020_EGD'!$E:$E)*J339</f>
        <v>40085.710421305805</v>
      </c>
      <c r="V339" s="65">
        <f>SUMIF('Avoided Costs 2012-2020_EGD'!$A:$A,'2012 Actuals_Auditor'!T339&amp;'2012 Actuals_Auditor'!S339,'Avoided Costs 2012-2020_EGD'!$K:$K)*N339</f>
        <v>0</v>
      </c>
      <c r="W339" s="65">
        <f>SUMIF('Avoided Costs 2012-2020_EGD'!$A:$A,'2012 Actuals_Auditor'!T339&amp;'2012 Actuals_Auditor'!S339,'Avoided Costs 2012-2020_EGD'!$M:$M)*R339</f>
        <v>0</v>
      </c>
      <c r="X339" s="65">
        <f t="shared" si="174"/>
        <v>40085.710421305805</v>
      </c>
      <c r="Y339" s="146">
        <v>12000</v>
      </c>
      <c r="Z339" s="66">
        <f t="shared" si="169"/>
        <v>10560</v>
      </c>
      <c r="AA339" s="66"/>
      <c r="AB339" s="66"/>
      <c r="AC339" s="66"/>
      <c r="AD339" s="66">
        <f t="shared" si="170"/>
        <v>10560</v>
      </c>
      <c r="AE339" s="66">
        <f t="shared" si="171"/>
        <v>29525.710421305805</v>
      </c>
      <c r="AF339" s="101">
        <f t="shared" si="172"/>
        <v>291830</v>
      </c>
      <c r="AG339" s="101">
        <f t="shared" si="173"/>
        <v>331625</v>
      </c>
    </row>
    <row r="340" spans="1:33" s="68" customFormat="1" x14ac:dyDescent="0.2">
      <c r="A340" s="147" t="s">
        <v>739</v>
      </c>
      <c r="B340" s="147"/>
      <c r="C340" s="147"/>
      <c r="D340" s="148">
        <v>1</v>
      </c>
      <c r="E340" s="149"/>
      <c r="F340" s="150">
        <v>0.12</v>
      </c>
      <c r="G340" s="150"/>
      <c r="H340" s="67">
        <v>128707</v>
      </c>
      <c r="I340" s="67">
        <f>+$H$42*H340</f>
        <v>123029.3108652534</v>
      </c>
      <c r="J340" s="67">
        <f t="shared" si="165"/>
        <v>108265.79356142299</v>
      </c>
      <c r="K340" s="63"/>
      <c r="L340" s="149">
        <v>0</v>
      </c>
      <c r="M340" s="63">
        <f t="shared" si="166"/>
        <v>0</v>
      </c>
      <c r="N340" s="63">
        <f t="shared" si="167"/>
        <v>0</v>
      </c>
      <c r="O340" s="69"/>
      <c r="P340" s="149">
        <v>0</v>
      </c>
      <c r="Q340" s="63">
        <f>+P340*$P$42</f>
        <v>0</v>
      </c>
      <c r="R340" s="64">
        <f t="shared" si="168"/>
        <v>0</v>
      </c>
      <c r="S340" s="148">
        <v>15</v>
      </c>
      <c r="T340" s="151" t="s">
        <v>15</v>
      </c>
      <c r="U340" s="65">
        <f>SUMIF('Avoided Costs 2012-2020_EGD'!$A:$A,'2012 Actuals_Auditor'!T340&amp;'2012 Actuals_Auditor'!S340,'Avoided Costs 2012-2020_EGD'!$E:$E)*J340</f>
        <v>263075.47145116189</v>
      </c>
      <c r="V340" s="65">
        <f>SUMIF('Avoided Costs 2012-2020_EGD'!$A:$A,'2012 Actuals_Auditor'!T340&amp;'2012 Actuals_Auditor'!S340,'Avoided Costs 2012-2020_EGD'!$K:$K)*N340</f>
        <v>0</v>
      </c>
      <c r="W340" s="65">
        <f>SUMIF('Avoided Costs 2012-2020_EGD'!$A:$A,'2012 Actuals_Auditor'!T340&amp;'2012 Actuals_Auditor'!S340,'Avoided Costs 2012-2020_EGD'!$M:$M)*R340</f>
        <v>0</v>
      </c>
      <c r="X340" s="65">
        <f t="shared" si="174"/>
        <v>263075.47145116189</v>
      </c>
      <c r="Y340" s="146">
        <v>24000</v>
      </c>
      <c r="Z340" s="66">
        <f t="shared" si="169"/>
        <v>21120</v>
      </c>
      <c r="AA340" s="66"/>
      <c r="AB340" s="66"/>
      <c r="AC340" s="66"/>
      <c r="AD340" s="66">
        <f t="shared" si="170"/>
        <v>21120</v>
      </c>
      <c r="AE340" s="66">
        <f t="shared" si="171"/>
        <v>241955.47145116189</v>
      </c>
      <c r="AF340" s="101">
        <f t="shared" si="172"/>
        <v>1623986.9034213449</v>
      </c>
      <c r="AG340" s="101">
        <f t="shared" si="173"/>
        <v>1845439.6629788009</v>
      </c>
    </row>
    <row r="341" spans="1:33" s="68" customFormat="1" x14ac:dyDescent="0.2">
      <c r="A341" s="147" t="s">
        <v>740</v>
      </c>
      <c r="B341" s="147"/>
      <c r="C341" s="147"/>
      <c r="D341" s="148">
        <v>1</v>
      </c>
      <c r="E341" s="149"/>
      <c r="F341" s="150">
        <v>0.12</v>
      </c>
      <c r="G341" s="150"/>
      <c r="H341" s="67">
        <v>5431</v>
      </c>
      <c r="I341" s="67">
        <f>H341</f>
        <v>5431</v>
      </c>
      <c r="J341" s="67">
        <f t="shared" si="165"/>
        <v>4779.28</v>
      </c>
      <c r="K341" s="63"/>
      <c r="L341" s="149">
        <v>0</v>
      </c>
      <c r="M341" s="63">
        <f>L341</f>
        <v>0</v>
      </c>
      <c r="N341" s="63">
        <f t="shared" si="167"/>
        <v>0</v>
      </c>
      <c r="O341" s="69"/>
      <c r="P341" s="149">
        <v>0</v>
      </c>
      <c r="Q341" s="63">
        <f>+P341</f>
        <v>0</v>
      </c>
      <c r="R341" s="64">
        <f t="shared" si="168"/>
        <v>0</v>
      </c>
      <c r="S341" s="148">
        <v>25</v>
      </c>
      <c r="T341" s="151" t="s">
        <v>15</v>
      </c>
      <c r="U341" s="65">
        <f>SUMIF('Avoided Costs 2012-2020_EGD'!$A:$A,'2012 Actuals_Auditor'!T341&amp;'2012 Actuals_Auditor'!S341,'Avoided Costs 2012-2020_EGD'!$E:$E)*J341</f>
        <v>16412.023618402698</v>
      </c>
      <c r="V341" s="65">
        <f>SUMIF('Avoided Costs 2012-2020_EGD'!$A:$A,'2012 Actuals_Auditor'!T341&amp;'2012 Actuals_Auditor'!S341,'Avoided Costs 2012-2020_EGD'!$K:$K)*N341</f>
        <v>0</v>
      </c>
      <c r="W341" s="65">
        <f>SUMIF('Avoided Costs 2012-2020_EGD'!$A:$A,'2012 Actuals_Auditor'!T341&amp;'2012 Actuals_Auditor'!S341,'Avoided Costs 2012-2020_EGD'!$M:$M)*R341</f>
        <v>0</v>
      </c>
      <c r="X341" s="65">
        <f t="shared" si="174"/>
        <v>16412.023618402698</v>
      </c>
      <c r="Y341" s="146">
        <v>10300</v>
      </c>
      <c r="Z341" s="66">
        <f t="shared" si="169"/>
        <v>9064</v>
      </c>
      <c r="AA341" s="66"/>
      <c r="AB341" s="66"/>
      <c r="AC341" s="66"/>
      <c r="AD341" s="66">
        <f t="shared" si="170"/>
        <v>9064</v>
      </c>
      <c r="AE341" s="66">
        <f t="shared" si="171"/>
        <v>7348.023618402698</v>
      </c>
      <c r="AF341" s="101">
        <f t="shared" si="172"/>
        <v>119482</v>
      </c>
      <c r="AG341" s="101">
        <f t="shared" si="173"/>
        <v>135775</v>
      </c>
    </row>
    <row r="342" spans="1:33" s="68" customFormat="1" x14ac:dyDescent="0.2">
      <c r="A342" s="141" t="s">
        <v>741</v>
      </c>
      <c r="B342" s="141"/>
      <c r="C342" s="141"/>
      <c r="D342" s="142">
        <v>0</v>
      </c>
      <c r="E342" s="143"/>
      <c r="F342" s="144">
        <v>0.12</v>
      </c>
      <c r="G342" s="144"/>
      <c r="H342" s="67">
        <v>4550</v>
      </c>
      <c r="I342" s="67">
        <f>+$H$42*H342</f>
        <v>4349.2845333734995</v>
      </c>
      <c r="J342" s="67">
        <f t="shared" si="165"/>
        <v>3827.3703893686798</v>
      </c>
      <c r="K342" s="143"/>
      <c r="L342" s="143">
        <v>106976</v>
      </c>
      <c r="M342" s="63">
        <f t="shared" si="166"/>
        <v>106976</v>
      </c>
      <c r="N342" s="63">
        <f t="shared" si="167"/>
        <v>94138.880000000005</v>
      </c>
      <c r="O342" s="143"/>
      <c r="P342" s="143">
        <v>0</v>
      </c>
      <c r="Q342" s="63">
        <f>+P342*$P$42</f>
        <v>0</v>
      </c>
      <c r="R342" s="64">
        <f t="shared" si="168"/>
        <v>0</v>
      </c>
      <c r="S342" s="142">
        <v>15</v>
      </c>
      <c r="T342" s="145" t="s">
        <v>15</v>
      </c>
      <c r="U342" s="65">
        <f>SUMIF('Avoided Costs 2012-2020_EGD'!$A:$A,'2012 Actuals_Auditor'!T342&amp;'2012 Actuals_Auditor'!S342,'Avoided Costs 2012-2020_EGD'!$E:$E)*J342</f>
        <v>9300.1421453595103</v>
      </c>
      <c r="V342" s="65">
        <f>SUMIF('Avoided Costs 2012-2020_EGD'!$A:$A,'2012 Actuals_Auditor'!T342&amp;'2012 Actuals_Auditor'!S342,'Avoided Costs 2012-2020_EGD'!$K:$K)*N342</f>
        <v>96942.658356190674</v>
      </c>
      <c r="W342" s="65">
        <f>SUMIF('Avoided Costs 2012-2020_EGD'!$A:$A,'2012 Actuals_Auditor'!T342&amp;'2012 Actuals_Auditor'!S342,'Avoided Costs 2012-2020_EGD'!$M:$M)*R342</f>
        <v>0</v>
      </c>
      <c r="X342" s="65">
        <f t="shared" ref="X342:X348" si="175">SUM(U342:W342)</f>
        <v>106242.80050155018</v>
      </c>
      <c r="Y342" s="146">
        <v>69940</v>
      </c>
      <c r="Z342" s="66">
        <f t="shared" si="169"/>
        <v>61547.199999999997</v>
      </c>
      <c r="AA342" s="66"/>
      <c r="AB342" s="66"/>
      <c r="AC342" s="66"/>
      <c r="AD342" s="66">
        <f t="shared" si="170"/>
        <v>61547.199999999997</v>
      </c>
      <c r="AE342" s="66">
        <f t="shared" si="171"/>
        <v>44695.600501550187</v>
      </c>
      <c r="AF342" s="101">
        <f t="shared" si="172"/>
        <v>57410.5558405302</v>
      </c>
      <c r="AG342" s="101">
        <f t="shared" si="173"/>
        <v>65239.268000602489</v>
      </c>
    </row>
    <row r="343" spans="1:33" s="68" customFormat="1" x14ac:dyDescent="0.2">
      <c r="A343" s="141" t="s">
        <v>742</v>
      </c>
      <c r="B343" s="141"/>
      <c r="C343" s="141"/>
      <c r="D343" s="142">
        <v>1</v>
      </c>
      <c r="E343" s="143"/>
      <c r="F343" s="144">
        <v>0.12</v>
      </c>
      <c r="G343" s="144"/>
      <c r="H343" s="67">
        <v>11990</v>
      </c>
      <c r="I343" s="67">
        <f>+$H$42*H343</f>
        <v>11461.081660472144</v>
      </c>
      <c r="J343" s="67">
        <f t="shared" si="165"/>
        <v>10085.751861215487</v>
      </c>
      <c r="K343" s="143"/>
      <c r="L343" s="143">
        <v>0</v>
      </c>
      <c r="M343" s="63">
        <f t="shared" si="166"/>
        <v>0</v>
      </c>
      <c r="N343" s="63">
        <f t="shared" si="167"/>
        <v>0</v>
      </c>
      <c r="O343" s="143"/>
      <c r="P343" s="143">
        <v>0</v>
      </c>
      <c r="Q343" s="63">
        <f>+P343*$P$42</f>
        <v>0</v>
      </c>
      <c r="R343" s="64">
        <f t="shared" si="168"/>
        <v>0</v>
      </c>
      <c r="S343" s="142">
        <v>25</v>
      </c>
      <c r="T343" s="145" t="s">
        <v>15</v>
      </c>
      <c r="U343" s="65">
        <f>SUMIF('Avoided Costs 2012-2020_EGD'!$A:$A,'2012 Actuals_Auditor'!T343&amp;'2012 Actuals_Auditor'!S343,'Avoided Costs 2012-2020_EGD'!$E:$E)*J343</f>
        <v>34634.421451686772</v>
      </c>
      <c r="V343" s="65">
        <f>SUMIF('Avoided Costs 2012-2020_EGD'!$A:$A,'2012 Actuals_Auditor'!T343&amp;'2012 Actuals_Auditor'!S343,'Avoided Costs 2012-2020_EGD'!$K:$K)*N343</f>
        <v>0</v>
      </c>
      <c r="W343" s="65">
        <f>SUMIF('Avoided Costs 2012-2020_EGD'!$A:$A,'2012 Actuals_Auditor'!T343&amp;'2012 Actuals_Auditor'!S343,'Avoided Costs 2012-2020_EGD'!$M:$M)*R343</f>
        <v>0</v>
      </c>
      <c r="X343" s="65">
        <f t="shared" si="175"/>
        <v>34634.421451686772</v>
      </c>
      <c r="Y343" s="146">
        <v>9231</v>
      </c>
      <c r="Z343" s="66">
        <f t="shared" si="169"/>
        <v>8123.28</v>
      </c>
      <c r="AA343" s="66"/>
      <c r="AB343" s="66"/>
      <c r="AC343" s="66"/>
      <c r="AD343" s="66">
        <f t="shared" si="170"/>
        <v>8123.28</v>
      </c>
      <c r="AE343" s="66">
        <f t="shared" si="171"/>
        <v>26511.141451686774</v>
      </c>
      <c r="AF343" s="101">
        <f t="shared" si="172"/>
        <v>252143.79653038719</v>
      </c>
      <c r="AG343" s="101">
        <f t="shared" si="173"/>
        <v>286527.04151180357</v>
      </c>
    </row>
    <row r="344" spans="1:33" s="68" customFormat="1" x14ac:dyDescent="0.2">
      <c r="A344" s="141" t="s">
        <v>743</v>
      </c>
      <c r="B344" s="141"/>
      <c r="C344" s="141"/>
      <c r="D344" s="142">
        <v>1</v>
      </c>
      <c r="E344" s="143"/>
      <c r="F344" s="144">
        <v>0.12</v>
      </c>
      <c r="G344" s="144"/>
      <c r="H344" s="67">
        <v>3496</v>
      </c>
      <c r="I344" s="67">
        <f>H344</f>
        <v>3496</v>
      </c>
      <c r="J344" s="67">
        <f t="shared" si="165"/>
        <v>3076.48</v>
      </c>
      <c r="K344" s="143"/>
      <c r="L344" s="143">
        <v>0</v>
      </c>
      <c r="M344" s="63">
        <f>L344</f>
        <v>0</v>
      </c>
      <c r="N344" s="63">
        <f t="shared" si="167"/>
        <v>0</v>
      </c>
      <c r="O344" s="143"/>
      <c r="P344" s="143">
        <v>0</v>
      </c>
      <c r="Q344" s="63">
        <f>+P344</f>
        <v>0</v>
      </c>
      <c r="R344" s="64">
        <f t="shared" si="168"/>
        <v>0</v>
      </c>
      <c r="S344" s="142">
        <v>25</v>
      </c>
      <c r="T344" s="145" t="s">
        <v>15</v>
      </c>
      <c r="U344" s="65">
        <f>SUMIF('Avoided Costs 2012-2020_EGD'!$A:$A,'2012 Actuals_Auditor'!T344&amp;'2012 Actuals_Auditor'!S344,'Avoided Costs 2012-2020_EGD'!$E:$E)*J344</f>
        <v>10564.616934254434</v>
      </c>
      <c r="V344" s="65">
        <f>SUMIF('Avoided Costs 2012-2020_EGD'!$A:$A,'2012 Actuals_Auditor'!T344&amp;'2012 Actuals_Auditor'!S344,'Avoided Costs 2012-2020_EGD'!$K:$K)*N344</f>
        <v>0</v>
      </c>
      <c r="W344" s="65">
        <f>SUMIF('Avoided Costs 2012-2020_EGD'!$A:$A,'2012 Actuals_Auditor'!T344&amp;'2012 Actuals_Auditor'!S344,'Avoided Costs 2012-2020_EGD'!$M:$M)*R344</f>
        <v>0</v>
      </c>
      <c r="X344" s="65">
        <f t="shared" si="175"/>
        <v>10564.616934254434</v>
      </c>
      <c r="Y344" s="146">
        <v>4500</v>
      </c>
      <c r="Z344" s="66">
        <f t="shared" si="169"/>
        <v>3960</v>
      </c>
      <c r="AA344" s="66"/>
      <c r="AB344" s="66"/>
      <c r="AC344" s="66"/>
      <c r="AD344" s="66">
        <f t="shared" si="170"/>
        <v>3960</v>
      </c>
      <c r="AE344" s="66">
        <f t="shared" si="171"/>
        <v>6604.6169342544345</v>
      </c>
      <c r="AF344" s="101">
        <f t="shared" si="172"/>
        <v>76912</v>
      </c>
      <c r="AG344" s="101">
        <f t="shared" si="173"/>
        <v>87400</v>
      </c>
    </row>
    <row r="345" spans="1:33" s="68" customFormat="1" x14ac:dyDescent="0.2">
      <c r="A345" s="141" t="s">
        <v>744</v>
      </c>
      <c r="B345" s="141"/>
      <c r="C345" s="141"/>
      <c r="D345" s="142">
        <v>1</v>
      </c>
      <c r="E345" s="143"/>
      <c r="F345" s="144">
        <v>0.12</v>
      </c>
      <c r="G345" s="144"/>
      <c r="H345" s="67">
        <v>114196</v>
      </c>
      <c r="I345" s="67">
        <f>+$H$42*H345</f>
        <v>109158.43880727915</v>
      </c>
      <c r="J345" s="67">
        <f t="shared" si="165"/>
        <v>96059.426150405649</v>
      </c>
      <c r="K345" s="143"/>
      <c r="L345" s="143">
        <v>200783</v>
      </c>
      <c r="M345" s="63">
        <f t="shared" si="166"/>
        <v>200783</v>
      </c>
      <c r="N345" s="63">
        <f t="shared" si="167"/>
        <v>176689.04</v>
      </c>
      <c r="O345" s="143"/>
      <c r="P345" s="143">
        <v>0</v>
      </c>
      <c r="Q345" s="63">
        <f>+P345*$P$42</f>
        <v>0</v>
      </c>
      <c r="R345" s="64">
        <f t="shared" si="168"/>
        <v>0</v>
      </c>
      <c r="S345" s="142">
        <v>15</v>
      </c>
      <c r="T345" s="145" t="s">
        <v>15</v>
      </c>
      <c r="U345" s="65">
        <f>SUMIF('Avoided Costs 2012-2020_EGD'!$A:$A,'2012 Actuals_Auditor'!T345&amp;'2012 Actuals_Auditor'!S345,'Avoided Costs 2012-2020_EGD'!$E:$E)*J345</f>
        <v>233415.17196296147</v>
      </c>
      <c r="V345" s="65">
        <f>SUMIF('Avoided Costs 2012-2020_EGD'!$A:$A,'2012 Actuals_Auditor'!T345&amp;'2012 Actuals_Auditor'!S345,'Avoided Costs 2012-2020_EGD'!$K:$K)*N345</f>
        <v>181951.44492905916</v>
      </c>
      <c r="W345" s="65">
        <f>SUMIF('Avoided Costs 2012-2020_EGD'!$A:$A,'2012 Actuals_Auditor'!T345&amp;'2012 Actuals_Auditor'!S345,'Avoided Costs 2012-2020_EGD'!$M:$M)*R345</f>
        <v>0</v>
      </c>
      <c r="X345" s="65">
        <f t="shared" si="175"/>
        <v>415366.61689202063</v>
      </c>
      <c r="Y345" s="146">
        <v>148566</v>
      </c>
      <c r="Z345" s="66">
        <f t="shared" si="169"/>
        <v>130738.08</v>
      </c>
      <c r="AA345" s="66"/>
      <c r="AB345" s="66"/>
      <c r="AC345" s="66"/>
      <c r="AD345" s="66">
        <f t="shared" si="170"/>
        <v>130738.08</v>
      </c>
      <c r="AE345" s="66">
        <f t="shared" si="171"/>
        <v>284628.53689202061</v>
      </c>
      <c r="AF345" s="101">
        <f t="shared" si="172"/>
        <v>1440891.3922560848</v>
      </c>
      <c r="AG345" s="101">
        <f t="shared" si="173"/>
        <v>1637376.5821091873</v>
      </c>
    </row>
    <row r="346" spans="1:33" s="68" customFormat="1" x14ac:dyDescent="0.2">
      <c r="A346" s="147" t="s">
        <v>745</v>
      </c>
      <c r="B346" s="147"/>
      <c r="C346" s="147"/>
      <c r="D346" s="148">
        <v>1</v>
      </c>
      <c r="E346" s="149"/>
      <c r="F346" s="150">
        <v>0.12</v>
      </c>
      <c r="G346" s="150"/>
      <c r="H346" s="67">
        <v>7072</v>
      </c>
      <c r="I346" s="67">
        <f>+$H$42*H346</f>
        <v>6760.0308175862392</v>
      </c>
      <c r="J346" s="67">
        <f t="shared" si="165"/>
        <v>5948.8271194758909</v>
      </c>
      <c r="K346" s="63"/>
      <c r="L346" s="149">
        <v>5476</v>
      </c>
      <c r="M346" s="63">
        <f t="shared" si="166"/>
        <v>5476</v>
      </c>
      <c r="N346" s="63">
        <f t="shared" si="167"/>
        <v>4818.88</v>
      </c>
      <c r="O346" s="69"/>
      <c r="P346" s="149">
        <v>0</v>
      </c>
      <c r="Q346" s="63">
        <f>+P346*$P$42</f>
        <v>0</v>
      </c>
      <c r="R346" s="64">
        <f t="shared" si="168"/>
        <v>0</v>
      </c>
      <c r="S346" s="148">
        <v>15</v>
      </c>
      <c r="T346" s="151" t="s">
        <v>15</v>
      </c>
      <c r="U346" s="65">
        <f>SUMIF('Avoided Costs 2012-2020_EGD'!$A:$A,'2012 Actuals_Auditor'!T346&amp;'2012 Actuals_Auditor'!S346,'Avoided Costs 2012-2020_EGD'!$E:$E)*J346</f>
        <v>14455.078077358783</v>
      </c>
      <c r="V346" s="65">
        <f>SUMIF('Avoided Costs 2012-2020_EGD'!$A:$A,'2012 Actuals_Auditor'!T346&amp;'2012 Actuals_Auditor'!S346,'Avoided Costs 2012-2020_EGD'!$K:$K)*N346</f>
        <v>4962.4027553703645</v>
      </c>
      <c r="W346" s="65">
        <f>SUMIF('Avoided Costs 2012-2020_EGD'!$A:$A,'2012 Actuals_Auditor'!T346&amp;'2012 Actuals_Auditor'!S346,'Avoided Costs 2012-2020_EGD'!$M:$M)*R346</f>
        <v>0</v>
      </c>
      <c r="X346" s="65">
        <f t="shared" si="175"/>
        <v>19417.480832729147</v>
      </c>
      <c r="Y346" s="146">
        <v>43780</v>
      </c>
      <c r="Z346" s="66">
        <f t="shared" si="169"/>
        <v>38526.400000000001</v>
      </c>
      <c r="AA346" s="66"/>
      <c r="AB346" s="66"/>
      <c r="AC346" s="66"/>
      <c r="AD346" s="66">
        <f t="shared" si="170"/>
        <v>38526.400000000001</v>
      </c>
      <c r="AE346" s="66">
        <f t="shared" si="171"/>
        <v>-19108.919167270855</v>
      </c>
      <c r="AF346" s="101">
        <f t="shared" si="172"/>
        <v>89232.406792138368</v>
      </c>
      <c r="AG346" s="101">
        <f t="shared" si="173"/>
        <v>101400.46226379358</v>
      </c>
    </row>
    <row r="347" spans="1:33" s="68" customFormat="1" x14ac:dyDescent="0.2">
      <c r="A347" s="141" t="s">
        <v>746</v>
      </c>
      <c r="B347" s="141"/>
      <c r="C347" s="141"/>
      <c r="D347" s="142">
        <v>1</v>
      </c>
      <c r="E347" s="143"/>
      <c r="F347" s="144">
        <v>0.12</v>
      </c>
      <c r="G347" s="144"/>
      <c r="H347" s="67">
        <v>33682</v>
      </c>
      <c r="I347" s="67">
        <f>+$H$42*H347</f>
        <v>32196.176187491474</v>
      </c>
      <c r="J347" s="67">
        <f t="shared" si="165"/>
        <v>28332.635044992498</v>
      </c>
      <c r="K347" s="143"/>
      <c r="L347" s="143">
        <v>0</v>
      </c>
      <c r="M347" s="63">
        <f t="shared" si="166"/>
        <v>0</v>
      </c>
      <c r="N347" s="63">
        <f t="shared" si="167"/>
        <v>0</v>
      </c>
      <c r="O347" s="143"/>
      <c r="P347" s="143">
        <v>0</v>
      </c>
      <c r="Q347" s="63">
        <f>+P347*$P$42</f>
        <v>0</v>
      </c>
      <c r="R347" s="64">
        <f t="shared" si="168"/>
        <v>0</v>
      </c>
      <c r="S347" s="142">
        <v>25</v>
      </c>
      <c r="T347" s="145" t="s">
        <v>15</v>
      </c>
      <c r="U347" s="65">
        <f>SUMIF('Avoided Costs 2012-2020_EGD'!$A:$A,'2012 Actuals_Auditor'!T347&amp;'2012 Actuals_Auditor'!S347,'Avoided Costs 2012-2020_EGD'!$E:$E)*J347</f>
        <v>97294.127050518247</v>
      </c>
      <c r="V347" s="65">
        <f>SUMIF('Avoided Costs 2012-2020_EGD'!$A:$A,'2012 Actuals_Auditor'!T347&amp;'2012 Actuals_Auditor'!S347,'Avoided Costs 2012-2020_EGD'!$K:$K)*N347</f>
        <v>0</v>
      </c>
      <c r="W347" s="65">
        <f>SUMIF('Avoided Costs 2012-2020_EGD'!$A:$A,'2012 Actuals_Auditor'!T347&amp;'2012 Actuals_Auditor'!S347,'Avoided Costs 2012-2020_EGD'!$M:$M)*R347</f>
        <v>0</v>
      </c>
      <c r="X347" s="65">
        <f t="shared" si="175"/>
        <v>97294.127050518247</v>
      </c>
      <c r="Y347" s="146">
        <v>36830</v>
      </c>
      <c r="Z347" s="66">
        <f t="shared" si="169"/>
        <v>32410.400000000001</v>
      </c>
      <c r="AA347" s="66"/>
      <c r="AB347" s="66"/>
      <c r="AC347" s="66"/>
      <c r="AD347" s="66">
        <f t="shared" si="170"/>
        <v>32410.400000000001</v>
      </c>
      <c r="AE347" s="66">
        <f t="shared" si="171"/>
        <v>64883.727050518246</v>
      </c>
      <c r="AF347" s="101">
        <f t="shared" si="172"/>
        <v>708315.87612481241</v>
      </c>
      <c r="AG347" s="101">
        <f t="shared" si="173"/>
        <v>804904.40468728682</v>
      </c>
    </row>
    <row r="348" spans="1:33" s="68" customFormat="1" x14ac:dyDescent="0.2">
      <c r="A348" s="147" t="s">
        <v>747</v>
      </c>
      <c r="B348" s="147"/>
      <c r="C348" s="147"/>
      <c r="D348" s="148">
        <v>1</v>
      </c>
      <c r="E348" s="149"/>
      <c r="F348" s="150">
        <v>0.12</v>
      </c>
      <c r="G348" s="150"/>
      <c r="H348" s="67">
        <v>24283</v>
      </c>
      <c r="I348" s="67">
        <f>H348</f>
        <v>24283</v>
      </c>
      <c r="J348" s="67">
        <f t="shared" si="165"/>
        <v>21369.040000000001</v>
      </c>
      <c r="K348" s="63"/>
      <c r="L348" s="149">
        <v>0</v>
      </c>
      <c r="M348" s="63">
        <f>L348</f>
        <v>0</v>
      </c>
      <c r="N348" s="63">
        <f t="shared" si="167"/>
        <v>0</v>
      </c>
      <c r="O348" s="69"/>
      <c r="P348" s="149">
        <v>0</v>
      </c>
      <c r="Q348" s="63">
        <f>+P348</f>
        <v>0</v>
      </c>
      <c r="R348" s="64">
        <f t="shared" si="168"/>
        <v>0</v>
      </c>
      <c r="S348" s="148">
        <v>25</v>
      </c>
      <c r="T348" s="151" t="s">
        <v>15</v>
      </c>
      <c r="U348" s="65">
        <f>SUMIF('Avoided Costs 2012-2020_EGD'!$A:$A,'2012 Actuals_Auditor'!T348&amp;'2012 Actuals_Auditor'!S348,'Avoided Costs 2012-2020_EGD'!$E:$E)*J348</f>
        <v>73381.176491561913</v>
      </c>
      <c r="V348" s="65">
        <f>SUMIF('Avoided Costs 2012-2020_EGD'!$A:$A,'2012 Actuals_Auditor'!T348&amp;'2012 Actuals_Auditor'!S348,'Avoided Costs 2012-2020_EGD'!$K:$K)*N348</f>
        <v>0</v>
      </c>
      <c r="W348" s="65">
        <f>SUMIF('Avoided Costs 2012-2020_EGD'!$A:$A,'2012 Actuals_Auditor'!T348&amp;'2012 Actuals_Auditor'!S348,'Avoided Costs 2012-2020_EGD'!$M:$M)*R348</f>
        <v>0</v>
      </c>
      <c r="X348" s="65">
        <f t="shared" si="175"/>
        <v>73381.176491561913</v>
      </c>
      <c r="Y348" s="146">
        <v>20600</v>
      </c>
      <c r="Z348" s="66">
        <f t="shared" si="169"/>
        <v>18128</v>
      </c>
      <c r="AA348" s="66"/>
      <c r="AB348" s="66"/>
      <c r="AC348" s="66"/>
      <c r="AD348" s="66">
        <f t="shared" si="170"/>
        <v>18128</v>
      </c>
      <c r="AE348" s="66">
        <f t="shared" si="171"/>
        <v>55253.176491561913</v>
      </c>
      <c r="AF348" s="101">
        <f t="shared" si="172"/>
        <v>534226</v>
      </c>
      <c r="AG348" s="101">
        <f t="shared" si="173"/>
        <v>607075</v>
      </c>
    </row>
    <row r="349" spans="1:33" s="68" customFormat="1" x14ac:dyDescent="0.2">
      <c r="A349" s="147" t="s">
        <v>748</v>
      </c>
      <c r="B349" s="147"/>
      <c r="C349" s="147"/>
      <c r="D349" s="148">
        <v>1</v>
      </c>
      <c r="E349" s="149"/>
      <c r="F349" s="150">
        <v>0.12</v>
      </c>
      <c r="G349" s="150"/>
      <c r="H349" s="67">
        <v>219708</v>
      </c>
      <c r="I349" s="67">
        <f>+$H$42*H349</f>
        <v>210015.95741943401</v>
      </c>
      <c r="J349" s="67">
        <f t="shared" si="165"/>
        <v>184814.04252910192</v>
      </c>
      <c r="K349" s="63"/>
      <c r="L349" s="149">
        <v>0</v>
      </c>
      <c r="M349" s="63">
        <f t="shared" si="166"/>
        <v>0</v>
      </c>
      <c r="N349" s="63">
        <f t="shared" si="167"/>
        <v>0</v>
      </c>
      <c r="O349" s="69"/>
      <c r="P349" s="149">
        <v>0</v>
      </c>
      <c r="Q349" s="63">
        <f>+P349*$P$42</f>
        <v>0</v>
      </c>
      <c r="R349" s="64">
        <f t="shared" si="168"/>
        <v>0</v>
      </c>
      <c r="S349" s="148">
        <v>25</v>
      </c>
      <c r="T349" s="151" t="s">
        <v>15</v>
      </c>
      <c r="U349" s="65">
        <f>SUMIF('Avoided Costs 2012-2020_EGD'!$A:$A,'2012 Actuals_Auditor'!T349&amp;'2012 Actuals_Auditor'!S349,'Avoided Costs 2012-2020_EGD'!$E:$E)*J349</f>
        <v>634650.49777374452</v>
      </c>
      <c r="V349" s="65">
        <f>SUMIF('Avoided Costs 2012-2020_EGD'!$A:$A,'2012 Actuals_Auditor'!T349&amp;'2012 Actuals_Auditor'!S349,'Avoided Costs 2012-2020_EGD'!$K:$K)*N349</f>
        <v>0</v>
      </c>
      <c r="W349" s="65">
        <f>SUMIF('Avoided Costs 2012-2020_EGD'!$A:$A,'2012 Actuals_Auditor'!T349&amp;'2012 Actuals_Auditor'!S349,'Avoided Costs 2012-2020_EGD'!$M:$M)*R349</f>
        <v>0</v>
      </c>
      <c r="X349" s="65">
        <f t="shared" si="174"/>
        <v>634650.49777374452</v>
      </c>
      <c r="Y349" s="146">
        <v>215281</v>
      </c>
      <c r="Z349" s="66">
        <f t="shared" si="169"/>
        <v>189447.28</v>
      </c>
      <c r="AA349" s="66"/>
      <c r="AB349" s="66"/>
      <c r="AC349" s="66"/>
      <c r="AD349" s="66">
        <f t="shared" si="170"/>
        <v>189447.28</v>
      </c>
      <c r="AE349" s="66">
        <f t="shared" si="171"/>
        <v>445203.21777374449</v>
      </c>
      <c r="AF349" s="101">
        <f t="shared" si="172"/>
        <v>4620351.0632275483</v>
      </c>
      <c r="AG349" s="101">
        <f t="shared" si="173"/>
        <v>5250398.9354858501</v>
      </c>
    </row>
    <row r="350" spans="1:33" s="68" customFormat="1" x14ac:dyDescent="0.2">
      <c r="A350" s="147" t="s">
        <v>749</v>
      </c>
      <c r="B350" s="147"/>
      <c r="C350" s="147"/>
      <c r="D350" s="148">
        <v>1</v>
      </c>
      <c r="E350" s="149"/>
      <c r="F350" s="150">
        <v>0.12</v>
      </c>
      <c r="G350" s="150"/>
      <c r="H350" s="67">
        <v>13988</v>
      </c>
      <c r="I350" s="67">
        <f>+$H$42*H350</f>
        <v>13370.943308313957</v>
      </c>
      <c r="J350" s="67">
        <f t="shared" si="165"/>
        <v>11766.430111316282</v>
      </c>
      <c r="K350" s="63"/>
      <c r="L350" s="149">
        <v>0</v>
      </c>
      <c r="M350" s="63">
        <f t="shared" si="166"/>
        <v>0</v>
      </c>
      <c r="N350" s="63">
        <f t="shared" si="167"/>
        <v>0</v>
      </c>
      <c r="O350" s="69"/>
      <c r="P350" s="149">
        <v>0</v>
      </c>
      <c r="Q350" s="63">
        <f>+P350*$P$42</f>
        <v>0</v>
      </c>
      <c r="R350" s="64">
        <f t="shared" si="168"/>
        <v>0</v>
      </c>
      <c r="S350" s="148">
        <v>25</v>
      </c>
      <c r="T350" s="151" t="s">
        <v>15</v>
      </c>
      <c r="U350" s="65">
        <f>SUMIF('Avoided Costs 2012-2020_EGD'!$A:$A,'2012 Actuals_Auditor'!T350&amp;'2012 Actuals_Auditor'!S350,'Avoided Costs 2012-2020_EGD'!$E:$E)*J350</f>
        <v>40405.862157313968</v>
      </c>
      <c r="V350" s="65">
        <f>SUMIF('Avoided Costs 2012-2020_EGD'!$A:$A,'2012 Actuals_Auditor'!T350&amp;'2012 Actuals_Auditor'!S350,'Avoided Costs 2012-2020_EGD'!$K:$K)*N350</f>
        <v>0</v>
      </c>
      <c r="W350" s="65">
        <f>SUMIF('Avoided Costs 2012-2020_EGD'!$A:$A,'2012 Actuals_Auditor'!T350&amp;'2012 Actuals_Auditor'!S350,'Avoided Costs 2012-2020_EGD'!$M:$M)*R350</f>
        <v>0</v>
      </c>
      <c r="X350" s="65">
        <f t="shared" si="174"/>
        <v>40405.862157313968</v>
      </c>
      <c r="Y350" s="146">
        <v>33304</v>
      </c>
      <c r="Z350" s="66">
        <f t="shared" si="169"/>
        <v>29307.52</v>
      </c>
      <c r="AA350" s="66"/>
      <c r="AB350" s="66"/>
      <c r="AC350" s="66"/>
      <c r="AD350" s="66">
        <f t="shared" si="170"/>
        <v>29307.52</v>
      </c>
      <c r="AE350" s="66">
        <f t="shared" si="171"/>
        <v>11098.342157313968</v>
      </c>
      <c r="AF350" s="101">
        <f t="shared" si="172"/>
        <v>294160.75278290705</v>
      </c>
      <c r="AG350" s="101">
        <f t="shared" si="173"/>
        <v>334273.58270784892</v>
      </c>
    </row>
    <row r="351" spans="1:33" s="68" customFormat="1" x14ac:dyDescent="0.2">
      <c r="A351" s="147" t="s">
        <v>750</v>
      </c>
      <c r="B351" s="147"/>
      <c r="C351" s="147"/>
      <c r="D351" s="148">
        <v>1</v>
      </c>
      <c r="E351" s="149"/>
      <c r="F351" s="150">
        <v>0.12</v>
      </c>
      <c r="G351" s="150"/>
      <c r="H351" s="67">
        <v>121411</v>
      </c>
      <c r="I351" s="67">
        <f>H351</f>
        <v>121411</v>
      </c>
      <c r="J351" s="67">
        <f t="shared" si="165"/>
        <v>106841.68000000001</v>
      </c>
      <c r="K351" s="63"/>
      <c r="L351" s="149">
        <v>0</v>
      </c>
      <c r="M351" s="63">
        <f>L351</f>
        <v>0</v>
      </c>
      <c r="N351" s="63">
        <f t="shared" si="167"/>
        <v>0</v>
      </c>
      <c r="O351" s="69"/>
      <c r="P351" s="149">
        <v>0</v>
      </c>
      <c r="Q351" s="63">
        <f>+P351</f>
        <v>0</v>
      </c>
      <c r="R351" s="64">
        <f t="shared" si="168"/>
        <v>0</v>
      </c>
      <c r="S351" s="148">
        <v>25</v>
      </c>
      <c r="T351" s="151" t="s">
        <v>15</v>
      </c>
      <c r="U351" s="65">
        <f>SUMIF('Avoided Costs 2012-2020_EGD'!$A:$A,'2012 Actuals_Auditor'!T351&amp;'2012 Actuals_Auditor'!S351,'Avoided Costs 2012-2020_EGD'!$E:$E)*J351</f>
        <v>366893.79479541339</v>
      </c>
      <c r="V351" s="65">
        <f>SUMIF('Avoided Costs 2012-2020_EGD'!$A:$A,'2012 Actuals_Auditor'!T351&amp;'2012 Actuals_Auditor'!S351,'Avoided Costs 2012-2020_EGD'!$K:$K)*N351</f>
        <v>0</v>
      </c>
      <c r="W351" s="65">
        <f>SUMIF('Avoided Costs 2012-2020_EGD'!$A:$A,'2012 Actuals_Auditor'!T351&amp;'2012 Actuals_Auditor'!S351,'Avoided Costs 2012-2020_EGD'!$M:$M)*R351</f>
        <v>0</v>
      </c>
      <c r="X351" s="65">
        <f t="shared" si="174"/>
        <v>366893.79479541339</v>
      </c>
      <c r="Y351" s="146">
        <v>10300</v>
      </c>
      <c r="Z351" s="66">
        <f t="shared" si="169"/>
        <v>9064</v>
      </c>
      <c r="AA351" s="66"/>
      <c r="AB351" s="66"/>
      <c r="AC351" s="66"/>
      <c r="AD351" s="66">
        <f t="shared" si="170"/>
        <v>9064</v>
      </c>
      <c r="AE351" s="66">
        <f t="shared" si="171"/>
        <v>357829.79479541339</v>
      </c>
      <c r="AF351" s="101">
        <f t="shared" si="172"/>
        <v>2671042</v>
      </c>
      <c r="AG351" s="101">
        <f t="shared" si="173"/>
        <v>3035275</v>
      </c>
    </row>
    <row r="352" spans="1:33" s="68" customFormat="1" x14ac:dyDescent="0.2">
      <c r="A352" s="141" t="s">
        <v>751</v>
      </c>
      <c r="B352" s="141"/>
      <c r="C352" s="141"/>
      <c r="D352" s="142">
        <v>1</v>
      </c>
      <c r="E352" s="143"/>
      <c r="F352" s="144">
        <v>0.12</v>
      </c>
      <c r="G352" s="144"/>
      <c r="H352" s="67">
        <v>66791</v>
      </c>
      <c r="I352" s="67">
        <f>H352</f>
        <v>66791</v>
      </c>
      <c r="J352" s="67">
        <f t="shared" si="165"/>
        <v>58776.08</v>
      </c>
      <c r="K352" s="143"/>
      <c r="L352" s="143">
        <v>0</v>
      </c>
      <c r="M352" s="63">
        <f>L352</f>
        <v>0</v>
      </c>
      <c r="N352" s="63">
        <f t="shared" si="167"/>
        <v>0</v>
      </c>
      <c r="O352" s="143"/>
      <c r="P352" s="143">
        <v>0</v>
      </c>
      <c r="Q352" s="63">
        <f>+P352</f>
        <v>0</v>
      </c>
      <c r="R352" s="64">
        <f t="shared" si="168"/>
        <v>0</v>
      </c>
      <c r="S352" s="142">
        <v>25</v>
      </c>
      <c r="T352" s="145" t="s">
        <v>15</v>
      </c>
      <c r="U352" s="65">
        <f>SUMIF('Avoided Costs 2012-2020_EGD'!$A:$A,'2012 Actuals_Auditor'!T352&amp;'2012 Actuals_Auditor'!S352,'Avoided Costs 2012-2020_EGD'!$E:$E)*J352</f>
        <v>201836.76477568306</v>
      </c>
      <c r="V352" s="65">
        <f>SUMIF('Avoided Costs 2012-2020_EGD'!$A:$A,'2012 Actuals_Auditor'!T352&amp;'2012 Actuals_Auditor'!S352,'Avoided Costs 2012-2020_EGD'!$K:$K)*N352</f>
        <v>0</v>
      </c>
      <c r="W352" s="65">
        <f>SUMIF('Avoided Costs 2012-2020_EGD'!$A:$A,'2012 Actuals_Auditor'!T352&amp;'2012 Actuals_Auditor'!S352,'Avoided Costs 2012-2020_EGD'!$M:$M)*R352</f>
        <v>0</v>
      </c>
      <c r="X352" s="65">
        <f t="shared" si="174"/>
        <v>201836.76477568306</v>
      </c>
      <c r="Y352" s="146">
        <v>24400</v>
      </c>
      <c r="Z352" s="66">
        <f t="shared" si="169"/>
        <v>21472</v>
      </c>
      <c r="AA352" s="66"/>
      <c r="AB352" s="66"/>
      <c r="AC352" s="66"/>
      <c r="AD352" s="66">
        <f t="shared" si="170"/>
        <v>21472</v>
      </c>
      <c r="AE352" s="66">
        <f t="shared" si="171"/>
        <v>180364.76477568306</v>
      </c>
      <c r="AF352" s="101">
        <f t="shared" si="172"/>
        <v>1469402</v>
      </c>
      <c r="AG352" s="101">
        <f t="shared" si="173"/>
        <v>1669775</v>
      </c>
    </row>
    <row r="353" spans="1:33" s="59" customFormat="1" x14ac:dyDescent="0.2">
      <c r="A353" s="152" t="s">
        <v>3</v>
      </c>
      <c r="B353" s="152" t="s">
        <v>731</v>
      </c>
      <c r="C353" s="155"/>
      <c r="D353" s="153">
        <f>SUM(D334:D352)</f>
        <v>18</v>
      </c>
      <c r="E353" s="67"/>
      <c r="F353" s="154"/>
      <c r="G353" s="228"/>
      <c r="H353" s="67">
        <f>SUM(H334:H352)</f>
        <v>857027</v>
      </c>
      <c r="I353" s="67">
        <f>SUM(I334:I352)</f>
        <v>831983.88562552421</v>
      </c>
      <c r="J353" s="67">
        <f>SUM(J334:J352)</f>
        <v>732145.81935046124</v>
      </c>
      <c r="K353" s="64"/>
      <c r="L353" s="67">
        <f>SUM(L334:L352)</f>
        <v>313968</v>
      </c>
      <c r="M353" s="67">
        <f>SUM(M334:M352)</f>
        <v>313968</v>
      </c>
      <c r="N353" s="67">
        <f>SUM(N334:N352)</f>
        <v>276291.84000000003</v>
      </c>
      <c r="O353" s="229"/>
      <c r="P353" s="67">
        <f>SUM(P334:P352)</f>
        <v>0</v>
      </c>
      <c r="Q353" s="67">
        <f>SUM(Q334:Q352)</f>
        <v>0</v>
      </c>
      <c r="R353" s="67">
        <f>SUM(R334:R352)</f>
        <v>0</v>
      </c>
      <c r="S353" s="153"/>
      <c r="T353" s="155"/>
      <c r="U353" s="66">
        <f>SUM(U334:U352)</f>
        <v>2255639.2388151991</v>
      </c>
      <c r="V353" s="66">
        <f>SUM(V334:V352)</f>
        <v>284520.75754165865</v>
      </c>
      <c r="W353" s="66">
        <f>SUM(W334:W352)</f>
        <v>0</v>
      </c>
      <c r="X353" s="66">
        <f>SUM(X334:X352)</f>
        <v>2540159.9963568579</v>
      </c>
      <c r="Y353" s="146"/>
      <c r="Z353" s="66">
        <f>SUM(Z334:Z352)</f>
        <v>607297.63600000006</v>
      </c>
      <c r="AA353" s="66">
        <v>255384.76</v>
      </c>
      <c r="AB353" s="66">
        <v>601662.94999999995</v>
      </c>
      <c r="AC353" s="66">
        <f>AB353+AA353</f>
        <v>857047.71</v>
      </c>
      <c r="AD353" s="66">
        <f t="shared" si="170"/>
        <v>1208960.5860000001</v>
      </c>
      <c r="AE353" s="230">
        <f t="shared" si="171"/>
        <v>1331199.4103568578</v>
      </c>
      <c r="AF353" s="101">
        <f>SUM(AF334:AF352)</f>
        <v>15796229.994147945</v>
      </c>
      <c r="AG353" s="101">
        <f>SUM(AG334:AG352)</f>
        <v>17950261.356986299</v>
      </c>
    </row>
    <row r="354" spans="1:33" x14ac:dyDescent="0.2">
      <c r="A354" s="140"/>
      <c r="F354" s="17"/>
      <c r="G354" s="17"/>
      <c r="M354" s="17"/>
      <c r="O354" s="17"/>
      <c r="P354" s="17"/>
      <c r="Q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</row>
    <row r="355" spans="1:33" x14ac:dyDescent="0.2">
      <c r="A355" s="140" t="s">
        <v>181</v>
      </c>
      <c r="B355" s="10" t="s">
        <v>182</v>
      </c>
      <c r="J355" s="13"/>
      <c r="K355" s="54"/>
      <c r="L355" s="54"/>
      <c r="O355" s="21"/>
      <c r="P355" s="22"/>
      <c r="R355" s="13"/>
      <c r="S355" s="13"/>
      <c r="Z355" s="57"/>
      <c r="AA355" s="57"/>
      <c r="AC355" s="57"/>
      <c r="AD355" s="57"/>
      <c r="AE355" s="57"/>
      <c r="AF355" s="100"/>
      <c r="AG355" s="100"/>
    </row>
    <row r="356" spans="1:33" s="68" customFormat="1" x14ac:dyDescent="0.2">
      <c r="A356" s="147" t="s">
        <v>152</v>
      </c>
      <c r="B356" s="147"/>
      <c r="C356" s="147"/>
      <c r="D356" s="148">
        <v>1</v>
      </c>
      <c r="E356" s="149"/>
      <c r="F356" s="150">
        <v>0.12</v>
      </c>
      <c r="G356" s="150"/>
      <c r="H356" s="67">
        <v>38414</v>
      </c>
      <c r="I356" s="67">
        <f t="shared" ref="I356:I384" si="176">+$H$42*H356</f>
        <v>36719.432102199913</v>
      </c>
      <c r="J356" s="67">
        <f t="shared" ref="J356:J384" si="177">I356*(1-F356)</f>
        <v>32313.100249935924</v>
      </c>
      <c r="K356" s="63"/>
      <c r="L356" s="149">
        <v>0</v>
      </c>
      <c r="M356" s="63">
        <f t="shared" ref="M356:M384" si="178">+$L$42*L356</f>
        <v>0</v>
      </c>
      <c r="N356" s="63">
        <f t="shared" ref="N356:N384" si="179">M356*(1-F356)</f>
        <v>0</v>
      </c>
      <c r="O356" s="69"/>
      <c r="P356" s="149">
        <v>0</v>
      </c>
      <c r="Q356" s="63">
        <f t="shared" ref="Q356:Q384" si="180">+P356*$P$42</f>
        <v>0</v>
      </c>
      <c r="R356" s="64">
        <f t="shared" ref="R356:R384" si="181">Q356*(1-F356)</f>
        <v>0</v>
      </c>
      <c r="S356" s="148">
        <v>5</v>
      </c>
      <c r="T356" s="151" t="s">
        <v>15</v>
      </c>
      <c r="U356" s="65">
        <f>SUMIF('Avoided Costs 2012-2020_EGD'!$A:$A,'2012 Actuals_Auditor'!T356&amp;'2012 Actuals_Auditor'!S356,'Avoided Costs 2012-2020_EGD'!$E:$E)*J356</f>
        <v>26934.65826192165</v>
      </c>
      <c r="V356" s="65">
        <f>SUMIF('Avoided Costs 2012-2020_EGD'!$A:$A,'2012 Actuals_Auditor'!T356&amp;'2012 Actuals_Auditor'!S356,'Avoided Costs 2012-2020_EGD'!$K:$K)*N356</f>
        <v>0</v>
      </c>
      <c r="W356" s="65">
        <f>SUMIF('Avoided Costs 2012-2020_EGD'!$A:$A,'2012 Actuals_Auditor'!T356&amp;'2012 Actuals_Auditor'!S356,'Avoided Costs 2012-2020_EGD'!$M:$M)*R356</f>
        <v>0</v>
      </c>
      <c r="X356" s="65">
        <f t="shared" ref="X356:X384" si="182">SUM(U356:W356)</f>
        <v>26934.65826192165</v>
      </c>
      <c r="Y356" s="146">
        <v>1694</v>
      </c>
      <c r="Z356" s="66">
        <f t="shared" ref="Z356:Z384" si="183">Y356*(1-F356)</f>
        <v>1490.72</v>
      </c>
      <c r="AA356" s="66"/>
      <c r="AB356" s="66"/>
      <c r="AC356" s="66"/>
      <c r="AD356" s="66">
        <f t="shared" ref="AD356:AD385" si="184">Z356+AB356</f>
        <v>1490.72</v>
      </c>
      <c r="AE356" s="66">
        <f t="shared" ref="AE356:AE385" si="185">X356-AD356</f>
        <v>25443.938261921649</v>
      </c>
      <c r="AF356" s="101">
        <f t="shared" ref="AF356:AF384" si="186">J356*S356</f>
        <v>161565.50124967963</v>
      </c>
      <c r="AG356" s="101">
        <f t="shared" ref="AG356:AG384" si="187">(I356*S356)</f>
        <v>183597.16051099956</v>
      </c>
    </row>
    <row r="357" spans="1:33" s="68" customFormat="1" x14ac:dyDescent="0.2">
      <c r="A357" s="147" t="s">
        <v>153</v>
      </c>
      <c r="B357" s="147"/>
      <c r="C357" s="147"/>
      <c r="D357" s="148">
        <v>1</v>
      </c>
      <c r="E357" s="149"/>
      <c r="F357" s="150">
        <v>0.12</v>
      </c>
      <c r="G357" s="150"/>
      <c r="H357" s="67">
        <v>17632</v>
      </c>
      <c r="I357" s="67">
        <f t="shared" si="176"/>
        <v>16854.194481855284</v>
      </c>
      <c r="J357" s="67">
        <f t="shared" si="177"/>
        <v>14831.691144032649</v>
      </c>
      <c r="K357" s="63"/>
      <c r="L357" s="149">
        <v>0</v>
      </c>
      <c r="M357" s="63">
        <f t="shared" si="178"/>
        <v>0</v>
      </c>
      <c r="N357" s="63">
        <f t="shared" si="179"/>
        <v>0</v>
      </c>
      <c r="O357" s="69"/>
      <c r="P357" s="149">
        <v>0</v>
      </c>
      <c r="Q357" s="63">
        <f t="shared" si="180"/>
        <v>0</v>
      </c>
      <c r="R357" s="64">
        <f t="shared" si="181"/>
        <v>0</v>
      </c>
      <c r="S357" s="148">
        <v>5</v>
      </c>
      <c r="T357" s="151" t="s">
        <v>15</v>
      </c>
      <c r="U357" s="65">
        <f>SUMIF('Avoided Costs 2012-2020_EGD'!$A:$A,'2012 Actuals_Auditor'!T357&amp;'2012 Actuals_Auditor'!S357,'Avoided Costs 2012-2020_EGD'!$E:$E)*J357</f>
        <v>12362.989911860326</v>
      </c>
      <c r="V357" s="65">
        <f>SUMIF('Avoided Costs 2012-2020_EGD'!$A:$A,'2012 Actuals_Auditor'!T357&amp;'2012 Actuals_Auditor'!S357,'Avoided Costs 2012-2020_EGD'!$K:$K)*N357</f>
        <v>0</v>
      </c>
      <c r="W357" s="65">
        <f>SUMIF('Avoided Costs 2012-2020_EGD'!$A:$A,'2012 Actuals_Auditor'!T357&amp;'2012 Actuals_Auditor'!S357,'Avoided Costs 2012-2020_EGD'!$M:$M)*R357</f>
        <v>0</v>
      </c>
      <c r="X357" s="65">
        <f>SUM(U357:W357)</f>
        <v>12362.989911860326</v>
      </c>
      <c r="Y357" s="146">
        <v>5998</v>
      </c>
      <c r="Z357" s="66">
        <f t="shared" si="183"/>
        <v>5278.24</v>
      </c>
      <c r="AA357" s="66"/>
      <c r="AB357" s="66"/>
      <c r="AC357" s="66"/>
      <c r="AD357" s="66">
        <f t="shared" si="184"/>
        <v>5278.24</v>
      </c>
      <c r="AE357" s="66">
        <f t="shared" si="185"/>
        <v>7084.7499118603264</v>
      </c>
      <c r="AF357" s="101">
        <f t="shared" si="186"/>
        <v>74158.455720163241</v>
      </c>
      <c r="AG357" s="101">
        <f t="shared" si="187"/>
        <v>84270.972409276423</v>
      </c>
    </row>
    <row r="358" spans="1:33" s="68" customFormat="1" x14ac:dyDescent="0.2">
      <c r="A358" s="147" t="s">
        <v>154</v>
      </c>
      <c r="B358" s="147"/>
      <c r="C358" s="147"/>
      <c r="D358" s="148">
        <v>1</v>
      </c>
      <c r="E358" s="149"/>
      <c r="F358" s="150">
        <v>0.12</v>
      </c>
      <c r="G358" s="150"/>
      <c r="H358" s="67">
        <v>135446</v>
      </c>
      <c r="I358" s="67">
        <f t="shared" si="176"/>
        <v>129471.03140819934</v>
      </c>
      <c r="J358" s="67">
        <f t="shared" si="177"/>
        <v>113934.50763921542</v>
      </c>
      <c r="K358" s="63"/>
      <c r="L358" s="149">
        <v>0</v>
      </c>
      <c r="M358" s="63">
        <f t="shared" si="178"/>
        <v>0</v>
      </c>
      <c r="N358" s="63">
        <f t="shared" si="179"/>
        <v>0</v>
      </c>
      <c r="O358" s="69"/>
      <c r="P358" s="149">
        <v>0</v>
      </c>
      <c r="Q358" s="63">
        <f t="shared" si="180"/>
        <v>0</v>
      </c>
      <c r="R358" s="64">
        <f t="shared" si="181"/>
        <v>0</v>
      </c>
      <c r="S358" s="148">
        <v>5</v>
      </c>
      <c r="T358" s="151" t="s">
        <v>15</v>
      </c>
      <c r="U358" s="65">
        <f>SUMIF('Avoided Costs 2012-2020_EGD'!$A:$A,'2012 Actuals_Auditor'!T358&amp;'2012 Actuals_Auditor'!S358,'Avoided Costs 2012-2020_EGD'!$E:$E)*J358</f>
        <v>94970.368171610346</v>
      </c>
      <c r="V358" s="65">
        <f>SUMIF('Avoided Costs 2012-2020_EGD'!$A:$A,'2012 Actuals_Auditor'!T358&amp;'2012 Actuals_Auditor'!S358,'Avoided Costs 2012-2020_EGD'!$K:$K)*N358</f>
        <v>0</v>
      </c>
      <c r="W358" s="65">
        <f>SUMIF('Avoided Costs 2012-2020_EGD'!$A:$A,'2012 Actuals_Auditor'!T358&amp;'2012 Actuals_Auditor'!S358,'Avoided Costs 2012-2020_EGD'!$M:$M)*R358</f>
        <v>0</v>
      </c>
      <c r="X358" s="65">
        <f>SUM(U358:W358)</f>
        <v>94970.368171610346</v>
      </c>
      <c r="Y358" s="146">
        <v>11495</v>
      </c>
      <c r="Z358" s="66">
        <f t="shared" si="183"/>
        <v>10115.6</v>
      </c>
      <c r="AA358" s="66"/>
      <c r="AB358" s="66"/>
      <c r="AC358" s="66"/>
      <c r="AD358" s="66">
        <f t="shared" si="184"/>
        <v>10115.6</v>
      </c>
      <c r="AE358" s="66">
        <f t="shared" si="185"/>
        <v>84854.76817161034</v>
      </c>
      <c r="AF358" s="101">
        <f t="shared" si="186"/>
        <v>569672.5381960771</v>
      </c>
      <c r="AG358" s="101">
        <f t="shared" si="187"/>
        <v>647355.15704099671</v>
      </c>
    </row>
    <row r="359" spans="1:33" s="68" customFormat="1" x14ac:dyDescent="0.2">
      <c r="A359" s="147" t="s">
        <v>155</v>
      </c>
      <c r="B359" s="147"/>
      <c r="C359" s="147"/>
      <c r="D359" s="148">
        <v>1</v>
      </c>
      <c r="E359" s="149"/>
      <c r="F359" s="150">
        <v>0.12</v>
      </c>
      <c r="G359" s="150"/>
      <c r="H359" s="67">
        <v>5479</v>
      </c>
      <c r="I359" s="67">
        <f t="shared" si="176"/>
        <v>5237.3032875501985</v>
      </c>
      <c r="J359" s="67">
        <f t="shared" si="177"/>
        <v>4608.8268930441745</v>
      </c>
      <c r="K359" s="63"/>
      <c r="L359" s="149">
        <v>0</v>
      </c>
      <c r="M359" s="63">
        <f t="shared" si="178"/>
        <v>0</v>
      </c>
      <c r="N359" s="63">
        <f t="shared" si="179"/>
        <v>0</v>
      </c>
      <c r="O359" s="69"/>
      <c r="P359" s="149">
        <v>0</v>
      </c>
      <c r="Q359" s="63">
        <f t="shared" si="180"/>
        <v>0</v>
      </c>
      <c r="R359" s="64">
        <f t="shared" si="181"/>
        <v>0</v>
      </c>
      <c r="S359" s="148">
        <v>5</v>
      </c>
      <c r="T359" s="151" t="s">
        <v>15</v>
      </c>
      <c r="U359" s="65">
        <f>SUMIF('Avoided Costs 2012-2020_EGD'!$A:$A,'2012 Actuals_Auditor'!T359&amp;'2012 Actuals_Auditor'!S359,'Avoided Costs 2012-2020_EGD'!$E:$E)*J359</f>
        <v>3841.6981469534212</v>
      </c>
      <c r="V359" s="65">
        <f>SUMIF('Avoided Costs 2012-2020_EGD'!$A:$A,'2012 Actuals_Auditor'!T359&amp;'2012 Actuals_Auditor'!S359,'Avoided Costs 2012-2020_EGD'!$K:$K)*N359</f>
        <v>0</v>
      </c>
      <c r="W359" s="65">
        <f>SUMIF('Avoided Costs 2012-2020_EGD'!$A:$A,'2012 Actuals_Auditor'!T359&amp;'2012 Actuals_Auditor'!S359,'Avoided Costs 2012-2020_EGD'!$M:$M)*R359</f>
        <v>0</v>
      </c>
      <c r="X359" s="65">
        <f t="shared" ref="X359:X370" si="188">SUM(U359:W359)</f>
        <v>3841.6981469534212</v>
      </c>
      <c r="Y359" s="146">
        <v>2066.1999999999998</v>
      </c>
      <c r="Z359" s="66">
        <f t="shared" si="183"/>
        <v>1818.2559999999999</v>
      </c>
      <c r="AA359" s="66"/>
      <c r="AB359" s="66"/>
      <c r="AC359" s="66"/>
      <c r="AD359" s="66">
        <f t="shared" si="184"/>
        <v>1818.2559999999999</v>
      </c>
      <c r="AE359" s="66">
        <f t="shared" si="185"/>
        <v>2023.4421469534213</v>
      </c>
      <c r="AF359" s="101">
        <f t="shared" si="186"/>
        <v>23044.134465220872</v>
      </c>
      <c r="AG359" s="101">
        <f t="shared" si="187"/>
        <v>26186.516437750994</v>
      </c>
    </row>
    <row r="360" spans="1:33" s="68" customFormat="1" x14ac:dyDescent="0.2">
      <c r="A360" s="147" t="s">
        <v>156</v>
      </c>
      <c r="B360" s="147"/>
      <c r="C360" s="147"/>
      <c r="D360" s="148">
        <v>1</v>
      </c>
      <c r="E360" s="149"/>
      <c r="F360" s="150">
        <v>0.12</v>
      </c>
      <c r="G360" s="150"/>
      <c r="H360" s="67">
        <v>42993</v>
      </c>
      <c r="I360" s="67">
        <f t="shared" si="176"/>
        <v>41096.437350181724</v>
      </c>
      <c r="J360" s="67">
        <f t="shared" si="177"/>
        <v>36164.864868159915</v>
      </c>
      <c r="K360" s="63"/>
      <c r="L360" s="149">
        <v>0</v>
      </c>
      <c r="M360" s="63">
        <f t="shared" si="178"/>
        <v>0</v>
      </c>
      <c r="N360" s="63">
        <f t="shared" si="179"/>
        <v>0</v>
      </c>
      <c r="O360" s="69"/>
      <c r="P360" s="149">
        <v>0</v>
      </c>
      <c r="Q360" s="63">
        <f t="shared" si="180"/>
        <v>0</v>
      </c>
      <c r="R360" s="64">
        <f t="shared" si="181"/>
        <v>0</v>
      </c>
      <c r="S360" s="148">
        <v>5</v>
      </c>
      <c r="T360" s="151" t="s">
        <v>15</v>
      </c>
      <c r="U360" s="65">
        <f>SUMIF('Avoided Costs 2012-2020_EGD'!$A:$A,'2012 Actuals_Auditor'!T360&amp;'2012 Actuals_Auditor'!S360,'Avoided Costs 2012-2020_EGD'!$E:$E)*J360</f>
        <v>30145.305426531926</v>
      </c>
      <c r="V360" s="65">
        <f>SUMIF('Avoided Costs 2012-2020_EGD'!$A:$A,'2012 Actuals_Auditor'!T360&amp;'2012 Actuals_Auditor'!S360,'Avoided Costs 2012-2020_EGD'!$K:$K)*N360</f>
        <v>0</v>
      </c>
      <c r="W360" s="65">
        <f>SUMIF('Avoided Costs 2012-2020_EGD'!$A:$A,'2012 Actuals_Auditor'!T360&amp;'2012 Actuals_Auditor'!S360,'Avoided Costs 2012-2020_EGD'!$M:$M)*R360</f>
        <v>0</v>
      </c>
      <c r="X360" s="65">
        <f t="shared" si="188"/>
        <v>30145.305426531926</v>
      </c>
      <c r="Y360" s="146">
        <v>14073</v>
      </c>
      <c r="Z360" s="66">
        <f t="shared" si="183"/>
        <v>12384.24</v>
      </c>
      <c r="AA360" s="66"/>
      <c r="AB360" s="66"/>
      <c r="AC360" s="66"/>
      <c r="AD360" s="66">
        <f t="shared" si="184"/>
        <v>12384.24</v>
      </c>
      <c r="AE360" s="66">
        <f t="shared" si="185"/>
        <v>17761.065426531924</v>
      </c>
      <c r="AF360" s="101">
        <f t="shared" si="186"/>
        <v>180824.32434079959</v>
      </c>
      <c r="AG360" s="101">
        <f t="shared" si="187"/>
        <v>205482.18675090862</v>
      </c>
    </row>
    <row r="361" spans="1:33" s="68" customFormat="1" x14ac:dyDescent="0.2">
      <c r="A361" s="147" t="s">
        <v>157</v>
      </c>
      <c r="B361" s="147"/>
      <c r="C361" s="147"/>
      <c r="D361" s="148">
        <v>1</v>
      </c>
      <c r="E361" s="149"/>
      <c r="F361" s="150">
        <v>0.12</v>
      </c>
      <c r="G361" s="150"/>
      <c r="H361" s="67">
        <v>75931</v>
      </c>
      <c r="I361" s="67">
        <f t="shared" si="176"/>
        <v>72581.433824963329</v>
      </c>
      <c r="J361" s="67">
        <f t="shared" si="177"/>
        <v>63871.661765967729</v>
      </c>
      <c r="K361" s="63"/>
      <c r="L361" s="149">
        <v>152913</v>
      </c>
      <c r="M361" s="63">
        <f t="shared" si="178"/>
        <v>152913</v>
      </c>
      <c r="N361" s="63">
        <f t="shared" si="179"/>
        <v>134563.44</v>
      </c>
      <c r="O361" s="69"/>
      <c r="P361" s="149">
        <v>0</v>
      </c>
      <c r="Q361" s="63">
        <f t="shared" si="180"/>
        <v>0</v>
      </c>
      <c r="R361" s="64">
        <f t="shared" si="181"/>
        <v>0</v>
      </c>
      <c r="S361" s="148">
        <v>15</v>
      </c>
      <c r="T361" s="151" t="s">
        <v>15</v>
      </c>
      <c r="U361" s="65">
        <f>SUMIF('Avoided Costs 2012-2020_EGD'!$A:$A,'2012 Actuals_Auditor'!T361&amp;'2012 Actuals_Auditor'!S361,'Avoided Costs 2012-2020_EGD'!$E:$E)*J361</f>
        <v>155201.9985141303</v>
      </c>
      <c r="V361" s="65">
        <f>SUMIF('Avoided Costs 2012-2020_EGD'!$A:$A,'2012 Actuals_Auditor'!T361&amp;'2012 Actuals_Auditor'!S361,'Avoided Costs 2012-2020_EGD'!$K:$K)*N361</f>
        <v>138571.20024323385</v>
      </c>
      <c r="W361" s="65">
        <f>SUMIF('Avoided Costs 2012-2020_EGD'!$A:$A,'2012 Actuals_Auditor'!T361&amp;'2012 Actuals_Auditor'!S361,'Avoided Costs 2012-2020_EGD'!$M:$M)*R361</f>
        <v>0</v>
      </c>
      <c r="X361" s="65">
        <f t="shared" si="188"/>
        <v>293773.19875736418</v>
      </c>
      <c r="Y361" s="146">
        <v>38922.36</v>
      </c>
      <c r="Z361" s="66">
        <f t="shared" si="183"/>
        <v>34251.676800000001</v>
      </c>
      <c r="AA361" s="66"/>
      <c r="AB361" s="66"/>
      <c r="AC361" s="66"/>
      <c r="AD361" s="66">
        <f t="shared" si="184"/>
        <v>34251.676800000001</v>
      </c>
      <c r="AE361" s="66">
        <f t="shared" si="185"/>
        <v>259521.52195736417</v>
      </c>
      <c r="AF361" s="101">
        <f t="shared" si="186"/>
        <v>958074.92648951593</v>
      </c>
      <c r="AG361" s="101">
        <f t="shared" si="187"/>
        <v>1088721.5073744499</v>
      </c>
    </row>
    <row r="362" spans="1:33" s="68" customFormat="1" x14ac:dyDescent="0.2">
      <c r="A362" s="147" t="s">
        <v>158</v>
      </c>
      <c r="B362" s="147"/>
      <c r="C362" s="147"/>
      <c r="D362" s="148">
        <v>1</v>
      </c>
      <c r="E362" s="149"/>
      <c r="F362" s="150">
        <v>0.12</v>
      </c>
      <c r="G362" s="150"/>
      <c r="H362" s="67">
        <v>805195</v>
      </c>
      <c r="I362" s="67">
        <f t="shared" si="176"/>
        <v>769675.19996696152</v>
      </c>
      <c r="J362" s="67">
        <f t="shared" si="177"/>
        <v>677314.17597092618</v>
      </c>
      <c r="K362" s="63"/>
      <c r="L362" s="149">
        <v>2060433</v>
      </c>
      <c r="M362" s="63">
        <f t="shared" si="178"/>
        <v>2060433</v>
      </c>
      <c r="N362" s="63">
        <f t="shared" si="179"/>
        <v>1813181.04</v>
      </c>
      <c r="O362" s="69"/>
      <c r="P362" s="149">
        <v>0</v>
      </c>
      <c r="Q362" s="63">
        <f t="shared" si="180"/>
        <v>0</v>
      </c>
      <c r="R362" s="64">
        <f t="shared" si="181"/>
        <v>0</v>
      </c>
      <c r="S362" s="148">
        <v>15</v>
      </c>
      <c r="T362" s="151" t="s">
        <v>15</v>
      </c>
      <c r="U362" s="65">
        <f>SUMIF('Avoided Costs 2012-2020_EGD'!$A:$A,'2012 Actuals_Auditor'!T362&amp;'2012 Actuals_Auditor'!S362,'Avoided Costs 2012-2020_EGD'!$E:$E)*J362</f>
        <v>1645808.3416995059</v>
      </c>
      <c r="V362" s="65">
        <f>SUMIF('Avoided Costs 2012-2020_EGD'!$A:$A,'2012 Actuals_Auditor'!T362&amp;'2012 Actuals_Auditor'!S362,'Avoided Costs 2012-2020_EGD'!$K:$K)*N362</f>
        <v>1867183.7831366009</v>
      </c>
      <c r="W362" s="65">
        <f>SUMIF('Avoided Costs 2012-2020_EGD'!$A:$A,'2012 Actuals_Auditor'!T362&amp;'2012 Actuals_Auditor'!S362,'Avoided Costs 2012-2020_EGD'!$M:$M)*R362</f>
        <v>0</v>
      </c>
      <c r="X362" s="65">
        <f t="shared" si="188"/>
        <v>3512992.1248361068</v>
      </c>
      <c r="Y362" s="146">
        <v>916821</v>
      </c>
      <c r="Z362" s="66">
        <f t="shared" si="183"/>
        <v>806802.48</v>
      </c>
      <c r="AA362" s="66"/>
      <c r="AB362" s="66"/>
      <c r="AC362" s="66"/>
      <c r="AD362" s="66">
        <f t="shared" si="184"/>
        <v>806802.48</v>
      </c>
      <c r="AE362" s="66">
        <f t="shared" si="185"/>
        <v>2706189.6448361068</v>
      </c>
      <c r="AF362" s="101">
        <f t="shared" si="186"/>
        <v>10159712.639563892</v>
      </c>
      <c r="AG362" s="101">
        <f t="shared" si="187"/>
        <v>11545127.999504423</v>
      </c>
    </row>
    <row r="363" spans="1:33" s="68" customFormat="1" x14ac:dyDescent="0.2">
      <c r="A363" s="147" t="s">
        <v>159</v>
      </c>
      <c r="B363" s="147"/>
      <c r="C363" s="147"/>
      <c r="D363" s="148">
        <v>1</v>
      </c>
      <c r="E363" s="149"/>
      <c r="F363" s="150">
        <v>0.12</v>
      </c>
      <c r="G363" s="150"/>
      <c r="H363" s="67">
        <v>10797</v>
      </c>
      <c r="I363" s="67">
        <f t="shared" si="176"/>
        <v>10320.708814688718</v>
      </c>
      <c r="J363" s="67">
        <f t="shared" si="177"/>
        <v>9082.2237569260724</v>
      </c>
      <c r="K363" s="63"/>
      <c r="L363" s="149">
        <v>0</v>
      </c>
      <c r="M363" s="63">
        <f t="shared" si="178"/>
        <v>0</v>
      </c>
      <c r="N363" s="63">
        <f t="shared" si="179"/>
        <v>0</v>
      </c>
      <c r="O363" s="69"/>
      <c r="P363" s="149">
        <v>0</v>
      </c>
      <c r="Q363" s="63">
        <f t="shared" si="180"/>
        <v>0</v>
      </c>
      <c r="R363" s="64">
        <f t="shared" si="181"/>
        <v>0</v>
      </c>
      <c r="S363" s="148">
        <v>5</v>
      </c>
      <c r="T363" s="151" t="s">
        <v>15</v>
      </c>
      <c r="U363" s="65">
        <f>SUMIF('Avoided Costs 2012-2020_EGD'!$A:$A,'2012 Actuals_Auditor'!T363&amp;'2012 Actuals_Auditor'!S363,'Avoided Costs 2012-2020_EGD'!$E:$E)*J363</f>
        <v>7570.5082848432357</v>
      </c>
      <c r="V363" s="65">
        <f>SUMIF('Avoided Costs 2012-2020_EGD'!$A:$A,'2012 Actuals_Auditor'!T363&amp;'2012 Actuals_Auditor'!S363,'Avoided Costs 2012-2020_EGD'!$K:$K)*N363</f>
        <v>0</v>
      </c>
      <c r="W363" s="65">
        <f>SUMIF('Avoided Costs 2012-2020_EGD'!$A:$A,'2012 Actuals_Auditor'!T363&amp;'2012 Actuals_Auditor'!S363,'Avoided Costs 2012-2020_EGD'!$M:$M)*R363</f>
        <v>0</v>
      </c>
      <c r="X363" s="65">
        <f t="shared" si="188"/>
        <v>7570.5082848432357</v>
      </c>
      <c r="Y363" s="146">
        <v>1091</v>
      </c>
      <c r="Z363" s="66">
        <f t="shared" si="183"/>
        <v>960.08</v>
      </c>
      <c r="AA363" s="66"/>
      <c r="AB363" s="66"/>
      <c r="AC363" s="66"/>
      <c r="AD363" s="66">
        <f t="shared" si="184"/>
        <v>960.08</v>
      </c>
      <c r="AE363" s="66">
        <f t="shared" si="185"/>
        <v>6610.4282848432358</v>
      </c>
      <c r="AF363" s="101">
        <f t="shared" si="186"/>
        <v>45411.118784630366</v>
      </c>
      <c r="AG363" s="101">
        <f t="shared" si="187"/>
        <v>51603.544073443591</v>
      </c>
    </row>
    <row r="364" spans="1:33" s="68" customFormat="1" x14ac:dyDescent="0.2">
      <c r="A364" s="147" t="s">
        <v>160</v>
      </c>
      <c r="B364" s="147"/>
      <c r="C364" s="147"/>
      <c r="D364" s="148">
        <v>1</v>
      </c>
      <c r="E364" s="149"/>
      <c r="F364" s="150">
        <v>0.12</v>
      </c>
      <c r="G364" s="150"/>
      <c r="H364" s="67">
        <v>177567</v>
      </c>
      <c r="I364" s="67">
        <f t="shared" si="176"/>
        <v>169733.93554671036</v>
      </c>
      <c r="J364" s="67">
        <f t="shared" si="177"/>
        <v>149365.86328110512</v>
      </c>
      <c r="K364" s="63"/>
      <c r="L364" s="149">
        <v>0</v>
      </c>
      <c r="M364" s="63">
        <f t="shared" si="178"/>
        <v>0</v>
      </c>
      <c r="N364" s="63">
        <f t="shared" si="179"/>
        <v>0</v>
      </c>
      <c r="O364" s="69"/>
      <c r="P364" s="149">
        <v>0</v>
      </c>
      <c r="Q364" s="63">
        <f t="shared" si="180"/>
        <v>0</v>
      </c>
      <c r="R364" s="64">
        <f t="shared" si="181"/>
        <v>0</v>
      </c>
      <c r="S364" s="148">
        <v>5</v>
      </c>
      <c r="T364" s="151" t="s">
        <v>15</v>
      </c>
      <c r="U364" s="65">
        <f>SUMIF('Avoided Costs 2012-2020_EGD'!$A:$A,'2012 Actuals_Auditor'!T364&amp;'2012 Actuals_Auditor'!S364,'Avoided Costs 2012-2020_EGD'!$E:$E)*J364</f>
        <v>124504.25531302759</v>
      </c>
      <c r="V364" s="65">
        <f>SUMIF('Avoided Costs 2012-2020_EGD'!$A:$A,'2012 Actuals_Auditor'!T364&amp;'2012 Actuals_Auditor'!S364,'Avoided Costs 2012-2020_EGD'!$K:$K)*N364</f>
        <v>0</v>
      </c>
      <c r="W364" s="65">
        <f>SUMIF('Avoided Costs 2012-2020_EGD'!$A:$A,'2012 Actuals_Auditor'!T364&amp;'2012 Actuals_Auditor'!S364,'Avoided Costs 2012-2020_EGD'!$M:$M)*R364</f>
        <v>0</v>
      </c>
      <c r="X364" s="65">
        <f t="shared" si="188"/>
        <v>124504.25531302759</v>
      </c>
      <c r="Y364" s="146">
        <v>10659</v>
      </c>
      <c r="Z364" s="66">
        <f t="shared" si="183"/>
        <v>9379.92</v>
      </c>
      <c r="AA364" s="66"/>
      <c r="AB364" s="66"/>
      <c r="AC364" s="66"/>
      <c r="AD364" s="66">
        <f t="shared" si="184"/>
        <v>9379.92</v>
      </c>
      <c r="AE364" s="66">
        <f t="shared" si="185"/>
        <v>115124.33531302759</v>
      </c>
      <c r="AF364" s="101">
        <f t="shared" si="186"/>
        <v>746829.31640552566</v>
      </c>
      <c r="AG364" s="101">
        <f t="shared" si="187"/>
        <v>848669.67773355183</v>
      </c>
    </row>
    <row r="365" spans="1:33" s="68" customFormat="1" x14ac:dyDescent="0.2">
      <c r="A365" s="147" t="s">
        <v>161</v>
      </c>
      <c r="B365" s="147"/>
      <c r="C365" s="147"/>
      <c r="D365" s="148">
        <v>1</v>
      </c>
      <c r="E365" s="149"/>
      <c r="F365" s="150">
        <v>0.12</v>
      </c>
      <c r="G365" s="150"/>
      <c r="H365" s="67">
        <v>226251</v>
      </c>
      <c r="I365" s="67">
        <f t="shared" si="176"/>
        <v>216270.32416709617</v>
      </c>
      <c r="J365" s="67">
        <f t="shared" si="177"/>
        <v>190317.88526704462</v>
      </c>
      <c r="K365" s="63"/>
      <c r="L365" s="149">
        <v>0</v>
      </c>
      <c r="M365" s="63">
        <f t="shared" si="178"/>
        <v>0</v>
      </c>
      <c r="N365" s="63">
        <f t="shared" si="179"/>
        <v>0</v>
      </c>
      <c r="O365" s="69"/>
      <c r="P365" s="149">
        <v>0</v>
      </c>
      <c r="Q365" s="63">
        <f t="shared" si="180"/>
        <v>0</v>
      </c>
      <c r="R365" s="64">
        <f t="shared" si="181"/>
        <v>0</v>
      </c>
      <c r="S365" s="148">
        <v>5</v>
      </c>
      <c r="T365" s="151" t="s">
        <v>15</v>
      </c>
      <c r="U365" s="65">
        <f>SUMIF('Avoided Costs 2012-2020_EGD'!$A:$A,'2012 Actuals_Auditor'!T365&amp;'2012 Actuals_Auditor'!S365,'Avoided Costs 2012-2020_EGD'!$E:$E)*J365</f>
        <v>158639.90645124266</v>
      </c>
      <c r="V365" s="65">
        <f>SUMIF('Avoided Costs 2012-2020_EGD'!$A:$A,'2012 Actuals_Auditor'!T365&amp;'2012 Actuals_Auditor'!S365,'Avoided Costs 2012-2020_EGD'!$K:$K)*N365</f>
        <v>0</v>
      </c>
      <c r="W365" s="65">
        <f>SUMIF('Avoided Costs 2012-2020_EGD'!$A:$A,'2012 Actuals_Auditor'!T365&amp;'2012 Actuals_Auditor'!S365,'Avoided Costs 2012-2020_EGD'!$M:$M)*R365</f>
        <v>0</v>
      </c>
      <c r="X365" s="65">
        <f t="shared" si="188"/>
        <v>158639.90645124266</v>
      </c>
      <c r="Y365" s="146">
        <v>2575.02</v>
      </c>
      <c r="Z365" s="66">
        <f t="shared" si="183"/>
        <v>2266.0176000000001</v>
      </c>
      <c r="AA365" s="66"/>
      <c r="AB365" s="66"/>
      <c r="AC365" s="66"/>
      <c r="AD365" s="66">
        <f t="shared" si="184"/>
        <v>2266.0176000000001</v>
      </c>
      <c r="AE365" s="66">
        <f t="shared" si="185"/>
        <v>156373.88885124266</v>
      </c>
      <c r="AF365" s="101">
        <f t="shared" si="186"/>
        <v>951589.42633522314</v>
      </c>
      <c r="AG365" s="101">
        <f t="shared" si="187"/>
        <v>1081351.6208354807</v>
      </c>
    </row>
    <row r="366" spans="1:33" s="68" customFormat="1" x14ac:dyDescent="0.2">
      <c r="A366" s="147" t="s">
        <v>162</v>
      </c>
      <c r="B366" s="147"/>
      <c r="C366" s="147"/>
      <c r="D366" s="148">
        <v>0</v>
      </c>
      <c r="E366" s="149"/>
      <c r="F366" s="150">
        <v>0.12</v>
      </c>
      <c r="G366" s="150"/>
      <c r="H366" s="67">
        <v>7126</v>
      </c>
      <c r="I366" s="67">
        <f t="shared" si="176"/>
        <v>6811.6486999603421</v>
      </c>
      <c r="J366" s="67">
        <f t="shared" si="177"/>
        <v>5994.2508559651014</v>
      </c>
      <c r="K366" s="63"/>
      <c r="L366" s="149">
        <v>880</v>
      </c>
      <c r="M366" s="63">
        <f t="shared" si="178"/>
        <v>880</v>
      </c>
      <c r="N366" s="63">
        <f t="shared" si="179"/>
        <v>774.4</v>
      </c>
      <c r="O366" s="69"/>
      <c r="P366" s="149">
        <v>0</v>
      </c>
      <c r="Q366" s="63">
        <f t="shared" si="180"/>
        <v>0</v>
      </c>
      <c r="R366" s="64">
        <f t="shared" si="181"/>
        <v>0</v>
      </c>
      <c r="S366" s="148">
        <v>15</v>
      </c>
      <c r="T366" s="151" t="s">
        <v>15</v>
      </c>
      <c r="U366" s="65">
        <f>SUMIF('Avoided Costs 2012-2020_EGD'!$A:$A,'2012 Actuals_Auditor'!T366&amp;'2012 Actuals_Auditor'!S366,'Avoided Costs 2012-2020_EGD'!$E:$E)*J366</f>
        <v>14565.45339073228</v>
      </c>
      <c r="V366" s="65">
        <f>SUMIF('Avoided Costs 2012-2020_EGD'!$A:$A,'2012 Actuals_Auditor'!T366&amp;'2012 Actuals_Auditor'!S366,'Avoided Costs 2012-2020_EGD'!$K:$K)*N366</f>
        <v>797.46428501203809</v>
      </c>
      <c r="W366" s="65">
        <f>SUMIF('Avoided Costs 2012-2020_EGD'!$A:$A,'2012 Actuals_Auditor'!T366&amp;'2012 Actuals_Auditor'!S366,'Avoided Costs 2012-2020_EGD'!$M:$M)*R366</f>
        <v>0</v>
      </c>
      <c r="X366" s="65">
        <f t="shared" si="188"/>
        <v>15362.917675744318</v>
      </c>
      <c r="Y366" s="146">
        <v>29564</v>
      </c>
      <c r="Z366" s="66">
        <f t="shared" si="183"/>
        <v>26016.32</v>
      </c>
      <c r="AA366" s="66"/>
      <c r="AB366" s="66"/>
      <c r="AC366" s="66"/>
      <c r="AD366" s="66">
        <f t="shared" si="184"/>
        <v>26016.32</v>
      </c>
      <c r="AE366" s="66">
        <f t="shared" si="185"/>
        <v>-10653.402324255681</v>
      </c>
      <c r="AF366" s="101">
        <f t="shared" si="186"/>
        <v>89913.76283947652</v>
      </c>
      <c r="AG366" s="101">
        <f t="shared" si="187"/>
        <v>102174.73049940514</v>
      </c>
    </row>
    <row r="367" spans="1:33" s="68" customFormat="1" x14ac:dyDescent="0.2">
      <c r="A367" s="147" t="s">
        <v>163</v>
      </c>
      <c r="B367" s="147"/>
      <c r="C367" s="147"/>
      <c r="D367" s="148">
        <v>0</v>
      </c>
      <c r="E367" s="149"/>
      <c r="F367" s="150">
        <v>0.12</v>
      </c>
      <c r="G367" s="150"/>
      <c r="H367" s="67">
        <v>2714</v>
      </c>
      <c r="I367" s="67">
        <f t="shared" si="176"/>
        <v>2594.2765326539948</v>
      </c>
      <c r="J367" s="67">
        <f t="shared" si="177"/>
        <v>2282.9633487355154</v>
      </c>
      <c r="K367" s="63"/>
      <c r="L367" s="149">
        <v>0</v>
      </c>
      <c r="M367" s="63">
        <f t="shared" si="178"/>
        <v>0</v>
      </c>
      <c r="N367" s="63">
        <f t="shared" si="179"/>
        <v>0</v>
      </c>
      <c r="O367" s="69"/>
      <c r="P367" s="149">
        <v>1792</v>
      </c>
      <c r="Q367" s="63">
        <f t="shared" si="180"/>
        <v>1792</v>
      </c>
      <c r="R367" s="64">
        <f t="shared" si="181"/>
        <v>1576.96</v>
      </c>
      <c r="S367" s="148">
        <v>10</v>
      </c>
      <c r="T367" s="151" t="s">
        <v>52</v>
      </c>
      <c r="U367" s="65">
        <f>SUMIF('Avoided Costs 2012-2020_EGD'!$A:$A,'2012 Actuals_Auditor'!T367&amp;'2012 Actuals_Auditor'!S367,'Avoided Costs 2012-2020_EGD'!$E:$E)*J367</f>
        <v>3688.2948026914214</v>
      </c>
      <c r="V367" s="65">
        <f>SUMIF('Avoided Costs 2012-2020_EGD'!$A:$A,'2012 Actuals_Auditor'!T367&amp;'2012 Actuals_Auditor'!S367,'Avoided Costs 2012-2020_EGD'!$K:$K)*N367</f>
        <v>0</v>
      </c>
      <c r="W367" s="65">
        <f>SUMIF('Avoided Costs 2012-2020_EGD'!$A:$A,'2012 Actuals_Auditor'!T367&amp;'2012 Actuals_Auditor'!S367,'Avoided Costs 2012-2020_EGD'!$M:$M)*R367</f>
        <v>29002.507182988938</v>
      </c>
      <c r="X367" s="65">
        <f t="shared" si="188"/>
        <v>32690.801985680358</v>
      </c>
      <c r="Y367" s="146">
        <v>4981</v>
      </c>
      <c r="Z367" s="66">
        <f t="shared" si="183"/>
        <v>4383.28</v>
      </c>
      <c r="AA367" s="66"/>
      <c r="AB367" s="66"/>
      <c r="AC367" s="66"/>
      <c r="AD367" s="66">
        <f t="shared" si="184"/>
        <v>4383.28</v>
      </c>
      <c r="AE367" s="66">
        <f t="shared" si="185"/>
        <v>28307.52198568036</v>
      </c>
      <c r="AF367" s="101">
        <f t="shared" si="186"/>
        <v>22829.633487355153</v>
      </c>
      <c r="AG367" s="101">
        <f t="shared" si="187"/>
        <v>25942.765326539949</v>
      </c>
    </row>
    <row r="368" spans="1:33" s="68" customFormat="1" x14ac:dyDescent="0.2">
      <c r="A368" s="147" t="s">
        <v>164</v>
      </c>
      <c r="B368" s="147"/>
      <c r="C368" s="147"/>
      <c r="D368" s="148">
        <v>1</v>
      </c>
      <c r="E368" s="149"/>
      <c r="F368" s="150">
        <v>0.12</v>
      </c>
      <c r="G368" s="150"/>
      <c r="H368" s="67">
        <v>54958</v>
      </c>
      <c r="I368" s="67">
        <f t="shared" si="176"/>
        <v>52533.621842888082</v>
      </c>
      <c r="J368" s="67">
        <f t="shared" si="177"/>
        <v>46229.587221741509</v>
      </c>
      <c r="K368" s="63"/>
      <c r="L368" s="149">
        <v>497151</v>
      </c>
      <c r="M368" s="63">
        <f t="shared" si="178"/>
        <v>497151</v>
      </c>
      <c r="N368" s="63">
        <f t="shared" si="179"/>
        <v>437492.88</v>
      </c>
      <c r="O368" s="69"/>
      <c r="P368" s="149">
        <v>0</v>
      </c>
      <c r="Q368" s="63">
        <f t="shared" si="180"/>
        <v>0</v>
      </c>
      <c r="R368" s="64">
        <f t="shared" si="181"/>
        <v>0</v>
      </c>
      <c r="S368" s="148">
        <v>15</v>
      </c>
      <c r="T368" s="151" t="s">
        <v>15</v>
      </c>
      <c r="U368" s="65">
        <f>SUMIF('Avoided Costs 2012-2020_EGD'!$A:$A,'2012 Actuals_Auditor'!T368&amp;'2012 Actuals_Auditor'!S368,'Avoided Costs 2012-2020_EGD'!$E:$E)*J368</f>
        <v>112333.45319223471</v>
      </c>
      <c r="V368" s="65">
        <f>SUMIF('Avoided Costs 2012-2020_EGD'!$A:$A,'2012 Actuals_Auditor'!T368&amp;'2012 Actuals_Auditor'!S368,'Avoided Costs 2012-2020_EGD'!$K:$K)*N368</f>
        <v>450522.91677047702</v>
      </c>
      <c r="W368" s="65">
        <f>SUMIF('Avoided Costs 2012-2020_EGD'!$A:$A,'2012 Actuals_Auditor'!T368&amp;'2012 Actuals_Auditor'!S368,'Avoided Costs 2012-2020_EGD'!$M:$M)*R368</f>
        <v>0</v>
      </c>
      <c r="X368" s="65">
        <f t="shared" si="188"/>
        <v>562856.3699627117</v>
      </c>
      <c r="Y368" s="146">
        <v>191306</v>
      </c>
      <c r="Z368" s="66">
        <f t="shared" si="183"/>
        <v>168349.28</v>
      </c>
      <c r="AA368" s="66"/>
      <c r="AB368" s="66"/>
      <c r="AC368" s="66"/>
      <c r="AD368" s="66">
        <f t="shared" si="184"/>
        <v>168349.28</v>
      </c>
      <c r="AE368" s="66">
        <f t="shared" si="185"/>
        <v>394507.08996271167</v>
      </c>
      <c r="AF368" s="101">
        <f t="shared" si="186"/>
        <v>693443.80832612258</v>
      </c>
      <c r="AG368" s="101">
        <f t="shared" si="187"/>
        <v>788004.32764332124</v>
      </c>
    </row>
    <row r="369" spans="1:33" s="68" customFormat="1" x14ac:dyDescent="0.2">
      <c r="A369" s="147" t="s">
        <v>165</v>
      </c>
      <c r="B369" s="147"/>
      <c r="C369" s="147"/>
      <c r="D369" s="148">
        <v>1</v>
      </c>
      <c r="E369" s="149"/>
      <c r="F369" s="150">
        <v>0.12</v>
      </c>
      <c r="G369" s="150"/>
      <c r="H369" s="67">
        <v>7336</v>
      </c>
      <c r="I369" s="67">
        <f t="shared" si="176"/>
        <v>7012.3849091929651</v>
      </c>
      <c r="J369" s="67">
        <f t="shared" si="177"/>
        <v>6170.8987200898091</v>
      </c>
      <c r="K369" s="63"/>
      <c r="L369" s="149">
        <v>0</v>
      </c>
      <c r="M369" s="63">
        <f t="shared" si="178"/>
        <v>0</v>
      </c>
      <c r="N369" s="63">
        <f t="shared" si="179"/>
        <v>0</v>
      </c>
      <c r="O369" s="69"/>
      <c r="P369" s="149">
        <v>0</v>
      </c>
      <c r="Q369" s="63">
        <f t="shared" si="180"/>
        <v>0</v>
      </c>
      <c r="R369" s="64">
        <f t="shared" si="181"/>
        <v>0</v>
      </c>
      <c r="S369" s="148">
        <v>15</v>
      </c>
      <c r="T369" s="151" t="s">
        <v>15</v>
      </c>
      <c r="U369" s="65">
        <f>SUMIF('Avoided Costs 2012-2020_EGD'!$A:$A,'2012 Actuals_Auditor'!T369&amp;'2012 Actuals_Auditor'!S369,'Avoided Costs 2012-2020_EGD'!$E:$E)*J369</f>
        <v>14994.690720518103</v>
      </c>
      <c r="V369" s="65">
        <f>SUMIF('Avoided Costs 2012-2020_EGD'!$A:$A,'2012 Actuals_Auditor'!T369&amp;'2012 Actuals_Auditor'!S369,'Avoided Costs 2012-2020_EGD'!$K:$K)*N369</f>
        <v>0</v>
      </c>
      <c r="W369" s="65">
        <f>SUMIF('Avoided Costs 2012-2020_EGD'!$A:$A,'2012 Actuals_Auditor'!T369&amp;'2012 Actuals_Auditor'!S369,'Avoided Costs 2012-2020_EGD'!$M:$M)*R369</f>
        <v>0</v>
      </c>
      <c r="X369" s="65">
        <f t="shared" si="188"/>
        <v>14994.690720518103</v>
      </c>
      <c r="Y369" s="146">
        <v>15000</v>
      </c>
      <c r="Z369" s="66">
        <f t="shared" si="183"/>
        <v>13200</v>
      </c>
      <c r="AA369" s="66"/>
      <c r="AB369" s="66"/>
      <c r="AC369" s="66"/>
      <c r="AD369" s="66">
        <f t="shared" si="184"/>
        <v>13200</v>
      </c>
      <c r="AE369" s="66">
        <f t="shared" si="185"/>
        <v>1794.6907205181033</v>
      </c>
      <c r="AF369" s="101">
        <f t="shared" si="186"/>
        <v>92563.480801347134</v>
      </c>
      <c r="AG369" s="101">
        <f t="shared" si="187"/>
        <v>105185.77363789448</v>
      </c>
    </row>
    <row r="370" spans="1:33" s="68" customFormat="1" x14ac:dyDescent="0.2">
      <c r="A370" s="147" t="s">
        <v>166</v>
      </c>
      <c r="B370" s="147"/>
      <c r="C370" s="147"/>
      <c r="D370" s="148">
        <v>1</v>
      </c>
      <c r="E370" s="149"/>
      <c r="F370" s="150">
        <v>0.12</v>
      </c>
      <c r="G370" s="150"/>
      <c r="H370" s="67">
        <v>35675</v>
      </c>
      <c r="I370" s="67">
        <f t="shared" si="176"/>
        <v>34101.258401780127</v>
      </c>
      <c r="J370" s="67">
        <f t="shared" si="177"/>
        <v>30009.107393566512</v>
      </c>
      <c r="K370" s="63"/>
      <c r="L370" s="149">
        <v>0</v>
      </c>
      <c r="M370" s="63">
        <f t="shared" si="178"/>
        <v>0</v>
      </c>
      <c r="N370" s="63">
        <f t="shared" si="179"/>
        <v>0</v>
      </c>
      <c r="O370" s="69"/>
      <c r="P370" s="149">
        <v>0</v>
      </c>
      <c r="Q370" s="63">
        <f t="shared" si="180"/>
        <v>0</v>
      </c>
      <c r="R370" s="64">
        <f t="shared" si="181"/>
        <v>0</v>
      </c>
      <c r="S370" s="148">
        <v>25</v>
      </c>
      <c r="T370" s="151" t="s">
        <v>15</v>
      </c>
      <c r="U370" s="65">
        <f>SUMIF('Avoided Costs 2012-2020_EGD'!$A:$A,'2012 Actuals_Auditor'!T370&amp;'2012 Actuals_Auditor'!S370,'Avoided Costs 2012-2020_EGD'!$E:$E)*J370</f>
        <v>103051.12471133657</v>
      </c>
      <c r="V370" s="65">
        <f>SUMIF('Avoided Costs 2012-2020_EGD'!$A:$A,'2012 Actuals_Auditor'!T370&amp;'2012 Actuals_Auditor'!S370,'Avoided Costs 2012-2020_EGD'!$K:$K)*N370</f>
        <v>0</v>
      </c>
      <c r="W370" s="65">
        <f>SUMIF('Avoided Costs 2012-2020_EGD'!$A:$A,'2012 Actuals_Auditor'!T370&amp;'2012 Actuals_Auditor'!S370,'Avoided Costs 2012-2020_EGD'!$M:$M)*R370</f>
        <v>0</v>
      </c>
      <c r="X370" s="65">
        <f t="shared" si="188"/>
        <v>103051.12471133657</v>
      </c>
      <c r="Y370" s="146">
        <v>39276</v>
      </c>
      <c r="Z370" s="66">
        <f t="shared" si="183"/>
        <v>34562.879999999997</v>
      </c>
      <c r="AA370" s="66"/>
      <c r="AB370" s="66"/>
      <c r="AC370" s="66"/>
      <c r="AD370" s="66">
        <f t="shared" si="184"/>
        <v>34562.879999999997</v>
      </c>
      <c r="AE370" s="66">
        <f t="shared" si="185"/>
        <v>68488.244711336563</v>
      </c>
      <c r="AF370" s="101">
        <f t="shared" si="186"/>
        <v>750227.68483916274</v>
      </c>
      <c r="AG370" s="101">
        <f t="shared" si="187"/>
        <v>852531.46004450321</v>
      </c>
    </row>
    <row r="371" spans="1:33" s="68" customFormat="1" x14ac:dyDescent="0.2">
      <c r="A371" s="147" t="s">
        <v>167</v>
      </c>
      <c r="B371" s="147"/>
      <c r="C371" s="147"/>
      <c r="D371" s="148">
        <v>1</v>
      </c>
      <c r="E371" s="149"/>
      <c r="F371" s="150">
        <v>0.12</v>
      </c>
      <c r="G371" s="150"/>
      <c r="H371" s="67">
        <v>11445</v>
      </c>
      <c r="I371" s="67">
        <f t="shared" si="176"/>
        <v>10940.123403177955</v>
      </c>
      <c r="J371" s="67">
        <f t="shared" si="177"/>
        <v>9627.308594796601</v>
      </c>
      <c r="K371" s="63"/>
      <c r="L371" s="149">
        <v>0</v>
      </c>
      <c r="M371" s="63">
        <f t="shared" si="178"/>
        <v>0</v>
      </c>
      <c r="N371" s="63">
        <f t="shared" si="179"/>
        <v>0</v>
      </c>
      <c r="O371" s="69"/>
      <c r="P371" s="149">
        <v>0</v>
      </c>
      <c r="Q371" s="63">
        <f t="shared" si="180"/>
        <v>0</v>
      </c>
      <c r="R371" s="64">
        <f t="shared" si="181"/>
        <v>0</v>
      </c>
      <c r="S371" s="148">
        <v>5</v>
      </c>
      <c r="T371" s="151" t="s">
        <v>15</v>
      </c>
      <c r="U371" s="65">
        <f>SUMIF('Avoided Costs 2012-2020_EGD'!$A:$A,'2012 Actuals_Auditor'!T371&amp;'2012 Actuals_Auditor'!S371,'Avoided Costs 2012-2020_EGD'!$E:$E)*J371</f>
        <v>8024.8649921302986</v>
      </c>
      <c r="V371" s="65">
        <f>SUMIF('Avoided Costs 2012-2020_EGD'!$A:$A,'2012 Actuals_Auditor'!T371&amp;'2012 Actuals_Auditor'!S371,'Avoided Costs 2012-2020_EGD'!$K:$K)*N371</f>
        <v>0</v>
      </c>
      <c r="W371" s="65">
        <f>SUMIF('Avoided Costs 2012-2020_EGD'!$A:$A,'2012 Actuals_Auditor'!T371&amp;'2012 Actuals_Auditor'!S371,'Avoided Costs 2012-2020_EGD'!$M:$M)*R371</f>
        <v>0</v>
      </c>
      <c r="X371" s="65">
        <f>SUM(U371:W371)</f>
        <v>8024.8649921302986</v>
      </c>
      <c r="Y371" s="146">
        <v>1360</v>
      </c>
      <c r="Z371" s="66">
        <f t="shared" si="183"/>
        <v>1196.8</v>
      </c>
      <c r="AA371" s="66"/>
      <c r="AB371" s="66"/>
      <c r="AC371" s="66"/>
      <c r="AD371" s="66">
        <f t="shared" si="184"/>
        <v>1196.8</v>
      </c>
      <c r="AE371" s="66">
        <f t="shared" si="185"/>
        <v>6828.0649921302984</v>
      </c>
      <c r="AF371" s="101">
        <f t="shared" si="186"/>
        <v>48136.542973983007</v>
      </c>
      <c r="AG371" s="101">
        <f t="shared" si="187"/>
        <v>54700.617015889773</v>
      </c>
    </row>
    <row r="372" spans="1:33" s="68" customFormat="1" x14ac:dyDescent="0.2">
      <c r="A372" s="147" t="s">
        <v>168</v>
      </c>
      <c r="B372" s="147"/>
      <c r="C372" s="147"/>
      <c r="D372" s="148">
        <v>1</v>
      </c>
      <c r="E372" s="149"/>
      <c r="F372" s="150">
        <v>0.12</v>
      </c>
      <c r="G372" s="150"/>
      <c r="H372" s="67">
        <v>14906</v>
      </c>
      <c r="I372" s="67">
        <f t="shared" si="176"/>
        <v>14248.447308673711</v>
      </c>
      <c r="J372" s="67">
        <f t="shared" si="177"/>
        <v>12538.633631632865</v>
      </c>
      <c r="K372" s="63"/>
      <c r="L372" s="149">
        <v>19765</v>
      </c>
      <c r="M372" s="63">
        <f t="shared" si="178"/>
        <v>19765</v>
      </c>
      <c r="N372" s="63">
        <f t="shared" si="179"/>
        <v>17393.2</v>
      </c>
      <c r="O372" s="69"/>
      <c r="P372" s="149">
        <v>0</v>
      </c>
      <c r="Q372" s="63">
        <f t="shared" si="180"/>
        <v>0</v>
      </c>
      <c r="R372" s="64">
        <f t="shared" si="181"/>
        <v>0</v>
      </c>
      <c r="S372" s="148">
        <v>15</v>
      </c>
      <c r="T372" s="151" t="s">
        <v>15</v>
      </c>
      <c r="U372" s="65">
        <f>SUMIF('Avoided Costs 2012-2020_EGD'!$A:$A,'2012 Actuals_Auditor'!T372&amp;'2012 Actuals_Auditor'!S372,'Avoided Costs 2012-2020_EGD'!$E:$E)*J372</f>
        <v>30467.674465654694</v>
      </c>
      <c r="V372" s="65">
        <f>SUMIF('Avoided Costs 2012-2020_EGD'!$A:$A,'2012 Actuals_Auditor'!T372&amp;'2012 Actuals_Auditor'!S372,'Avoided Costs 2012-2020_EGD'!$K:$K)*N372</f>
        <v>17911.229083253333</v>
      </c>
      <c r="W372" s="65">
        <f>SUMIF('Avoided Costs 2012-2020_EGD'!$A:$A,'2012 Actuals_Auditor'!T372&amp;'2012 Actuals_Auditor'!S372,'Avoided Costs 2012-2020_EGD'!$M:$M)*R372</f>
        <v>0</v>
      </c>
      <c r="X372" s="65">
        <f t="shared" si="182"/>
        <v>48378.903548908027</v>
      </c>
      <c r="Y372" s="146">
        <v>12900</v>
      </c>
      <c r="Z372" s="66">
        <f t="shared" si="183"/>
        <v>11352</v>
      </c>
      <c r="AA372" s="66"/>
      <c r="AB372" s="66"/>
      <c r="AC372" s="66"/>
      <c r="AD372" s="66">
        <f t="shared" si="184"/>
        <v>11352</v>
      </c>
      <c r="AE372" s="66">
        <f t="shared" si="185"/>
        <v>37026.903548908027</v>
      </c>
      <c r="AF372" s="101">
        <f t="shared" si="186"/>
        <v>188079.50447449298</v>
      </c>
      <c r="AG372" s="101">
        <f t="shared" si="187"/>
        <v>213726.70963010567</v>
      </c>
    </row>
    <row r="373" spans="1:33" s="68" customFormat="1" x14ac:dyDescent="0.2">
      <c r="A373" s="147" t="s">
        <v>169</v>
      </c>
      <c r="B373" s="147"/>
      <c r="C373" s="147"/>
      <c r="D373" s="148">
        <v>1</v>
      </c>
      <c r="E373" s="149"/>
      <c r="F373" s="150">
        <v>0.12</v>
      </c>
      <c r="G373" s="150"/>
      <c r="H373" s="67">
        <v>403168</v>
      </c>
      <c r="I373" s="67">
        <f t="shared" si="176"/>
        <v>385382.933351896</v>
      </c>
      <c r="J373" s="67">
        <f t="shared" si="177"/>
        <v>339136.98134966847</v>
      </c>
      <c r="K373" s="63"/>
      <c r="L373" s="149">
        <v>0</v>
      </c>
      <c r="M373" s="63">
        <f t="shared" si="178"/>
        <v>0</v>
      </c>
      <c r="N373" s="63">
        <f t="shared" si="179"/>
        <v>0</v>
      </c>
      <c r="O373" s="69"/>
      <c r="P373" s="149">
        <v>0</v>
      </c>
      <c r="Q373" s="63">
        <f t="shared" si="180"/>
        <v>0</v>
      </c>
      <c r="R373" s="64">
        <f t="shared" si="181"/>
        <v>0</v>
      </c>
      <c r="S373" s="148">
        <v>5</v>
      </c>
      <c r="T373" s="151" t="s">
        <v>15</v>
      </c>
      <c r="U373" s="65">
        <f>SUMIF('Avoided Costs 2012-2020_EGD'!$A:$A,'2012 Actuals_Auditor'!T373&amp;'2012 Actuals_Auditor'!S373,'Avoided Costs 2012-2020_EGD'!$E:$E)*J373</f>
        <v>282688.40272146685</v>
      </c>
      <c r="V373" s="65">
        <f>SUMIF('Avoided Costs 2012-2020_EGD'!$A:$A,'2012 Actuals_Auditor'!T373&amp;'2012 Actuals_Auditor'!S373,'Avoided Costs 2012-2020_EGD'!$K:$K)*N373</f>
        <v>0</v>
      </c>
      <c r="W373" s="65">
        <f>SUMIF('Avoided Costs 2012-2020_EGD'!$A:$A,'2012 Actuals_Auditor'!T373&amp;'2012 Actuals_Auditor'!S373,'Avoided Costs 2012-2020_EGD'!$M:$M)*R373</f>
        <v>0</v>
      </c>
      <c r="X373" s="65">
        <f t="shared" si="182"/>
        <v>282688.40272146685</v>
      </c>
      <c r="Y373" s="146">
        <v>107900</v>
      </c>
      <c r="Z373" s="66">
        <f t="shared" si="183"/>
        <v>94952</v>
      </c>
      <c r="AA373" s="66"/>
      <c r="AB373" s="66"/>
      <c r="AC373" s="66"/>
      <c r="AD373" s="66">
        <f t="shared" si="184"/>
        <v>94952</v>
      </c>
      <c r="AE373" s="66">
        <f t="shared" si="185"/>
        <v>187736.40272146685</v>
      </c>
      <c r="AF373" s="101">
        <f t="shared" si="186"/>
        <v>1695684.9067483423</v>
      </c>
      <c r="AG373" s="101">
        <f t="shared" si="187"/>
        <v>1926914.66675948</v>
      </c>
    </row>
    <row r="374" spans="1:33" s="68" customFormat="1" x14ac:dyDescent="0.2">
      <c r="A374" s="147" t="s">
        <v>170</v>
      </c>
      <c r="B374" s="147"/>
      <c r="C374" s="147"/>
      <c r="D374" s="148">
        <v>1</v>
      </c>
      <c r="E374" s="149"/>
      <c r="F374" s="150">
        <v>0.12</v>
      </c>
      <c r="G374" s="150"/>
      <c r="H374" s="67">
        <v>14116</v>
      </c>
      <c r="I374" s="67">
        <f t="shared" si="176"/>
        <v>13493.296807274795</v>
      </c>
      <c r="J374" s="67">
        <f t="shared" si="177"/>
        <v>11874.10119040182</v>
      </c>
      <c r="K374" s="63"/>
      <c r="L374" s="149">
        <v>0</v>
      </c>
      <c r="M374" s="63">
        <f t="shared" si="178"/>
        <v>0</v>
      </c>
      <c r="N374" s="63">
        <f t="shared" si="179"/>
        <v>0</v>
      </c>
      <c r="O374" s="69"/>
      <c r="P374" s="149">
        <v>0</v>
      </c>
      <c r="Q374" s="63">
        <f t="shared" si="180"/>
        <v>0</v>
      </c>
      <c r="R374" s="64">
        <f t="shared" si="181"/>
        <v>0</v>
      </c>
      <c r="S374" s="148">
        <v>15</v>
      </c>
      <c r="T374" s="151" t="s">
        <v>15</v>
      </c>
      <c r="U374" s="65">
        <f>SUMIF('Avoided Costs 2012-2020_EGD'!$A:$A,'2012 Actuals_Auditor'!T374&amp;'2012 Actuals_Auditor'!S374,'Avoided Costs 2012-2020_EGD'!$E:$E)*J374</f>
        <v>28852.924510746121</v>
      </c>
      <c r="V374" s="65">
        <f>SUMIF('Avoided Costs 2012-2020_EGD'!$A:$A,'2012 Actuals_Auditor'!T374&amp;'2012 Actuals_Auditor'!S374,'Avoided Costs 2012-2020_EGD'!$K:$K)*N374</f>
        <v>0</v>
      </c>
      <c r="W374" s="65">
        <f>SUMIF('Avoided Costs 2012-2020_EGD'!$A:$A,'2012 Actuals_Auditor'!T374&amp;'2012 Actuals_Auditor'!S374,'Avoided Costs 2012-2020_EGD'!$M:$M)*R374</f>
        <v>0</v>
      </c>
      <c r="X374" s="65">
        <f t="shared" si="182"/>
        <v>28852.924510746121</v>
      </c>
      <c r="Y374" s="146">
        <v>26325.56</v>
      </c>
      <c r="Z374" s="66">
        <f t="shared" si="183"/>
        <v>23166.4928</v>
      </c>
      <c r="AA374" s="66"/>
      <c r="AB374" s="66"/>
      <c r="AC374" s="66"/>
      <c r="AD374" s="66">
        <f t="shared" si="184"/>
        <v>23166.4928</v>
      </c>
      <c r="AE374" s="66">
        <f t="shared" si="185"/>
        <v>5686.4317107461211</v>
      </c>
      <c r="AF374" s="101">
        <f t="shared" si="186"/>
        <v>178111.51785602729</v>
      </c>
      <c r="AG374" s="101">
        <f t="shared" si="187"/>
        <v>202399.45210912192</v>
      </c>
    </row>
    <row r="375" spans="1:33" s="68" customFormat="1" x14ac:dyDescent="0.2">
      <c r="A375" s="147" t="s">
        <v>171</v>
      </c>
      <c r="B375" s="147"/>
      <c r="C375" s="147"/>
      <c r="D375" s="148">
        <v>1</v>
      </c>
      <c r="E375" s="149"/>
      <c r="F375" s="150">
        <v>0.12</v>
      </c>
      <c r="G375" s="150"/>
      <c r="H375" s="67">
        <v>497452</v>
      </c>
      <c r="I375" s="67">
        <f t="shared" si="176"/>
        <v>475507.75597707997</v>
      </c>
      <c r="J375" s="67">
        <f t="shared" si="177"/>
        <v>418446.8252598304</v>
      </c>
      <c r="K375" s="63"/>
      <c r="L375" s="149">
        <v>529065</v>
      </c>
      <c r="M375" s="63">
        <f t="shared" si="178"/>
        <v>529065</v>
      </c>
      <c r="N375" s="63">
        <f t="shared" si="179"/>
        <v>465577.2</v>
      </c>
      <c r="O375" s="69"/>
      <c r="P375" s="149">
        <v>0</v>
      </c>
      <c r="Q375" s="63">
        <f t="shared" si="180"/>
        <v>0</v>
      </c>
      <c r="R375" s="64">
        <f t="shared" si="181"/>
        <v>0</v>
      </c>
      <c r="S375" s="148">
        <v>15</v>
      </c>
      <c r="T375" s="151" t="s">
        <v>52</v>
      </c>
      <c r="U375" s="65">
        <f>SUMIF('Avoided Costs 2012-2020_EGD'!$A:$A,'2012 Actuals_Auditor'!T375&amp;'2012 Actuals_Auditor'!S375,'Avoided Costs 2012-2020_EGD'!$E:$E)*J375</f>
        <v>956150.27386855229</v>
      </c>
      <c r="V375" s="65">
        <f>SUMIF('Avoided Costs 2012-2020_EGD'!$A:$A,'2012 Actuals_Auditor'!T375&amp;'2012 Actuals_Auditor'!S375,'Avoided Costs 2012-2020_EGD'!$K:$K)*N375</f>
        <v>479443.68403397041</v>
      </c>
      <c r="W375" s="65">
        <f>SUMIF('Avoided Costs 2012-2020_EGD'!$A:$A,'2012 Actuals_Auditor'!T375&amp;'2012 Actuals_Auditor'!S375,'Avoided Costs 2012-2020_EGD'!$M:$M)*R375</f>
        <v>0</v>
      </c>
      <c r="X375" s="65">
        <f t="shared" si="182"/>
        <v>1435593.9579025228</v>
      </c>
      <c r="Y375" s="146">
        <v>132000</v>
      </c>
      <c r="Z375" s="66">
        <f t="shared" si="183"/>
        <v>116160</v>
      </c>
      <c r="AA375" s="66"/>
      <c r="AB375" s="66"/>
      <c r="AC375" s="66"/>
      <c r="AD375" s="66">
        <f t="shared" si="184"/>
        <v>116160</v>
      </c>
      <c r="AE375" s="66">
        <f t="shared" si="185"/>
        <v>1319433.9579025228</v>
      </c>
      <c r="AF375" s="101">
        <f t="shared" si="186"/>
        <v>6276702.3788974555</v>
      </c>
      <c r="AG375" s="101">
        <f t="shared" si="187"/>
        <v>7132616.3396561993</v>
      </c>
    </row>
    <row r="376" spans="1:33" s="68" customFormat="1" x14ac:dyDescent="0.2">
      <c r="A376" s="147" t="s">
        <v>172</v>
      </c>
      <c r="B376" s="147"/>
      <c r="C376" s="147"/>
      <c r="D376" s="148">
        <v>1</v>
      </c>
      <c r="E376" s="149"/>
      <c r="F376" s="150">
        <v>0.12</v>
      </c>
      <c r="G376" s="150"/>
      <c r="H376" s="67">
        <v>541923</v>
      </c>
      <c r="I376" s="67">
        <f t="shared" si="176"/>
        <v>518016.99388557515</v>
      </c>
      <c r="J376" s="67">
        <f t="shared" si="177"/>
        <v>455854.95461930614</v>
      </c>
      <c r="K376" s="63"/>
      <c r="L376" s="149">
        <v>756265</v>
      </c>
      <c r="M376" s="63">
        <f t="shared" si="178"/>
        <v>756265</v>
      </c>
      <c r="N376" s="63">
        <f t="shared" si="179"/>
        <v>665513.19999999995</v>
      </c>
      <c r="O376" s="69"/>
      <c r="P376" s="149">
        <v>0</v>
      </c>
      <c r="Q376" s="63">
        <f t="shared" si="180"/>
        <v>0</v>
      </c>
      <c r="R376" s="64">
        <f t="shared" si="181"/>
        <v>0</v>
      </c>
      <c r="S376" s="148">
        <v>15</v>
      </c>
      <c r="T376" s="151" t="s">
        <v>15</v>
      </c>
      <c r="U376" s="65">
        <f>SUMIF('Avoided Costs 2012-2020_EGD'!$A:$A,'2012 Actuals_Auditor'!T376&amp;'2012 Actuals_Auditor'!S376,'Avoided Costs 2012-2020_EGD'!$E:$E)*J376</f>
        <v>1107683.7212834423</v>
      </c>
      <c r="V376" s="65">
        <f>SUMIF('Avoided Costs 2012-2020_EGD'!$A:$A,'2012 Actuals_Auditor'!T376&amp;'2012 Actuals_Auditor'!S376,'Avoided Costs 2012-2020_EGD'!$K:$K)*N376</f>
        <v>685334.46307344199</v>
      </c>
      <c r="W376" s="65">
        <f>SUMIF('Avoided Costs 2012-2020_EGD'!$A:$A,'2012 Actuals_Auditor'!T376&amp;'2012 Actuals_Auditor'!S376,'Avoided Costs 2012-2020_EGD'!$M:$M)*R376</f>
        <v>0</v>
      </c>
      <c r="X376" s="65">
        <f t="shared" si="182"/>
        <v>1793018.1843568843</v>
      </c>
      <c r="Y376" s="146">
        <v>21470</v>
      </c>
      <c r="Z376" s="66">
        <f t="shared" si="183"/>
        <v>18893.599999999999</v>
      </c>
      <c r="AA376" s="66"/>
      <c r="AB376" s="66"/>
      <c r="AC376" s="66"/>
      <c r="AD376" s="66">
        <f t="shared" si="184"/>
        <v>18893.599999999999</v>
      </c>
      <c r="AE376" s="66">
        <f t="shared" si="185"/>
        <v>1774124.5843568842</v>
      </c>
      <c r="AF376" s="101">
        <f t="shared" si="186"/>
        <v>6837824.3192895921</v>
      </c>
      <c r="AG376" s="101">
        <f t="shared" si="187"/>
        <v>7770254.9082836276</v>
      </c>
    </row>
    <row r="377" spans="1:33" s="68" customFormat="1" x14ac:dyDescent="0.2">
      <c r="A377" s="147" t="s">
        <v>173</v>
      </c>
      <c r="B377" s="147"/>
      <c r="C377" s="147"/>
      <c r="D377" s="148">
        <v>1</v>
      </c>
      <c r="E377" s="149"/>
      <c r="F377" s="150">
        <v>0.12</v>
      </c>
      <c r="G377" s="150"/>
      <c r="H377" s="67">
        <v>237313</v>
      </c>
      <c r="I377" s="67">
        <f t="shared" si="176"/>
        <v>226844.34296010225</v>
      </c>
      <c r="J377" s="67">
        <f t="shared" si="177"/>
        <v>199623.02180488998</v>
      </c>
      <c r="K377" s="63"/>
      <c r="L377" s="149">
        <v>187300</v>
      </c>
      <c r="M377" s="63">
        <f t="shared" si="178"/>
        <v>187300</v>
      </c>
      <c r="N377" s="63">
        <f t="shared" si="179"/>
        <v>164824</v>
      </c>
      <c r="O377" s="69"/>
      <c r="P377" s="149">
        <v>0</v>
      </c>
      <c r="Q377" s="63">
        <f t="shared" si="180"/>
        <v>0</v>
      </c>
      <c r="R377" s="64">
        <f t="shared" si="181"/>
        <v>0</v>
      </c>
      <c r="S377" s="148">
        <v>15</v>
      </c>
      <c r="T377" s="151" t="s">
        <v>15</v>
      </c>
      <c r="U377" s="65">
        <f>SUMIF('Avoided Costs 2012-2020_EGD'!$A:$A,'2012 Actuals_Auditor'!T377&amp;'2012 Actuals_Auditor'!S377,'Avoided Costs 2012-2020_EGD'!$E:$E)*J377</f>
        <v>485064.75449268165</v>
      </c>
      <c r="V377" s="65">
        <f>SUMIF('Avoided Costs 2012-2020_EGD'!$A:$A,'2012 Actuals_Auditor'!T377&amp;'2012 Actuals_Auditor'!S377,'Avoided Costs 2012-2020_EGD'!$K:$K)*N377</f>
        <v>169733.02338949402</v>
      </c>
      <c r="W377" s="65">
        <f>SUMIF('Avoided Costs 2012-2020_EGD'!$A:$A,'2012 Actuals_Auditor'!T377&amp;'2012 Actuals_Auditor'!S377,'Avoided Costs 2012-2020_EGD'!$M:$M)*R377</f>
        <v>0</v>
      </c>
      <c r="X377" s="65">
        <f t="shared" si="182"/>
        <v>654797.77788217564</v>
      </c>
      <c r="Y377" s="146">
        <v>624975</v>
      </c>
      <c r="Z377" s="66">
        <f t="shared" si="183"/>
        <v>549978</v>
      </c>
      <c r="AA377" s="66"/>
      <c r="AB377" s="66"/>
      <c r="AC377" s="66"/>
      <c r="AD377" s="66">
        <f t="shared" si="184"/>
        <v>549978</v>
      </c>
      <c r="AE377" s="66">
        <f t="shared" si="185"/>
        <v>104819.77788217564</v>
      </c>
      <c r="AF377" s="101">
        <f t="shared" si="186"/>
        <v>2994345.3270733496</v>
      </c>
      <c r="AG377" s="101">
        <f t="shared" si="187"/>
        <v>3402665.1444015335</v>
      </c>
    </row>
    <row r="378" spans="1:33" s="68" customFormat="1" x14ac:dyDescent="0.2">
      <c r="A378" s="147" t="s">
        <v>174</v>
      </c>
      <c r="B378" s="147"/>
      <c r="C378" s="147"/>
      <c r="D378" s="148">
        <v>1</v>
      </c>
      <c r="E378" s="149"/>
      <c r="F378" s="150">
        <v>0.12</v>
      </c>
      <c r="G378" s="150"/>
      <c r="H378" s="67">
        <v>86582</v>
      </c>
      <c r="I378" s="67">
        <f t="shared" si="176"/>
        <v>82762.583179899855</v>
      </c>
      <c r="J378" s="67">
        <f t="shared" si="177"/>
        <v>72831.073198311875</v>
      </c>
      <c r="K378" s="63"/>
      <c r="L378" s="149">
        <v>0</v>
      </c>
      <c r="M378" s="63">
        <f t="shared" si="178"/>
        <v>0</v>
      </c>
      <c r="N378" s="63">
        <f t="shared" si="179"/>
        <v>0</v>
      </c>
      <c r="O378" s="69"/>
      <c r="P378" s="149">
        <v>0</v>
      </c>
      <c r="Q378" s="63">
        <f t="shared" si="180"/>
        <v>0</v>
      </c>
      <c r="R378" s="64">
        <f t="shared" si="181"/>
        <v>0</v>
      </c>
      <c r="S378" s="148">
        <v>5</v>
      </c>
      <c r="T378" s="151" t="s">
        <v>15</v>
      </c>
      <c r="U378" s="65">
        <f>SUMIF('Avoided Costs 2012-2020_EGD'!$A:$A,'2012 Actuals_Auditor'!T378&amp;'2012 Actuals_Auditor'!S378,'Avoided Costs 2012-2020_EGD'!$E:$E)*J378</f>
        <v>60708.506836926659</v>
      </c>
      <c r="V378" s="65">
        <f>SUMIF('Avoided Costs 2012-2020_EGD'!$A:$A,'2012 Actuals_Auditor'!T378&amp;'2012 Actuals_Auditor'!S378,'Avoided Costs 2012-2020_EGD'!$K:$K)*N378</f>
        <v>0</v>
      </c>
      <c r="W378" s="65">
        <f>SUMIF('Avoided Costs 2012-2020_EGD'!$A:$A,'2012 Actuals_Auditor'!T378&amp;'2012 Actuals_Auditor'!S378,'Avoided Costs 2012-2020_EGD'!$M:$M)*R378</f>
        <v>0</v>
      </c>
      <c r="X378" s="65">
        <f t="shared" si="182"/>
        <v>60708.506836926659</v>
      </c>
      <c r="Y378" s="146">
        <v>10000</v>
      </c>
      <c r="Z378" s="66">
        <f t="shared" si="183"/>
        <v>8800</v>
      </c>
      <c r="AA378" s="66"/>
      <c r="AB378" s="66"/>
      <c r="AC378" s="66"/>
      <c r="AD378" s="66">
        <f t="shared" si="184"/>
        <v>8800</v>
      </c>
      <c r="AE378" s="66">
        <f t="shared" si="185"/>
        <v>51908.506836926659</v>
      </c>
      <c r="AF378" s="101">
        <f t="shared" si="186"/>
        <v>364155.36599155935</v>
      </c>
      <c r="AG378" s="101">
        <f t="shared" si="187"/>
        <v>413812.91589949926</v>
      </c>
    </row>
    <row r="379" spans="1:33" s="68" customFormat="1" x14ac:dyDescent="0.2">
      <c r="A379" s="147" t="s">
        <v>175</v>
      </c>
      <c r="B379" s="147"/>
      <c r="C379" s="147"/>
      <c r="D379" s="148">
        <v>1</v>
      </c>
      <c r="E379" s="149"/>
      <c r="F379" s="150">
        <v>0.12</v>
      </c>
      <c r="G379" s="150"/>
      <c r="H379" s="67">
        <v>335121</v>
      </c>
      <c r="I379" s="67">
        <f t="shared" si="176"/>
        <v>320337.71035355172</v>
      </c>
      <c r="J379" s="67">
        <f t="shared" si="177"/>
        <v>281897.18511112552</v>
      </c>
      <c r="K379" s="63"/>
      <c r="L379" s="149">
        <v>0</v>
      </c>
      <c r="M379" s="63">
        <f t="shared" si="178"/>
        <v>0</v>
      </c>
      <c r="N379" s="63">
        <f t="shared" si="179"/>
        <v>0</v>
      </c>
      <c r="O379" s="69"/>
      <c r="P379" s="149">
        <v>0</v>
      </c>
      <c r="Q379" s="63">
        <f t="shared" si="180"/>
        <v>0</v>
      </c>
      <c r="R379" s="64">
        <f t="shared" si="181"/>
        <v>0</v>
      </c>
      <c r="S379" s="148">
        <v>5</v>
      </c>
      <c r="T379" s="151" t="s">
        <v>15</v>
      </c>
      <c r="U379" s="65">
        <f>SUMIF('Avoided Costs 2012-2020_EGD'!$A:$A,'2012 Actuals_Auditor'!T379&amp;'2012 Actuals_Auditor'!S379,'Avoided Costs 2012-2020_EGD'!$E:$E)*J379</f>
        <v>234976.04028201813</v>
      </c>
      <c r="V379" s="65">
        <f>SUMIF('Avoided Costs 2012-2020_EGD'!$A:$A,'2012 Actuals_Auditor'!T379&amp;'2012 Actuals_Auditor'!S379,'Avoided Costs 2012-2020_EGD'!$K:$K)*N379</f>
        <v>0</v>
      </c>
      <c r="W379" s="65">
        <f>SUMIF('Avoided Costs 2012-2020_EGD'!$A:$A,'2012 Actuals_Auditor'!T379&amp;'2012 Actuals_Auditor'!S379,'Avoided Costs 2012-2020_EGD'!$M:$M)*R379</f>
        <v>0</v>
      </c>
      <c r="X379" s="65">
        <f t="shared" si="182"/>
        <v>234976.04028201813</v>
      </c>
      <c r="Y379" s="146">
        <v>188582.05</v>
      </c>
      <c r="Z379" s="66">
        <f t="shared" si="183"/>
        <v>165952.204</v>
      </c>
      <c r="AA379" s="66"/>
      <c r="AB379" s="66"/>
      <c r="AC379" s="66"/>
      <c r="AD379" s="66">
        <f t="shared" si="184"/>
        <v>165952.204</v>
      </c>
      <c r="AE379" s="66">
        <f t="shared" si="185"/>
        <v>69023.836282018136</v>
      </c>
      <c r="AF379" s="101">
        <f t="shared" si="186"/>
        <v>1409485.9255556276</v>
      </c>
      <c r="AG379" s="101">
        <f t="shared" si="187"/>
        <v>1601688.5517677586</v>
      </c>
    </row>
    <row r="380" spans="1:33" s="68" customFormat="1" x14ac:dyDescent="0.2">
      <c r="A380" s="147" t="s">
        <v>176</v>
      </c>
      <c r="B380" s="147"/>
      <c r="C380" s="147"/>
      <c r="D380" s="148">
        <v>0</v>
      </c>
      <c r="E380" s="149"/>
      <c r="F380" s="150">
        <v>0.12</v>
      </c>
      <c r="G380" s="150"/>
      <c r="H380" s="67">
        <v>94550</v>
      </c>
      <c r="I380" s="67">
        <f t="shared" si="176"/>
        <v>90379.088490211943</v>
      </c>
      <c r="J380" s="67">
        <f t="shared" si="177"/>
        <v>79533.597871386504</v>
      </c>
      <c r="K380" s="63"/>
      <c r="L380" s="149">
        <v>0</v>
      </c>
      <c r="M380" s="63">
        <f t="shared" si="178"/>
        <v>0</v>
      </c>
      <c r="N380" s="63">
        <f t="shared" si="179"/>
        <v>0</v>
      </c>
      <c r="O380" s="69"/>
      <c r="P380" s="149">
        <v>0</v>
      </c>
      <c r="Q380" s="63">
        <f t="shared" si="180"/>
        <v>0</v>
      </c>
      <c r="R380" s="64">
        <f t="shared" si="181"/>
        <v>0</v>
      </c>
      <c r="S380" s="148">
        <v>5</v>
      </c>
      <c r="T380" s="151" t="s">
        <v>15</v>
      </c>
      <c r="U380" s="65">
        <f>SUMIF('Avoided Costs 2012-2020_EGD'!$A:$A,'2012 Actuals_Auditor'!T380&amp;'2012 Actuals_Auditor'!S380,'Avoided Costs 2012-2020_EGD'!$E:$E)*J380</f>
        <v>66295.411533937935</v>
      </c>
      <c r="V380" s="65">
        <f>SUMIF('Avoided Costs 2012-2020_EGD'!$A:$A,'2012 Actuals_Auditor'!T380&amp;'2012 Actuals_Auditor'!S380,'Avoided Costs 2012-2020_EGD'!$K:$K)*N380</f>
        <v>0</v>
      </c>
      <c r="W380" s="65">
        <f>SUMIF('Avoided Costs 2012-2020_EGD'!$A:$A,'2012 Actuals_Auditor'!T380&amp;'2012 Actuals_Auditor'!S380,'Avoided Costs 2012-2020_EGD'!$M:$M)*R380</f>
        <v>0</v>
      </c>
      <c r="X380" s="65">
        <f t="shared" si="182"/>
        <v>66295.411533937935</v>
      </c>
      <c r="Y380" s="146">
        <v>47700</v>
      </c>
      <c r="Z380" s="66">
        <f t="shared" si="183"/>
        <v>41976</v>
      </c>
      <c r="AA380" s="66"/>
      <c r="AB380" s="66"/>
      <c r="AC380" s="66"/>
      <c r="AD380" s="66">
        <f t="shared" si="184"/>
        <v>41976</v>
      </c>
      <c r="AE380" s="66">
        <f t="shared" si="185"/>
        <v>24319.411533937935</v>
      </c>
      <c r="AF380" s="101">
        <f t="shared" si="186"/>
        <v>397667.98935693252</v>
      </c>
      <c r="AG380" s="101">
        <f t="shared" si="187"/>
        <v>451895.4424510597</v>
      </c>
    </row>
    <row r="381" spans="1:33" s="68" customFormat="1" x14ac:dyDescent="0.2">
      <c r="A381" s="147" t="s">
        <v>177</v>
      </c>
      <c r="B381" s="147"/>
      <c r="C381" s="147"/>
      <c r="D381" s="148">
        <v>1</v>
      </c>
      <c r="E381" s="149"/>
      <c r="F381" s="150">
        <v>0.12</v>
      </c>
      <c r="G381" s="150"/>
      <c r="H381" s="67">
        <v>9730</v>
      </c>
      <c r="I381" s="67">
        <f t="shared" si="176"/>
        <v>9300.7776944448669</v>
      </c>
      <c r="J381" s="67">
        <f t="shared" si="177"/>
        <v>8184.6843711114825</v>
      </c>
      <c r="K381" s="63"/>
      <c r="L381" s="149">
        <v>0</v>
      </c>
      <c r="M381" s="63">
        <f t="shared" si="178"/>
        <v>0</v>
      </c>
      <c r="N381" s="63">
        <f t="shared" si="179"/>
        <v>0</v>
      </c>
      <c r="O381" s="69"/>
      <c r="P381" s="149">
        <v>0</v>
      </c>
      <c r="Q381" s="63">
        <f t="shared" si="180"/>
        <v>0</v>
      </c>
      <c r="R381" s="64">
        <f t="shared" si="181"/>
        <v>0</v>
      </c>
      <c r="S381" s="148">
        <v>15</v>
      </c>
      <c r="T381" s="151" t="s">
        <v>15</v>
      </c>
      <c r="U381" s="65">
        <f>SUMIF('Avoided Costs 2012-2020_EGD'!$A:$A,'2012 Actuals_Auditor'!T381&amp;'2012 Actuals_Auditor'!S381,'Avoided Costs 2012-2020_EGD'!$E:$E)*J381</f>
        <v>19887.996280076488</v>
      </c>
      <c r="V381" s="65">
        <f>SUMIF('Avoided Costs 2012-2020_EGD'!$A:$A,'2012 Actuals_Auditor'!T381&amp;'2012 Actuals_Auditor'!S381,'Avoided Costs 2012-2020_EGD'!$K:$K)*N381</f>
        <v>0</v>
      </c>
      <c r="W381" s="65">
        <f>SUMIF('Avoided Costs 2012-2020_EGD'!$A:$A,'2012 Actuals_Auditor'!T381&amp;'2012 Actuals_Auditor'!S381,'Avoided Costs 2012-2020_EGD'!$M:$M)*R381</f>
        <v>0</v>
      </c>
      <c r="X381" s="65">
        <f t="shared" si="182"/>
        <v>19887.996280076488</v>
      </c>
      <c r="Y381" s="146">
        <v>33000</v>
      </c>
      <c r="Z381" s="66">
        <f t="shared" si="183"/>
        <v>29040</v>
      </c>
      <c r="AA381" s="66"/>
      <c r="AB381" s="66"/>
      <c r="AC381" s="66"/>
      <c r="AD381" s="66">
        <f t="shared" si="184"/>
        <v>29040</v>
      </c>
      <c r="AE381" s="66">
        <f t="shared" si="185"/>
        <v>-9152.0037199235121</v>
      </c>
      <c r="AF381" s="101">
        <f t="shared" si="186"/>
        <v>122770.26556667224</v>
      </c>
      <c r="AG381" s="101">
        <f t="shared" si="187"/>
        <v>139511.665416673</v>
      </c>
    </row>
    <row r="382" spans="1:33" s="68" customFormat="1" x14ac:dyDescent="0.2">
      <c r="A382" s="147" t="s">
        <v>178</v>
      </c>
      <c r="B382" s="147"/>
      <c r="C382" s="147"/>
      <c r="D382" s="148">
        <v>1</v>
      </c>
      <c r="E382" s="149"/>
      <c r="F382" s="150">
        <v>0.12</v>
      </c>
      <c r="G382" s="150"/>
      <c r="H382" s="67">
        <v>59231</v>
      </c>
      <c r="I382" s="67">
        <f t="shared" si="176"/>
        <v>56618.125757416645</v>
      </c>
      <c r="J382" s="67">
        <f t="shared" si="177"/>
        <v>49823.950666526645</v>
      </c>
      <c r="K382" s="63"/>
      <c r="L382" s="149">
        <v>0</v>
      </c>
      <c r="M382" s="63">
        <f t="shared" si="178"/>
        <v>0</v>
      </c>
      <c r="N382" s="63">
        <f t="shared" si="179"/>
        <v>0</v>
      </c>
      <c r="O382" s="69"/>
      <c r="P382" s="149">
        <v>0</v>
      </c>
      <c r="Q382" s="63">
        <f t="shared" si="180"/>
        <v>0</v>
      </c>
      <c r="R382" s="64">
        <f t="shared" si="181"/>
        <v>0</v>
      </c>
      <c r="S382" s="148">
        <v>5</v>
      </c>
      <c r="T382" s="151" t="s">
        <v>15</v>
      </c>
      <c r="U382" s="65">
        <f>SUMIF('Avoided Costs 2012-2020_EGD'!$A:$A,'2012 Actuals_Auditor'!T382&amp;'2012 Actuals_Auditor'!S382,'Avoided Costs 2012-2020_EGD'!$E:$E)*J382</f>
        <v>41530.867483518537</v>
      </c>
      <c r="V382" s="65">
        <f>SUMIF('Avoided Costs 2012-2020_EGD'!$A:$A,'2012 Actuals_Auditor'!T382&amp;'2012 Actuals_Auditor'!S382,'Avoided Costs 2012-2020_EGD'!$K:$K)*N382</f>
        <v>0</v>
      </c>
      <c r="W382" s="65">
        <f>SUMIF('Avoided Costs 2012-2020_EGD'!$A:$A,'2012 Actuals_Auditor'!T382&amp;'2012 Actuals_Auditor'!S382,'Avoided Costs 2012-2020_EGD'!$M:$M)*R382</f>
        <v>0</v>
      </c>
      <c r="X382" s="65">
        <f t="shared" si="182"/>
        <v>41530.867483518537</v>
      </c>
      <c r="Y382" s="146">
        <v>7500</v>
      </c>
      <c r="Z382" s="66">
        <f t="shared" si="183"/>
        <v>6600</v>
      </c>
      <c r="AA382" s="66"/>
      <c r="AB382" s="66"/>
      <c r="AC382" s="66"/>
      <c r="AD382" s="66">
        <f t="shared" si="184"/>
        <v>6600</v>
      </c>
      <c r="AE382" s="66">
        <f t="shared" si="185"/>
        <v>34930.867483518537</v>
      </c>
      <c r="AF382" s="101">
        <f t="shared" si="186"/>
        <v>249119.75333263323</v>
      </c>
      <c r="AG382" s="101">
        <f t="shared" si="187"/>
        <v>283090.6287870832</v>
      </c>
    </row>
    <row r="383" spans="1:33" s="68" customFormat="1" x14ac:dyDescent="0.2">
      <c r="A383" s="147" t="s">
        <v>179</v>
      </c>
      <c r="B383" s="147"/>
      <c r="C383" s="147"/>
      <c r="D383" s="148">
        <v>1</v>
      </c>
      <c r="E383" s="149"/>
      <c r="F383" s="150">
        <v>0.12</v>
      </c>
      <c r="G383" s="150"/>
      <c r="H383" s="67">
        <v>20514</v>
      </c>
      <c r="I383" s="67">
        <f t="shared" si="176"/>
        <v>19609.059981895378</v>
      </c>
      <c r="J383" s="67">
        <f t="shared" si="177"/>
        <v>17255.972784067933</v>
      </c>
      <c r="K383" s="63"/>
      <c r="L383" s="149">
        <v>28082</v>
      </c>
      <c r="M383" s="63">
        <f t="shared" si="178"/>
        <v>28082</v>
      </c>
      <c r="N383" s="63">
        <f t="shared" si="179"/>
        <v>24712.16</v>
      </c>
      <c r="O383" s="69"/>
      <c r="P383" s="149">
        <v>0</v>
      </c>
      <c r="Q383" s="63">
        <f t="shared" si="180"/>
        <v>0</v>
      </c>
      <c r="R383" s="64">
        <f t="shared" si="181"/>
        <v>0</v>
      </c>
      <c r="S383" s="148">
        <v>15</v>
      </c>
      <c r="T383" s="151" t="s">
        <v>15</v>
      </c>
      <c r="U383" s="65">
        <f>SUMIF('Avoided Costs 2012-2020_EGD'!$A:$A,'2012 Actuals_Auditor'!T383&amp;'2012 Actuals_Auditor'!S383,'Avoided Costs 2012-2020_EGD'!$E:$E)*J383</f>
        <v>41930.355158220882</v>
      </c>
      <c r="V383" s="65">
        <f>SUMIF('Avoided Costs 2012-2020_EGD'!$A:$A,'2012 Actuals_Auditor'!T383&amp;'2012 Actuals_Auditor'!S383,'Avoided Costs 2012-2020_EGD'!$K:$K)*N383</f>
        <v>25448.172786031879</v>
      </c>
      <c r="W383" s="65">
        <f>SUMIF('Avoided Costs 2012-2020_EGD'!$A:$A,'2012 Actuals_Auditor'!T383&amp;'2012 Actuals_Auditor'!S383,'Avoided Costs 2012-2020_EGD'!$M:$M)*R383</f>
        <v>0</v>
      </c>
      <c r="X383" s="65">
        <f t="shared" si="182"/>
        <v>67378.527944252768</v>
      </c>
      <c r="Y383" s="146">
        <v>18850</v>
      </c>
      <c r="Z383" s="66">
        <f t="shared" si="183"/>
        <v>16588</v>
      </c>
      <c r="AA383" s="66"/>
      <c r="AB383" s="66"/>
      <c r="AC383" s="66"/>
      <c r="AD383" s="66">
        <f t="shared" si="184"/>
        <v>16588</v>
      </c>
      <c r="AE383" s="66">
        <f t="shared" si="185"/>
        <v>50790.527944252768</v>
      </c>
      <c r="AF383" s="101">
        <f t="shared" si="186"/>
        <v>258839.59176101899</v>
      </c>
      <c r="AG383" s="101">
        <f t="shared" si="187"/>
        <v>294135.89972843067</v>
      </c>
    </row>
    <row r="384" spans="1:33" s="68" customFormat="1" x14ac:dyDescent="0.2">
      <c r="A384" s="147" t="s">
        <v>180</v>
      </c>
      <c r="B384" s="147"/>
      <c r="C384" s="147"/>
      <c r="D384" s="148">
        <v>1</v>
      </c>
      <c r="E384" s="149"/>
      <c r="F384" s="150">
        <v>0.12</v>
      </c>
      <c r="G384" s="150"/>
      <c r="H384" s="67">
        <v>111243</v>
      </c>
      <c r="I384" s="67">
        <f t="shared" si="176"/>
        <v>106335.70535078422</v>
      </c>
      <c r="J384" s="67">
        <f t="shared" si="177"/>
        <v>93575.420708690115</v>
      </c>
      <c r="K384" s="63"/>
      <c r="L384" s="149">
        <v>0</v>
      </c>
      <c r="M384" s="63">
        <f t="shared" si="178"/>
        <v>0</v>
      </c>
      <c r="N384" s="63">
        <f t="shared" si="179"/>
        <v>0</v>
      </c>
      <c r="O384" s="69"/>
      <c r="P384" s="149">
        <v>0</v>
      </c>
      <c r="Q384" s="63">
        <f t="shared" si="180"/>
        <v>0</v>
      </c>
      <c r="R384" s="64">
        <f t="shared" si="181"/>
        <v>0</v>
      </c>
      <c r="S384" s="148">
        <v>5</v>
      </c>
      <c r="T384" s="151" t="s">
        <v>15</v>
      </c>
      <c r="U384" s="65">
        <f>SUMIF('Avoided Costs 2012-2020_EGD'!$A:$A,'2012 Actuals_Auditor'!T384&amp;'2012 Actuals_Auditor'!S384,'Avoided Costs 2012-2020_EGD'!$E:$E)*J384</f>
        <v>78000.004920886931</v>
      </c>
      <c r="V384" s="65">
        <f>SUMIF('Avoided Costs 2012-2020_EGD'!$A:$A,'2012 Actuals_Auditor'!T384&amp;'2012 Actuals_Auditor'!S384,'Avoided Costs 2012-2020_EGD'!$K:$K)*N384</f>
        <v>0</v>
      </c>
      <c r="W384" s="65">
        <f>SUMIF('Avoided Costs 2012-2020_EGD'!$A:$A,'2012 Actuals_Auditor'!T384&amp;'2012 Actuals_Auditor'!S384,'Avoided Costs 2012-2020_EGD'!$M:$M)*R384</f>
        <v>0</v>
      </c>
      <c r="X384" s="65">
        <f t="shared" si="182"/>
        <v>78000.004920886931</v>
      </c>
      <c r="Y384" s="146">
        <v>54595</v>
      </c>
      <c r="Z384" s="66">
        <f t="shared" si="183"/>
        <v>48043.6</v>
      </c>
      <c r="AA384" s="66"/>
      <c r="AB384" s="66"/>
      <c r="AC384" s="66"/>
      <c r="AD384" s="66">
        <f t="shared" si="184"/>
        <v>48043.6</v>
      </c>
      <c r="AE384" s="66">
        <f t="shared" si="185"/>
        <v>29956.404920886933</v>
      </c>
      <c r="AF384" s="101">
        <f t="shared" si="186"/>
        <v>467877.10354345059</v>
      </c>
      <c r="AG384" s="101">
        <f t="shared" si="187"/>
        <v>531678.52675392106</v>
      </c>
    </row>
    <row r="385" spans="1:33" s="59" customFormat="1" x14ac:dyDescent="0.2">
      <c r="A385" s="152" t="s">
        <v>3</v>
      </c>
      <c r="B385" s="152" t="s">
        <v>183</v>
      </c>
      <c r="C385" s="155"/>
      <c r="D385" s="153">
        <f>SUM(D356:D384)</f>
        <v>26</v>
      </c>
      <c r="E385" s="67"/>
      <c r="F385" s="154"/>
      <c r="G385" s="228"/>
      <c r="H385" s="67">
        <f>SUM(H356:H384)</f>
        <v>4080808</v>
      </c>
      <c r="I385" s="67">
        <f>SUM(I356:I384)</f>
        <v>3900790.1358388676</v>
      </c>
      <c r="J385" s="67">
        <f>SUM(J356:J384)</f>
        <v>3432695.3195382031</v>
      </c>
      <c r="K385" s="64"/>
      <c r="L385" s="67">
        <f>SUM(L356:L384)</f>
        <v>4231854</v>
      </c>
      <c r="M385" s="67">
        <f>SUM(M356:M384)</f>
        <v>4231854</v>
      </c>
      <c r="N385" s="67">
        <f>SUM(N356:N384)</f>
        <v>3724031.5200000005</v>
      </c>
      <c r="O385" s="229"/>
      <c r="P385" s="67">
        <f>SUM(P356:P384)</f>
        <v>1792</v>
      </c>
      <c r="Q385" s="67">
        <f>SUM(Q356:Q384)</f>
        <v>1792</v>
      </c>
      <c r="R385" s="67">
        <f>SUM(R356:R384)</f>
        <v>1576.96</v>
      </c>
      <c r="S385" s="153"/>
      <c r="T385" s="155"/>
      <c r="U385" s="66">
        <f>SUM(U356:U384)</f>
        <v>5950874.8458294002</v>
      </c>
      <c r="V385" s="66">
        <f>SUM(V356:V384)</f>
        <v>3834945.9368015155</v>
      </c>
      <c r="W385" s="66">
        <f>SUM(W356:W384)</f>
        <v>29002.507182988938</v>
      </c>
      <c r="X385" s="66">
        <f>SUM(X356:X384)</f>
        <v>9814823.289813906</v>
      </c>
      <c r="Y385" s="146"/>
      <c r="Z385" s="66">
        <f>SUM(Z356:Z384)</f>
        <v>2263957.6872</v>
      </c>
      <c r="AA385" s="66">
        <v>454273.48</v>
      </c>
      <c r="AB385" s="66">
        <v>78286.8</v>
      </c>
      <c r="AC385" s="66">
        <f>AB385+AA385</f>
        <v>532560.28</v>
      </c>
      <c r="AD385" s="66">
        <f t="shared" si="184"/>
        <v>2342244.4871999999</v>
      </c>
      <c r="AE385" s="230">
        <f t="shared" si="185"/>
        <v>7472578.8026139066</v>
      </c>
      <c r="AF385" s="101">
        <f>SUM(AF356:AF384)</f>
        <v>37008661.244265318</v>
      </c>
      <c r="AG385" s="101">
        <f>SUM(AG356:AG384)</f>
        <v>42055296.868483335</v>
      </c>
    </row>
    <row r="386" spans="1:33" x14ac:dyDescent="0.2">
      <c r="A386" s="140"/>
      <c r="F386" s="17"/>
      <c r="G386" s="17"/>
      <c r="M386" s="17"/>
      <c r="O386" s="17"/>
      <c r="P386" s="17"/>
      <c r="Q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</row>
    <row r="387" spans="1:33" x14ac:dyDescent="0.2">
      <c r="A387" s="140" t="s">
        <v>756</v>
      </c>
      <c r="B387" s="10" t="s">
        <v>757</v>
      </c>
      <c r="J387" s="13"/>
      <c r="K387" s="54"/>
      <c r="L387" s="54"/>
      <c r="O387" s="21"/>
      <c r="P387" s="22"/>
      <c r="R387" s="13"/>
      <c r="S387" s="13"/>
      <c r="Z387" s="57"/>
      <c r="AA387" s="57"/>
      <c r="AC387" s="57"/>
      <c r="AD387" s="57"/>
      <c r="AE387" s="57"/>
      <c r="AF387" s="100"/>
      <c r="AG387" s="100"/>
    </row>
    <row r="388" spans="1:33" s="68" customFormat="1" x14ac:dyDescent="0.2">
      <c r="A388" s="147" t="s">
        <v>758</v>
      </c>
      <c r="B388" s="147"/>
      <c r="C388" s="147"/>
      <c r="D388" s="148">
        <v>1</v>
      </c>
      <c r="E388" s="149"/>
      <c r="F388" s="150">
        <v>0.12</v>
      </c>
      <c r="G388" s="150"/>
      <c r="H388" s="67">
        <v>19189</v>
      </c>
      <c r="I388" s="67">
        <f>H388</f>
        <v>19189</v>
      </c>
      <c r="J388" s="67">
        <f t="shared" ref="J388:J419" si="189">I388*(1-F388)</f>
        <v>16886.32</v>
      </c>
      <c r="K388" s="63"/>
      <c r="L388" s="149">
        <v>0</v>
      </c>
      <c r="M388" s="63">
        <f>L388</f>
        <v>0</v>
      </c>
      <c r="N388" s="63">
        <f t="shared" ref="N388:N419" si="190">M388*(1-F388)</f>
        <v>0</v>
      </c>
      <c r="O388" s="69"/>
      <c r="P388" s="149">
        <v>0</v>
      </c>
      <c r="Q388" s="63">
        <f>+P388</f>
        <v>0</v>
      </c>
      <c r="R388" s="64">
        <f t="shared" ref="R388:R419" si="191">Q388*(1-F388)</f>
        <v>0</v>
      </c>
      <c r="S388" s="148">
        <v>25</v>
      </c>
      <c r="T388" s="151" t="s">
        <v>15</v>
      </c>
      <c r="U388" s="65">
        <f>SUMIF('Avoided Costs 2012-2020_EGD'!$A:$A,'2012 Actuals_Auditor'!T388&amp;'2012 Actuals_Auditor'!S388,'Avoided Costs 2012-2020_EGD'!$E:$E)*J388</f>
        <v>57987.538430036715</v>
      </c>
      <c r="V388" s="65">
        <f>SUMIF('Avoided Costs 2012-2020_EGD'!$A:$A,'2012 Actuals_Auditor'!T388&amp;'2012 Actuals_Auditor'!S388,'Avoided Costs 2012-2020_EGD'!$K:$K)*N388</f>
        <v>0</v>
      </c>
      <c r="W388" s="65">
        <f>SUMIF('Avoided Costs 2012-2020_EGD'!$A:$A,'2012 Actuals_Auditor'!T388&amp;'2012 Actuals_Auditor'!S388,'Avoided Costs 2012-2020_EGD'!$M:$M)*R388</f>
        <v>0</v>
      </c>
      <c r="X388" s="65">
        <f t="shared" ref="X388:X411" si="192">SUM(U388:W388)</f>
        <v>57987.538430036715</v>
      </c>
      <c r="Y388" s="146">
        <v>7400</v>
      </c>
      <c r="Z388" s="66">
        <f t="shared" ref="Z388:Z419" si="193">Y388*(1-F388)</f>
        <v>6512</v>
      </c>
      <c r="AA388" s="66"/>
      <c r="AB388" s="66"/>
      <c r="AC388" s="66"/>
      <c r="AD388" s="66">
        <f t="shared" ref="AD388:AD419" si="194">Z388+AB388</f>
        <v>6512</v>
      </c>
      <c r="AE388" s="66">
        <f t="shared" ref="AE388:AE419" si="195">X388-AD388</f>
        <v>51475.538430036715</v>
      </c>
      <c r="AF388" s="101">
        <f t="shared" ref="AF388:AF419" si="196">J388*S388</f>
        <v>422158</v>
      </c>
      <c r="AG388" s="101">
        <f t="shared" ref="AG388:AG419" si="197">(I388*S388)</f>
        <v>479725</v>
      </c>
    </row>
    <row r="389" spans="1:33" s="68" customFormat="1" x14ac:dyDescent="0.2">
      <c r="A389" s="147" t="s">
        <v>759</v>
      </c>
      <c r="B389" s="147"/>
      <c r="C389" s="147"/>
      <c r="D389" s="148">
        <v>0</v>
      </c>
      <c r="E389" s="149"/>
      <c r="F389" s="150">
        <v>0.12</v>
      </c>
      <c r="G389" s="150"/>
      <c r="H389" s="67">
        <v>4320</v>
      </c>
      <c r="I389" s="67">
        <f>+$H$42*H389</f>
        <v>4129.4305899282454</v>
      </c>
      <c r="J389" s="67">
        <f t="shared" si="189"/>
        <v>3633.898919136856</v>
      </c>
      <c r="K389" s="63"/>
      <c r="L389" s="149">
        <v>0</v>
      </c>
      <c r="M389" s="63">
        <f t="shared" ref="M389:M438" si="198">+$L$42*L389</f>
        <v>0</v>
      </c>
      <c r="N389" s="63">
        <f t="shared" si="190"/>
        <v>0</v>
      </c>
      <c r="O389" s="69"/>
      <c r="P389" s="149">
        <v>0</v>
      </c>
      <c r="Q389" s="63">
        <f>+P389*$P$42</f>
        <v>0</v>
      </c>
      <c r="R389" s="64">
        <f t="shared" si="191"/>
        <v>0</v>
      </c>
      <c r="S389" s="148">
        <v>15</v>
      </c>
      <c r="T389" s="151" t="s">
        <v>15</v>
      </c>
      <c r="U389" s="65">
        <f>SUMIF('Avoided Costs 2012-2020_EGD'!$A:$A,'2012 Actuals_Auditor'!T389&amp;'2012 Actuals_Auditor'!S389,'Avoided Costs 2012-2020_EGD'!$E:$E)*J389</f>
        <v>8830.025069879799</v>
      </c>
      <c r="V389" s="65">
        <f>SUMIF('Avoided Costs 2012-2020_EGD'!$A:$A,'2012 Actuals_Auditor'!T389&amp;'2012 Actuals_Auditor'!S389,'Avoided Costs 2012-2020_EGD'!$K:$K)*N389</f>
        <v>0</v>
      </c>
      <c r="W389" s="65">
        <f>SUMIF('Avoided Costs 2012-2020_EGD'!$A:$A,'2012 Actuals_Auditor'!T389&amp;'2012 Actuals_Auditor'!S389,'Avoided Costs 2012-2020_EGD'!$M:$M)*R389</f>
        <v>0</v>
      </c>
      <c r="X389" s="65">
        <f t="shared" si="192"/>
        <v>8830.025069879799</v>
      </c>
      <c r="Y389" s="146">
        <v>500</v>
      </c>
      <c r="Z389" s="66">
        <f t="shared" si="193"/>
        <v>440</v>
      </c>
      <c r="AA389" s="66"/>
      <c r="AB389" s="66"/>
      <c r="AC389" s="66"/>
      <c r="AD389" s="66">
        <f t="shared" si="194"/>
        <v>440</v>
      </c>
      <c r="AE389" s="66">
        <f t="shared" si="195"/>
        <v>8390.025069879799</v>
      </c>
      <c r="AF389" s="101">
        <f t="shared" si="196"/>
        <v>54508.483787052843</v>
      </c>
      <c r="AG389" s="101">
        <f t="shared" si="197"/>
        <v>61941.458848923678</v>
      </c>
    </row>
    <row r="390" spans="1:33" s="68" customFormat="1" x14ac:dyDescent="0.2">
      <c r="A390" s="147" t="s">
        <v>760</v>
      </c>
      <c r="B390" s="147"/>
      <c r="C390" s="147"/>
      <c r="D390" s="148">
        <v>1</v>
      </c>
      <c r="E390" s="149"/>
      <c r="F390" s="150">
        <v>0.12</v>
      </c>
      <c r="G390" s="150"/>
      <c r="H390" s="67">
        <v>58748</v>
      </c>
      <c r="I390" s="67">
        <f>+$H$42*H390</f>
        <v>56156.43247618161</v>
      </c>
      <c r="J390" s="67">
        <f t="shared" si="189"/>
        <v>49417.660579039817</v>
      </c>
      <c r="K390" s="63"/>
      <c r="L390" s="149">
        <v>0</v>
      </c>
      <c r="M390" s="63">
        <f t="shared" si="198"/>
        <v>0</v>
      </c>
      <c r="N390" s="63">
        <f t="shared" si="190"/>
        <v>0</v>
      </c>
      <c r="O390" s="69"/>
      <c r="P390" s="149">
        <v>0</v>
      </c>
      <c r="Q390" s="63">
        <f>+P390*$P$42</f>
        <v>0</v>
      </c>
      <c r="R390" s="64">
        <f t="shared" si="191"/>
        <v>0</v>
      </c>
      <c r="S390" s="148">
        <v>25</v>
      </c>
      <c r="T390" s="151" t="s">
        <v>15</v>
      </c>
      <c r="U390" s="65">
        <f>SUMIF('Avoided Costs 2012-2020_EGD'!$A:$A,'2012 Actuals_Auditor'!T390&amp;'2012 Actuals_Auditor'!S390,'Avoided Costs 2012-2020_EGD'!$E:$E)*J390</f>
        <v>169699.99928637984</v>
      </c>
      <c r="V390" s="65">
        <f>SUMIF('Avoided Costs 2012-2020_EGD'!$A:$A,'2012 Actuals_Auditor'!T390&amp;'2012 Actuals_Auditor'!S390,'Avoided Costs 2012-2020_EGD'!$K:$K)*N390</f>
        <v>0</v>
      </c>
      <c r="W390" s="65">
        <f>SUMIF('Avoided Costs 2012-2020_EGD'!$A:$A,'2012 Actuals_Auditor'!T390&amp;'2012 Actuals_Auditor'!S390,'Avoided Costs 2012-2020_EGD'!$M:$M)*R390</f>
        <v>0</v>
      </c>
      <c r="X390" s="65">
        <f t="shared" si="192"/>
        <v>169699.99928637984</v>
      </c>
      <c r="Y390" s="146">
        <v>150000</v>
      </c>
      <c r="Z390" s="66">
        <f t="shared" si="193"/>
        <v>132000</v>
      </c>
      <c r="AA390" s="66"/>
      <c r="AB390" s="66"/>
      <c r="AC390" s="66"/>
      <c r="AD390" s="66">
        <f t="shared" si="194"/>
        <v>132000</v>
      </c>
      <c r="AE390" s="66">
        <f t="shared" si="195"/>
        <v>37699.99928637984</v>
      </c>
      <c r="AF390" s="101">
        <f t="shared" si="196"/>
        <v>1235441.5144759954</v>
      </c>
      <c r="AG390" s="101">
        <f t="shared" si="197"/>
        <v>1403910.8119045403</v>
      </c>
    </row>
    <row r="391" spans="1:33" s="68" customFormat="1" x14ac:dyDescent="0.2">
      <c r="A391" s="147" t="s">
        <v>761</v>
      </c>
      <c r="B391" s="147"/>
      <c r="C391" s="147"/>
      <c r="D391" s="148">
        <v>1</v>
      </c>
      <c r="E391" s="149"/>
      <c r="F391" s="150">
        <v>0.12</v>
      </c>
      <c r="G391" s="150"/>
      <c r="H391" s="67">
        <v>19189</v>
      </c>
      <c r="I391" s="67">
        <f>H391</f>
        <v>19189</v>
      </c>
      <c r="J391" s="67">
        <f t="shared" si="189"/>
        <v>16886.32</v>
      </c>
      <c r="K391" s="63"/>
      <c r="L391" s="149">
        <v>0</v>
      </c>
      <c r="M391" s="63">
        <f>L391</f>
        <v>0</v>
      </c>
      <c r="N391" s="63">
        <f t="shared" si="190"/>
        <v>0</v>
      </c>
      <c r="O391" s="69"/>
      <c r="P391" s="149">
        <v>0</v>
      </c>
      <c r="Q391" s="63">
        <f>+P391</f>
        <v>0</v>
      </c>
      <c r="R391" s="64">
        <f t="shared" si="191"/>
        <v>0</v>
      </c>
      <c r="S391" s="148">
        <v>25</v>
      </c>
      <c r="T391" s="151" t="s">
        <v>15</v>
      </c>
      <c r="U391" s="65">
        <f>SUMIF('Avoided Costs 2012-2020_EGD'!$A:$A,'2012 Actuals_Auditor'!T391&amp;'2012 Actuals_Auditor'!S391,'Avoided Costs 2012-2020_EGD'!$E:$E)*J391</f>
        <v>57987.538430036715</v>
      </c>
      <c r="V391" s="65">
        <f>SUMIF('Avoided Costs 2012-2020_EGD'!$A:$A,'2012 Actuals_Auditor'!T391&amp;'2012 Actuals_Auditor'!S391,'Avoided Costs 2012-2020_EGD'!$K:$K)*N391</f>
        <v>0</v>
      </c>
      <c r="W391" s="65">
        <f>SUMIF('Avoided Costs 2012-2020_EGD'!$A:$A,'2012 Actuals_Auditor'!T391&amp;'2012 Actuals_Auditor'!S391,'Avoided Costs 2012-2020_EGD'!$M:$M)*R391</f>
        <v>0</v>
      </c>
      <c r="X391" s="65">
        <f t="shared" si="192"/>
        <v>57987.538430036715</v>
      </c>
      <c r="Y391" s="146">
        <v>7400</v>
      </c>
      <c r="Z391" s="66">
        <f t="shared" si="193"/>
        <v>6512</v>
      </c>
      <c r="AA391" s="66"/>
      <c r="AB391" s="66"/>
      <c r="AC391" s="66"/>
      <c r="AD391" s="66">
        <f t="shared" si="194"/>
        <v>6512</v>
      </c>
      <c r="AE391" s="66">
        <f t="shared" si="195"/>
        <v>51475.538430036715</v>
      </c>
      <c r="AF391" s="101">
        <f t="shared" si="196"/>
        <v>422158</v>
      </c>
      <c r="AG391" s="101">
        <f t="shared" si="197"/>
        <v>479725</v>
      </c>
    </row>
    <row r="392" spans="1:33" s="68" customFormat="1" x14ac:dyDescent="0.2">
      <c r="A392" s="147" t="s">
        <v>762</v>
      </c>
      <c r="B392" s="147"/>
      <c r="C392" s="147"/>
      <c r="D392" s="148">
        <v>1</v>
      </c>
      <c r="E392" s="149"/>
      <c r="F392" s="150">
        <v>0.12</v>
      </c>
      <c r="G392" s="150"/>
      <c r="H392" s="67">
        <v>96989</v>
      </c>
      <c r="I392" s="67">
        <f>+$H$42*H392</f>
        <v>92710.49617744227</v>
      </c>
      <c r="J392" s="67">
        <f t="shared" si="189"/>
        <v>81585.236636149202</v>
      </c>
      <c r="K392" s="63"/>
      <c r="L392" s="149">
        <v>0</v>
      </c>
      <c r="M392" s="63">
        <f t="shared" si="198"/>
        <v>0</v>
      </c>
      <c r="N392" s="63">
        <f t="shared" si="190"/>
        <v>0</v>
      </c>
      <c r="O392" s="69"/>
      <c r="P392" s="149">
        <v>0</v>
      </c>
      <c r="Q392" s="63">
        <f>+P392*$P$42</f>
        <v>0</v>
      </c>
      <c r="R392" s="64">
        <f t="shared" si="191"/>
        <v>0</v>
      </c>
      <c r="S392" s="148">
        <v>5</v>
      </c>
      <c r="T392" s="151" t="s">
        <v>15</v>
      </c>
      <c r="U392" s="65">
        <f>SUMIF('Avoided Costs 2012-2020_EGD'!$A:$A,'2012 Actuals_Auditor'!T392&amp;'2012 Actuals_Auditor'!S392,'Avoided Costs 2012-2020_EGD'!$E:$E)*J392</f>
        <v>68005.559696087861</v>
      </c>
      <c r="V392" s="65">
        <f>SUMIF('Avoided Costs 2012-2020_EGD'!$A:$A,'2012 Actuals_Auditor'!T392&amp;'2012 Actuals_Auditor'!S392,'Avoided Costs 2012-2020_EGD'!$K:$K)*N392</f>
        <v>0</v>
      </c>
      <c r="W392" s="65">
        <f>SUMIF('Avoided Costs 2012-2020_EGD'!$A:$A,'2012 Actuals_Auditor'!T392&amp;'2012 Actuals_Auditor'!S392,'Avoided Costs 2012-2020_EGD'!$M:$M)*R392</f>
        <v>0</v>
      </c>
      <c r="X392" s="65">
        <f t="shared" si="192"/>
        <v>68005.559696087861</v>
      </c>
      <c r="Y392" s="146">
        <v>5429</v>
      </c>
      <c r="Z392" s="66">
        <f t="shared" si="193"/>
        <v>4777.5200000000004</v>
      </c>
      <c r="AA392" s="66"/>
      <c r="AB392" s="66"/>
      <c r="AC392" s="66"/>
      <c r="AD392" s="66">
        <f t="shared" si="194"/>
        <v>4777.5200000000004</v>
      </c>
      <c r="AE392" s="66">
        <f t="shared" si="195"/>
        <v>63228.039696087857</v>
      </c>
      <c r="AF392" s="101">
        <f t="shared" si="196"/>
        <v>407926.18318074604</v>
      </c>
      <c r="AG392" s="101">
        <f t="shared" si="197"/>
        <v>463552.48088721134</v>
      </c>
    </row>
    <row r="393" spans="1:33" s="68" customFormat="1" x14ac:dyDescent="0.2">
      <c r="A393" s="147" t="s">
        <v>763</v>
      </c>
      <c r="B393" s="147"/>
      <c r="C393" s="147"/>
      <c r="D393" s="148">
        <v>1</v>
      </c>
      <c r="E393" s="149"/>
      <c r="F393" s="150">
        <v>0.12</v>
      </c>
      <c r="G393" s="150"/>
      <c r="H393" s="67">
        <v>3076</v>
      </c>
      <c r="I393" s="67">
        <f>H393</f>
        <v>3076</v>
      </c>
      <c r="J393" s="67">
        <f t="shared" si="189"/>
        <v>2706.88</v>
      </c>
      <c r="K393" s="63"/>
      <c r="L393" s="149">
        <v>0</v>
      </c>
      <c r="M393" s="63">
        <f>L393</f>
        <v>0</v>
      </c>
      <c r="N393" s="63">
        <f t="shared" si="190"/>
        <v>0</v>
      </c>
      <c r="O393" s="69"/>
      <c r="P393" s="149">
        <v>0</v>
      </c>
      <c r="Q393" s="63">
        <f>+P393</f>
        <v>0</v>
      </c>
      <c r="R393" s="64">
        <f t="shared" si="191"/>
        <v>0</v>
      </c>
      <c r="S393" s="148">
        <v>25</v>
      </c>
      <c r="T393" s="151" t="s">
        <v>15</v>
      </c>
      <c r="U393" s="65">
        <f>SUMIF('Avoided Costs 2012-2020_EGD'!$A:$A,'2012 Actuals_Auditor'!T393&amp;'2012 Actuals_Auditor'!S393,'Avoided Costs 2012-2020_EGD'!$E:$E)*J393</f>
        <v>9295.4123826563628</v>
      </c>
      <c r="V393" s="65">
        <f>SUMIF('Avoided Costs 2012-2020_EGD'!$A:$A,'2012 Actuals_Auditor'!T393&amp;'2012 Actuals_Auditor'!S393,'Avoided Costs 2012-2020_EGD'!$K:$K)*N393</f>
        <v>0</v>
      </c>
      <c r="W393" s="65">
        <f>SUMIF('Avoided Costs 2012-2020_EGD'!$A:$A,'2012 Actuals_Auditor'!T393&amp;'2012 Actuals_Auditor'!S393,'Avoided Costs 2012-2020_EGD'!$M:$M)*R393</f>
        <v>0</v>
      </c>
      <c r="X393" s="65">
        <f t="shared" si="192"/>
        <v>9295.4123826563628</v>
      </c>
      <c r="Y393" s="146">
        <v>6000</v>
      </c>
      <c r="Z393" s="66">
        <f t="shared" si="193"/>
        <v>5280</v>
      </c>
      <c r="AA393" s="66"/>
      <c r="AB393" s="66"/>
      <c r="AC393" s="66"/>
      <c r="AD393" s="66">
        <f t="shared" si="194"/>
        <v>5280</v>
      </c>
      <c r="AE393" s="66">
        <f t="shared" si="195"/>
        <v>4015.4123826563628</v>
      </c>
      <c r="AF393" s="101">
        <f t="shared" si="196"/>
        <v>67672</v>
      </c>
      <c r="AG393" s="101">
        <f t="shared" si="197"/>
        <v>76900</v>
      </c>
    </row>
    <row r="394" spans="1:33" s="68" customFormat="1" x14ac:dyDescent="0.2">
      <c r="A394" s="147" t="s">
        <v>764</v>
      </c>
      <c r="B394" s="147"/>
      <c r="C394" s="147"/>
      <c r="D394" s="148">
        <v>0</v>
      </c>
      <c r="E394" s="149"/>
      <c r="F394" s="150">
        <v>0.12</v>
      </c>
      <c r="G394" s="150"/>
      <c r="H394" s="67">
        <v>5431</v>
      </c>
      <c r="I394" s="67">
        <f>H394</f>
        <v>5431</v>
      </c>
      <c r="J394" s="67">
        <f t="shared" si="189"/>
        <v>4779.28</v>
      </c>
      <c r="K394" s="63"/>
      <c r="L394" s="149">
        <v>0</v>
      </c>
      <c r="M394" s="63">
        <f>L394</f>
        <v>0</v>
      </c>
      <c r="N394" s="63">
        <f t="shared" si="190"/>
        <v>0</v>
      </c>
      <c r="O394" s="69"/>
      <c r="P394" s="149">
        <v>0</v>
      </c>
      <c r="Q394" s="63">
        <f>+P394</f>
        <v>0</v>
      </c>
      <c r="R394" s="64">
        <f t="shared" si="191"/>
        <v>0</v>
      </c>
      <c r="S394" s="148">
        <v>25</v>
      </c>
      <c r="T394" s="151" t="s">
        <v>15</v>
      </c>
      <c r="U394" s="65">
        <f>SUMIF('Avoided Costs 2012-2020_EGD'!$A:$A,'2012 Actuals_Auditor'!T394&amp;'2012 Actuals_Auditor'!S394,'Avoided Costs 2012-2020_EGD'!$E:$E)*J394</f>
        <v>16412.023618402698</v>
      </c>
      <c r="V394" s="65">
        <f>SUMIF('Avoided Costs 2012-2020_EGD'!$A:$A,'2012 Actuals_Auditor'!T394&amp;'2012 Actuals_Auditor'!S394,'Avoided Costs 2012-2020_EGD'!$K:$K)*N394</f>
        <v>0</v>
      </c>
      <c r="W394" s="65">
        <f>SUMIF('Avoided Costs 2012-2020_EGD'!$A:$A,'2012 Actuals_Auditor'!T394&amp;'2012 Actuals_Auditor'!S394,'Avoided Costs 2012-2020_EGD'!$M:$M)*R394</f>
        <v>0</v>
      </c>
      <c r="X394" s="65">
        <f t="shared" si="192"/>
        <v>16412.023618402698</v>
      </c>
      <c r="Y394" s="146">
        <v>10300</v>
      </c>
      <c r="Z394" s="66">
        <f t="shared" si="193"/>
        <v>9064</v>
      </c>
      <c r="AA394" s="66"/>
      <c r="AB394" s="66"/>
      <c r="AC394" s="66"/>
      <c r="AD394" s="66">
        <f t="shared" si="194"/>
        <v>9064</v>
      </c>
      <c r="AE394" s="66">
        <f t="shared" si="195"/>
        <v>7348.023618402698</v>
      </c>
      <c r="AF394" s="101">
        <f t="shared" si="196"/>
        <v>119482</v>
      </c>
      <c r="AG394" s="101">
        <f t="shared" si="197"/>
        <v>135775</v>
      </c>
    </row>
    <row r="395" spans="1:33" s="68" customFormat="1" x14ac:dyDescent="0.2">
      <c r="A395" s="147" t="s">
        <v>765</v>
      </c>
      <c r="B395" s="147"/>
      <c r="C395" s="147"/>
      <c r="D395" s="148">
        <v>1</v>
      </c>
      <c r="E395" s="149"/>
      <c r="F395" s="150">
        <v>0.12</v>
      </c>
      <c r="G395" s="150"/>
      <c r="H395" s="67">
        <v>8507</v>
      </c>
      <c r="I395" s="67">
        <f>H395</f>
        <v>8507</v>
      </c>
      <c r="J395" s="67">
        <f t="shared" si="189"/>
        <v>7486.16</v>
      </c>
      <c r="K395" s="63"/>
      <c r="L395" s="149">
        <v>0</v>
      </c>
      <c r="M395" s="63">
        <f>L395</f>
        <v>0</v>
      </c>
      <c r="N395" s="63">
        <f t="shared" si="190"/>
        <v>0</v>
      </c>
      <c r="O395" s="69"/>
      <c r="P395" s="149">
        <v>0</v>
      </c>
      <c r="Q395" s="63">
        <f>+P395</f>
        <v>0</v>
      </c>
      <c r="R395" s="64">
        <f t="shared" si="191"/>
        <v>0</v>
      </c>
      <c r="S395" s="148">
        <v>25</v>
      </c>
      <c r="T395" s="151" t="s">
        <v>15</v>
      </c>
      <c r="U395" s="65">
        <f>SUMIF('Avoided Costs 2012-2020_EGD'!$A:$A,'2012 Actuals_Auditor'!T395&amp;'2012 Actuals_Auditor'!S395,'Avoided Costs 2012-2020_EGD'!$E:$E)*J395</f>
        <v>25707.436001059061</v>
      </c>
      <c r="V395" s="65">
        <f>SUMIF('Avoided Costs 2012-2020_EGD'!$A:$A,'2012 Actuals_Auditor'!T395&amp;'2012 Actuals_Auditor'!S395,'Avoided Costs 2012-2020_EGD'!$K:$K)*N395</f>
        <v>0</v>
      </c>
      <c r="W395" s="65">
        <f>SUMIF('Avoided Costs 2012-2020_EGD'!$A:$A,'2012 Actuals_Auditor'!T395&amp;'2012 Actuals_Auditor'!S395,'Avoided Costs 2012-2020_EGD'!$M:$M)*R395</f>
        <v>0</v>
      </c>
      <c r="X395" s="65">
        <f t="shared" si="192"/>
        <v>25707.436001059061</v>
      </c>
      <c r="Y395" s="146">
        <v>16300</v>
      </c>
      <c r="Z395" s="66">
        <f t="shared" si="193"/>
        <v>14344</v>
      </c>
      <c r="AA395" s="66"/>
      <c r="AB395" s="66"/>
      <c r="AC395" s="66"/>
      <c r="AD395" s="66">
        <f t="shared" si="194"/>
        <v>14344</v>
      </c>
      <c r="AE395" s="66">
        <f t="shared" si="195"/>
        <v>11363.436001059061</v>
      </c>
      <c r="AF395" s="101">
        <f t="shared" si="196"/>
        <v>187154</v>
      </c>
      <c r="AG395" s="101">
        <f t="shared" si="197"/>
        <v>212675</v>
      </c>
    </row>
    <row r="396" spans="1:33" s="68" customFormat="1" x14ac:dyDescent="0.2">
      <c r="A396" s="147" t="s">
        <v>766</v>
      </c>
      <c r="B396" s="147"/>
      <c r="C396" s="147"/>
      <c r="D396" s="148">
        <v>1</v>
      </c>
      <c r="E396" s="149"/>
      <c r="F396" s="150">
        <v>0.12</v>
      </c>
      <c r="G396" s="150"/>
      <c r="H396" s="67">
        <v>11879</v>
      </c>
      <c r="I396" s="67">
        <f t="shared" ref="I396:I438" si="199">+$H$42*H396</f>
        <v>11354.978235592043</v>
      </c>
      <c r="J396" s="67">
        <f t="shared" si="189"/>
        <v>9992.3808473209974</v>
      </c>
      <c r="K396" s="63"/>
      <c r="L396" s="149">
        <v>-3343</v>
      </c>
      <c r="M396" s="63">
        <f t="shared" si="198"/>
        <v>-3343</v>
      </c>
      <c r="N396" s="63">
        <f t="shared" si="190"/>
        <v>-2941.84</v>
      </c>
      <c r="O396" s="69"/>
      <c r="P396" s="149">
        <v>0</v>
      </c>
      <c r="Q396" s="63">
        <f t="shared" ref="Q396:Q438" si="200">+P396*$P$42</f>
        <v>0</v>
      </c>
      <c r="R396" s="64">
        <f t="shared" si="191"/>
        <v>0</v>
      </c>
      <c r="S396" s="148">
        <v>15</v>
      </c>
      <c r="T396" s="151" t="s">
        <v>15</v>
      </c>
      <c r="U396" s="65">
        <f>SUMIF('Avoided Costs 2012-2020_EGD'!$A:$A,'2012 Actuals_Auditor'!T396&amp;'2012 Actuals_Auditor'!S396,'Avoided Costs 2012-2020_EGD'!$E:$E)*J396</f>
        <v>24280.52495488475</v>
      </c>
      <c r="V396" s="65">
        <f>SUMIF('Avoided Costs 2012-2020_EGD'!$A:$A,'2012 Actuals_Auditor'!T396&amp;'2012 Actuals_Auditor'!S396,'Avoided Costs 2012-2020_EGD'!$K:$K)*N396</f>
        <v>-3029.4580736309586</v>
      </c>
      <c r="W396" s="65">
        <f>SUMIF('Avoided Costs 2012-2020_EGD'!$A:$A,'2012 Actuals_Auditor'!T396&amp;'2012 Actuals_Auditor'!S396,'Avoided Costs 2012-2020_EGD'!$M:$M)*R396</f>
        <v>0</v>
      </c>
      <c r="X396" s="65">
        <f t="shared" si="192"/>
        <v>21251.066881253792</v>
      </c>
      <c r="Y396" s="146">
        <v>11300</v>
      </c>
      <c r="Z396" s="66">
        <f t="shared" si="193"/>
        <v>9944</v>
      </c>
      <c r="AA396" s="66"/>
      <c r="AB396" s="66"/>
      <c r="AC396" s="66"/>
      <c r="AD396" s="66">
        <f t="shared" si="194"/>
        <v>9944</v>
      </c>
      <c r="AE396" s="66">
        <f t="shared" si="195"/>
        <v>11307.066881253792</v>
      </c>
      <c r="AF396" s="101">
        <f t="shared" si="196"/>
        <v>149885.71270981495</v>
      </c>
      <c r="AG396" s="101">
        <f t="shared" si="197"/>
        <v>170324.67353388065</v>
      </c>
    </row>
    <row r="397" spans="1:33" s="68" customFormat="1" x14ac:dyDescent="0.2">
      <c r="A397" s="147" t="s">
        <v>767</v>
      </c>
      <c r="B397" s="147"/>
      <c r="C397" s="147"/>
      <c r="D397" s="148">
        <v>1</v>
      </c>
      <c r="E397" s="149"/>
      <c r="F397" s="150">
        <v>0.12</v>
      </c>
      <c r="G397" s="150"/>
      <c r="H397" s="67">
        <v>6743</v>
      </c>
      <c r="I397" s="67">
        <f t="shared" si="199"/>
        <v>6445.5440897884628</v>
      </c>
      <c r="J397" s="67">
        <f t="shared" si="189"/>
        <v>5672.0787990138469</v>
      </c>
      <c r="K397" s="63"/>
      <c r="L397" s="149">
        <v>134784</v>
      </c>
      <c r="M397" s="63">
        <f t="shared" si="198"/>
        <v>134784</v>
      </c>
      <c r="N397" s="63">
        <f t="shared" si="190"/>
        <v>118609.92</v>
      </c>
      <c r="O397" s="69"/>
      <c r="P397" s="149">
        <v>0</v>
      </c>
      <c r="Q397" s="63">
        <f t="shared" si="200"/>
        <v>0</v>
      </c>
      <c r="R397" s="64">
        <f t="shared" si="191"/>
        <v>0</v>
      </c>
      <c r="S397" s="148">
        <v>15</v>
      </c>
      <c r="T397" s="151" t="s">
        <v>15</v>
      </c>
      <c r="U397" s="65">
        <f>SUMIF('Avoided Costs 2012-2020_EGD'!$A:$A,'2012 Actuals_Auditor'!T397&amp;'2012 Actuals_Auditor'!S397,'Avoided Costs 2012-2020_EGD'!$E:$E)*J397</f>
        <v>13782.606260694323</v>
      </c>
      <c r="V397" s="65">
        <f>SUMIF('Avoided Costs 2012-2020_EGD'!$A:$A,'2012 Actuals_Auditor'!T397&amp;'2012 Actuals_Auditor'!S397,'Avoided Costs 2012-2020_EGD'!$K:$K)*N397</f>
        <v>122142.52976257107</v>
      </c>
      <c r="W397" s="65">
        <f>SUMIF('Avoided Costs 2012-2020_EGD'!$A:$A,'2012 Actuals_Auditor'!T397&amp;'2012 Actuals_Auditor'!S397,'Avoided Costs 2012-2020_EGD'!$M:$M)*R397</f>
        <v>0</v>
      </c>
      <c r="X397" s="65">
        <f t="shared" si="192"/>
        <v>135925.1360232654</v>
      </c>
      <c r="Y397" s="146">
        <v>21500</v>
      </c>
      <c r="Z397" s="66">
        <f t="shared" si="193"/>
        <v>18920</v>
      </c>
      <c r="AA397" s="66"/>
      <c r="AB397" s="66"/>
      <c r="AC397" s="66"/>
      <c r="AD397" s="66">
        <f t="shared" si="194"/>
        <v>18920</v>
      </c>
      <c r="AE397" s="66">
        <f t="shared" si="195"/>
        <v>117005.1360232654</v>
      </c>
      <c r="AF397" s="101">
        <f t="shared" si="196"/>
        <v>85081.181985207702</v>
      </c>
      <c r="AG397" s="101">
        <f t="shared" si="197"/>
        <v>96683.161346826935</v>
      </c>
    </row>
    <row r="398" spans="1:33" s="68" customFormat="1" x14ac:dyDescent="0.2">
      <c r="A398" s="147" t="s">
        <v>768</v>
      </c>
      <c r="B398" s="147"/>
      <c r="C398" s="147"/>
      <c r="D398" s="148">
        <v>1</v>
      </c>
      <c r="E398" s="149"/>
      <c r="F398" s="150">
        <v>0.12</v>
      </c>
      <c r="G398" s="150"/>
      <c r="H398" s="67">
        <v>1257</v>
      </c>
      <c r="I398" s="67">
        <f t="shared" si="199"/>
        <v>1201.5495952638437</v>
      </c>
      <c r="J398" s="67">
        <f t="shared" si="189"/>
        <v>1057.3636438321826</v>
      </c>
      <c r="K398" s="63"/>
      <c r="L398" s="149">
        <v>0</v>
      </c>
      <c r="M398" s="63">
        <f t="shared" si="198"/>
        <v>0</v>
      </c>
      <c r="N398" s="63">
        <f t="shared" si="190"/>
        <v>0</v>
      </c>
      <c r="O398" s="69"/>
      <c r="P398" s="149">
        <v>0</v>
      </c>
      <c r="Q398" s="63">
        <f t="shared" si="200"/>
        <v>0</v>
      </c>
      <c r="R398" s="64">
        <f t="shared" si="191"/>
        <v>0</v>
      </c>
      <c r="S398" s="148">
        <v>15</v>
      </c>
      <c r="T398" s="151" t="s">
        <v>15</v>
      </c>
      <c r="U398" s="65">
        <f>SUMIF('Avoided Costs 2012-2020_EGD'!$A:$A,'2012 Actuals_Auditor'!T398&amp;'2012 Actuals_Auditor'!S398,'Avoided Costs 2012-2020_EGD'!$E:$E)*J398</f>
        <v>2569.2920168608584</v>
      </c>
      <c r="V398" s="65">
        <f>SUMIF('Avoided Costs 2012-2020_EGD'!$A:$A,'2012 Actuals_Auditor'!T398&amp;'2012 Actuals_Auditor'!S398,'Avoided Costs 2012-2020_EGD'!$K:$K)*N398</f>
        <v>0</v>
      </c>
      <c r="W398" s="65">
        <f>SUMIF('Avoided Costs 2012-2020_EGD'!$A:$A,'2012 Actuals_Auditor'!T398&amp;'2012 Actuals_Auditor'!S398,'Avoided Costs 2012-2020_EGD'!$M:$M)*R398</f>
        <v>0</v>
      </c>
      <c r="X398" s="65">
        <f t="shared" si="192"/>
        <v>2569.2920168608584</v>
      </c>
      <c r="Y398" s="146">
        <v>2730</v>
      </c>
      <c r="Z398" s="66">
        <f t="shared" si="193"/>
        <v>2402.4</v>
      </c>
      <c r="AA398" s="66"/>
      <c r="AB398" s="66"/>
      <c r="AC398" s="66"/>
      <c r="AD398" s="66">
        <f t="shared" si="194"/>
        <v>2402.4</v>
      </c>
      <c r="AE398" s="66">
        <f t="shared" si="195"/>
        <v>166.89201686085835</v>
      </c>
      <c r="AF398" s="101">
        <f t="shared" si="196"/>
        <v>15860.454657482738</v>
      </c>
      <c r="AG398" s="101">
        <f t="shared" si="197"/>
        <v>18023.243928957654</v>
      </c>
    </row>
    <row r="399" spans="1:33" s="68" customFormat="1" x14ac:dyDescent="0.2">
      <c r="A399" s="147" t="s">
        <v>769</v>
      </c>
      <c r="B399" s="147"/>
      <c r="C399" s="147"/>
      <c r="D399" s="148">
        <v>1</v>
      </c>
      <c r="E399" s="149"/>
      <c r="F399" s="150">
        <v>0.12</v>
      </c>
      <c r="G399" s="150"/>
      <c r="H399" s="67">
        <v>4114</v>
      </c>
      <c r="I399" s="67">
        <f t="shared" si="199"/>
        <v>3932.5179275381483</v>
      </c>
      <c r="J399" s="67">
        <f t="shared" si="189"/>
        <v>3460.6157762335706</v>
      </c>
      <c r="K399" s="63"/>
      <c r="L399" s="149">
        <v>0</v>
      </c>
      <c r="M399" s="63">
        <f t="shared" si="198"/>
        <v>0</v>
      </c>
      <c r="N399" s="63">
        <f t="shared" si="190"/>
        <v>0</v>
      </c>
      <c r="O399" s="69"/>
      <c r="P399" s="149">
        <v>0</v>
      </c>
      <c r="Q399" s="63">
        <f t="shared" si="200"/>
        <v>0</v>
      </c>
      <c r="R399" s="64">
        <f t="shared" si="191"/>
        <v>0</v>
      </c>
      <c r="S399" s="148">
        <v>15</v>
      </c>
      <c r="T399" s="151" t="s">
        <v>15</v>
      </c>
      <c r="U399" s="65">
        <f>SUMIF('Avoided Costs 2012-2020_EGD'!$A:$A,'2012 Actuals_Auditor'!T399&amp;'2012 Actuals_Auditor'!S399,'Avoided Costs 2012-2020_EGD'!$E:$E)*J399</f>
        <v>8408.9636892327526</v>
      </c>
      <c r="V399" s="65">
        <f>SUMIF('Avoided Costs 2012-2020_EGD'!$A:$A,'2012 Actuals_Auditor'!T399&amp;'2012 Actuals_Auditor'!S399,'Avoided Costs 2012-2020_EGD'!$K:$K)*N399</f>
        <v>0</v>
      </c>
      <c r="W399" s="65">
        <f>SUMIF('Avoided Costs 2012-2020_EGD'!$A:$A,'2012 Actuals_Auditor'!T399&amp;'2012 Actuals_Auditor'!S399,'Avoided Costs 2012-2020_EGD'!$M:$M)*R399</f>
        <v>0</v>
      </c>
      <c r="X399" s="65">
        <f t="shared" si="192"/>
        <v>8408.9636892327526</v>
      </c>
      <c r="Y399" s="146">
        <v>8725</v>
      </c>
      <c r="Z399" s="66">
        <f t="shared" si="193"/>
        <v>7678</v>
      </c>
      <c r="AA399" s="66"/>
      <c r="AB399" s="66"/>
      <c r="AC399" s="66"/>
      <c r="AD399" s="66">
        <f t="shared" si="194"/>
        <v>7678</v>
      </c>
      <c r="AE399" s="66">
        <f t="shared" si="195"/>
        <v>730.96368923275259</v>
      </c>
      <c r="AF399" s="101">
        <f t="shared" si="196"/>
        <v>51909.236643503558</v>
      </c>
      <c r="AG399" s="101">
        <f t="shared" si="197"/>
        <v>58987.768913072228</v>
      </c>
    </row>
    <row r="400" spans="1:33" s="68" customFormat="1" x14ac:dyDescent="0.2">
      <c r="A400" s="147" t="s">
        <v>770</v>
      </c>
      <c r="B400" s="147"/>
      <c r="C400" s="147"/>
      <c r="D400" s="148">
        <v>1</v>
      </c>
      <c r="E400" s="149"/>
      <c r="F400" s="150">
        <v>0.12</v>
      </c>
      <c r="G400" s="150"/>
      <c r="H400" s="67">
        <v>1585</v>
      </c>
      <c r="I400" s="67">
        <f t="shared" si="199"/>
        <v>1515.0804363509883</v>
      </c>
      <c r="J400" s="67">
        <f t="shared" si="189"/>
        <v>1333.2707839888697</v>
      </c>
      <c r="K400" s="63"/>
      <c r="L400" s="149">
        <v>0</v>
      </c>
      <c r="M400" s="63">
        <f t="shared" si="198"/>
        <v>0</v>
      </c>
      <c r="N400" s="63">
        <f t="shared" si="190"/>
        <v>0</v>
      </c>
      <c r="O400" s="69"/>
      <c r="P400" s="149">
        <v>0</v>
      </c>
      <c r="Q400" s="63">
        <f t="shared" si="200"/>
        <v>0</v>
      </c>
      <c r="R400" s="64">
        <f t="shared" si="191"/>
        <v>0</v>
      </c>
      <c r="S400" s="148">
        <v>15</v>
      </c>
      <c r="T400" s="151" t="s">
        <v>15</v>
      </c>
      <c r="U400" s="65">
        <f>SUMIF('Avoided Costs 2012-2020_EGD'!$A:$A,'2012 Actuals_Auditor'!T400&amp;'2012 Actuals_Auditor'!S400,'Avoided Costs 2012-2020_EGD'!$E:$E)*J400</f>
        <v>3239.7198462406209</v>
      </c>
      <c r="V400" s="65">
        <f>SUMIF('Avoided Costs 2012-2020_EGD'!$A:$A,'2012 Actuals_Auditor'!T400&amp;'2012 Actuals_Auditor'!S400,'Avoided Costs 2012-2020_EGD'!$K:$K)*N400</f>
        <v>0</v>
      </c>
      <c r="W400" s="65">
        <f>SUMIF('Avoided Costs 2012-2020_EGD'!$A:$A,'2012 Actuals_Auditor'!T400&amp;'2012 Actuals_Auditor'!S400,'Avoided Costs 2012-2020_EGD'!$M:$M)*R400</f>
        <v>0</v>
      </c>
      <c r="X400" s="65">
        <f t="shared" si="192"/>
        <v>3239.7198462406209</v>
      </c>
      <c r="Y400" s="146">
        <v>3200</v>
      </c>
      <c r="Z400" s="66">
        <f t="shared" si="193"/>
        <v>2816</v>
      </c>
      <c r="AA400" s="66"/>
      <c r="AB400" s="66"/>
      <c r="AC400" s="66"/>
      <c r="AD400" s="66">
        <f t="shared" si="194"/>
        <v>2816</v>
      </c>
      <c r="AE400" s="66">
        <f t="shared" si="195"/>
        <v>423.71984624062088</v>
      </c>
      <c r="AF400" s="101">
        <f t="shared" si="196"/>
        <v>19999.061759833046</v>
      </c>
      <c r="AG400" s="101">
        <f t="shared" si="197"/>
        <v>22726.206545264824</v>
      </c>
    </row>
    <row r="401" spans="1:33" s="68" customFormat="1" x14ac:dyDescent="0.2">
      <c r="A401" s="147" t="s">
        <v>771</v>
      </c>
      <c r="B401" s="147"/>
      <c r="C401" s="147"/>
      <c r="D401" s="148">
        <v>1</v>
      </c>
      <c r="E401" s="149"/>
      <c r="F401" s="150">
        <v>0.12</v>
      </c>
      <c r="G401" s="150"/>
      <c r="H401" s="67">
        <v>388</v>
      </c>
      <c r="I401" s="67">
        <f t="shared" si="199"/>
        <v>370.88404372503686</v>
      </c>
      <c r="J401" s="67">
        <f t="shared" si="189"/>
        <v>326.37795847803244</v>
      </c>
      <c r="K401" s="63"/>
      <c r="L401" s="149">
        <v>0</v>
      </c>
      <c r="M401" s="63">
        <f t="shared" si="198"/>
        <v>0</v>
      </c>
      <c r="N401" s="63">
        <f t="shared" si="190"/>
        <v>0</v>
      </c>
      <c r="O401" s="69"/>
      <c r="P401" s="149">
        <v>0</v>
      </c>
      <c r="Q401" s="63">
        <f t="shared" si="200"/>
        <v>0</v>
      </c>
      <c r="R401" s="64">
        <f t="shared" si="191"/>
        <v>0</v>
      </c>
      <c r="S401" s="148">
        <v>15</v>
      </c>
      <c r="T401" s="151" t="s">
        <v>15</v>
      </c>
      <c r="U401" s="65">
        <f>SUMIF('Avoided Costs 2012-2020_EGD'!$A:$A,'2012 Actuals_Auditor'!T401&amp;'2012 Actuals_Auditor'!S401,'Avoided Costs 2012-2020_EGD'!$E:$E)*J401</f>
        <v>793.06706646142641</v>
      </c>
      <c r="V401" s="65">
        <f>SUMIF('Avoided Costs 2012-2020_EGD'!$A:$A,'2012 Actuals_Auditor'!T401&amp;'2012 Actuals_Auditor'!S401,'Avoided Costs 2012-2020_EGD'!$K:$K)*N401</f>
        <v>0</v>
      </c>
      <c r="W401" s="65">
        <f>SUMIF('Avoided Costs 2012-2020_EGD'!$A:$A,'2012 Actuals_Auditor'!T401&amp;'2012 Actuals_Auditor'!S401,'Avoided Costs 2012-2020_EGD'!$M:$M)*R401</f>
        <v>0</v>
      </c>
      <c r="X401" s="65">
        <f t="shared" si="192"/>
        <v>793.06706646142641</v>
      </c>
      <c r="Y401" s="146">
        <v>720</v>
      </c>
      <c r="Z401" s="66">
        <f t="shared" si="193"/>
        <v>633.6</v>
      </c>
      <c r="AA401" s="66"/>
      <c r="AB401" s="66"/>
      <c r="AC401" s="66"/>
      <c r="AD401" s="66">
        <f t="shared" si="194"/>
        <v>633.6</v>
      </c>
      <c r="AE401" s="66">
        <f t="shared" si="195"/>
        <v>159.46706646142638</v>
      </c>
      <c r="AF401" s="101">
        <f t="shared" si="196"/>
        <v>4895.6693771704868</v>
      </c>
      <c r="AG401" s="101">
        <f t="shared" si="197"/>
        <v>5563.2606558755533</v>
      </c>
    </row>
    <row r="402" spans="1:33" s="68" customFormat="1" x14ac:dyDescent="0.2">
      <c r="A402" s="147" t="s">
        <v>772</v>
      </c>
      <c r="B402" s="147"/>
      <c r="C402" s="147"/>
      <c r="D402" s="148">
        <v>1</v>
      </c>
      <c r="E402" s="149"/>
      <c r="F402" s="150">
        <v>0.12</v>
      </c>
      <c r="G402" s="150"/>
      <c r="H402" s="67">
        <v>803</v>
      </c>
      <c r="I402" s="67">
        <f t="shared" si="199"/>
        <v>767.5770286371253</v>
      </c>
      <c r="J402" s="67">
        <f t="shared" si="189"/>
        <v>675.46778520067028</v>
      </c>
      <c r="K402" s="63"/>
      <c r="L402" s="149">
        <v>0</v>
      </c>
      <c r="M402" s="63">
        <f t="shared" si="198"/>
        <v>0</v>
      </c>
      <c r="N402" s="63">
        <f t="shared" si="190"/>
        <v>0</v>
      </c>
      <c r="O402" s="69"/>
      <c r="P402" s="149">
        <v>0</v>
      </c>
      <c r="Q402" s="63">
        <f t="shared" si="200"/>
        <v>0</v>
      </c>
      <c r="R402" s="64">
        <f t="shared" si="191"/>
        <v>0</v>
      </c>
      <c r="S402" s="148">
        <v>15</v>
      </c>
      <c r="T402" s="151" t="s">
        <v>15</v>
      </c>
      <c r="U402" s="65">
        <f>SUMIF('Avoided Costs 2012-2020_EGD'!$A:$A,'2012 Actuals_Auditor'!T402&amp;'2012 Actuals_Auditor'!S402,'Avoided Costs 2012-2020_EGD'!$E:$E)*J402</f>
        <v>1641.3217896096016</v>
      </c>
      <c r="V402" s="65">
        <f>SUMIF('Avoided Costs 2012-2020_EGD'!$A:$A,'2012 Actuals_Auditor'!T402&amp;'2012 Actuals_Auditor'!S402,'Avoided Costs 2012-2020_EGD'!$K:$K)*N402</f>
        <v>0</v>
      </c>
      <c r="W402" s="65">
        <f>SUMIF('Avoided Costs 2012-2020_EGD'!$A:$A,'2012 Actuals_Auditor'!T402&amp;'2012 Actuals_Auditor'!S402,'Avoided Costs 2012-2020_EGD'!$M:$M)*R402</f>
        <v>0</v>
      </c>
      <c r="X402" s="65">
        <f t="shared" si="192"/>
        <v>1641.3217896096016</v>
      </c>
      <c r="Y402" s="146">
        <v>1719</v>
      </c>
      <c r="Z402" s="66">
        <f t="shared" si="193"/>
        <v>1512.72</v>
      </c>
      <c r="AA402" s="66"/>
      <c r="AB402" s="66"/>
      <c r="AC402" s="66"/>
      <c r="AD402" s="66">
        <f t="shared" si="194"/>
        <v>1512.72</v>
      </c>
      <c r="AE402" s="66">
        <f t="shared" si="195"/>
        <v>128.60178960960161</v>
      </c>
      <c r="AF402" s="101">
        <f t="shared" si="196"/>
        <v>10132.016778010055</v>
      </c>
      <c r="AG402" s="101">
        <f t="shared" si="197"/>
        <v>11513.655429556879</v>
      </c>
    </row>
    <row r="403" spans="1:33" s="68" customFormat="1" x14ac:dyDescent="0.2">
      <c r="A403" s="147" t="s">
        <v>773</v>
      </c>
      <c r="B403" s="147"/>
      <c r="C403" s="147"/>
      <c r="D403" s="148">
        <v>1</v>
      </c>
      <c r="E403" s="149"/>
      <c r="F403" s="150">
        <v>0.12</v>
      </c>
      <c r="G403" s="150"/>
      <c r="H403" s="67">
        <v>2330</v>
      </c>
      <c r="I403" s="67">
        <f t="shared" si="199"/>
        <v>2227.2160357714843</v>
      </c>
      <c r="J403" s="67">
        <f t="shared" si="189"/>
        <v>1959.9501114789061</v>
      </c>
      <c r="K403" s="63"/>
      <c r="L403" s="149">
        <v>0</v>
      </c>
      <c r="M403" s="63">
        <f t="shared" si="198"/>
        <v>0</v>
      </c>
      <c r="N403" s="63">
        <f t="shared" si="190"/>
        <v>0</v>
      </c>
      <c r="O403" s="69"/>
      <c r="P403" s="149">
        <v>0</v>
      </c>
      <c r="Q403" s="63">
        <f t="shared" si="200"/>
        <v>0</v>
      </c>
      <c r="R403" s="64">
        <f t="shared" si="191"/>
        <v>0</v>
      </c>
      <c r="S403" s="148">
        <v>15</v>
      </c>
      <c r="T403" s="151" t="s">
        <v>15</v>
      </c>
      <c r="U403" s="65">
        <f>SUMIF('Avoided Costs 2012-2020_EGD'!$A:$A,'2012 Actuals_Auditor'!T403&amp;'2012 Actuals_Auditor'!S403,'Avoided Costs 2012-2020_EGD'!$E:$E)*J403</f>
        <v>4762.4903733379469</v>
      </c>
      <c r="V403" s="65">
        <f>SUMIF('Avoided Costs 2012-2020_EGD'!$A:$A,'2012 Actuals_Auditor'!T403&amp;'2012 Actuals_Auditor'!S403,'Avoided Costs 2012-2020_EGD'!$K:$K)*N403</f>
        <v>0</v>
      </c>
      <c r="W403" s="65">
        <f>SUMIF('Avoided Costs 2012-2020_EGD'!$A:$A,'2012 Actuals_Auditor'!T403&amp;'2012 Actuals_Auditor'!S403,'Avoided Costs 2012-2020_EGD'!$M:$M)*R403</f>
        <v>0</v>
      </c>
      <c r="X403" s="65">
        <f t="shared" si="192"/>
        <v>4762.4903733379469</v>
      </c>
      <c r="Y403" s="146">
        <v>5190</v>
      </c>
      <c r="Z403" s="66">
        <f t="shared" si="193"/>
        <v>4567.2</v>
      </c>
      <c r="AA403" s="66"/>
      <c r="AB403" s="66"/>
      <c r="AC403" s="66"/>
      <c r="AD403" s="66">
        <f t="shared" si="194"/>
        <v>4567.2</v>
      </c>
      <c r="AE403" s="66">
        <f t="shared" si="195"/>
        <v>195.29037333794713</v>
      </c>
      <c r="AF403" s="101">
        <f t="shared" si="196"/>
        <v>29399.251672183593</v>
      </c>
      <c r="AG403" s="101">
        <f t="shared" si="197"/>
        <v>33408.240536572266</v>
      </c>
    </row>
    <row r="404" spans="1:33" s="68" customFormat="1" x14ac:dyDescent="0.2">
      <c r="A404" s="147" t="s">
        <v>774</v>
      </c>
      <c r="B404" s="147"/>
      <c r="C404" s="147"/>
      <c r="D404" s="148">
        <v>1</v>
      </c>
      <c r="E404" s="149"/>
      <c r="F404" s="150">
        <v>0.12</v>
      </c>
      <c r="G404" s="150"/>
      <c r="H404" s="67">
        <v>425</v>
      </c>
      <c r="I404" s="67">
        <f t="shared" si="199"/>
        <v>406.25185201840378</v>
      </c>
      <c r="J404" s="67">
        <f t="shared" si="189"/>
        <v>357.50162977619533</v>
      </c>
      <c r="K404" s="63"/>
      <c r="L404" s="149">
        <v>0</v>
      </c>
      <c r="M404" s="63">
        <f t="shared" si="198"/>
        <v>0</v>
      </c>
      <c r="N404" s="63">
        <f t="shared" si="190"/>
        <v>0</v>
      </c>
      <c r="O404" s="69"/>
      <c r="P404" s="149">
        <v>0</v>
      </c>
      <c r="Q404" s="63">
        <f t="shared" si="200"/>
        <v>0</v>
      </c>
      <c r="R404" s="64">
        <f t="shared" si="191"/>
        <v>0</v>
      </c>
      <c r="S404" s="148">
        <v>15</v>
      </c>
      <c r="T404" s="151" t="s">
        <v>15</v>
      </c>
      <c r="U404" s="65">
        <f>SUMIF('Avoided Costs 2012-2020_EGD'!$A:$A,'2012 Actuals_Auditor'!T404&amp;'2012 Actuals_Auditor'!S404,'Avoided Costs 2012-2020_EGD'!$E:$E)*J404</f>
        <v>868.69459599511913</v>
      </c>
      <c r="V404" s="65">
        <f>SUMIF('Avoided Costs 2012-2020_EGD'!$A:$A,'2012 Actuals_Auditor'!T404&amp;'2012 Actuals_Auditor'!S404,'Avoided Costs 2012-2020_EGD'!$K:$K)*N404</f>
        <v>0</v>
      </c>
      <c r="W404" s="65">
        <f>SUMIF('Avoided Costs 2012-2020_EGD'!$A:$A,'2012 Actuals_Auditor'!T404&amp;'2012 Actuals_Auditor'!S404,'Avoided Costs 2012-2020_EGD'!$M:$M)*R404</f>
        <v>0</v>
      </c>
      <c r="X404" s="65">
        <f t="shared" si="192"/>
        <v>868.69459599511913</v>
      </c>
      <c r="Y404" s="146">
        <v>1188</v>
      </c>
      <c r="Z404" s="66">
        <f t="shared" si="193"/>
        <v>1045.44</v>
      </c>
      <c r="AA404" s="66"/>
      <c r="AB404" s="66"/>
      <c r="AC404" s="66"/>
      <c r="AD404" s="66">
        <f t="shared" si="194"/>
        <v>1045.44</v>
      </c>
      <c r="AE404" s="66">
        <f t="shared" si="195"/>
        <v>-176.74540400488092</v>
      </c>
      <c r="AF404" s="101">
        <f t="shared" si="196"/>
        <v>5362.5244466429303</v>
      </c>
      <c r="AG404" s="101">
        <f t="shared" si="197"/>
        <v>6093.7777802760565</v>
      </c>
    </row>
    <row r="405" spans="1:33" s="68" customFormat="1" x14ac:dyDescent="0.2">
      <c r="A405" s="147" t="s">
        <v>775</v>
      </c>
      <c r="B405" s="147"/>
      <c r="C405" s="147"/>
      <c r="D405" s="148">
        <v>1</v>
      </c>
      <c r="E405" s="149"/>
      <c r="F405" s="150">
        <v>0.12</v>
      </c>
      <c r="G405" s="150"/>
      <c r="H405" s="67">
        <v>1761</v>
      </c>
      <c r="I405" s="67">
        <f t="shared" si="199"/>
        <v>1683.316497422139</v>
      </c>
      <c r="J405" s="67">
        <f t="shared" si="189"/>
        <v>1481.3185177314824</v>
      </c>
      <c r="K405" s="63"/>
      <c r="L405" s="149">
        <v>0</v>
      </c>
      <c r="M405" s="63">
        <f t="shared" si="198"/>
        <v>0</v>
      </c>
      <c r="N405" s="63">
        <f t="shared" si="190"/>
        <v>0</v>
      </c>
      <c r="O405" s="69"/>
      <c r="P405" s="149">
        <v>0</v>
      </c>
      <c r="Q405" s="63">
        <f t="shared" si="200"/>
        <v>0</v>
      </c>
      <c r="R405" s="64">
        <f t="shared" si="191"/>
        <v>0</v>
      </c>
      <c r="S405" s="148">
        <v>15</v>
      </c>
      <c r="T405" s="151" t="s">
        <v>15</v>
      </c>
      <c r="U405" s="65">
        <f>SUMIF('Avoided Costs 2012-2020_EGD'!$A:$A,'2012 Actuals_Auditor'!T405&amp;'2012 Actuals_Auditor'!S405,'Avoided Costs 2012-2020_EGD'!$E:$E)*J405</f>
        <v>3599.461608346835</v>
      </c>
      <c r="V405" s="65">
        <f>SUMIF('Avoided Costs 2012-2020_EGD'!$A:$A,'2012 Actuals_Auditor'!T405&amp;'2012 Actuals_Auditor'!S405,'Avoided Costs 2012-2020_EGD'!$K:$K)*N405</f>
        <v>0</v>
      </c>
      <c r="W405" s="65">
        <f>SUMIF('Avoided Costs 2012-2020_EGD'!$A:$A,'2012 Actuals_Auditor'!T405&amp;'2012 Actuals_Auditor'!S405,'Avoided Costs 2012-2020_EGD'!$M:$M)*R405</f>
        <v>0</v>
      </c>
      <c r="X405" s="65">
        <f t="shared" si="192"/>
        <v>3599.461608346835</v>
      </c>
      <c r="Y405" s="146">
        <v>4150</v>
      </c>
      <c r="Z405" s="66">
        <f t="shared" si="193"/>
        <v>3652</v>
      </c>
      <c r="AA405" s="66"/>
      <c r="AB405" s="66"/>
      <c r="AC405" s="66"/>
      <c r="AD405" s="66">
        <f t="shared" si="194"/>
        <v>3652</v>
      </c>
      <c r="AE405" s="66">
        <f t="shared" si="195"/>
        <v>-52.538391653165036</v>
      </c>
      <c r="AF405" s="101">
        <f t="shared" si="196"/>
        <v>22219.777765972238</v>
      </c>
      <c r="AG405" s="101">
        <f t="shared" si="197"/>
        <v>25249.747461332085</v>
      </c>
    </row>
    <row r="406" spans="1:33" s="68" customFormat="1" x14ac:dyDescent="0.2">
      <c r="A406" s="147" t="s">
        <v>776</v>
      </c>
      <c r="B406" s="147"/>
      <c r="C406" s="147"/>
      <c r="D406" s="148">
        <v>1</v>
      </c>
      <c r="E406" s="149"/>
      <c r="F406" s="150">
        <v>0.12</v>
      </c>
      <c r="G406" s="150"/>
      <c r="H406" s="67">
        <v>6672</v>
      </c>
      <c r="I406" s="67">
        <f t="shared" si="199"/>
        <v>6377.6761333336235</v>
      </c>
      <c r="J406" s="67">
        <f t="shared" si="189"/>
        <v>5612.3549973335885</v>
      </c>
      <c r="K406" s="63"/>
      <c r="L406" s="149">
        <v>0</v>
      </c>
      <c r="M406" s="63">
        <f t="shared" si="198"/>
        <v>0</v>
      </c>
      <c r="N406" s="63">
        <f t="shared" si="190"/>
        <v>0</v>
      </c>
      <c r="O406" s="69"/>
      <c r="P406" s="149">
        <v>0</v>
      </c>
      <c r="Q406" s="63">
        <f t="shared" si="200"/>
        <v>0</v>
      </c>
      <c r="R406" s="64">
        <f t="shared" si="191"/>
        <v>0</v>
      </c>
      <c r="S406" s="148">
        <v>15</v>
      </c>
      <c r="T406" s="151" t="s">
        <v>15</v>
      </c>
      <c r="U406" s="65">
        <f>SUMIF('Avoided Costs 2012-2020_EGD'!$A:$A,'2012 Actuals_Auditor'!T406&amp;'2012 Actuals_Auditor'!S406,'Avoided Costs 2012-2020_EGD'!$E:$E)*J406</f>
        <v>13637.483163481022</v>
      </c>
      <c r="V406" s="65">
        <f>SUMIF('Avoided Costs 2012-2020_EGD'!$A:$A,'2012 Actuals_Auditor'!T406&amp;'2012 Actuals_Auditor'!S406,'Avoided Costs 2012-2020_EGD'!$K:$K)*N406</f>
        <v>0</v>
      </c>
      <c r="W406" s="65">
        <f>SUMIF('Avoided Costs 2012-2020_EGD'!$A:$A,'2012 Actuals_Auditor'!T406&amp;'2012 Actuals_Auditor'!S406,'Avoided Costs 2012-2020_EGD'!$M:$M)*R406</f>
        <v>0</v>
      </c>
      <c r="X406" s="65">
        <f t="shared" si="192"/>
        <v>13637.483163481022</v>
      </c>
      <c r="Y406" s="146">
        <v>15503</v>
      </c>
      <c r="Z406" s="66">
        <f t="shared" si="193"/>
        <v>13642.64</v>
      </c>
      <c r="AA406" s="66"/>
      <c r="AB406" s="66"/>
      <c r="AC406" s="66"/>
      <c r="AD406" s="66">
        <f t="shared" si="194"/>
        <v>13642.64</v>
      </c>
      <c r="AE406" s="66">
        <f t="shared" si="195"/>
        <v>-5.1568365189777978</v>
      </c>
      <c r="AF406" s="101">
        <f t="shared" si="196"/>
        <v>84185.324960003825</v>
      </c>
      <c r="AG406" s="101">
        <f t="shared" si="197"/>
        <v>95665.142000004358</v>
      </c>
    </row>
    <row r="407" spans="1:33" s="68" customFormat="1" x14ac:dyDescent="0.2">
      <c r="A407" s="147" t="s">
        <v>777</v>
      </c>
      <c r="B407" s="147"/>
      <c r="C407" s="147"/>
      <c r="D407" s="148">
        <v>1</v>
      </c>
      <c r="E407" s="149"/>
      <c r="F407" s="150">
        <v>0.12</v>
      </c>
      <c r="G407" s="150"/>
      <c r="H407" s="67">
        <v>2307</v>
      </c>
      <c r="I407" s="67">
        <f t="shared" si="199"/>
        <v>2205.2306414269588</v>
      </c>
      <c r="J407" s="67">
        <f t="shared" si="189"/>
        <v>1940.6029644557236</v>
      </c>
      <c r="K407" s="63"/>
      <c r="L407" s="149">
        <v>0</v>
      </c>
      <c r="M407" s="63">
        <f t="shared" si="198"/>
        <v>0</v>
      </c>
      <c r="N407" s="63">
        <f t="shared" si="190"/>
        <v>0</v>
      </c>
      <c r="O407" s="69"/>
      <c r="P407" s="149">
        <v>0</v>
      </c>
      <c r="Q407" s="63">
        <f t="shared" si="200"/>
        <v>0</v>
      </c>
      <c r="R407" s="64">
        <f t="shared" si="191"/>
        <v>0</v>
      </c>
      <c r="S407" s="148">
        <v>15</v>
      </c>
      <c r="T407" s="151" t="s">
        <v>15</v>
      </c>
      <c r="U407" s="65">
        <f>SUMIF('Avoided Costs 2012-2020_EGD'!$A:$A,'2012 Actuals_Auditor'!T407&amp;'2012 Actuals_Auditor'!S407,'Avoided Costs 2012-2020_EGD'!$E:$E)*J407</f>
        <v>4715.4786657899758</v>
      </c>
      <c r="V407" s="65">
        <f>SUMIF('Avoided Costs 2012-2020_EGD'!$A:$A,'2012 Actuals_Auditor'!T407&amp;'2012 Actuals_Auditor'!S407,'Avoided Costs 2012-2020_EGD'!$K:$K)*N407</f>
        <v>0</v>
      </c>
      <c r="W407" s="65">
        <f>SUMIF('Avoided Costs 2012-2020_EGD'!$A:$A,'2012 Actuals_Auditor'!T407&amp;'2012 Actuals_Auditor'!S407,'Avoided Costs 2012-2020_EGD'!$M:$M)*R407</f>
        <v>0</v>
      </c>
      <c r="X407" s="65">
        <f t="shared" si="192"/>
        <v>4715.4786657899758</v>
      </c>
      <c r="Y407" s="146">
        <v>5149</v>
      </c>
      <c r="Z407" s="66">
        <f t="shared" si="193"/>
        <v>4531.12</v>
      </c>
      <c r="AA407" s="66"/>
      <c r="AB407" s="66"/>
      <c r="AC407" s="66"/>
      <c r="AD407" s="66">
        <f t="shared" si="194"/>
        <v>4531.12</v>
      </c>
      <c r="AE407" s="66">
        <f t="shared" si="195"/>
        <v>184.35866578997593</v>
      </c>
      <c r="AF407" s="101">
        <f t="shared" si="196"/>
        <v>29109.044466835854</v>
      </c>
      <c r="AG407" s="101">
        <f t="shared" si="197"/>
        <v>33078.459621404385</v>
      </c>
    </row>
    <row r="408" spans="1:33" s="68" customFormat="1" x14ac:dyDescent="0.2">
      <c r="A408" s="147" t="s">
        <v>778</v>
      </c>
      <c r="B408" s="147"/>
      <c r="C408" s="147"/>
      <c r="D408" s="148">
        <v>1</v>
      </c>
      <c r="E408" s="149"/>
      <c r="F408" s="150">
        <v>0.12</v>
      </c>
      <c r="G408" s="150"/>
      <c r="H408" s="67">
        <v>621</v>
      </c>
      <c r="I408" s="67">
        <f t="shared" si="199"/>
        <v>593.60564730218528</v>
      </c>
      <c r="J408" s="67">
        <f t="shared" si="189"/>
        <v>522.37296962592302</v>
      </c>
      <c r="K408" s="63"/>
      <c r="L408" s="149">
        <v>0</v>
      </c>
      <c r="M408" s="63">
        <f t="shared" si="198"/>
        <v>0</v>
      </c>
      <c r="N408" s="63">
        <f t="shared" si="190"/>
        <v>0</v>
      </c>
      <c r="O408" s="69"/>
      <c r="P408" s="149">
        <v>0</v>
      </c>
      <c r="Q408" s="63">
        <f t="shared" si="200"/>
        <v>0</v>
      </c>
      <c r="R408" s="64">
        <f t="shared" si="191"/>
        <v>0</v>
      </c>
      <c r="S408" s="148">
        <v>15</v>
      </c>
      <c r="T408" s="151" t="s">
        <v>15</v>
      </c>
      <c r="U408" s="65">
        <f>SUMIF('Avoided Costs 2012-2020_EGD'!$A:$A,'2012 Actuals_Auditor'!T408&amp;'2012 Actuals_Auditor'!S408,'Avoided Costs 2012-2020_EGD'!$E:$E)*J408</f>
        <v>1269.3161037952209</v>
      </c>
      <c r="V408" s="65">
        <f>SUMIF('Avoided Costs 2012-2020_EGD'!$A:$A,'2012 Actuals_Auditor'!T408&amp;'2012 Actuals_Auditor'!S408,'Avoided Costs 2012-2020_EGD'!$K:$K)*N408</f>
        <v>0</v>
      </c>
      <c r="W408" s="65">
        <f>SUMIF('Avoided Costs 2012-2020_EGD'!$A:$A,'2012 Actuals_Auditor'!T408&amp;'2012 Actuals_Auditor'!S408,'Avoided Costs 2012-2020_EGD'!$M:$M)*R408</f>
        <v>0</v>
      </c>
      <c r="X408" s="65">
        <f t="shared" si="192"/>
        <v>1269.3161037952209</v>
      </c>
      <c r="Y408" s="146">
        <v>1116</v>
      </c>
      <c r="Z408" s="66">
        <f t="shared" si="193"/>
        <v>982.08</v>
      </c>
      <c r="AA408" s="66"/>
      <c r="AB408" s="66"/>
      <c r="AC408" s="66"/>
      <c r="AD408" s="66">
        <f t="shared" si="194"/>
        <v>982.08</v>
      </c>
      <c r="AE408" s="66">
        <f t="shared" si="195"/>
        <v>287.23610379522086</v>
      </c>
      <c r="AF408" s="101">
        <f t="shared" si="196"/>
        <v>7835.594544388845</v>
      </c>
      <c r="AG408" s="101">
        <f t="shared" si="197"/>
        <v>8904.084709532779</v>
      </c>
    </row>
    <row r="409" spans="1:33" s="68" customFormat="1" x14ac:dyDescent="0.2">
      <c r="A409" s="147" t="s">
        <v>779</v>
      </c>
      <c r="B409" s="147"/>
      <c r="C409" s="147"/>
      <c r="D409" s="148">
        <v>1</v>
      </c>
      <c r="E409" s="149"/>
      <c r="F409" s="150">
        <v>0.12</v>
      </c>
      <c r="G409" s="150"/>
      <c r="H409" s="67">
        <v>939</v>
      </c>
      <c r="I409" s="67">
        <f t="shared" si="199"/>
        <v>897.57762128301442</v>
      </c>
      <c r="J409" s="67">
        <f t="shared" si="189"/>
        <v>789.86830672905273</v>
      </c>
      <c r="K409" s="63"/>
      <c r="L409" s="149">
        <v>0</v>
      </c>
      <c r="M409" s="63">
        <f t="shared" si="198"/>
        <v>0</v>
      </c>
      <c r="N409" s="63">
        <f t="shared" si="190"/>
        <v>0</v>
      </c>
      <c r="O409" s="69"/>
      <c r="P409" s="149">
        <v>0</v>
      </c>
      <c r="Q409" s="63">
        <f t="shared" si="200"/>
        <v>0</v>
      </c>
      <c r="R409" s="64">
        <f t="shared" si="191"/>
        <v>0</v>
      </c>
      <c r="S409" s="148">
        <v>15</v>
      </c>
      <c r="T409" s="151" t="s">
        <v>15</v>
      </c>
      <c r="U409" s="65">
        <f>SUMIF('Avoided Costs 2012-2020_EGD'!$A:$A,'2012 Actuals_Auditor'!T409&amp;'2012 Actuals_Auditor'!S409,'Avoided Costs 2012-2020_EGD'!$E:$E)*J409</f>
        <v>1919.3040603280397</v>
      </c>
      <c r="V409" s="65">
        <f>SUMIF('Avoided Costs 2012-2020_EGD'!$A:$A,'2012 Actuals_Auditor'!T409&amp;'2012 Actuals_Auditor'!S409,'Avoided Costs 2012-2020_EGD'!$K:$K)*N409</f>
        <v>0</v>
      </c>
      <c r="W409" s="65">
        <f>SUMIF('Avoided Costs 2012-2020_EGD'!$A:$A,'2012 Actuals_Auditor'!T409&amp;'2012 Actuals_Auditor'!S409,'Avoided Costs 2012-2020_EGD'!$M:$M)*R409</f>
        <v>0</v>
      </c>
      <c r="X409" s="65">
        <f t="shared" si="192"/>
        <v>1919.3040603280397</v>
      </c>
      <c r="Y409" s="146">
        <v>2315</v>
      </c>
      <c r="Z409" s="66">
        <f t="shared" si="193"/>
        <v>2037.2</v>
      </c>
      <c r="AA409" s="66"/>
      <c r="AB409" s="66"/>
      <c r="AC409" s="66"/>
      <c r="AD409" s="66">
        <f t="shared" si="194"/>
        <v>2037.2</v>
      </c>
      <c r="AE409" s="66">
        <f t="shared" si="195"/>
        <v>-117.89593967196038</v>
      </c>
      <c r="AF409" s="101">
        <f t="shared" si="196"/>
        <v>11848.024600935791</v>
      </c>
      <c r="AG409" s="101">
        <f t="shared" si="197"/>
        <v>13463.664319245216</v>
      </c>
    </row>
    <row r="410" spans="1:33" s="68" customFormat="1" x14ac:dyDescent="0.2">
      <c r="A410" s="147" t="s">
        <v>780</v>
      </c>
      <c r="B410" s="147"/>
      <c r="C410" s="147"/>
      <c r="D410" s="148">
        <v>1</v>
      </c>
      <c r="E410" s="149"/>
      <c r="F410" s="150">
        <v>0.12</v>
      </c>
      <c r="G410" s="150"/>
      <c r="H410" s="67">
        <v>243</v>
      </c>
      <c r="I410" s="67">
        <f t="shared" si="199"/>
        <v>232.28047068346382</v>
      </c>
      <c r="J410" s="67">
        <f t="shared" si="189"/>
        <v>204.40681420144816</v>
      </c>
      <c r="K410" s="63"/>
      <c r="L410" s="149">
        <v>0</v>
      </c>
      <c r="M410" s="63">
        <f t="shared" si="198"/>
        <v>0</v>
      </c>
      <c r="N410" s="63">
        <f t="shared" si="190"/>
        <v>0</v>
      </c>
      <c r="O410" s="69"/>
      <c r="P410" s="149">
        <v>0</v>
      </c>
      <c r="Q410" s="63">
        <f t="shared" si="200"/>
        <v>0</v>
      </c>
      <c r="R410" s="64">
        <f t="shared" si="191"/>
        <v>0</v>
      </c>
      <c r="S410" s="148">
        <v>15</v>
      </c>
      <c r="T410" s="151" t="s">
        <v>15</v>
      </c>
      <c r="U410" s="65">
        <f>SUMIF('Avoided Costs 2012-2020_EGD'!$A:$A,'2012 Actuals_Auditor'!T410&amp;'2012 Actuals_Auditor'!S410,'Avoided Costs 2012-2020_EGD'!$E:$E)*J410</f>
        <v>496.68891018073867</v>
      </c>
      <c r="V410" s="65">
        <f>SUMIF('Avoided Costs 2012-2020_EGD'!$A:$A,'2012 Actuals_Auditor'!T410&amp;'2012 Actuals_Auditor'!S410,'Avoided Costs 2012-2020_EGD'!$K:$K)*N410</f>
        <v>0</v>
      </c>
      <c r="W410" s="65">
        <f>SUMIF('Avoided Costs 2012-2020_EGD'!$A:$A,'2012 Actuals_Auditor'!T410&amp;'2012 Actuals_Auditor'!S410,'Avoided Costs 2012-2020_EGD'!$M:$M)*R410</f>
        <v>0</v>
      </c>
      <c r="X410" s="65">
        <f t="shared" si="192"/>
        <v>496.68891018073867</v>
      </c>
      <c r="Y410" s="146">
        <v>610</v>
      </c>
      <c r="Z410" s="66">
        <f t="shared" si="193"/>
        <v>536.79999999999995</v>
      </c>
      <c r="AA410" s="66"/>
      <c r="AB410" s="66"/>
      <c r="AC410" s="66"/>
      <c r="AD410" s="66">
        <f t="shared" si="194"/>
        <v>536.79999999999995</v>
      </c>
      <c r="AE410" s="66">
        <f t="shared" si="195"/>
        <v>-40.111089819261281</v>
      </c>
      <c r="AF410" s="101">
        <f t="shared" si="196"/>
        <v>3066.1022130217225</v>
      </c>
      <c r="AG410" s="101">
        <f t="shared" si="197"/>
        <v>3484.207060251957</v>
      </c>
    </row>
    <row r="411" spans="1:33" s="68" customFormat="1" x14ac:dyDescent="0.2">
      <c r="A411" s="147" t="s">
        <v>781</v>
      </c>
      <c r="B411" s="147"/>
      <c r="C411" s="147"/>
      <c r="D411" s="148">
        <v>1</v>
      </c>
      <c r="E411" s="149"/>
      <c r="F411" s="150">
        <v>0.12</v>
      </c>
      <c r="G411" s="150"/>
      <c r="H411" s="67">
        <v>1705</v>
      </c>
      <c r="I411" s="67">
        <f t="shared" si="199"/>
        <v>1629.7868416267727</v>
      </c>
      <c r="J411" s="67">
        <f t="shared" si="189"/>
        <v>1434.21242063156</v>
      </c>
      <c r="K411" s="63"/>
      <c r="L411" s="149">
        <v>0</v>
      </c>
      <c r="M411" s="63">
        <f t="shared" si="198"/>
        <v>0</v>
      </c>
      <c r="N411" s="63">
        <f t="shared" si="190"/>
        <v>0</v>
      </c>
      <c r="O411" s="69"/>
      <c r="P411" s="149">
        <v>0</v>
      </c>
      <c r="Q411" s="63">
        <f t="shared" si="200"/>
        <v>0</v>
      </c>
      <c r="R411" s="64">
        <f t="shared" si="191"/>
        <v>0</v>
      </c>
      <c r="S411" s="148">
        <v>15</v>
      </c>
      <c r="T411" s="151" t="s">
        <v>15</v>
      </c>
      <c r="U411" s="65">
        <f>SUMIF('Avoided Costs 2012-2020_EGD'!$A:$A,'2012 Actuals_Auditor'!T411&amp;'2012 Actuals_Auditor'!S411,'Avoided Costs 2012-2020_EGD'!$E:$E)*J411</f>
        <v>3484.9983204039481</v>
      </c>
      <c r="V411" s="65">
        <f>SUMIF('Avoided Costs 2012-2020_EGD'!$A:$A,'2012 Actuals_Auditor'!T411&amp;'2012 Actuals_Auditor'!S411,'Avoided Costs 2012-2020_EGD'!$K:$K)*N411</f>
        <v>0</v>
      </c>
      <c r="W411" s="65">
        <f>SUMIF('Avoided Costs 2012-2020_EGD'!$A:$A,'2012 Actuals_Auditor'!T411&amp;'2012 Actuals_Auditor'!S411,'Avoided Costs 2012-2020_EGD'!$M:$M)*R411</f>
        <v>0</v>
      </c>
      <c r="X411" s="65">
        <f t="shared" si="192"/>
        <v>3484.9983204039481</v>
      </c>
      <c r="Y411" s="146">
        <v>4334</v>
      </c>
      <c r="Z411" s="66">
        <f t="shared" si="193"/>
        <v>3813.92</v>
      </c>
      <c r="AA411" s="66"/>
      <c r="AB411" s="66"/>
      <c r="AC411" s="66"/>
      <c r="AD411" s="66">
        <f t="shared" si="194"/>
        <v>3813.92</v>
      </c>
      <c r="AE411" s="66">
        <f t="shared" si="195"/>
        <v>-328.92167959605194</v>
      </c>
      <c r="AF411" s="101">
        <f t="shared" si="196"/>
        <v>21513.1863094734</v>
      </c>
      <c r="AG411" s="101">
        <f t="shared" si="197"/>
        <v>24446.802624401589</v>
      </c>
    </row>
    <row r="412" spans="1:33" s="68" customFormat="1" x14ac:dyDescent="0.2">
      <c r="A412" s="147" t="s">
        <v>782</v>
      </c>
      <c r="B412" s="147"/>
      <c r="C412" s="147"/>
      <c r="D412" s="148">
        <v>1</v>
      </c>
      <c r="E412" s="149"/>
      <c r="F412" s="150">
        <v>0.12</v>
      </c>
      <c r="G412" s="150"/>
      <c r="H412" s="67">
        <v>1499</v>
      </c>
      <c r="I412" s="67">
        <f t="shared" si="199"/>
        <v>1432.8741792366759</v>
      </c>
      <c r="J412" s="67">
        <f t="shared" si="189"/>
        <v>1260.9292777282749</v>
      </c>
      <c r="K412" s="63"/>
      <c r="L412" s="149">
        <v>0</v>
      </c>
      <c r="M412" s="63">
        <f t="shared" si="198"/>
        <v>0</v>
      </c>
      <c r="N412" s="63">
        <f t="shared" si="190"/>
        <v>0</v>
      </c>
      <c r="O412" s="69"/>
      <c r="P412" s="149">
        <v>0</v>
      </c>
      <c r="Q412" s="63">
        <f t="shared" si="200"/>
        <v>0</v>
      </c>
      <c r="R412" s="64">
        <f t="shared" si="191"/>
        <v>0</v>
      </c>
      <c r="S412" s="148">
        <v>15</v>
      </c>
      <c r="T412" s="151" t="s">
        <v>15</v>
      </c>
      <c r="U412" s="65">
        <f>SUMIF('Avoided Costs 2012-2020_EGD'!$A:$A,'2012 Actuals_Auditor'!T412&amp;'2012 Actuals_Auditor'!S412,'Avoided Costs 2012-2020_EGD'!$E:$E)*J412</f>
        <v>3063.9369397569026</v>
      </c>
      <c r="V412" s="65">
        <f>SUMIF('Avoided Costs 2012-2020_EGD'!$A:$A,'2012 Actuals_Auditor'!T412&amp;'2012 Actuals_Auditor'!S412,'Avoided Costs 2012-2020_EGD'!$K:$K)*N412</f>
        <v>0</v>
      </c>
      <c r="W412" s="65">
        <f>SUMIF('Avoided Costs 2012-2020_EGD'!$A:$A,'2012 Actuals_Auditor'!T412&amp;'2012 Actuals_Auditor'!S412,'Avoided Costs 2012-2020_EGD'!$M:$M)*R412</f>
        <v>0</v>
      </c>
      <c r="X412" s="65">
        <f t="shared" ref="X412:X431" si="201">SUM(U412:W412)</f>
        <v>3063.9369397569026</v>
      </c>
      <c r="Y412" s="146">
        <v>3348</v>
      </c>
      <c r="Z412" s="66">
        <f t="shared" si="193"/>
        <v>2946.2400000000002</v>
      </c>
      <c r="AA412" s="66"/>
      <c r="AB412" s="66"/>
      <c r="AC412" s="66"/>
      <c r="AD412" s="66">
        <f t="shared" si="194"/>
        <v>2946.2400000000002</v>
      </c>
      <c r="AE412" s="66">
        <f t="shared" si="195"/>
        <v>117.69693975690234</v>
      </c>
      <c r="AF412" s="101">
        <f t="shared" si="196"/>
        <v>18913.939165924123</v>
      </c>
      <c r="AG412" s="101">
        <f t="shared" si="197"/>
        <v>21493.11268855014</v>
      </c>
    </row>
    <row r="413" spans="1:33" s="68" customFormat="1" x14ac:dyDescent="0.2">
      <c r="A413" s="147" t="s">
        <v>783</v>
      </c>
      <c r="B413" s="147"/>
      <c r="C413" s="147"/>
      <c r="D413" s="148">
        <v>1</v>
      </c>
      <c r="E413" s="149"/>
      <c r="F413" s="150">
        <v>0.12</v>
      </c>
      <c r="G413" s="150"/>
      <c r="H413" s="67">
        <v>2247</v>
      </c>
      <c r="I413" s="67">
        <f t="shared" si="199"/>
        <v>2147.8774387890667</v>
      </c>
      <c r="J413" s="67">
        <f t="shared" si="189"/>
        <v>1890.1321461343787</v>
      </c>
      <c r="K413" s="63"/>
      <c r="L413" s="149">
        <v>0</v>
      </c>
      <c r="M413" s="63">
        <f t="shared" si="198"/>
        <v>0</v>
      </c>
      <c r="N413" s="63">
        <f t="shared" si="190"/>
        <v>0</v>
      </c>
      <c r="O413" s="69"/>
      <c r="P413" s="149">
        <v>0</v>
      </c>
      <c r="Q413" s="63">
        <f t="shared" si="200"/>
        <v>0</v>
      </c>
      <c r="R413" s="64">
        <f t="shared" si="191"/>
        <v>0</v>
      </c>
      <c r="S413" s="148">
        <v>15</v>
      </c>
      <c r="T413" s="151" t="s">
        <v>15</v>
      </c>
      <c r="U413" s="65">
        <f>SUMIF('Avoided Costs 2012-2020_EGD'!$A:$A,'2012 Actuals_Auditor'!T413&amp;'2012 Actuals_Auditor'!S413,'Avoided Costs 2012-2020_EGD'!$E:$E)*J413</f>
        <v>4592.839428708312</v>
      </c>
      <c r="V413" s="65">
        <f>SUMIF('Avoided Costs 2012-2020_EGD'!$A:$A,'2012 Actuals_Auditor'!T413&amp;'2012 Actuals_Auditor'!S413,'Avoided Costs 2012-2020_EGD'!$K:$K)*N413</f>
        <v>0</v>
      </c>
      <c r="W413" s="65">
        <f>SUMIF('Avoided Costs 2012-2020_EGD'!$A:$A,'2012 Actuals_Auditor'!T413&amp;'2012 Actuals_Auditor'!S413,'Avoided Costs 2012-2020_EGD'!$M:$M)*R413</f>
        <v>0</v>
      </c>
      <c r="X413" s="65">
        <f t="shared" si="201"/>
        <v>4592.839428708312</v>
      </c>
      <c r="Y413" s="146">
        <v>4750</v>
      </c>
      <c r="Z413" s="66">
        <f t="shared" si="193"/>
        <v>4180</v>
      </c>
      <c r="AA413" s="66"/>
      <c r="AB413" s="66"/>
      <c r="AC413" s="66"/>
      <c r="AD413" s="66">
        <f t="shared" si="194"/>
        <v>4180</v>
      </c>
      <c r="AE413" s="66">
        <f t="shared" si="195"/>
        <v>412.83942870831197</v>
      </c>
      <c r="AF413" s="101">
        <f t="shared" si="196"/>
        <v>28351.982192015679</v>
      </c>
      <c r="AG413" s="101">
        <f t="shared" si="197"/>
        <v>32218.161581836001</v>
      </c>
    </row>
    <row r="414" spans="1:33" s="68" customFormat="1" x14ac:dyDescent="0.2">
      <c r="A414" s="147" t="s">
        <v>784</v>
      </c>
      <c r="B414" s="147"/>
      <c r="C414" s="147"/>
      <c r="D414" s="148">
        <v>1</v>
      </c>
      <c r="E414" s="149"/>
      <c r="F414" s="150">
        <v>0.12</v>
      </c>
      <c r="G414" s="150"/>
      <c r="H414" s="67">
        <v>1354</v>
      </c>
      <c r="I414" s="67">
        <f t="shared" si="199"/>
        <v>1294.2706061951028</v>
      </c>
      <c r="J414" s="67">
        <f t="shared" si="189"/>
        <v>1138.9581334516904</v>
      </c>
      <c r="K414" s="63"/>
      <c r="L414" s="149">
        <v>0</v>
      </c>
      <c r="M414" s="63">
        <f t="shared" si="198"/>
        <v>0</v>
      </c>
      <c r="N414" s="63">
        <f t="shared" si="190"/>
        <v>0</v>
      </c>
      <c r="O414" s="69"/>
      <c r="P414" s="149">
        <v>0</v>
      </c>
      <c r="Q414" s="63">
        <f t="shared" si="200"/>
        <v>0</v>
      </c>
      <c r="R414" s="64">
        <f t="shared" si="191"/>
        <v>0</v>
      </c>
      <c r="S414" s="148">
        <v>15</v>
      </c>
      <c r="T414" s="151" t="s">
        <v>15</v>
      </c>
      <c r="U414" s="65">
        <f>SUMIF('Avoided Costs 2012-2020_EGD'!$A:$A,'2012 Actuals_Auditor'!T414&amp;'2012 Actuals_Auditor'!S414,'Avoided Costs 2012-2020_EGD'!$E:$E)*J414</f>
        <v>2767.5587834762146</v>
      </c>
      <c r="V414" s="65">
        <f>SUMIF('Avoided Costs 2012-2020_EGD'!$A:$A,'2012 Actuals_Auditor'!T414&amp;'2012 Actuals_Auditor'!S414,'Avoided Costs 2012-2020_EGD'!$K:$K)*N414</f>
        <v>0</v>
      </c>
      <c r="W414" s="65">
        <f>SUMIF('Avoided Costs 2012-2020_EGD'!$A:$A,'2012 Actuals_Auditor'!T414&amp;'2012 Actuals_Auditor'!S414,'Avoided Costs 2012-2020_EGD'!$M:$M)*R414</f>
        <v>0</v>
      </c>
      <c r="X414" s="65">
        <f t="shared" si="201"/>
        <v>2767.5587834762146</v>
      </c>
      <c r="Y414" s="146">
        <v>3731</v>
      </c>
      <c r="Z414" s="66">
        <f t="shared" si="193"/>
        <v>3283.28</v>
      </c>
      <c r="AA414" s="66"/>
      <c r="AB414" s="66"/>
      <c r="AC414" s="66"/>
      <c r="AD414" s="66">
        <f t="shared" si="194"/>
        <v>3283.28</v>
      </c>
      <c r="AE414" s="66">
        <f t="shared" si="195"/>
        <v>-515.72121652378564</v>
      </c>
      <c r="AF414" s="101">
        <f t="shared" si="196"/>
        <v>17084.372001775355</v>
      </c>
      <c r="AG414" s="101">
        <f t="shared" si="197"/>
        <v>19414.059092926542</v>
      </c>
    </row>
    <row r="415" spans="1:33" s="68" customFormat="1" x14ac:dyDescent="0.2">
      <c r="A415" s="147" t="s">
        <v>785</v>
      </c>
      <c r="B415" s="147"/>
      <c r="C415" s="147"/>
      <c r="D415" s="148">
        <v>1</v>
      </c>
      <c r="E415" s="149"/>
      <c r="F415" s="150">
        <v>0.12</v>
      </c>
      <c r="G415" s="150"/>
      <c r="H415" s="67">
        <v>973</v>
      </c>
      <c r="I415" s="67">
        <f t="shared" si="199"/>
        <v>930.07776944448676</v>
      </c>
      <c r="J415" s="67">
        <f t="shared" si="189"/>
        <v>818.46843711114832</v>
      </c>
      <c r="K415" s="63"/>
      <c r="L415" s="149">
        <v>0</v>
      </c>
      <c r="M415" s="63">
        <f t="shared" si="198"/>
        <v>0</v>
      </c>
      <c r="N415" s="63">
        <f t="shared" si="190"/>
        <v>0</v>
      </c>
      <c r="O415" s="69"/>
      <c r="P415" s="149">
        <v>0</v>
      </c>
      <c r="Q415" s="63">
        <f t="shared" si="200"/>
        <v>0</v>
      </c>
      <c r="R415" s="64">
        <f t="shared" si="191"/>
        <v>0</v>
      </c>
      <c r="S415" s="148">
        <v>15</v>
      </c>
      <c r="T415" s="151" t="s">
        <v>15</v>
      </c>
      <c r="U415" s="65">
        <f>SUMIF('Avoided Costs 2012-2020_EGD'!$A:$A,'2012 Actuals_Auditor'!T415&amp;'2012 Actuals_Auditor'!S415,'Avoided Costs 2012-2020_EGD'!$E:$E)*J415</f>
        <v>1988.7996280076491</v>
      </c>
      <c r="V415" s="65">
        <f>SUMIF('Avoided Costs 2012-2020_EGD'!$A:$A,'2012 Actuals_Auditor'!T415&amp;'2012 Actuals_Auditor'!S415,'Avoided Costs 2012-2020_EGD'!$K:$K)*N415</f>
        <v>0</v>
      </c>
      <c r="W415" s="65">
        <f>SUMIF('Avoided Costs 2012-2020_EGD'!$A:$A,'2012 Actuals_Auditor'!T415&amp;'2012 Actuals_Auditor'!S415,'Avoided Costs 2012-2020_EGD'!$M:$M)*R415</f>
        <v>0</v>
      </c>
      <c r="X415" s="65">
        <f t="shared" si="201"/>
        <v>1988.7996280076491</v>
      </c>
      <c r="Y415" s="146">
        <v>1695</v>
      </c>
      <c r="Z415" s="66">
        <f t="shared" si="193"/>
        <v>1491.6</v>
      </c>
      <c r="AA415" s="66"/>
      <c r="AB415" s="66"/>
      <c r="AC415" s="66"/>
      <c r="AD415" s="66">
        <f t="shared" si="194"/>
        <v>1491.6</v>
      </c>
      <c r="AE415" s="66">
        <f t="shared" si="195"/>
        <v>497.19962800764915</v>
      </c>
      <c r="AF415" s="101">
        <f t="shared" si="196"/>
        <v>12277.026556667224</v>
      </c>
      <c r="AG415" s="101">
        <f t="shared" si="197"/>
        <v>13951.166541667302</v>
      </c>
    </row>
    <row r="416" spans="1:33" s="68" customFormat="1" x14ac:dyDescent="0.2">
      <c r="A416" s="147" t="s">
        <v>786</v>
      </c>
      <c r="B416" s="147"/>
      <c r="C416" s="147"/>
      <c r="D416" s="148">
        <v>1</v>
      </c>
      <c r="E416" s="149"/>
      <c r="F416" s="150">
        <v>0.12</v>
      </c>
      <c r="G416" s="150"/>
      <c r="H416" s="67">
        <v>1570</v>
      </c>
      <c r="I416" s="67">
        <f t="shared" si="199"/>
        <v>1500.7421356915152</v>
      </c>
      <c r="J416" s="67">
        <f t="shared" si="189"/>
        <v>1320.6530794085334</v>
      </c>
      <c r="K416" s="63"/>
      <c r="L416" s="149">
        <v>0</v>
      </c>
      <c r="M416" s="63">
        <f t="shared" si="198"/>
        <v>0</v>
      </c>
      <c r="N416" s="63">
        <f t="shared" si="190"/>
        <v>0</v>
      </c>
      <c r="O416" s="69"/>
      <c r="P416" s="149">
        <v>0</v>
      </c>
      <c r="Q416" s="63">
        <f t="shared" si="200"/>
        <v>0</v>
      </c>
      <c r="R416" s="64">
        <f t="shared" si="191"/>
        <v>0</v>
      </c>
      <c r="S416" s="148">
        <v>15</v>
      </c>
      <c r="T416" s="151" t="s">
        <v>15</v>
      </c>
      <c r="U416" s="65">
        <f>SUMIF('Avoided Costs 2012-2020_EGD'!$A:$A,'2012 Actuals_Auditor'!T416&amp;'2012 Actuals_Auditor'!S416,'Avoided Costs 2012-2020_EGD'!$E:$E)*J416</f>
        <v>3209.0600369702047</v>
      </c>
      <c r="V416" s="65">
        <f>SUMIF('Avoided Costs 2012-2020_EGD'!$A:$A,'2012 Actuals_Auditor'!T416&amp;'2012 Actuals_Auditor'!S416,'Avoided Costs 2012-2020_EGD'!$K:$K)*N416</f>
        <v>0</v>
      </c>
      <c r="W416" s="65">
        <f>SUMIF('Avoided Costs 2012-2020_EGD'!$A:$A,'2012 Actuals_Auditor'!T416&amp;'2012 Actuals_Auditor'!S416,'Avoided Costs 2012-2020_EGD'!$M:$M)*R416</f>
        <v>0</v>
      </c>
      <c r="X416" s="65">
        <f t="shared" si="201"/>
        <v>3209.0600369702047</v>
      </c>
      <c r="Y416" s="146">
        <v>4450</v>
      </c>
      <c r="Z416" s="66">
        <f t="shared" si="193"/>
        <v>3916</v>
      </c>
      <c r="AA416" s="66"/>
      <c r="AB416" s="66"/>
      <c r="AC416" s="66"/>
      <c r="AD416" s="66">
        <f t="shared" si="194"/>
        <v>3916</v>
      </c>
      <c r="AE416" s="66">
        <f t="shared" si="195"/>
        <v>-706.93996302979531</v>
      </c>
      <c r="AF416" s="101">
        <f t="shared" si="196"/>
        <v>19809.796191128</v>
      </c>
      <c r="AG416" s="101">
        <f t="shared" si="197"/>
        <v>22511.132035372728</v>
      </c>
    </row>
    <row r="417" spans="1:33" s="68" customFormat="1" x14ac:dyDescent="0.2">
      <c r="A417" s="147" t="s">
        <v>787</v>
      </c>
      <c r="B417" s="147"/>
      <c r="C417" s="147"/>
      <c r="D417" s="148">
        <v>1</v>
      </c>
      <c r="E417" s="149"/>
      <c r="F417" s="150">
        <v>0.12</v>
      </c>
      <c r="G417" s="150"/>
      <c r="H417" s="67">
        <v>1513</v>
      </c>
      <c r="I417" s="67">
        <f t="shared" si="199"/>
        <v>1446.2565931855174</v>
      </c>
      <c r="J417" s="67">
        <f t="shared" si="189"/>
        <v>1272.7058020032553</v>
      </c>
      <c r="K417" s="63"/>
      <c r="L417" s="149">
        <v>0</v>
      </c>
      <c r="M417" s="63">
        <f t="shared" si="198"/>
        <v>0</v>
      </c>
      <c r="N417" s="63">
        <f t="shared" si="190"/>
        <v>0</v>
      </c>
      <c r="O417" s="69"/>
      <c r="P417" s="149">
        <v>0</v>
      </c>
      <c r="Q417" s="63">
        <f t="shared" si="200"/>
        <v>0</v>
      </c>
      <c r="R417" s="64">
        <f t="shared" si="191"/>
        <v>0</v>
      </c>
      <c r="S417" s="148">
        <v>15</v>
      </c>
      <c r="T417" s="151" t="s">
        <v>15</v>
      </c>
      <c r="U417" s="65">
        <f>SUMIF('Avoided Costs 2012-2020_EGD'!$A:$A,'2012 Actuals_Auditor'!T417&amp;'2012 Actuals_Auditor'!S417,'Avoided Costs 2012-2020_EGD'!$E:$E)*J417</f>
        <v>3092.5527617426237</v>
      </c>
      <c r="V417" s="65">
        <f>SUMIF('Avoided Costs 2012-2020_EGD'!$A:$A,'2012 Actuals_Auditor'!T417&amp;'2012 Actuals_Auditor'!S417,'Avoided Costs 2012-2020_EGD'!$K:$K)*N417</f>
        <v>0</v>
      </c>
      <c r="W417" s="65">
        <f>SUMIF('Avoided Costs 2012-2020_EGD'!$A:$A,'2012 Actuals_Auditor'!T417&amp;'2012 Actuals_Auditor'!S417,'Avoided Costs 2012-2020_EGD'!$M:$M)*R417</f>
        <v>0</v>
      </c>
      <c r="X417" s="65">
        <f t="shared" si="201"/>
        <v>3092.5527617426237</v>
      </c>
      <c r="Y417" s="146">
        <v>2934</v>
      </c>
      <c r="Z417" s="66">
        <f t="shared" si="193"/>
        <v>2581.92</v>
      </c>
      <c r="AA417" s="66"/>
      <c r="AB417" s="66"/>
      <c r="AC417" s="66"/>
      <c r="AD417" s="66">
        <f t="shared" si="194"/>
        <v>2581.92</v>
      </c>
      <c r="AE417" s="66">
        <f t="shared" si="195"/>
        <v>510.63276174262364</v>
      </c>
      <c r="AF417" s="101">
        <f t="shared" si="196"/>
        <v>19090.587030048828</v>
      </c>
      <c r="AG417" s="101">
        <f t="shared" si="197"/>
        <v>21693.848897782762</v>
      </c>
    </row>
    <row r="418" spans="1:33" s="68" customFormat="1" x14ac:dyDescent="0.2">
      <c r="A418" s="147" t="s">
        <v>788</v>
      </c>
      <c r="B418" s="147"/>
      <c r="C418" s="147"/>
      <c r="D418" s="148">
        <v>1</v>
      </c>
      <c r="E418" s="149"/>
      <c r="F418" s="150">
        <v>0.12</v>
      </c>
      <c r="G418" s="150"/>
      <c r="H418" s="67">
        <v>2846</v>
      </c>
      <c r="I418" s="67">
        <f t="shared" si="199"/>
        <v>2720.4535784573582</v>
      </c>
      <c r="J418" s="67">
        <f t="shared" si="189"/>
        <v>2393.999149042475</v>
      </c>
      <c r="K418" s="63"/>
      <c r="L418" s="149">
        <v>0</v>
      </c>
      <c r="M418" s="63">
        <f t="shared" si="198"/>
        <v>0</v>
      </c>
      <c r="N418" s="63">
        <f t="shared" si="190"/>
        <v>0</v>
      </c>
      <c r="O418" s="69"/>
      <c r="P418" s="149">
        <v>0</v>
      </c>
      <c r="Q418" s="63">
        <f t="shared" si="200"/>
        <v>0</v>
      </c>
      <c r="R418" s="64">
        <f t="shared" si="191"/>
        <v>0</v>
      </c>
      <c r="S418" s="148">
        <v>15</v>
      </c>
      <c r="T418" s="151" t="s">
        <v>15</v>
      </c>
      <c r="U418" s="65">
        <f>SUMIF('Avoided Costs 2012-2020_EGD'!$A:$A,'2012 Actuals_Auditor'!T418&amp;'2012 Actuals_Auditor'!S418,'Avoided Costs 2012-2020_EGD'!$E:$E)*J418</f>
        <v>5817.1878122402559</v>
      </c>
      <c r="V418" s="65">
        <f>SUMIF('Avoided Costs 2012-2020_EGD'!$A:$A,'2012 Actuals_Auditor'!T418&amp;'2012 Actuals_Auditor'!S418,'Avoided Costs 2012-2020_EGD'!$K:$K)*N418</f>
        <v>0</v>
      </c>
      <c r="W418" s="65">
        <f>SUMIF('Avoided Costs 2012-2020_EGD'!$A:$A,'2012 Actuals_Auditor'!T418&amp;'2012 Actuals_Auditor'!S418,'Avoided Costs 2012-2020_EGD'!$M:$M)*R418</f>
        <v>0</v>
      </c>
      <c r="X418" s="65">
        <f t="shared" si="201"/>
        <v>5817.1878122402559</v>
      </c>
      <c r="Y418" s="146">
        <v>6133</v>
      </c>
      <c r="Z418" s="66">
        <f t="shared" si="193"/>
        <v>5397.04</v>
      </c>
      <c r="AA418" s="66"/>
      <c r="AB418" s="66"/>
      <c r="AC418" s="66"/>
      <c r="AD418" s="66">
        <f t="shared" si="194"/>
        <v>5397.04</v>
      </c>
      <c r="AE418" s="66">
        <f t="shared" si="195"/>
        <v>420.14781224025592</v>
      </c>
      <c r="AF418" s="101">
        <f t="shared" si="196"/>
        <v>35909.987235637127</v>
      </c>
      <c r="AG418" s="101">
        <f t="shared" si="197"/>
        <v>40806.803676860371</v>
      </c>
    </row>
    <row r="419" spans="1:33" s="68" customFormat="1" x14ac:dyDescent="0.2">
      <c r="A419" s="147" t="s">
        <v>789</v>
      </c>
      <c r="B419" s="147"/>
      <c r="C419" s="147"/>
      <c r="D419" s="148">
        <v>1</v>
      </c>
      <c r="E419" s="149"/>
      <c r="F419" s="150">
        <v>0.12</v>
      </c>
      <c r="G419" s="150"/>
      <c r="H419" s="67">
        <v>3853</v>
      </c>
      <c r="I419" s="67">
        <f t="shared" si="199"/>
        <v>3683.0314960633173</v>
      </c>
      <c r="J419" s="67">
        <f t="shared" si="189"/>
        <v>3241.0677165357192</v>
      </c>
      <c r="K419" s="63"/>
      <c r="L419" s="149">
        <v>0</v>
      </c>
      <c r="M419" s="63">
        <f t="shared" si="198"/>
        <v>0</v>
      </c>
      <c r="N419" s="63">
        <f t="shared" si="190"/>
        <v>0</v>
      </c>
      <c r="O419" s="69"/>
      <c r="P419" s="149">
        <v>0</v>
      </c>
      <c r="Q419" s="63">
        <f t="shared" si="200"/>
        <v>0</v>
      </c>
      <c r="R419" s="64">
        <f t="shared" si="191"/>
        <v>0</v>
      </c>
      <c r="S419" s="148">
        <v>15</v>
      </c>
      <c r="T419" s="151" t="s">
        <v>15</v>
      </c>
      <c r="U419" s="65">
        <f>SUMIF('Avoided Costs 2012-2020_EGD'!$A:$A,'2012 Actuals_Auditor'!T419&amp;'2012 Actuals_Auditor'!S419,'Avoided Costs 2012-2020_EGD'!$E:$E)*J419</f>
        <v>7875.4830079275152</v>
      </c>
      <c r="V419" s="65">
        <f>SUMIF('Avoided Costs 2012-2020_EGD'!$A:$A,'2012 Actuals_Auditor'!T419&amp;'2012 Actuals_Auditor'!S419,'Avoided Costs 2012-2020_EGD'!$K:$K)*N419</f>
        <v>0</v>
      </c>
      <c r="W419" s="65">
        <f>SUMIF('Avoided Costs 2012-2020_EGD'!$A:$A,'2012 Actuals_Auditor'!T419&amp;'2012 Actuals_Auditor'!S419,'Avoided Costs 2012-2020_EGD'!$M:$M)*R419</f>
        <v>0</v>
      </c>
      <c r="X419" s="65">
        <f t="shared" si="201"/>
        <v>7875.4830079275152</v>
      </c>
      <c r="Y419" s="146">
        <v>8901</v>
      </c>
      <c r="Z419" s="66">
        <f t="shared" si="193"/>
        <v>7832.88</v>
      </c>
      <c r="AA419" s="66"/>
      <c r="AB419" s="66"/>
      <c r="AC419" s="66"/>
      <c r="AD419" s="66">
        <f t="shared" si="194"/>
        <v>7832.88</v>
      </c>
      <c r="AE419" s="66">
        <f t="shared" si="195"/>
        <v>42.603007927515137</v>
      </c>
      <c r="AF419" s="101">
        <f t="shared" si="196"/>
        <v>48616.015748035788</v>
      </c>
      <c r="AG419" s="101">
        <f t="shared" si="197"/>
        <v>55245.472440949758</v>
      </c>
    </row>
    <row r="420" spans="1:33" s="68" customFormat="1" x14ac:dyDescent="0.2">
      <c r="A420" s="147" t="s">
        <v>790</v>
      </c>
      <c r="B420" s="147"/>
      <c r="C420" s="147"/>
      <c r="D420" s="148">
        <v>1</v>
      </c>
      <c r="E420" s="149"/>
      <c r="F420" s="150">
        <v>0.12</v>
      </c>
      <c r="G420" s="150"/>
      <c r="H420" s="67">
        <v>7815</v>
      </c>
      <c r="I420" s="67">
        <f t="shared" si="199"/>
        <v>7470.254643585472</v>
      </c>
      <c r="J420" s="67">
        <f t="shared" ref="J420:J438" si="202">I420*(1-F420)</f>
        <v>6573.8240863552155</v>
      </c>
      <c r="K420" s="63"/>
      <c r="L420" s="149">
        <v>0</v>
      </c>
      <c r="M420" s="63">
        <f t="shared" si="198"/>
        <v>0</v>
      </c>
      <c r="N420" s="63">
        <f t="shared" ref="N420:N438" si="203">M420*(1-F420)</f>
        <v>0</v>
      </c>
      <c r="O420" s="69"/>
      <c r="P420" s="149">
        <v>0</v>
      </c>
      <c r="Q420" s="63">
        <f t="shared" si="200"/>
        <v>0</v>
      </c>
      <c r="R420" s="64">
        <f t="shared" ref="R420:R438" si="204">Q420*(1-F420)</f>
        <v>0</v>
      </c>
      <c r="S420" s="148">
        <v>15</v>
      </c>
      <c r="T420" s="151" t="s">
        <v>15</v>
      </c>
      <c r="U420" s="65">
        <f>SUMIF('Avoided Costs 2012-2020_EGD'!$A:$A,'2012 Actuals_Auditor'!T420&amp;'2012 Actuals_Auditor'!S420,'Avoided Costs 2012-2020_EGD'!$E:$E)*J420</f>
        <v>15973.760629886719</v>
      </c>
      <c r="V420" s="65">
        <f>SUMIF('Avoided Costs 2012-2020_EGD'!$A:$A,'2012 Actuals_Auditor'!T420&amp;'2012 Actuals_Auditor'!S420,'Avoided Costs 2012-2020_EGD'!$K:$K)*N420</f>
        <v>0</v>
      </c>
      <c r="W420" s="65">
        <f>SUMIF('Avoided Costs 2012-2020_EGD'!$A:$A,'2012 Actuals_Auditor'!T420&amp;'2012 Actuals_Auditor'!S420,'Avoided Costs 2012-2020_EGD'!$M:$M)*R420</f>
        <v>0</v>
      </c>
      <c r="X420" s="65">
        <f t="shared" si="201"/>
        <v>15973.760629886719</v>
      </c>
      <c r="Y420" s="146">
        <v>16750</v>
      </c>
      <c r="Z420" s="66">
        <f t="shared" ref="Z420:Z438" si="205">Y420*(1-F420)</f>
        <v>14740</v>
      </c>
      <c r="AA420" s="66"/>
      <c r="AB420" s="66"/>
      <c r="AC420" s="66"/>
      <c r="AD420" s="66">
        <f t="shared" ref="AD420:AD439" si="206">Z420+AB420</f>
        <v>14740</v>
      </c>
      <c r="AE420" s="66">
        <f t="shared" ref="AE420:AE451" si="207">X420-AD420</f>
        <v>1233.7606298867195</v>
      </c>
      <c r="AF420" s="101">
        <f t="shared" ref="AF420:AF438" si="208">J420*S420</f>
        <v>98607.361295328228</v>
      </c>
      <c r="AG420" s="101">
        <f t="shared" ref="AG420:AG438" si="209">(I420*S420)</f>
        <v>112053.81965378208</v>
      </c>
    </row>
    <row r="421" spans="1:33" s="68" customFormat="1" x14ac:dyDescent="0.2">
      <c r="A421" s="147" t="s">
        <v>791</v>
      </c>
      <c r="B421" s="147"/>
      <c r="C421" s="147"/>
      <c r="D421" s="148">
        <v>1</v>
      </c>
      <c r="E421" s="149"/>
      <c r="F421" s="150">
        <v>0.12</v>
      </c>
      <c r="G421" s="150"/>
      <c r="H421" s="67">
        <v>4622</v>
      </c>
      <c r="I421" s="67">
        <f t="shared" si="199"/>
        <v>4418.1083765389703</v>
      </c>
      <c r="J421" s="67">
        <f t="shared" si="202"/>
        <v>3887.9353713542937</v>
      </c>
      <c r="K421" s="63"/>
      <c r="L421" s="149">
        <v>0</v>
      </c>
      <c r="M421" s="63">
        <f t="shared" si="198"/>
        <v>0</v>
      </c>
      <c r="N421" s="63">
        <f t="shared" si="203"/>
        <v>0</v>
      </c>
      <c r="O421" s="69"/>
      <c r="P421" s="149">
        <v>0</v>
      </c>
      <c r="Q421" s="63">
        <f t="shared" si="200"/>
        <v>0</v>
      </c>
      <c r="R421" s="64">
        <f t="shared" si="204"/>
        <v>0</v>
      </c>
      <c r="S421" s="148">
        <v>15</v>
      </c>
      <c r="T421" s="151" t="s">
        <v>15</v>
      </c>
      <c r="U421" s="65">
        <f>SUMIF('Avoided Costs 2012-2020_EGD'!$A:$A,'2012 Actuals_Auditor'!T421&amp;'2012 Actuals_Auditor'!S421,'Avoided Costs 2012-2020_EGD'!$E:$E)*J421</f>
        <v>9447.3092298575066</v>
      </c>
      <c r="V421" s="65">
        <f>SUMIF('Avoided Costs 2012-2020_EGD'!$A:$A,'2012 Actuals_Auditor'!T421&amp;'2012 Actuals_Auditor'!S421,'Avoided Costs 2012-2020_EGD'!$K:$K)*N421</f>
        <v>0</v>
      </c>
      <c r="W421" s="65">
        <f>SUMIF('Avoided Costs 2012-2020_EGD'!$A:$A,'2012 Actuals_Auditor'!T421&amp;'2012 Actuals_Auditor'!S421,'Avoided Costs 2012-2020_EGD'!$M:$M)*R421</f>
        <v>0</v>
      </c>
      <c r="X421" s="65">
        <f t="shared" si="201"/>
        <v>9447.3092298575066</v>
      </c>
      <c r="Y421" s="146">
        <v>10400</v>
      </c>
      <c r="Z421" s="66">
        <f t="shared" si="205"/>
        <v>9152</v>
      </c>
      <c r="AA421" s="66"/>
      <c r="AB421" s="66"/>
      <c r="AC421" s="66"/>
      <c r="AD421" s="66">
        <f t="shared" si="206"/>
        <v>9152</v>
      </c>
      <c r="AE421" s="66">
        <f t="shared" si="207"/>
        <v>295.30922985750658</v>
      </c>
      <c r="AF421" s="101">
        <f t="shared" si="208"/>
        <v>58319.030570314404</v>
      </c>
      <c r="AG421" s="101">
        <f t="shared" si="209"/>
        <v>66271.625648084562</v>
      </c>
    </row>
    <row r="422" spans="1:33" s="68" customFormat="1" x14ac:dyDescent="0.2">
      <c r="A422" s="147" t="s">
        <v>792</v>
      </c>
      <c r="B422" s="147"/>
      <c r="C422" s="147"/>
      <c r="D422" s="148">
        <v>1</v>
      </c>
      <c r="E422" s="149"/>
      <c r="F422" s="150">
        <v>0.12</v>
      </c>
      <c r="G422" s="150"/>
      <c r="H422" s="67">
        <v>1803</v>
      </c>
      <c r="I422" s="67">
        <f t="shared" si="199"/>
        <v>1723.4637392686636</v>
      </c>
      <c r="J422" s="67">
        <f t="shared" si="202"/>
        <v>1516.648090556424</v>
      </c>
      <c r="K422" s="63"/>
      <c r="L422" s="149">
        <v>0</v>
      </c>
      <c r="M422" s="63">
        <f t="shared" si="198"/>
        <v>0</v>
      </c>
      <c r="N422" s="63">
        <f t="shared" si="203"/>
        <v>0</v>
      </c>
      <c r="O422" s="69"/>
      <c r="P422" s="149">
        <v>0</v>
      </c>
      <c r="Q422" s="63">
        <f t="shared" si="200"/>
        <v>0</v>
      </c>
      <c r="R422" s="64">
        <f t="shared" si="204"/>
        <v>0</v>
      </c>
      <c r="S422" s="148">
        <v>15</v>
      </c>
      <c r="T422" s="151" t="s">
        <v>15</v>
      </c>
      <c r="U422" s="65">
        <f>SUMIF('Avoided Costs 2012-2020_EGD'!$A:$A,'2012 Actuals_Auditor'!T422&amp;'2012 Actuals_Auditor'!S422,'Avoided Costs 2012-2020_EGD'!$E:$E)*J422</f>
        <v>3685.3090743039993</v>
      </c>
      <c r="V422" s="65">
        <f>SUMIF('Avoided Costs 2012-2020_EGD'!$A:$A,'2012 Actuals_Auditor'!T422&amp;'2012 Actuals_Auditor'!S422,'Avoided Costs 2012-2020_EGD'!$K:$K)*N422</f>
        <v>0</v>
      </c>
      <c r="W422" s="65">
        <f>SUMIF('Avoided Costs 2012-2020_EGD'!$A:$A,'2012 Actuals_Auditor'!T422&amp;'2012 Actuals_Auditor'!S422,'Avoided Costs 2012-2020_EGD'!$M:$M)*R422</f>
        <v>0</v>
      </c>
      <c r="X422" s="65">
        <f t="shared" si="201"/>
        <v>3685.3090743039993</v>
      </c>
      <c r="Y422" s="146">
        <v>3582</v>
      </c>
      <c r="Z422" s="66">
        <f t="shared" si="205"/>
        <v>3152.16</v>
      </c>
      <c r="AA422" s="66"/>
      <c r="AB422" s="66"/>
      <c r="AC422" s="66"/>
      <c r="AD422" s="66">
        <f t="shared" si="206"/>
        <v>3152.16</v>
      </c>
      <c r="AE422" s="66">
        <f t="shared" si="207"/>
        <v>533.14907430399944</v>
      </c>
      <c r="AF422" s="101">
        <f t="shared" si="208"/>
        <v>22749.72135834636</v>
      </c>
      <c r="AG422" s="101">
        <f t="shared" si="209"/>
        <v>25851.956089029954</v>
      </c>
    </row>
    <row r="423" spans="1:33" s="68" customFormat="1" x14ac:dyDescent="0.2">
      <c r="A423" s="147" t="s">
        <v>793</v>
      </c>
      <c r="B423" s="147"/>
      <c r="C423" s="147"/>
      <c r="D423" s="148">
        <v>1</v>
      </c>
      <c r="E423" s="149"/>
      <c r="F423" s="150">
        <v>0.12</v>
      </c>
      <c r="G423" s="150"/>
      <c r="H423" s="67">
        <v>1070</v>
      </c>
      <c r="I423" s="67">
        <f t="shared" si="199"/>
        <v>1022.798780375746</v>
      </c>
      <c r="J423" s="67">
        <f t="shared" si="202"/>
        <v>900.0629267306565</v>
      </c>
      <c r="K423" s="63"/>
      <c r="L423" s="149">
        <v>0</v>
      </c>
      <c r="M423" s="63">
        <f t="shared" si="198"/>
        <v>0</v>
      </c>
      <c r="N423" s="63">
        <f t="shared" si="203"/>
        <v>0</v>
      </c>
      <c r="O423" s="69"/>
      <c r="P423" s="149">
        <v>0</v>
      </c>
      <c r="Q423" s="63">
        <f t="shared" si="200"/>
        <v>0</v>
      </c>
      <c r="R423" s="64">
        <f t="shared" si="204"/>
        <v>0</v>
      </c>
      <c r="S423" s="148">
        <v>15</v>
      </c>
      <c r="T423" s="151" t="s">
        <v>15</v>
      </c>
      <c r="U423" s="65">
        <f>SUMIF('Avoided Costs 2012-2020_EGD'!$A:$A,'2012 Actuals_Auditor'!T423&amp;'2012 Actuals_Auditor'!S423,'Avoided Costs 2012-2020_EGD'!$E:$E)*J423</f>
        <v>2187.0663946230056</v>
      </c>
      <c r="V423" s="65">
        <f>SUMIF('Avoided Costs 2012-2020_EGD'!$A:$A,'2012 Actuals_Auditor'!T423&amp;'2012 Actuals_Auditor'!S423,'Avoided Costs 2012-2020_EGD'!$K:$K)*N423</f>
        <v>0</v>
      </c>
      <c r="W423" s="65">
        <f>SUMIF('Avoided Costs 2012-2020_EGD'!$A:$A,'2012 Actuals_Auditor'!T423&amp;'2012 Actuals_Auditor'!S423,'Avoided Costs 2012-2020_EGD'!$M:$M)*R423</f>
        <v>0</v>
      </c>
      <c r="X423" s="65">
        <f t="shared" si="201"/>
        <v>2187.0663946230056</v>
      </c>
      <c r="Y423" s="146">
        <v>1930</v>
      </c>
      <c r="Z423" s="66">
        <f t="shared" si="205"/>
        <v>1698.4</v>
      </c>
      <c r="AA423" s="66"/>
      <c r="AB423" s="66"/>
      <c r="AC423" s="66"/>
      <c r="AD423" s="66">
        <f t="shared" si="206"/>
        <v>1698.4</v>
      </c>
      <c r="AE423" s="66">
        <f t="shared" si="207"/>
        <v>488.66639462300554</v>
      </c>
      <c r="AF423" s="101">
        <f t="shared" si="208"/>
        <v>13500.943900959848</v>
      </c>
      <c r="AG423" s="101">
        <f t="shared" si="209"/>
        <v>15341.98170563619</v>
      </c>
    </row>
    <row r="424" spans="1:33" s="68" customFormat="1" x14ac:dyDescent="0.2">
      <c r="A424" s="147" t="s">
        <v>794</v>
      </c>
      <c r="B424" s="147"/>
      <c r="C424" s="147"/>
      <c r="D424" s="148">
        <v>1</v>
      </c>
      <c r="E424" s="149"/>
      <c r="F424" s="150">
        <v>0.12</v>
      </c>
      <c r="G424" s="150"/>
      <c r="H424" s="67">
        <v>1061</v>
      </c>
      <c r="I424" s="67">
        <f t="shared" si="199"/>
        <v>1014.1957999800621</v>
      </c>
      <c r="J424" s="67">
        <f t="shared" si="202"/>
        <v>892.4923039824547</v>
      </c>
      <c r="K424" s="63"/>
      <c r="L424" s="149">
        <v>0</v>
      </c>
      <c r="M424" s="63">
        <f t="shared" si="198"/>
        <v>0</v>
      </c>
      <c r="N424" s="63">
        <f t="shared" si="203"/>
        <v>0</v>
      </c>
      <c r="O424" s="69"/>
      <c r="P424" s="149">
        <v>0</v>
      </c>
      <c r="Q424" s="63">
        <f t="shared" si="200"/>
        <v>0</v>
      </c>
      <c r="R424" s="64">
        <f t="shared" si="204"/>
        <v>0</v>
      </c>
      <c r="S424" s="148">
        <v>15</v>
      </c>
      <c r="T424" s="151" t="s">
        <v>15</v>
      </c>
      <c r="U424" s="65">
        <f>SUMIF('Avoided Costs 2012-2020_EGD'!$A:$A,'2012 Actuals_Auditor'!T424&amp;'2012 Actuals_Auditor'!S424,'Avoided Costs 2012-2020_EGD'!$E:$E)*J424</f>
        <v>2168.6705090607561</v>
      </c>
      <c r="V424" s="65">
        <f>SUMIF('Avoided Costs 2012-2020_EGD'!$A:$A,'2012 Actuals_Auditor'!T424&amp;'2012 Actuals_Auditor'!S424,'Avoided Costs 2012-2020_EGD'!$K:$K)*N424</f>
        <v>0</v>
      </c>
      <c r="W424" s="65">
        <f>SUMIF('Avoided Costs 2012-2020_EGD'!$A:$A,'2012 Actuals_Auditor'!T424&amp;'2012 Actuals_Auditor'!S424,'Avoided Costs 2012-2020_EGD'!$M:$M)*R424</f>
        <v>0</v>
      </c>
      <c r="X424" s="65">
        <f t="shared" si="201"/>
        <v>2168.6705090607561</v>
      </c>
      <c r="Y424" s="146">
        <v>2511</v>
      </c>
      <c r="Z424" s="66">
        <f t="shared" si="205"/>
        <v>2209.6799999999998</v>
      </c>
      <c r="AA424" s="66"/>
      <c r="AB424" s="66"/>
      <c r="AC424" s="66"/>
      <c r="AD424" s="66">
        <f t="shared" si="206"/>
        <v>2209.6799999999998</v>
      </c>
      <c r="AE424" s="66">
        <f t="shared" si="207"/>
        <v>-41.009490939243733</v>
      </c>
      <c r="AF424" s="101">
        <f t="shared" si="208"/>
        <v>13387.38455973682</v>
      </c>
      <c r="AG424" s="101">
        <f t="shared" si="209"/>
        <v>15212.936999700933</v>
      </c>
    </row>
    <row r="425" spans="1:33" s="68" customFormat="1" x14ac:dyDescent="0.2">
      <c r="A425" s="147" t="s">
        <v>795</v>
      </c>
      <c r="B425" s="147"/>
      <c r="C425" s="147"/>
      <c r="D425" s="148">
        <v>1</v>
      </c>
      <c r="E425" s="149"/>
      <c r="F425" s="150">
        <v>0.12</v>
      </c>
      <c r="G425" s="150"/>
      <c r="H425" s="67">
        <v>2777</v>
      </c>
      <c r="I425" s="67">
        <f t="shared" si="199"/>
        <v>2654.4973954237817</v>
      </c>
      <c r="J425" s="67">
        <f t="shared" si="202"/>
        <v>2335.9577079729279</v>
      </c>
      <c r="K425" s="63"/>
      <c r="L425" s="149">
        <v>0</v>
      </c>
      <c r="M425" s="63">
        <f t="shared" si="198"/>
        <v>0</v>
      </c>
      <c r="N425" s="63">
        <f t="shared" si="203"/>
        <v>0</v>
      </c>
      <c r="O425" s="69"/>
      <c r="P425" s="149">
        <v>0</v>
      </c>
      <c r="Q425" s="63">
        <f t="shared" si="200"/>
        <v>0</v>
      </c>
      <c r="R425" s="64">
        <f t="shared" si="204"/>
        <v>0</v>
      </c>
      <c r="S425" s="148">
        <v>15</v>
      </c>
      <c r="T425" s="151" t="s">
        <v>15</v>
      </c>
      <c r="U425" s="65">
        <f>SUMIF('Avoided Costs 2012-2020_EGD'!$A:$A,'2012 Actuals_Auditor'!T425&amp;'2012 Actuals_Auditor'!S425,'Avoided Costs 2012-2020_EGD'!$E:$E)*J425</f>
        <v>5676.1526895963425</v>
      </c>
      <c r="V425" s="65">
        <f>SUMIF('Avoided Costs 2012-2020_EGD'!$A:$A,'2012 Actuals_Auditor'!T425&amp;'2012 Actuals_Auditor'!S425,'Avoided Costs 2012-2020_EGD'!$K:$K)*N425</f>
        <v>0</v>
      </c>
      <c r="W425" s="65">
        <f>SUMIF('Avoided Costs 2012-2020_EGD'!$A:$A,'2012 Actuals_Auditor'!T425&amp;'2012 Actuals_Auditor'!S425,'Avoided Costs 2012-2020_EGD'!$M:$M)*R425</f>
        <v>0</v>
      </c>
      <c r="X425" s="65">
        <f t="shared" si="201"/>
        <v>5676.1526895963425</v>
      </c>
      <c r="Y425" s="146">
        <v>5200</v>
      </c>
      <c r="Z425" s="66">
        <f t="shared" si="205"/>
        <v>4576</v>
      </c>
      <c r="AA425" s="66"/>
      <c r="AB425" s="66"/>
      <c r="AC425" s="66"/>
      <c r="AD425" s="66">
        <f t="shared" si="206"/>
        <v>4576</v>
      </c>
      <c r="AE425" s="66">
        <f t="shared" si="207"/>
        <v>1100.1526895963425</v>
      </c>
      <c r="AF425" s="101">
        <f t="shared" si="208"/>
        <v>35039.365619593918</v>
      </c>
      <c r="AG425" s="101">
        <f t="shared" si="209"/>
        <v>39817.460931356727</v>
      </c>
    </row>
    <row r="426" spans="1:33" s="68" customFormat="1" x14ac:dyDescent="0.2">
      <c r="A426" s="147" t="s">
        <v>796</v>
      </c>
      <c r="B426" s="147"/>
      <c r="C426" s="147"/>
      <c r="D426" s="148">
        <v>1</v>
      </c>
      <c r="E426" s="149"/>
      <c r="F426" s="150">
        <v>0.12</v>
      </c>
      <c r="G426" s="150"/>
      <c r="H426" s="67">
        <v>2432</v>
      </c>
      <c r="I426" s="67">
        <f t="shared" si="199"/>
        <v>2324.7164802559009</v>
      </c>
      <c r="J426" s="67">
        <f t="shared" si="202"/>
        <v>2045.7505026251929</v>
      </c>
      <c r="K426" s="63"/>
      <c r="L426" s="149">
        <v>0</v>
      </c>
      <c r="M426" s="63">
        <f t="shared" si="198"/>
        <v>0</v>
      </c>
      <c r="N426" s="63">
        <f t="shared" si="203"/>
        <v>0</v>
      </c>
      <c r="O426" s="69"/>
      <c r="P426" s="149">
        <v>0</v>
      </c>
      <c r="Q426" s="63">
        <f t="shared" si="200"/>
        <v>0</v>
      </c>
      <c r="R426" s="64">
        <f t="shared" si="204"/>
        <v>0</v>
      </c>
      <c r="S426" s="148">
        <v>15</v>
      </c>
      <c r="T426" s="151" t="s">
        <v>15</v>
      </c>
      <c r="U426" s="65">
        <f>SUMIF('Avoided Costs 2012-2020_EGD'!$A:$A,'2012 Actuals_Auditor'!T426&amp;'2012 Actuals_Auditor'!S426,'Avoided Costs 2012-2020_EGD'!$E:$E)*J426</f>
        <v>4970.9770763767756</v>
      </c>
      <c r="V426" s="65">
        <f>SUMIF('Avoided Costs 2012-2020_EGD'!$A:$A,'2012 Actuals_Auditor'!T426&amp;'2012 Actuals_Auditor'!S426,'Avoided Costs 2012-2020_EGD'!$K:$K)*N426</f>
        <v>0</v>
      </c>
      <c r="W426" s="65">
        <f>SUMIF('Avoided Costs 2012-2020_EGD'!$A:$A,'2012 Actuals_Auditor'!T426&amp;'2012 Actuals_Auditor'!S426,'Avoided Costs 2012-2020_EGD'!$M:$M)*R426</f>
        <v>0</v>
      </c>
      <c r="X426" s="65">
        <f t="shared" si="201"/>
        <v>4970.9770763767756</v>
      </c>
      <c r="Y426" s="146">
        <v>4550</v>
      </c>
      <c r="Z426" s="66">
        <f t="shared" si="205"/>
        <v>4004</v>
      </c>
      <c r="AA426" s="66"/>
      <c r="AB426" s="66"/>
      <c r="AC426" s="66"/>
      <c r="AD426" s="66">
        <f t="shared" si="206"/>
        <v>4004</v>
      </c>
      <c r="AE426" s="66">
        <f t="shared" si="207"/>
        <v>966.97707637677559</v>
      </c>
      <c r="AF426" s="101">
        <f t="shared" si="208"/>
        <v>30686.257539377893</v>
      </c>
      <c r="AG426" s="101">
        <f t="shared" si="209"/>
        <v>34870.747203838517</v>
      </c>
    </row>
    <row r="427" spans="1:33" s="68" customFormat="1" x14ac:dyDescent="0.2">
      <c r="A427" s="147" t="s">
        <v>797</v>
      </c>
      <c r="B427" s="147"/>
      <c r="C427" s="147"/>
      <c r="D427" s="148">
        <v>1</v>
      </c>
      <c r="E427" s="149"/>
      <c r="F427" s="150">
        <v>0.12</v>
      </c>
      <c r="G427" s="150"/>
      <c r="H427" s="67">
        <v>595</v>
      </c>
      <c r="I427" s="67">
        <f t="shared" si="199"/>
        <v>568.7525928257653</v>
      </c>
      <c r="J427" s="67">
        <f t="shared" si="202"/>
        <v>500.50228168667348</v>
      </c>
      <c r="K427" s="63"/>
      <c r="L427" s="149">
        <v>0</v>
      </c>
      <c r="M427" s="63">
        <f t="shared" si="198"/>
        <v>0</v>
      </c>
      <c r="N427" s="63">
        <f t="shared" si="203"/>
        <v>0</v>
      </c>
      <c r="O427" s="69"/>
      <c r="P427" s="149">
        <v>0</v>
      </c>
      <c r="Q427" s="63">
        <f t="shared" si="200"/>
        <v>0</v>
      </c>
      <c r="R427" s="64">
        <f t="shared" si="204"/>
        <v>0</v>
      </c>
      <c r="S427" s="148">
        <v>15</v>
      </c>
      <c r="T427" s="151" t="s">
        <v>15</v>
      </c>
      <c r="U427" s="65">
        <f>SUMIF('Avoided Costs 2012-2020_EGD'!$A:$A,'2012 Actuals_Auditor'!T427&amp;'2012 Actuals_Auditor'!S427,'Avoided Costs 2012-2020_EGD'!$E:$E)*J427</f>
        <v>1216.1724343931669</v>
      </c>
      <c r="V427" s="65">
        <f>SUMIF('Avoided Costs 2012-2020_EGD'!$A:$A,'2012 Actuals_Auditor'!T427&amp;'2012 Actuals_Auditor'!S427,'Avoided Costs 2012-2020_EGD'!$K:$K)*N427</f>
        <v>0</v>
      </c>
      <c r="W427" s="65">
        <f>SUMIF('Avoided Costs 2012-2020_EGD'!$A:$A,'2012 Actuals_Auditor'!T427&amp;'2012 Actuals_Auditor'!S427,'Avoided Costs 2012-2020_EGD'!$M:$M)*R427</f>
        <v>0</v>
      </c>
      <c r="X427" s="65">
        <f t="shared" si="201"/>
        <v>1216.1724343931669</v>
      </c>
      <c r="Y427" s="146">
        <v>1290</v>
      </c>
      <c r="Z427" s="66">
        <f t="shared" si="205"/>
        <v>1135.2</v>
      </c>
      <c r="AA427" s="66"/>
      <c r="AB427" s="66"/>
      <c r="AC427" s="66"/>
      <c r="AD427" s="66">
        <f t="shared" si="206"/>
        <v>1135.2</v>
      </c>
      <c r="AE427" s="66">
        <f t="shared" si="207"/>
        <v>80.97243439316685</v>
      </c>
      <c r="AF427" s="101">
        <f t="shared" si="208"/>
        <v>7507.5342253001027</v>
      </c>
      <c r="AG427" s="101">
        <f t="shared" si="209"/>
        <v>8531.2888923864793</v>
      </c>
    </row>
    <row r="428" spans="1:33" s="68" customFormat="1" x14ac:dyDescent="0.2">
      <c r="A428" s="147" t="s">
        <v>798</v>
      </c>
      <c r="B428" s="147"/>
      <c r="C428" s="147"/>
      <c r="D428" s="148">
        <v>1</v>
      </c>
      <c r="E428" s="149"/>
      <c r="F428" s="150">
        <v>0.12</v>
      </c>
      <c r="G428" s="150"/>
      <c r="H428" s="67">
        <v>1973</v>
      </c>
      <c r="I428" s="67">
        <f t="shared" si="199"/>
        <v>1885.964480076025</v>
      </c>
      <c r="J428" s="67">
        <f t="shared" si="202"/>
        <v>1659.6487424669019</v>
      </c>
      <c r="K428" s="63"/>
      <c r="L428" s="149">
        <v>0</v>
      </c>
      <c r="M428" s="63">
        <f t="shared" si="198"/>
        <v>0</v>
      </c>
      <c r="N428" s="63">
        <f t="shared" si="203"/>
        <v>0</v>
      </c>
      <c r="O428" s="69"/>
      <c r="P428" s="149">
        <v>0</v>
      </c>
      <c r="Q428" s="63">
        <f t="shared" si="200"/>
        <v>0</v>
      </c>
      <c r="R428" s="64">
        <f t="shared" si="204"/>
        <v>0</v>
      </c>
      <c r="S428" s="148">
        <v>15</v>
      </c>
      <c r="T428" s="151" t="s">
        <v>15</v>
      </c>
      <c r="U428" s="65">
        <f>SUMIF('Avoided Costs 2012-2020_EGD'!$A:$A,'2012 Actuals_Auditor'!T428&amp;'2012 Actuals_Auditor'!S428,'Avoided Costs 2012-2020_EGD'!$E:$E)*J428</f>
        <v>4032.7869127020467</v>
      </c>
      <c r="V428" s="65">
        <f>SUMIF('Avoided Costs 2012-2020_EGD'!$A:$A,'2012 Actuals_Auditor'!T428&amp;'2012 Actuals_Auditor'!S428,'Avoided Costs 2012-2020_EGD'!$K:$K)*N428</f>
        <v>0</v>
      </c>
      <c r="W428" s="65">
        <f>SUMIF('Avoided Costs 2012-2020_EGD'!$A:$A,'2012 Actuals_Auditor'!T428&amp;'2012 Actuals_Auditor'!S428,'Avoided Costs 2012-2020_EGD'!$M:$M)*R428</f>
        <v>0</v>
      </c>
      <c r="X428" s="65">
        <f t="shared" si="201"/>
        <v>4032.7869127020467</v>
      </c>
      <c r="Y428" s="146">
        <v>4050</v>
      </c>
      <c r="Z428" s="66">
        <f t="shared" si="205"/>
        <v>3564</v>
      </c>
      <c r="AA428" s="66"/>
      <c r="AB428" s="66"/>
      <c r="AC428" s="66"/>
      <c r="AD428" s="66">
        <f t="shared" si="206"/>
        <v>3564</v>
      </c>
      <c r="AE428" s="66">
        <f t="shared" si="207"/>
        <v>468.78691270204672</v>
      </c>
      <c r="AF428" s="101">
        <f t="shared" si="208"/>
        <v>24894.731137003528</v>
      </c>
      <c r="AG428" s="101">
        <f t="shared" si="209"/>
        <v>28289.467201140375</v>
      </c>
    </row>
    <row r="429" spans="1:33" s="68" customFormat="1" x14ac:dyDescent="0.2">
      <c r="A429" s="147" t="s">
        <v>799</v>
      </c>
      <c r="B429" s="147"/>
      <c r="C429" s="147"/>
      <c r="D429" s="148">
        <v>1</v>
      </c>
      <c r="E429" s="149"/>
      <c r="F429" s="150">
        <v>0.12</v>
      </c>
      <c r="G429" s="150"/>
      <c r="H429" s="67">
        <v>225</v>
      </c>
      <c r="I429" s="67">
        <f t="shared" si="199"/>
        <v>215.0745098920961</v>
      </c>
      <c r="J429" s="67">
        <f t="shared" si="202"/>
        <v>189.26556870504456</v>
      </c>
      <c r="K429" s="63"/>
      <c r="L429" s="149">
        <v>0</v>
      </c>
      <c r="M429" s="63">
        <f t="shared" si="198"/>
        <v>0</v>
      </c>
      <c r="N429" s="63">
        <f t="shared" si="203"/>
        <v>0</v>
      </c>
      <c r="O429" s="69"/>
      <c r="P429" s="149">
        <v>0</v>
      </c>
      <c r="Q429" s="63">
        <f t="shared" si="200"/>
        <v>0</v>
      </c>
      <c r="R429" s="64">
        <f t="shared" si="204"/>
        <v>0</v>
      </c>
      <c r="S429" s="148">
        <v>15</v>
      </c>
      <c r="T429" s="151" t="s">
        <v>15</v>
      </c>
      <c r="U429" s="65">
        <f>SUMIF('Avoided Costs 2012-2020_EGD'!$A:$A,'2012 Actuals_Auditor'!T429&amp;'2012 Actuals_Auditor'!S429,'Avoided Costs 2012-2020_EGD'!$E:$E)*J429</f>
        <v>459.89713905623944</v>
      </c>
      <c r="V429" s="65">
        <f>SUMIF('Avoided Costs 2012-2020_EGD'!$A:$A,'2012 Actuals_Auditor'!T429&amp;'2012 Actuals_Auditor'!S429,'Avoided Costs 2012-2020_EGD'!$K:$K)*N429</f>
        <v>0</v>
      </c>
      <c r="W429" s="65">
        <f>SUMIF('Avoided Costs 2012-2020_EGD'!$A:$A,'2012 Actuals_Auditor'!T429&amp;'2012 Actuals_Auditor'!S429,'Avoided Costs 2012-2020_EGD'!$M:$M)*R429</f>
        <v>0</v>
      </c>
      <c r="X429" s="65">
        <f t="shared" si="201"/>
        <v>459.89713905623944</v>
      </c>
      <c r="Y429" s="146">
        <v>390</v>
      </c>
      <c r="Z429" s="66">
        <f t="shared" si="205"/>
        <v>343.2</v>
      </c>
      <c r="AA429" s="66"/>
      <c r="AB429" s="66"/>
      <c r="AC429" s="66"/>
      <c r="AD429" s="66">
        <f t="shared" si="206"/>
        <v>343.2</v>
      </c>
      <c r="AE429" s="66">
        <f t="shared" si="207"/>
        <v>116.69713905623945</v>
      </c>
      <c r="AF429" s="101">
        <f t="shared" si="208"/>
        <v>2838.9835305756683</v>
      </c>
      <c r="AG429" s="101">
        <f t="shared" si="209"/>
        <v>3226.1176483814415</v>
      </c>
    </row>
    <row r="430" spans="1:33" s="68" customFormat="1" x14ac:dyDescent="0.2">
      <c r="A430" s="147" t="s">
        <v>800</v>
      </c>
      <c r="B430" s="147"/>
      <c r="C430" s="147"/>
      <c r="D430" s="148">
        <v>1</v>
      </c>
      <c r="E430" s="149"/>
      <c r="F430" s="150">
        <v>0.12</v>
      </c>
      <c r="G430" s="150"/>
      <c r="H430" s="67">
        <v>824</v>
      </c>
      <c r="I430" s="67">
        <f t="shared" si="199"/>
        <v>787.65064956038759</v>
      </c>
      <c r="J430" s="67">
        <f t="shared" si="202"/>
        <v>693.13257161314107</v>
      </c>
      <c r="K430" s="63"/>
      <c r="L430" s="149">
        <v>0</v>
      </c>
      <c r="M430" s="63">
        <f t="shared" si="198"/>
        <v>0</v>
      </c>
      <c r="N430" s="63">
        <f t="shared" si="203"/>
        <v>0</v>
      </c>
      <c r="O430" s="69"/>
      <c r="P430" s="149">
        <v>0</v>
      </c>
      <c r="Q430" s="63">
        <f t="shared" si="200"/>
        <v>0</v>
      </c>
      <c r="R430" s="64">
        <f t="shared" si="204"/>
        <v>0</v>
      </c>
      <c r="S430" s="148">
        <v>15</v>
      </c>
      <c r="T430" s="151" t="s">
        <v>15</v>
      </c>
      <c r="U430" s="65">
        <f>SUMIF('Avoided Costs 2012-2020_EGD'!$A:$A,'2012 Actuals_Auditor'!T430&amp;'2012 Actuals_Auditor'!S430,'Avoided Costs 2012-2020_EGD'!$E:$E)*J430</f>
        <v>1684.2455225881838</v>
      </c>
      <c r="V430" s="65">
        <f>SUMIF('Avoided Costs 2012-2020_EGD'!$A:$A,'2012 Actuals_Auditor'!T430&amp;'2012 Actuals_Auditor'!S430,'Avoided Costs 2012-2020_EGD'!$K:$K)*N430</f>
        <v>0</v>
      </c>
      <c r="W430" s="65">
        <f>SUMIF('Avoided Costs 2012-2020_EGD'!$A:$A,'2012 Actuals_Auditor'!T430&amp;'2012 Actuals_Auditor'!S430,'Avoided Costs 2012-2020_EGD'!$M:$M)*R430</f>
        <v>0</v>
      </c>
      <c r="X430" s="65">
        <f t="shared" si="201"/>
        <v>1684.2455225881838</v>
      </c>
      <c r="Y430" s="146">
        <v>2015</v>
      </c>
      <c r="Z430" s="66">
        <f t="shared" si="205"/>
        <v>1773.2</v>
      </c>
      <c r="AA430" s="66"/>
      <c r="AB430" s="66"/>
      <c r="AC430" s="66"/>
      <c r="AD430" s="66">
        <f t="shared" si="206"/>
        <v>1773.2</v>
      </c>
      <c r="AE430" s="66">
        <f t="shared" si="207"/>
        <v>-88.954477411816242</v>
      </c>
      <c r="AF430" s="101">
        <f t="shared" si="208"/>
        <v>10396.988574197116</v>
      </c>
      <c r="AG430" s="101">
        <f t="shared" si="209"/>
        <v>11814.759743405813</v>
      </c>
    </row>
    <row r="431" spans="1:33" s="68" customFormat="1" x14ac:dyDescent="0.2">
      <c r="A431" s="147" t="s">
        <v>801</v>
      </c>
      <c r="B431" s="147"/>
      <c r="C431" s="147"/>
      <c r="D431" s="148">
        <v>1</v>
      </c>
      <c r="E431" s="149"/>
      <c r="F431" s="150">
        <v>0.12</v>
      </c>
      <c r="G431" s="150"/>
      <c r="H431" s="67">
        <v>1009</v>
      </c>
      <c r="I431" s="67">
        <f t="shared" si="199"/>
        <v>964.48969102722219</v>
      </c>
      <c r="J431" s="67">
        <f t="shared" si="202"/>
        <v>848.75092810395552</v>
      </c>
      <c r="K431" s="63"/>
      <c r="L431" s="149">
        <v>0</v>
      </c>
      <c r="M431" s="63">
        <f t="shared" si="198"/>
        <v>0</v>
      </c>
      <c r="N431" s="63">
        <f t="shared" si="203"/>
        <v>0</v>
      </c>
      <c r="O431" s="69"/>
      <c r="P431" s="149">
        <v>0</v>
      </c>
      <c r="Q431" s="63">
        <f t="shared" si="200"/>
        <v>0</v>
      </c>
      <c r="R431" s="64">
        <f t="shared" si="204"/>
        <v>0</v>
      </c>
      <c r="S431" s="148">
        <v>15</v>
      </c>
      <c r="T431" s="151" t="s">
        <v>15</v>
      </c>
      <c r="U431" s="65">
        <f>SUMIF('Avoided Costs 2012-2020_EGD'!$A:$A,'2012 Actuals_Auditor'!T431&amp;'2012 Actuals_Auditor'!S431,'Avoided Costs 2012-2020_EGD'!$E:$E)*J431</f>
        <v>2062.3831702566476</v>
      </c>
      <c r="V431" s="65">
        <f>SUMIF('Avoided Costs 2012-2020_EGD'!$A:$A,'2012 Actuals_Auditor'!T431&amp;'2012 Actuals_Auditor'!S431,'Avoided Costs 2012-2020_EGD'!$K:$K)*N431</f>
        <v>0</v>
      </c>
      <c r="W431" s="65">
        <f>SUMIF('Avoided Costs 2012-2020_EGD'!$A:$A,'2012 Actuals_Auditor'!T431&amp;'2012 Actuals_Auditor'!S431,'Avoided Costs 2012-2020_EGD'!$M:$M)*R431</f>
        <v>0</v>
      </c>
      <c r="X431" s="65">
        <f t="shared" si="201"/>
        <v>2062.3831702566476</v>
      </c>
      <c r="Y431" s="146">
        <v>2615</v>
      </c>
      <c r="Z431" s="66">
        <f t="shared" si="205"/>
        <v>2301.1999999999998</v>
      </c>
      <c r="AA431" s="66"/>
      <c r="AB431" s="66"/>
      <c r="AC431" s="66"/>
      <c r="AD431" s="66">
        <f t="shared" si="206"/>
        <v>2301.1999999999998</v>
      </c>
      <c r="AE431" s="66">
        <f t="shared" si="207"/>
        <v>-238.81682974335217</v>
      </c>
      <c r="AF431" s="101">
        <f t="shared" si="208"/>
        <v>12731.263921559334</v>
      </c>
      <c r="AG431" s="101">
        <f t="shared" si="209"/>
        <v>14467.345365408333</v>
      </c>
    </row>
    <row r="432" spans="1:33" s="68" customFormat="1" x14ac:dyDescent="0.2">
      <c r="A432" s="147" t="s">
        <v>802</v>
      </c>
      <c r="B432" s="147"/>
      <c r="C432" s="147"/>
      <c r="D432" s="148">
        <v>1</v>
      </c>
      <c r="E432" s="149"/>
      <c r="F432" s="150">
        <v>0.12</v>
      </c>
      <c r="G432" s="150"/>
      <c r="H432" s="67">
        <v>738</v>
      </c>
      <c r="I432" s="67">
        <f t="shared" si="199"/>
        <v>705.44439244607531</v>
      </c>
      <c r="J432" s="67">
        <f t="shared" si="202"/>
        <v>620.7910653525463</v>
      </c>
      <c r="K432" s="63"/>
      <c r="L432" s="149">
        <v>0</v>
      </c>
      <c r="M432" s="63">
        <f t="shared" si="198"/>
        <v>0</v>
      </c>
      <c r="N432" s="63">
        <f t="shared" si="203"/>
        <v>0</v>
      </c>
      <c r="O432" s="69"/>
      <c r="P432" s="149">
        <v>0</v>
      </c>
      <c r="Q432" s="63">
        <f t="shared" si="200"/>
        <v>0</v>
      </c>
      <c r="R432" s="64">
        <f t="shared" si="204"/>
        <v>0</v>
      </c>
      <c r="S432" s="148">
        <v>15</v>
      </c>
      <c r="T432" s="151" t="s">
        <v>15</v>
      </c>
      <c r="U432" s="65">
        <f>SUMIF('Avoided Costs 2012-2020_EGD'!$A:$A,'2012 Actuals_Auditor'!T432&amp;'2012 Actuals_Auditor'!S432,'Avoided Costs 2012-2020_EGD'!$E:$E)*J432</f>
        <v>1508.4626161044657</v>
      </c>
      <c r="V432" s="65">
        <f>SUMIF('Avoided Costs 2012-2020_EGD'!$A:$A,'2012 Actuals_Auditor'!T432&amp;'2012 Actuals_Auditor'!S432,'Avoided Costs 2012-2020_EGD'!$K:$K)*N432</f>
        <v>0</v>
      </c>
      <c r="W432" s="65">
        <f>SUMIF('Avoided Costs 2012-2020_EGD'!$A:$A,'2012 Actuals_Auditor'!T432&amp;'2012 Actuals_Auditor'!S432,'Avoided Costs 2012-2020_EGD'!$M:$M)*R432</f>
        <v>0</v>
      </c>
      <c r="X432" s="65">
        <f t="shared" ref="X432:X437" si="210">SUM(U432:W432)</f>
        <v>1508.4626161044657</v>
      </c>
      <c r="Y432" s="146">
        <v>1410</v>
      </c>
      <c r="Z432" s="66">
        <f t="shared" si="205"/>
        <v>1240.8</v>
      </c>
      <c r="AA432" s="66"/>
      <c r="AB432" s="66"/>
      <c r="AC432" s="66"/>
      <c r="AD432" s="66">
        <f t="shared" si="206"/>
        <v>1240.8</v>
      </c>
      <c r="AE432" s="66">
        <f t="shared" si="207"/>
        <v>267.66261610446577</v>
      </c>
      <c r="AF432" s="101">
        <f t="shared" si="208"/>
        <v>9311.8659802881939</v>
      </c>
      <c r="AG432" s="101">
        <f t="shared" si="209"/>
        <v>10581.665886691129</v>
      </c>
    </row>
    <row r="433" spans="1:33" s="68" customFormat="1" x14ac:dyDescent="0.2">
      <c r="A433" s="147" t="s">
        <v>803</v>
      </c>
      <c r="B433" s="147"/>
      <c r="C433" s="147"/>
      <c r="D433" s="148">
        <v>1</v>
      </c>
      <c r="E433" s="149"/>
      <c r="F433" s="150">
        <v>0.12</v>
      </c>
      <c r="G433" s="150"/>
      <c r="H433" s="67">
        <v>1569</v>
      </c>
      <c r="I433" s="67">
        <f t="shared" si="199"/>
        <v>1499.7862489808836</v>
      </c>
      <c r="J433" s="67">
        <f t="shared" si="202"/>
        <v>1319.8118991031774</v>
      </c>
      <c r="K433" s="63"/>
      <c r="L433" s="149">
        <v>0</v>
      </c>
      <c r="M433" s="63">
        <f t="shared" si="198"/>
        <v>0</v>
      </c>
      <c r="N433" s="63">
        <f t="shared" si="203"/>
        <v>0</v>
      </c>
      <c r="O433" s="69"/>
      <c r="P433" s="149">
        <v>0</v>
      </c>
      <c r="Q433" s="63">
        <f t="shared" si="200"/>
        <v>0</v>
      </c>
      <c r="R433" s="64">
        <f t="shared" si="204"/>
        <v>0</v>
      </c>
      <c r="S433" s="148">
        <v>15</v>
      </c>
      <c r="T433" s="151" t="s">
        <v>15</v>
      </c>
      <c r="U433" s="65">
        <f>SUMIF('Avoided Costs 2012-2020_EGD'!$A:$A,'2012 Actuals_Auditor'!T433&amp;'2012 Actuals_Auditor'!S433,'Avoided Costs 2012-2020_EGD'!$E:$E)*J433</f>
        <v>3207.0160496855101</v>
      </c>
      <c r="V433" s="65">
        <f>SUMIF('Avoided Costs 2012-2020_EGD'!$A:$A,'2012 Actuals_Auditor'!T433&amp;'2012 Actuals_Auditor'!S433,'Avoided Costs 2012-2020_EGD'!$K:$K)*N433</f>
        <v>0</v>
      </c>
      <c r="W433" s="65">
        <f>SUMIF('Avoided Costs 2012-2020_EGD'!$A:$A,'2012 Actuals_Auditor'!T433&amp;'2012 Actuals_Auditor'!S433,'Avoided Costs 2012-2020_EGD'!$M:$M)*R433</f>
        <v>0</v>
      </c>
      <c r="X433" s="65">
        <f t="shared" si="210"/>
        <v>3207.0160496855101</v>
      </c>
      <c r="Y433" s="146">
        <v>2898</v>
      </c>
      <c r="Z433" s="66">
        <f t="shared" si="205"/>
        <v>2550.2400000000002</v>
      </c>
      <c r="AA433" s="66"/>
      <c r="AB433" s="66"/>
      <c r="AC433" s="66"/>
      <c r="AD433" s="66">
        <f t="shared" si="206"/>
        <v>2550.2400000000002</v>
      </c>
      <c r="AE433" s="66">
        <f t="shared" si="207"/>
        <v>656.77604968550986</v>
      </c>
      <c r="AF433" s="101">
        <f t="shared" si="208"/>
        <v>19797.178486547662</v>
      </c>
      <c r="AG433" s="101">
        <f t="shared" si="209"/>
        <v>22496.793734713254</v>
      </c>
    </row>
    <row r="434" spans="1:33" s="68" customFormat="1" x14ac:dyDescent="0.2">
      <c r="A434" s="147" t="s">
        <v>804</v>
      </c>
      <c r="B434" s="147"/>
      <c r="C434" s="147"/>
      <c r="D434" s="148">
        <v>1</v>
      </c>
      <c r="E434" s="149"/>
      <c r="F434" s="150">
        <v>0.12</v>
      </c>
      <c r="G434" s="150"/>
      <c r="H434" s="67">
        <v>4292</v>
      </c>
      <c r="I434" s="67">
        <f t="shared" si="199"/>
        <v>4102.6657620305623</v>
      </c>
      <c r="J434" s="67">
        <f t="shared" si="202"/>
        <v>3610.3458705868948</v>
      </c>
      <c r="K434" s="63"/>
      <c r="L434" s="149">
        <v>0</v>
      </c>
      <c r="M434" s="63">
        <f t="shared" si="198"/>
        <v>0</v>
      </c>
      <c r="N434" s="63">
        <f t="shared" si="203"/>
        <v>0</v>
      </c>
      <c r="O434" s="69"/>
      <c r="P434" s="149">
        <v>0</v>
      </c>
      <c r="Q434" s="63">
        <f t="shared" si="200"/>
        <v>0</v>
      </c>
      <c r="R434" s="64">
        <f t="shared" si="204"/>
        <v>0</v>
      </c>
      <c r="S434" s="148">
        <v>15</v>
      </c>
      <c r="T434" s="151" t="s">
        <v>15</v>
      </c>
      <c r="U434" s="65">
        <f>SUMIF('Avoided Costs 2012-2020_EGD'!$A:$A,'2012 Actuals_Auditor'!T434&amp;'2012 Actuals_Auditor'!S434,'Avoided Costs 2012-2020_EGD'!$E:$E)*J434</f>
        <v>8772.7934259083559</v>
      </c>
      <c r="V434" s="65">
        <f>SUMIF('Avoided Costs 2012-2020_EGD'!$A:$A,'2012 Actuals_Auditor'!T434&amp;'2012 Actuals_Auditor'!S434,'Avoided Costs 2012-2020_EGD'!$K:$K)*N434</f>
        <v>0</v>
      </c>
      <c r="W434" s="65">
        <f>SUMIF('Avoided Costs 2012-2020_EGD'!$A:$A,'2012 Actuals_Auditor'!T434&amp;'2012 Actuals_Auditor'!S434,'Avoided Costs 2012-2020_EGD'!$M:$M)*R434</f>
        <v>0</v>
      </c>
      <c r="X434" s="65">
        <f t="shared" si="210"/>
        <v>8772.7934259083559</v>
      </c>
      <c r="Y434" s="146">
        <v>10471</v>
      </c>
      <c r="Z434" s="66">
        <f t="shared" si="205"/>
        <v>9214.48</v>
      </c>
      <c r="AA434" s="66"/>
      <c r="AB434" s="66"/>
      <c r="AC434" s="66"/>
      <c r="AD434" s="66">
        <f t="shared" si="206"/>
        <v>9214.48</v>
      </c>
      <c r="AE434" s="66">
        <f t="shared" si="207"/>
        <v>-441.68657409164371</v>
      </c>
      <c r="AF434" s="101">
        <f t="shared" si="208"/>
        <v>54155.188058803418</v>
      </c>
      <c r="AG434" s="101">
        <f t="shared" si="209"/>
        <v>61539.986430458433</v>
      </c>
    </row>
    <row r="435" spans="1:33" s="68" customFormat="1" x14ac:dyDescent="0.2">
      <c r="A435" s="147" t="s">
        <v>805</v>
      </c>
      <c r="B435" s="147"/>
      <c r="C435" s="147"/>
      <c r="D435" s="148">
        <v>1</v>
      </c>
      <c r="E435" s="149"/>
      <c r="F435" s="150">
        <v>0.12</v>
      </c>
      <c r="G435" s="150"/>
      <c r="H435" s="67">
        <v>34924</v>
      </c>
      <c r="I435" s="67">
        <f t="shared" si="199"/>
        <v>33383.387482095844</v>
      </c>
      <c r="J435" s="67">
        <f t="shared" si="202"/>
        <v>29377.380984244344</v>
      </c>
      <c r="K435" s="63"/>
      <c r="L435" s="149">
        <v>12253</v>
      </c>
      <c r="M435" s="63">
        <f t="shared" si="198"/>
        <v>12253</v>
      </c>
      <c r="N435" s="63">
        <f t="shared" si="203"/>
        <v>10782.64</v>
      </c>
      <c r="O435" s="69"/>
      <c r="P435" s="149">
        <v>0</v>
      </c>
      <c r="Q435" s="63">
        <f t="shared" si="200"/>
        <v>0</v>
      </c>
      <c r="R435" s="64">
        <f t="shared" si="204"/>
        <v>0</v>
      </c>
      <c r="S435" s="148">
        <v>15</v>
      </c>
      <c r="T435" s="151" t="s">
        <v>15</v>
      </c>
      <c r="U435" s="65">
        <f>SUMIF('Avoided Costs 2012-2020_EGD'!$A:$A,'2012 Actuals_Auditor'!T435&amp;'2012 Actuals_Auditor'!S435,'Avoided Costs 2012-2020_EGD'!$E:$E)*J435</f>
        <v>71384.211930667152</v>
      </c>
      <c r="V435" s="65">
        <f>SUMIF('Avoided Costs 2012-2020_EGD'!$A:$A,'2012 Actuals_Auditor'!T435&amp;'2012 Actuals_Auditor'!S435,'Avoided Costs 2012-2020_EGD'!$K:$K)*N435</f>
        <v>11103.783959377844</v>
      </c>
      <c r="W435" s="65">
        <f>SUMIF('Avoided Costs 2012-2020_EGD'!$A:$A,'2012 Actuals_Auditor'!T435&amp;'2012 Actuals_Auditor'!S435,'Avoided Costs 2012-2020_EGD'!$M:$M)*R435</f>
        <v>0</v>
      </c>
      <c r="X435" s="65">
        <f t="shared" si="210"/>
        <v>82487.995890045</v>
      </c>
      <c r="Y435" s="146">
        <v>57227</v>
      </c>
      <c r="Z435" s="66">
        <f t="shared" si="205"/>
        <v>50359.76</v>
      </c>
      <c r="AA435" s="66"/>
      <c r="AB435" s="66"/>
      <c r="AC435" s="66"/>
      <c r="AD435" s="66">
        <f t="shared" si="206"/>
        <v>50359.76</v>
      </c>
      <c r="AE435" s="66">
        <f t="shared" si="207"/>
        <v>32128.235890044998</v>
      </c>
      <c r="AF435" s="101">
        <f t="shared" si="208"/>
        <v>440660.71476366516</v>
      </c>
      <c r="AG435" s="101">
        <f t="shared" si="209"/>
        <v>500750.81223143765</v>
      </c>
    </row>
    <row r="436" spans="1:33" s="68" customFormat="1" x14ac:dyDescent="0.2">
      <c r="A436" s="147" t="s">
        <v>806</v>
      </c>
      <c r="B436" s="147"/>
      <c r="C436" s="147"/>
      <c r="D436" s="148">
        <v>1</v>
      </c>
      <c r="E436" s="149"/>
      <c r="F436" s="150">
        <v>0.12</v>
      </c>
      <c r="G436" s="150"/>
      <c r="H436" s="67">
        <v>79239</v>
      </c>
      <c r="I436" s="67">
        <f t="shared" si="199"/>
        <v>75743.507063732468</v>
      </c>
      <c r="J436" s="67">
        <f t="shared" si="202"/>
        <v>66654.286216084569</v>
      </c>
      <c r="K436" s="63"/>
      <c r="L436" s="149">
        <v>44450</v>
      </c>
      <c r="M436" s="63">
        <f t="shared" si="198"/>
        <v>44450</v>
      </c>
      <c r="N436" s="63">
        <f t="shared" si="203"/>
        <v>39116</v>
      </c>
      <c r="O436" s="69"/>
      <c r="P436" s="149">
        <v>0</v>
      </c>
      <c r="Q436" s="63">
        <f t="shared" si="200"/>
        <v>0</v>
      </c>
      <c r="R436" s="64">
        <f t="shared" si="204"/>
        <v>0</v>
      </c>
      <c r="S436" s="148">
        <v>15</v>
      </c>
      <c r="T436" s="151" t="s">
        <v>15</v>
      </c>
      <c r="U436" s="65">
        <f>SUMIF('Avoided Costs 2012-2020_EGD'!$A:$A,'2012 Actuals_Auditor'!T436&amp;'2012 Actuals_Auditor'!S436,'Avoided Costs 2012-2020_EGD'!$E:$E)*J436</f>
        <v>161963.5084518994</v>
      </c>
      <c r="V436" s="65">
        <f>SUMIF('Avoided Costs 2012-2020_EGD'!$A:$A,'2012 Actuals_Auditor'!T436&amp;'2012 Actuals_Auditor'!S436,'Avoided Costs 2012-2020_EGD'!$K:$K)*N436</f>
        <v>40281.008487255785</v>
      </c>
      <c r="W436" s="65">
        <f>SUMIF('Avoided Costs 2012-2020_EGD'!$A:$A,'2012 Actuals_Auditor'!T436&amp;'2012 Actuals_Auditor'!S436,'Avoided Costs 2012-2020_EGD'!$M:$M)*R436</f>
        <v>0</v>
      </c>
      <c r="X436" s="65">
        <f t="shared" si="210"/>
        <v>202244.51693915518</v>
      </c>
      <c r="Y436" s="146">
        <v>174215</v>
      </c>
      <c r="Z436" s="66">
        <f t="shared" si="205"/>
        <v>153309.20000000001</v>
      </c>
      <c r="AA436" s="66"/>
      <c r="AB436" s="66"/>
      <c r="AC436" s="66"/>
      <c r="AD436" s="66">
        <f t="shared" si="206"/>
        <v>153309.20000000001</v>
      </c>
      <c r="AE436" s="66">
        <f t="shared" si="207"/>
        <v>48935.316939155164</v>
      </c>
      <c r="AF436" s="101">
        <f t="shared" si="208"/>
        <v>999814.29324126849</v>
      </c>
      <c r="AG436" s="101">
        <f t="shared" si="209"/>
        <v>1136152.605955987</v>
      </c>
    </row>
    <row r="437" spans="1:33" s="68" customFormat="1" x14ac:dyDescent="0.2">
      <c r="A437" s="147" t="s">
        <v>807</v>
      </c>
      <c r="B437" s="147"/>
      <c r="C437" s="147"/>
      <c r="D437" s="148">
        <v>1</v>
      </c>
      <c r="E437" s="149"/>
      <c r="F437" s="150">
        <v>0.12</v>
      </c>
      <c r="G437" s="150"/>
      <c r="H437" s="67">
        <v>3700</v>
      </c>
      <c r="I437" s="67">
        <f t="shared" si="199"/>
        <v>3536.7808293366916</v>
      </c>
      <c r="J437" s="67">
        <f t="shared" si="202"/>
        <v>3112.3671298162885</v>
      </c>
      <c r="K437" s="63"/>
      <c r="L437" s="149">
        <v>0</v>
      </c>
      <c r="M437" s="63">
        <f t="shared" si="198"/>
        <v>0</v>
      </c>
      <c r="N437" s="63">
        <f t="shared" si="203"/>
        <v>0</v>
      </c>
      <c r="O437" s="69"/>
      <c r="P437" s="149">
        <v>0</v>
      </c>
      <c r="Q437" s="63">
        <f t="shared" si="200"/>
        <v>0</v>
      </c>
      <c r="R437" s="64">
        <f t="shared" si="204"/>
        <v>0</v>
      </c>
      <c r="S437" s="148">
        <v>15</v>
      </c>
      <c r="T437" s="151" t="s">
        <v>15</v>
      </c>
      <c r="U437" s="65">
        <f>SUMIF('Avoided Costs 2012-2020_EGD'!$A:$A,'2012 Actuals_Auditor'!T437&amp;'2012 Actuals_Auditor'!S437,'Avoided Costs 2012-2020_EGD'!$E:$E)*J437</f>
        <v>7562.7529533692714</v>
      </c>
      <c r="V437" s="65">
        <f>SUMIF('Avoided Costs 2012-2020_EGD'!$A:$A,'2012 Actuals_Auditor'!T437&amp;'2012 Actuals_Auditor'!S437,'Avoided Costs 2012-2020_EGD'!$K:$K)*N437</f>
        <v>0</v>
      </c>
      <c r="W437" s="65">
        <f>SUMIF('Avoided Costs 2012-2020_EGD'!$A:$A,'2012 Actuals_Auditor'!T437&amp;'2012 Actuals_Auditor'!S437,'Avoided Costs 2012-2020_EGD'!$M:$M)*R437</f>
        <v>0</v>
      </c>
      <c r="X437" s="65">
        <f t="shared" si="210"/>
        <v>7562.7529533692714</v>
      </c>
      <c r="Y437" s="146">
        <v>6827</v>
      </c>
      <c r="Z437" s="66">
        <f t="shared" si="205"/>
        <v>6007.76</v>
      </c>
      <c r="AA437" s="66"/>
      <c r="AB437" s="66"/>
      <c r="AC437" s="66"/>
      <c r="AD437" s="66">
        <f t="shared" si="206"/>
        <v>6007.76</v>
      </c>
      <c r="AE437" s="66">
        <f t="shared" si="207"/>
        <v>1554.9929533692712</v>
      </c>
      <c r="AF437" s="101">
        <f t="shared" si="208"/>
        <v>46685.506947244328</v>
      </c>
      <c r="AG437" s="101">
        <f t="shared" si="209"/>
        <v>53051.712440050374</v>
      </c>
    </row>
    <row r="438" spans="1:33" s="68" customFormat="1" x14ac:dyDescent="0.2">
      <c r="A438" s="147" t="s">
        <v>808</v>
      </c>
      <c r="B438" s="147"/>
      <c r="C438" s="147"/>
      <c r="D438" s="148">
        <v>1</v>
      </c>
      <c r="E438" s="149"/>
      <c r="F438" s="150">
        <v>0.12</v>
      </c>
      <c r="G438" s="150"/>
      <c r="H438" s="67">
        <v>6679</v>
      </c>
      <c r="I438" s="67">
        <f t="shared" si="199"/>
        <v>6384.3673403080438</v>
      </c>
      <c r="J438" s="67">
        <f t="shared" si="202"/>
        <v>5618.243259471079</v>
      </c>
      <c r="K438" s="63"/>
      <c r="L438" s="149">
        <v>0</v>
      </c>
      <c r="M438" s="63">
        <f t="shared" si="198"/>
        <v>0</v>
      </c>
      <c r="N438" s="63">
        <f t="shared" si="203"/>
        <v>0</v>
      </c>
      <c r="O438" s="69"/>
      <c r="P438" s="149">
        <v>0</v>
      </c>
      <c r="Q438" s="63">
        <f t="shared" si="200"/>
        <v>0</v>
      </c>
      <c r="R438" s="64">
        <f t="shared" si="204"/>
        <v>0</v>
      </c>
      <c r="S438" s="148">
        <v>15</v>
      </c>
      <c r="T438" s="151" t="s">
        <v>15</v>
      </c>
      <c r="U438" s="65">
        <f>SUMIF('Avoided Costs 2012-2020_EGD'!$A:$A,'2012 Actuals_Auditor'!T438&amp;'2012 Actuals_Auditor'!S438,'Avoided Costs 2012-2020_EGD'!$E:$E)*J438</f>
        <v>13651.791074473884</v>
      </c>
      <c r="V438" s="65">
        <f>SUMIF('Avoided Costs 2012-2020_EGD'!$A:$A,'2012 Actuals_Auditor'!T438&amp;'2012 Actuals_Auditor'!S438,'Avoided Costs 2012-2020_EGD'!$K:$K)*N438</f>
        <v>0</v>
      </c>
      <c r="W438" s="65">
        <f>SUMIF('Avoided Costs 2012-2020_EGD'!$A:$A,'2012 Actuals_Auditor'!T438&amp;'2012 Actuals_Auditor'!S438,'Avoided Costs 2012-2020_EGD'!$M:$M)*R438</f>
        <v>0</v>
      </c>
      <c r="X438" s="65">
        <f>SUM(U438:W438)</f>
        <v>13651.791074473884</v>
      </c>
      <c r="Y438" s="146">
        <v>10112.6</v>
      </c>
      <c r="Z438" s="66">
        <f t="shared" si="205"/>
        <v>8899.0879999999997</v>
      </c>
      <c r="AA438" s="66"/>
      <c r="AB438" s="66"/>
      <c r="AC438" s="66"/>
      <c r="AD438" s="66">
        <f t="shared" si="206"/>
        <v>8899.0879999999997</v>
      </c>
      <c r="AE438" s="66">
        <f t="shared" si="207"/>
        <v>4752.703074473884</v>
      </c>
      <c r="AF438" s="101">
        <f t="shared" si="208"/>
        <v>84273.64889206618</v>
      </c>
      <c r="AG438" s="101">
        <f t="shared" si="209"/>
        <v>95765.510104620655</v>
      </c>
    </row>
    <row r="439" spans="1:33" s="13" customFormat="1" x14ac:dyDescent="0.2">
      <c r="A439" s="232" t="s">
        <v>3</v>
      </c>
      <c r="B439" s="232" t="s">
        <v>755</v>
      </c>
      <c r="C439" s="233"/>
      <c r="D439" s="67">
        <f>SUM(D388:D438)</f>
        <v>49</v>
      </c>
      <c r="E439" s="67"/>
      <c r="F439" s="67"/>
      <c r="G439" s="67"/>
      <c r="H439" s="67">
        <f>SUM(H388:H438)</f>
        <v>432423</v>
      </c>
      <c r="I439" s="67">
        <f>SUM(I388:I438)</f>
        <v>415790.92239611945</v>
      </c>
      <c r="J439" s="67">
        <f>SUM(J388:J438)</f>
        <v>365896.01170858514</v>
      </c>
      <c r="K439" s="67"/>
      <c r="L439" s="67">
        <f>SUM(L388:L438)</f>
        <v>188144</v>
      </c>
      <c r="M439" s="67">
        <f>SUM(M388:M438)</f>
        <v>188144</v>
      </c>
      <c r="N439" s="67">
        <f>SUM(N388:N438)</f>
        <v>165566.72</v>
      </c>
      <c r="O439" s="67"/>
      <c r="P439" s="67">
        <f>SUM(P388:P438)</f>
        <v>0</v>
      </c>
      <c r="Q439" s="67">
        <f>SUM(Q388:Q438)</f>
        <v>0</v>
      </c>
      <c r="R439" s="67">
        <f>SUM(R388:R438)</f>
        <v>0</v>
      </c>
      <c r="S439" s="67"/>
      <c r="T439" s="233"/>
      <c r="U439" s="67">
        <f>SUM(U388:U438)</f>
        <v>857417.63002382137</v>
      </c>
      <c r="V439" s="67">
        <f>SUM(V388:V438)</f>
        <v>170497.86413557373</v>
      </c>
      <c r="W439" s="67">
        <f>SUM(W388:W438)</f>
        <v>0</v>
      </c>
      <c r="X439" s="67">
        <f>SUM(X388:X438)</f>
        <v>1027915.4941593949</v>
      </c>
      <c r="Y439" s="146"/>
      <c r="Z439" s="67">
        <f>SUM(Z388:Z438)</f>
        <v>569503.96799999999</v>
      </c>
      <c r="AA439" s="66">
        <v>18024.900000000001</v>
      </c>
      <c r="AB439" s="66">
        <v>2407</v>
      </c>
      <c r="AC439" s="66">
        <f>AB439+AA439</f>
        <v>20431.900000000001</v>
      </c>
      <c r="AD439" s="66">
        <f t="shared" si="206"/>
        <v>571910.96799999999</v>
      </c>
      <c r="AE439" s="230">
        <f t="shared" si="207"/>
        <v>456004.52615939488</v>
      </c>
      <c r="AF439" s="101">
        <f>SUM(AF388:AF438)</f>
        <v>5654214.0150576849</v>
      </c>
      <c r="AG439" s="101">
        <f>SUM(AG388:AG438)</f>
        <v>6425243.198929186</v>
      </c>
    </row>
    <row r="440" spans="1:33" x14ac:dyDescent="0.2">
      <c r="A440" s="140"/>
      <c r="F440" s="17"/>
      <c r="G440" s="17"/>
      <c r="M440" s="17"/>
      <c r="O440" s="17"/>
      <c r="P440" s="17"/>
      <c r="Q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</row>
    <row r="441" spans="1:33" x14ac:dyDescent="0.2">
      <c r="A441" s="140" t="s">
        <v>151</v>
      </c>
      <c r="B441" s="10" t="s">
        <v>80</v>
      </c>
      <c r="J441" s="13"/>
      <c r="K441" s="54"/>
      <c r="L441" s="54"/>
      <c r="O441" s="21"/>
      <c r="P441" s="22"/>
      <c r="R441" s="13"/>
      <c r="S441" s="13"/>
      <c r="Z441" s="57"/>
      <c r="AA441" s="57"/>
      <c r="AC441" s="57"/>
      <c r="AD441" s="57"/>
      <c r="AE441" s="57"/>
      <c r="AF441" s="100"/>
      <c r="AG441" s="100"/>
    </row>
    <row r="442" spans="1:33" s="68" customFormat="1" x14ac:dyDescent="0.2">
      <c r="A442" s="152" t="s">
        <v>132</v>
      </c>
      <c r="B442" s="152"/>
      <c r="C442" s="152"/>
      <c r="D442" s="153">
        <v>1</v>
      </c>
      <c r="E442" s="64"/>
      <c r="F442" s="154">
        <v>0.12</v>
      </c>
      <c r="G442" s="154"/>
      <c r="H442" s="67">
        <v>48468</v>
      </c>
      <c r="I442" s="67">
        <f t="shared" ref="I442:I454" si="211">+$H$42*H442</f>
        <v>46329.917090889401</v>
      </c>
      <c r="J442" s="67">
        <f t="shared" ref="J442:J460" si="212">I442*(1-F442)</f>
        <v>40770.327039982672</v>
      </c>
      <c r="K442" s="64"/>
      <c r="L442" s="64">
        <v>-8744</v>
      </c>
      <c r="M442" s="63">
        <f t="shared" ref="M442:M460" si="213">+$L$42*L442</f>
        <v>-8744</v>
      </c>
      <c r="N442" s="63">
        <f t="shared" ref="N442:N460" si="214">M442*(1-F442)</f>
        <v>-7694.72</v>
      </c>
      <c r="O442" s="64"/>
      <c r="P442" s="64">
        <v>0</v>
      </c>
      <c r="Q442" s="63">
        <f t="shared" ref="Q442:Q454" si="215">+P442*$P$42</f>
        <v>0</v>
      </c>
      <c r="R442" s="64">
        <f t="shared" ref="R442:R460" si="216">Q442*(1-F442)</f>
        <v>0</v>
      </c>
      <c r="S442" s="153">
        <v>15</v>
      </c>
      <c r="T442" s="155" t="s">
        <v>15</v>
      </c>
      <c r="U442" s="65">
        <f>SUMIF('Avoided Costs 2012-2020_EGD'!$A:$A,'2012 Actuals_Auditor'!T442&amp;'2012 Actuals_Auditor'!S442,'Avoided Costs 2012-2020_EGD'!$E:$E)*J442</f>
        <v>99067.975714568078</v>
      </c>
      <c r="V442" s="65">
        <f>SUMIF('Avoided Costs 2012-2020_EGD'!$A:$A,'2012 Actuals_Auditor'!T442&amp;'2012 Actuals_Auditor'!S442,'Avoided Costs 2012-2020_EGD'!$K:$K)*N442</f>
        <v>-7923.8951228923424</v>
      </c>
      <c r="W442" s="65">
        <f>SUMIF('Avoided Costs 2012-2020_EGD'!$A:$A,'2012 Actuals_Auditor'!T442&amp;'2012 Actuals_Auditor'!S442,'Avoided Costs 2012-2020_EGD'!$M:$M)*R442</f>
        <v>0</v>
      </c>
      <c r="X442" s="65">
        <f t="shared" ref="X442:X460" si="217">SUM(U442:W442)</f>
        <v>91144.080591675738</v>
      </c>
      <c r="Y442" s="146">
        <v>76127</v>
      </c>
      <c r="Z442" s="66">
        <f t="shared" ref="Z442:Z460" si="218">Y442*(1-F442)</f>
        <v>66991.759999999995</v>
      </c>
      <c r="AA442" s="66"/>
      <c r="AB442" s="66"/>
      <c r="AC442" s="66"/>
      <c r="AD442" s="66">
        <f t="shared" ref="AD442:AD461" si="219">Z442+AB442</f>
        <v>66991.759999999995</v>
      </c>
      <c r="AE442" s="66">
        <f t="shared" ref="AE442:AE461" si="220">X442-AD442</f>
        <v>24152.320591675743</v>
      </c>
      <c r="AF442" s="101">
        <f t="shared" ref="AF442:AF460" si="221">J442*S442</f>
        <v>611554.9055997401</v>
      </c>
      <c r="AG442" s="101">
        <f t="shared" ref="AG442:AG460" si="222">(I442*S442)</f>
        <v>694948.756363341</v>
      </c>
    </row>
    <row r="443" spans="1:33" s="68" customFormat="1" x14ac:dyDescent="0.2">
      <c r="A443" s="152" t="s">
        <v>133</v>
      </c>
      <c r="B443" s="152"/>
      <c r="C443" s="152"/>
      <c r="D443" s="153">
        <v>1</v>
      </c>
      <c r="E443" s="64"/>
      <c r="F443" s="154">
        <v>0.12</v>
      </c>
      <c r="G443" s="154"/>
      <c r="H443" s="67">
        <v>14938</v>
      </c>
      <c r="I443" s="67">
        <f t="shared" si="211"/>
        <v>14279.035683413918</v>
      </c>
      <c r="J443" s="67">
        <f t="shared" si="212"/>
        <v>12565.551401404247</v>
      </c>
      <c r="K443" s="64"/>
      <c r="L443" s="64">
        <v>68073</v>
      </c>
      <c r="M443" s="63">
        <f t="shared" si="213"/>
        <v>68073</v>
      </c>
      <c r="N443" s="63">
        <f t="shared" si="214"/>
        <v>59904.24</v>
      </c>
      <c r="O443" s="64"/>
      <c r="P443" s="64">
        <v>0</v>
      </c>
      <c r="Q443" s="63">
        <f t="shared" si="215"/>
        <v>0</v>
      </c>
      <c r="R443" s="64">
        <f t="shared" si="216"/>
        <v>0</v>
      </c>
      <c r="S443" s="153">
        <v>15</v>
      </c>
      <c r="T443" s="155" t="s">
        <v>15</v>
      </c>
      <c r="U443" s="65">
        <f>SUMIF('Avoided Costs 2012-2020_EGD'!$A:$A,'2012 Actuals_Auditor'!T443&amp;'2012 Actuals_Auditor'!S443,'Avoided Costs 2012-2020_EGD'!$E:$E)*J443</f>
        <v>30533.08205876491</v>
      </c>
      <c r="V443" s="65">
        <f>SUMIF('Avoided Costs 2012-2020_EGD'!$A:$A,'2012 Actuals_Auditor'!T443&amp;'2012 Actuals_Auditor'!S443,'Avoided Costs 2012-2020_EGD'!$K:$K)*N443</f>
        <v>61688.39349275508</v>
      </c>
      <c r="W443" s="65">
        <f>SUMIF('Avoided Costs 2012-2020_EGD'!$A:$A,'2012 Actuals_Auditor'!T443&amp;'2012 Actuals_Auditor'!S443,'Avoided Costs 2012-2020_EGD'!$M:$M)*R443</f>
        <v>0</v>
      </c>
      <c r="X443" s="65">
        <f t="shared" si="217"/>
        <v>92221.475551519994</v>
      </c>
      <c r="Y443" s="146">
        <v>24375</v>
      </c>
      <c r="Z443" s="66">
        <f t="shared" si="218"/>
        <v>21450</v>
      </c>
      <c r="AA443" s="66"/>
      <c r="AB443" s="66"/>
      <c r="AC443" s="66"/>
      <c r="AD443" s="66">
        <f t="shared" si="219"/>
        <v>21450</v>
      </c>
      <c r="AE443" s="66">
        <f t="shared" si="220"/>
        <v>70771.475551519994</v>
      </c>
      <c r="AF443" s="101">
        <f t="shared" si="221"/>
        <v>188483.2710210637</v>
      </c>
      <c r="AG443" s="101">
        <f t="shared" si="222"/>
        <v>214185.53525120878</v>
      </c>
    </row>
    <row r="444" spans="1:33" s="68" customFormat="1" x14ac:dyDescent="0.2">
      <c r="A444" s="152" t="s">
        <v>134</v>
      </c>
      <c r="B444" s="152"/>
      <c r="C444" s="152"/>
      <c r="D444" s="153">
        <v>1</v>
      </c>
      <c r="E444" s="64"/>
      <c r="F444" s="154">
        <v>0.12</v>
      </c>
      <c r="G444" s="154"/>
      <c r="H444" s="67">
        <v>11340</v>
      </c>
      <c r="I444" s="67">
        <f t="shared" si="211"/>
        <v>10839.755298561644</v>
      </c>
      <c r="J444" s="67">
        <f t="shared" si="212"/>
        <v>9538.9846627342467</v>
      </c>
      <c r="K444" s="64"/>
      <c r="L444" s="64">
        <v>0</v>
      </c>
      <c r="M444" s="63">
        <f t="shared" si="213"/>
        <v>0</v>
      </c>
      <c r="N444" s="63">
        <f t="shared" si="214"/>
        <v>0</v>
      </c>
      <c r="O444" s="64"/>
      <c r="P444" s="64">
        <v>0</v>
      </c>
      <c r="Q444" s="63">
        <f t="shared" si="215"/>
        <v>0</v>
      </c>
      <c r="R444" s="64">
        <f t="shared" si="216"/>
        <v>0</v>
      </c>
      <c r="S444" s="153">
        <v>25</v>
      </c>
      <c r="T444" s="155" t="s">
        <v>15</v>
      </c>
      <c r="U444" s="65">
        <f>SUMIF('Avoided Costs 2012-2020_EGD'!$A:$A,'2012 Actuals_Auditor'!T444&amp;'2012 Actuals_Auditor'!S444,'Avoided Costs 2012-2020_EGD'!$E:$E)*J444</f>
        <v>32756.825626532776</v>
      </c>
      <c r="V444" s="65">
        <f>SUMIF('Avoided Costs 2012-2020_EGD'!$A:$A,'2012 Actuals_Auditor'!T444&amp;'2012 Actuals_Auditor'!S444,'Avoided Costs 2012-2020_EGD'!$K:$K)*N444</f>
        <v>0</v>
      </c>
      <c r="W444" s="65">
        <f>SUMIF('Avoided Costs 2012-2020_EGD'!$A:$A,'2012 Actuals_Auditor'!T444&amp;'2012 Actuals_Auditor'!S444,'Avoided Costs 2012-2020_EGD'!$M:$M)*R444</f>
        <v>0</v>
      </c>
      <c r="X444" s="65">
        <f t="shared" si="217"/>
        <v>32756.825626532776</v>
      </c>
      <c r="Y444" s="146">
        <v>23356</v>
      </c>
      <c r="Z444" s="66">
        <f t="shared" si="218"/>
        <v>20553.28</v>
      </c>
      <c r="AA444" s="66"/>
      <c r="AB444" s="66"/>
      <c r="AC444" s="66"/>
      <c r="AD444" s="66">
        <f t="shared" si="219"/>
        <v>20553.28</v>
      </c>
      <c r="AE444" s="66">
        <f t="shared" si="220"/>
        <v>12203.545626532778</v>
      </c>
      <c r="AF444" s="101">
        <f t="shared" si="221"/>
        <v>238474.61656835617</v>
      </c>
      <c r="AG444" s="101">
        <f t="shared" si="222"/>
        <v>270993.88246404112</v>
      </c>
    </row>
    <row r="445" spans="1:33" s="68" customFormat="1" x14ac:dyDescent="0.2">
      <c r="A445" s="152" t="s">
        <v>135</v>
      </c>
      <c r="B445" s="152"/>
      <c r="C445" s="152"/>
      <c r="D445" s="153">
        <v>1</v>
      </c>
      <c r="E445" s="64"/>
      <c r="F445" s="154">
        <v>0.12</v>
      </c>
      <c r="G445" s="154"/>
      <c r="H445" s="67">
        <v>5973</v>
      </c>
      <c r="I445" s="67">
        <f t="shared" si="211"/>
        <v>5709.5113226021786</v>
      </c>
      <c r="J445" s="67">
        <f t="shared" si="212"/>
        <v>5024.369963889917</v>
      </c>
      <c r="K445" s="64"/>
      <c r="L445" s="64">
        <v>0</v>
      </c>
      <c r="M445" s="63">
        <f t="shared" si="213"/>
        <v>0</v>
      </c>
      <c r="N445" s="63">
        <f t="shared" si="214"/>
        <v>0</v>
      </c>
      <c r="O445" s="64"/>
      <c r="P445" s="64">
        <v>0</v>
      </c>
      <c r="Q445" s="63">
        <f t="shared" si="215"/>
        <v>0</v>
      </c>
      <c r="R445" s="64">
        <f t="shared" si="216"/>
        <v>0</v>
      </c>
      <c r="S445" s="153">
        <v>25</v>
      </c>
      <c r="T445" s="155" t="s">
        <v>15</v>
      </c>
      <c r="U445" s="65">
        <f>SUMIF('Avoided Costs 2012-2020_EGD'!$A:$A,'2012 Actuals_Auditor'!T445&amp;'2012 Actuals_Auditor'!S445,'Avoided Costs 2012-2020_EGD'!$E:$E)*J445</f>
        <v>17253.661328684328</v>
      </c>
      <c r="V445" s="65">
        <f>SUMIF('Avoided Costs 2012-2020_EGD'!$A:$A,'2012 Actuals_Auditor'!T445&amp;'2012 Actuals_Auditor'!S445,'Avoided Costs 2012-2020_EGD'!$K:$K)*N445</f>
        <v>0</v>
      </c>
      <c r="W445" s="65">
        <f>SUMIF('Avoided Costs 2012-2020_EGD'!$A:$A,'2012 Actuals_Auditor'!T445&amp;'2012 Actuals_Auditor'!S445,'Avoided Costs 2012-2020_EGD'!$M:$M)*R445</f>
        <v>0</v>
      </c>
      <c r="X445" s="65">
        <f t="shared" si="217"/>
        <v>17253.661328684328</v>
      </c>
      <c r="Y445" s="146">
        <v>10573</v>
      </c>
      <c r="Z445" s="66">
        <f t="shared" si="218"/>
        <v>9304.24</v>
      </c>
      <c r="AA445" s="66"/>
      <c r="AB445" s="66"/>
      <c r="AC445" s="66"/>
      <c r="AD445" s="66">
        <f t="shared" si="219"/>
        <v>9304.24</v>
      </c>
      <c r="AE445" s="66">
        <f t="shared" si="220"/>
        <v>7949.4213286843278</v>
      </c>
      <c r="AF445" s="101">
        <f t="shared" si="221"/>
        <v>125609.24909724793</v>
      </c>
      <c r="AG445" s="101">
        <f t="shared" si="222"/>
        <v>142737.78306505445</v>
      </c>
    </row>
    <row r="446" spans="1:33" s="68" customFormat="1" x14ac:dyDescent="0.2">
      <c r="A446" s="152" t="s">
        <v>136</v>
      </c>
      <c r="B446" s="152"/>
      <c r="C446" s="152"/>
      <c r="D446" s="153">
        <v>1</v>
      </c>
      <c r="E446" s="64"/>
      <c r="F446" s="154">
        <v>0.12</v>
      </c>
      <c r="G446" s="154"/>
      <c r="H446" s="67">
        <v>85696</v>
      </c>
      <c r="I446" s="67">
        <f t="shared" si="211"/>
        <v>81915.667554280299</v>
      </c>
      <c r="J446" s="67">
        <f t="shared" si="212"/>
        <v>72085.787447766663</v>
      </c>
      <c r="K446" s="64"/>
      <c r="L446" s="64">
        <v>256706</v>
      </c>
      <c r="M446" s="63">
        <f t="shared" si="213"/>
        <v>256706</v>
      </c>
      <c r="N446" s="63">
        <f t="shared" si="214"/>
        <v>225901.28</v>
      </c>
      <c r="O446" s="64"/>
      <c r="P446" s="64">
        <v>0</v>
      </c>
      <c r="Q446" s="63">
        <f t="shared" si="215"/>
        <v>0</v>
      </c>
      <c r="R446" s="64">
        <f t="shared" si="216"/>
        <v>0</v>
      </c>
      <c r="S446" s="153">
        <v>15</v>
      </c>
      <c r="T446" s="155" t="s">
        <v>15</v>
      </c>
      <c r="U446" s="65">
        <f>SUMIF('Avoided Costs 2012-2020_EGD'!$A:$A,'2012 Actuals_Auditor'!T446&amp;'2012 Actuals_Auditor'!S446,'Avoided Costs 2012-2020_EGD'!$E:$E)*J446</f>
        <v>175161.5343491711</v>
      </c>
      <c r="V446" s="65">
        <f>SUMIF('Avoided Costs 2012-2020_EGD'!$A:$A,'2012 Actuals_Auditor'!T446&amp;'2012 Actuals_Auditor'!S446,'Avoided Costs 2012-2020_EGD'!$K:$K)*N446</f>
        <v>232629.39403215938</v>
      </c>
      <c r="W446" s="65">
        <f>SUMIF('Avoided Costs 2012-2020_EGD'!$A:$A,'2012 Actuals_Auditor'!T446&amp;'2012 Actuals_Auditor'!S446,'Avoided Costs 2012-2020_EGD'!$M:$M)*R446</f>
        <v>0</v>
      </c>
      <c r="X446" s="65">
        <f t="shared" si="217"/>
        <v>407790.92838133045</v>
      </c>
      <c r="Y446" s="146">
        <v>175000</v>
      </c>
      <c r="Z446" s="66">
        <f t="shared" si="218"/>
        <v>154000</v>
      </c>
      <c r="AA446" s="66"/>
      <c r="AB446" s="66"/>
      <c r="AC446" s="66"/>
      <c r="AD446" s="66">
        <f t="shared" si="219"/>
        <v>154000</v>
      </c>
      <c r="AE446" s="66">
        <f t="shared" si="220"/>
        <v>253790.92838133045</v>
      </c>
      <c r="AF446" s="101">
        <f t="shared" si="221"/>
        <v>1081286.8117165</v>
      </c>
      <c r="AG446" s="101">
        <f t="shared" si="222"/>
        <v>1228735.0133142045</v>
      </c>
    </row>
    <row r="447" spans="1:33" s="68" customFormat="1" x14ac:dyDescent="0.2">
      <c r="A447" s="152" t="s">
        <v>137</v>
      </c>
      <c r="B447" s="152"/>
      <c r="C447" s="152"/>
      <c r="D447" s="153">
        <v>1</v>
      </c>
      <c r="E447" s="64"/>
      <c r="F447" s="154">
        <v>0.12</v>
      </c>
      <c r="G447" s="154"/>
      <c r="H447" s="67">
        <v>291503</v>
      </c>
      <c r="I447" s="67">
        <f t="shared" si="211"/>
        <v>278643.84380922531</v>
      </c>
      <c r="J447" s="67">
        <f t="shared" si="212"/>
        <v>245206.58255211826</v>
      </c>
      <c r="K447" s="64"/>
      <c r="L447" s="64">
        <v>2021753</v>
      </c>
      <c r="M447" s="63">
        <f t="shared" si="213"/>
        <v>2021753</v>
      </c>
      <c r="N447" s="63">
        <f t="shared" si="214"/>
        <v>1779142.64</v>
      </c>
      <c r="O447" s="64"/>
      <c r="P447" s="64">
        <v>0</v>
      </c>
      <c r="Q447" s="63">
        <f t="shared" si="215"/>
        <v>0</v>
      </c>
      <c r="R447" s="64">
        <f t="shared" si="216"/>
        <v>0</v>
      </c>
      <c r="S447" s="153">
        <v>15</v>
      </c>
      <c r="T447" s="155" t="s">
        <v>15</v>
      </c>
      <c r="U447" s="65">
        <f>SUMIF('Avoided Costs 2012-2020_EGD'!$A:$A,'2012 Actuals_Auditor'!T447&amp;'2012 Actuals_Auditor'!S447,'Avoided Costs 2012-2020_EGD'!$E:$E)*J447</f>
        <v>595828.425450271</v>
      </c>
      <c r="V447" s="65">
        <f>SUMIF('Avoided Costs 2012-2020_EGD'!$A:$A,'2012 Actuals_Auditor'!T447&amp;'2012 Actuals_Auditor'!S447,'Avoided Costs 2012-2020_EGD'!$K:$K)*N447</f>
        <v>1832131.6029726625</v>
      </c>
      <c r="W447" s="65">
        <f>SUMIF('Avoided Costs 2012-2020_EGD'!$A:$A,'2012 Actuals_Auditor'!T447&amp;'2012 Actuals_Auditor'!S447,'Avoided Costs 2012-2020_EGD'!$M:$M)*R447</f>
        <v>0</v>
      </c>
      <c r="X447" s="65">
        <f t="shared" si="217"/>
        <v>2427960.0284229335</v>
      </c>
      <c r="Y447" s="146">
        <v>349000</v>
      </c>
      <c r="Z447" s="66">
        <f t="shared" si="218"/>
        <v>307120</v>
      </c>
      <c r="AA447" s="66"/>
      <c r="AB447" s="66"/>
      <c r="AC447" s="66"/>
      <c r="AD447" s="66">
        <f t="shared" si="219"/>
        <v>307120</v>
      </c>
      <c r="AE447" s="66">
        <f t="shared" si="220"/>
        <v>2120840.0284229335</v>
      </c>
      <c r="AF447" s="101">
        <f t="shared" si="221"/>
        <v>3678098.7382817739</v>
      </c>
      <c r="AG447" s="101">
        <f t="shared" si="222"/>
        <v>4179657.6571383798</v>
      </c>
    </row>
    <row r="448" spans="1:33" s="68" customFormat="1" x14ac:dyDescent="0.2">
      <c r="A448" s="152" t="s">
        <v>138</v>
      </c>
      <c r="B448" s="152"/>
      <c r="C448" s="152"/>
      <c r="D448" s="153">
        <v>1</v>
      </c>
      <c r="E448" s="64"/>
      <c r="F448" s="154">
        <v>0.12</v>
      </c>
      <c r="G448" s="154"/>
      <c r="H448" s="67">
        <v>152321</v>
      </c>
      <c r="I448" s="67">
        <f t="shared" si="211"/>
        <v>145601.61965010656</v>
      </c>
      <c r="J448" s="67">
        <f t="shared" si="212"/>
        <v>128129.42529209377</v>
      </c>
      <c r="K448" s="64"/>
      <c r="L448" s="64">
        <v>0</v>
      </c>
      <c r="M448" s="63">
        <f t="shared" si="213"/>
        <v>0</v>
      </c>
      <c r="N448" s="63">
        <f t="shared" si="214"/>
        <v>0</v>
      </c>
      <c r="O448" s="64"/>
      <c r="P448" s="64">
        <v>0</v>
      </c>
      <c r="Q448" s="63">
        <f t="shared" si="215"/>
        <v>0</v>
      </c>
      <c r="R448" s="64">
        <f t="shared" si="216"/>
        <v>0</v>
      </c>
      <c r="S448" s="153">
        <v>15</v>
      </c>
      <c r="T448" s="155" t="s">
        <v>15</v>
      </c>
      <c r="U448" s="65">
        <f>SUMIF('Avoided Costs 2012-2020_EGD'!$A:$A,'2012 Actuals_Auditor'!T448&amp;'2012 Actuals_Auditor'!S448,'Avoided Costs 2012-2020_EGD'!$E:$E)*J448</f>
        <v>311342.18719193543</v>
      </c>
      <c r="V448" s="65">
        <f>SUMIF('Avoided Costs 2012-2020_EGD'!$A:$A,'2012 Actuals_Auditor'!T448&amp;'2012 Actuals_Auditor'!S448,'Avoided Costs 2012-2020_EGD'!$K:$K)*N448</f>
        <v>0</v>
      </c>
      <c r="W448" s="65">
        <f>SUMIF('Avoided Costs 2012-2020_EGD'!$A:$A,'2012 Actuals_Auditor'!T448&amp;'2012 Actuals_Auditor'!S448,'Avoided Costs 2012-2020_EGD'!$M:$M)*R448</f>
        <v>0</v>
      </c>
      <c r="X448" s="65">
        <f t="shared" si="217"/>
        <v>311342.18719193543</v>
      </c>
      <c r="Y448" s="146">
        <v>258008</v>
      </c>
      <c r="Z448" s="66">
        <f t="shared" si="218"/>
        <v>227047.04000000001</v>
      </c>
      <c r="AA448" s="66"/>
      <c r="AB448" s="66"/>
      <c r="AC448" s="66"/>
      <c r="AD448" s="66">
        <f t="shared" si="219"/>
        <v>227047.04000000001</v>
      </c>
      <c r="AE448" s="66">
        <f t="shared" si="220"/>
        <v>84295.147191935423</v>
      </c>
      <c r="AF448" s="101">
        <f t="shared" si="221"/>
        <v>1921941.3793814066</v>
      </c>
      <c r="AG448" s="101">
        <f t="shared" si="222"/>
        <v>2184024.2947515985</v>
      </c>
    </row>
    <row r="449" spans="1:33" s="68" customFormat="1" x14ac:dyDescent="0.2">
      <c r="A449" s="152" t="s">
        <v>139</v>
      </c>
      <c r="B449" s="152"/>
      <c r="C449" s="152"/>
      <c r="D449" s="153">
        <v>1</v>
      </c>
      <c r="E449" s="64"/>
      <c r="F449" s="154">
        <v>0.12</v>
      </c>
      <c r="G449" s="154"/>
      <c r="H449" s="67">
        <v>84822</v>
      </c>
      <c r="I449" s="67">
        <f t="shared" si="211"/>
        <v>81080.222569188336</v>
      </c>
      <c r="J449" s="67">
        <f t="shared" si="212"/>
        <v>71350.595860885733</v>
      </c>
      <c r="K449" s="64"/>
      <c r="L449" s="64">
        <v>3121</v>
      </c>
      <c r="M449" s="63">
        <f t="shared" si="213"/>
        <v>3121</v>
      </c>
      <c r="N449" s="63">
        <f t="shared" si="214"/>
        <v>2746.48</v>
      </c>
      <c r="O449" s="64"/>
      <c r="P449" s="64">
        <v>0</v>
      </c>
      <c r="Q449" s="63">
        <f t="shared" si="215"/>
        <v>0</v>
      </c>
      <c r="R449" s="64">
        <f t="shared" si="216"/>
        <v>0</v>
      </c>
      <c r="S449" s="153">
        <v>15</v>
      </c>
      <c r="T449" s="155" t="s">
        <v>15</v>
      </c>
      <c r="U449" s="65">
        <f>SUMIF('Avoided Costs 2012-2020_EGD'!$A:$A,'2012 Actuals_Auditor'!T449&amp;'2012 Actuals_Auditor'!S449,'Avoided Costs 2012-2020_EGD'!$E:$E)*J449</f>
        <v>173375.0894623482</v>
      </c>
      <c r="V449" s="65">
        <f>SUMIF('Avoided Costs 2012-2020_EGD'!$A:$A,'2012 Actuals_Auditor'!T449&amp;'2012 Actuals_Auditor'!S449,'Avoided Costs 2012-2020_EGD'!$K:$K)*N449</f>
        <v>2828.2795835483762</v>
      </c>
      <c r="W449" s="65">
        <f>SUMIF('Avoided Costs 2012-2020_EGD'!$A:$A,'2012 Actuals_Auditor'!T449&amp;'2012 Actuals_Auditor'!S449,'Avoided Costs 2012-2020_EGD'!$M:$M)*R449</f>
        <v>0</v>
      </c>
      <c r="X449" s="65">
        <f t="shared" si="217"/>
        <v>176203.36904589657</v>
      </c>
      <c r="Y449" s="146">
        <v>177500</v>
      </c>
      <c r="Z449" s="66">
        <f t="shared" si="218"/>
        <v>156200</v>
      </c>
      <c r="AA449" s="66"/>
      <c r="AB449" s="66"/>
      <c r="AC449" s="66"/>
      <c r="AD449" s="66">
        <f t="shared" si="219"/>
        <v>156200</v>
      </c>
      <c r="AE449" s="66">
        <f t="shared" si="220"/>
        <v>20003.369045896572</v>
      </c>
      <c r="AF449" s="101">
        <f t="shared" si="221"/>
        <v>1070258.937913286</v>
      </c>
      <c r="AG449" s="101">
        <f t="shared" si="222"/>
        <v>1216203.338537825</v>
      </c>
    </row>
    <row r="450" spans="1:33" s="68" customFormat="1" x14ac:dyDescent="0.2">
      <c r="A450" s="152" t="s">
        <v>140</v>
      </c>
      <c r="B450" s="152"/>
      <c r="C450" s="152"/>
      <c r="D450" s="153">
        <v>1</v>
      </c>
      <c r="E450" s="64"/>
      <c r="F450" s="154">
        <v>0.12</v>
      </c>
      <c r="G450" s="154"/>
      <c r="H450" s="67">
        <v>17099</v>
      </c>
      <c r="I450" s="67">
        <f t="shared" si="211"/>
        <v>16344.706865088674</v>
      </c>
      <c r="J450" s="67">
        <f t="shared" si="212"/>
        <v>14383.342041278032</v>
      </c>
      <c r="K450" s="64"/>
      <c r="L450" s="64">
        <v>0</v>
      </c>
      <c r="M450" s="63">
        <f t="shared" si="213"/>
        <v>0</v>
      </c>
      <c r="N450" s="63">
        <f t="shared" si="214"/>
        <v>0</v>
      </c>
      <c r="O450" s="64"/>
      <c r="P450" s="64">
        <v>0</v>
      </c>
      <c r="Q450" s="63">
        <f t="shared" si="215"/>
        <v>0</v>
      </c>
      <c r="R450" s="64">
        <f t="shared" si="216"/>
        <v>0</v>
      </c>
      <c r="S450" s="153">
        <v>25</v>
      </c>
      <c r="T450" s="155" t="s">
        <v>15</v>
      </c>
      <c r="U450" s="65">
        <f>SUMIF('Avoided Costs 2012-2020_EGD'!$A:$A,'2012 Actuals_Auditor'!T450&amp;'2012 Actuals_Auditor'!S450,'Avoided Costs 2012-2020_EGD'!$E:$E)*J450</f>
        <v>49392.324637397171</v>
      </c>
      <c r="V450" s="65">
        <f>SUMIF('Avoided Costs 2012-2020_EGD'!$A:$A,'2012 Actuals_Auditor'!T450&amp;'2012 Actuals_Auditor'!S450,'Avoided Costs 2012-2020_EGD'!$K:$K)*N450</f>
        <v>0</v>
      </c>
      <c r="W450" s="65">
        <f>SUMIF('Avoided Costs 2012-2020_EGD'!$A:$A,'2012 Actuals_Auditor'!T450&amp;'2012 Actuals_Auditor'!S450,'Avoided Costs 2012-2020_EGD'!$M:$M)*R450</f>
        <v>0</v>
      </c>
      <c r="X450" s="65">
        <f t="shared" si="217"/>
        <v>49392.324637397171</v>
      </c>
      <c r="Y450" s="146">
        <v>7439</v>
      </c>
      <c r="Z450" s="66">
        <f t="shared" si="218"/>
        <v>6546.32</v>
      </c>
      <c r="AA450" s="66"/>
      <c r="AB450" s="66"/>
      <c r="AC450" s="66"/>
      <c r="AD450" s="66">
        <f t="shared" si="219"/>
        <v>6546.32</v>
      </c>
      <c r="AE450" s="66">
        <f t="shared" si="220"/>
        <v>42846.004637397171</v>
      </c>
      <c r="AF450" s="101">
        <f t="shared" si="221"/>
        <v>359583.5510319508</v>
      </c>
      <c r="AG450" s="101">
        <f t="shared" si="222"/>
        <v>408617.67162721686</v>
      </c>
    </row>
    <row r="451" spans="1:33" s="68" customFormat="1" x14ac:dyDescent="0.2">
      <c r="A451" s="152" t="s">
        <v>141</v>
      </c>
      <c r="B451" s="152"/>
      <c r="C451" s="152"/>
      <c r="D451" s="153">
        <v>0</v>
      </c>
      <c r="E451" s="64"/>
      <c r="F451" s="154">
        <v>0.12</v>
      </c>
      <c r="G451" s="154"/>
      <c r="H451" s="67"/>
      <c r="I451" s="67">
        <f t="shared" si="211"/>
        <v>0</v>
      </c>
      <c r="J451" s="67">
        <f t="shared" si="212"/>
        <v>0</v>
      </c>
      <c r="K451" s="64"/>
      <c r="L451" s="64">
        <v>0</v>
      </c>
      <c r="M451" s="63">
        <f t="shared" si="213"/>
        <v>0</v>
      </c>
      <c r="N451" s="63">
        <f t="shared" si="214"/>
        <v>0</v>
      </c>
      <c r="O451" s="64"/>
      <c r="P451" s="64">
        <v>0</v>
      </c>
      <c r="Q451" s="63">
        <f t="shared" si="215"/>
        <v>0</v>
      </c>
      <c r="R451" s="64">
        <f t="shared" si="216"/>
        <v>0</v>
      </c>
      <c r="S451" s="153">
        <v>25</v>
      </c>
      <c r="T451" s="155" t="s">
        <v>52</v>
      </c>
      <c r="U451" s="65">
        <f>SUMIF('Avoided Costs 2012-2020_EGD'!$A:$A,'2012 Actuals_Auditor'!T451&amp;'2012 Actuals_Auditor'!S451,'Avoided Costs 2012-2020_EGD'!$E:$E)*J451</f>
        <v>0</v>
      </c>
      <c r="V451" s="65">
        <f>SUMIF('Avoided Costs 2012-2020_EGD'!$A:$A,'2012 Actuals_Auditor'!T451&amp;'2012 Actuals_Auditor'!S451,'Avoided Costs 2012-2020_EGD'!$K:$K)*N451</f>
        <v>0</v>
      </c>
      <c r="W451" s="65">
        <f>SUMIF('Avoided Costs 2012-2020_EGD'!$A:$A,'2012 Actuals_Auditor'!T451&amp;'2012 Actuals_Auditor'!S451,'Avoided Costs 2012-2020_EGD'!$M:$M)*R451</f>
        <v>0</v>
      </c>
      <c r="X451" s="65">
        <f t="shared" si="217"/>
        <v>0</v>
      </c>
      <c r="Y451" s="146">
        <v>6913</v>
      </c>
      <c r="Z451" s="66">
        <f t="shared" si="218"/>
        <v>6083.44</v>
      </c>
      <c r="AA451" s="66"/>
      <c r="AB451" s="66"/>
      <c r="AC451" s="66"/>
      <c r="AD451" s="66">
        <f t="shared" si="219"/>
        <v>6083.44</v>
      </c>
      <c r="AE451" s="66">
        <f t="shared" si="220"/>
        <v>-6083.44</v>
      </c>
      <c r="AF451" s="101">
        <f t="shared" si="221"/>
        <v>0</v>
      </c>
      <c r="AG451" s="101">
        <f t="shared" si="222"/>
        <v>0</v>
      </c>
    </row>
    <row r="452" spans="1:33" s="68" customFormat="1" x14ac:dyDescent="0.2">
      <c r="A452" s="152" t="s">
        <v>142</v>
      </c>
      <c r="B452" s="152"/>
      <c r="C452" s="152"/>
      <c r="D452" s="153">
        <v>1</v>
      </c>
      <c r="E452" s="64"/>
      <c r="F452" s="154">
        <v>0.12</v>
      </c>
      <c r="G452" s="154"/>
      <c r="H452" s="67">
        <v>106587</v>
      </c>
      <c r="I452" s="67">
        <f t="shared" si="211"/>
        <v>101885.09682608377</v>
      </c>
      <c r="J452" s="67">
        <f t="shared" si="212"/>
        <v>89658.885206953724</v>
      </c>
      <c r="K452" s="64"/>
      <c r="L452" s="64">
        <v>0</v>
      </c>
      <c r="M452" s="63">
        <f t="shared" si="213"/>
        <v>0</v>
      </c>
      <c r="N452" s="63">
        <f t="shared" si="214"/>
        <v>0</v>
      </c>
      <c r="O452" s="64"/>
      <c r="P452" s="64">
        <v>0</v>
      </c>
      <c r="Q452" s="63">
        <f t="shared" si="215"/>
        <v>0</v>
      </c>
      <c r="R452" s="64">
        <f t="shared" si="216"/>
        <v>0</v>
      </c>
      <c r="S452" s="153">
        <v>25</v>
      </c>
      <c r="T452" s="155" t="s">
        <v>15</v>
      </c>
      <c r="U452" s="65">
        <f>SUMIF('Avoided Costs 2012-2020_EGD'!$A:$A,'2012 Actuals_Auditor'!T452&amp;'2012 Actuals_Auditor'!S452,'Avoided Costs 2012-2020_EGD'!$E:$E)*J452</f>
        <v>307888.16340875212</v>
      </c>
      <c r="V452" s="65">
        <f>SUMIF('Avoided Costs 2012-2020_EGD'!$A:$A,'2012 Actuals_Auditor'!T452&amp;'2012 Actuals_Auditor'!S452,'Avoided Costs 2012-2020_EGD'!$K:$K)*N452</f>
        <v>0</v>
      </c>
      <c r="W452" s="65">
        <f>SUMIF('Avoided Costs 2012-2020_EGD'!$A:$A,'2012 Actuals_Auditor'!T452&amp;'2012 Actuals_Auditor'!S452,'Avoided Costs 2012-2020_EGD'!$M:$M)*R452</f>
        <v>0</v>
      </c>
      <c r="X452" s="65">
        <f t="shared" si="217"/>
        <v>307888.16340875212</v>
      </c>
      <c r="Y452" s="146">
        <v>49636</v>
      </c>
      <c r="Z452" s="66">
        <f t="shared" si="218"/>
        <v>43679.68</v>
      </c>
      <c r="AA452" s="66"/>
      <c r="AB452" s="66"/>
      <c r="AC452" s="66"/>
      <c r="AD452" s="66">
        <f t="shared" si="219"/>
        <v>43679.68</v>
      </c>
      <c r="AE452" s="66">
        <f t="shared" si="220"/>
        <v>264208.48340875213</v>
      </c>
      <c r="AF452" s="101">
        <f t="shared" si="221"/>
        <v>2241472.1301738429</v>
      </c>
      <c r="AG452" s="101">
        <f t="shared" si="222"/>
        <v>2547127.4206520943</v>
      </c>
    </row>
    <row r="453" spans="1:33" s="68" customFormat="1" x14ac:dyDescent="0.2">
      <c r="A453" s="152" t="s">
        <v>143</v>
      </c>
      <c r="B453" s="152"/>
      <c r="C453" s="152"/>
      <c r="D453" s="153">
        <v>1</v>
      </c>
      <c r="E453" s="64"/>
      <c r="F453" s="154">
        <v>0.12</v>
      </c>
      <c r="G453" s="154"/>
      <c r="H453" s="67">
        <v>100684</v>
      </c>
      <c r="I453" s="67">
        <f t="shared" si="211"/>
        <v>96242.497573225803</v>
      </c>
      <c r="J453" s="67">
        <f t="shared" si="212"/>
        <v>84693.39786443871</v>
      </c>
      <c r="K453" s="64"/>
      <c r="L453" s="64">
        <v>0</v>
      </c>
      <c r="M453" s="63">
        <f t="shared" si="213"/>
        <v>0</v>
      </c>
      <c r="N453" s="63">
        <f t="shared" si="214"/>
        <v>0</v>
      </c>
      <c r="O453" s="64"/>
      <c r="P453" s="64">
        <v>0</v>
      </c>
      <c r="Q453" s="63">
        <f t="shared" si="215"/>
        <v>0</v>
      </c>
      <c r="R453" s="64">
        <f t="shared" si="216"/>
        <v>0</v>
      </c>
      <c r="S453" s="153">
        <v>15</v>
      </c>
      <c r="T453" s="155" t="s">
        <v>15</v>
      </c>
      <c r="U453" s="65">
        <f>SUMIF('Avoided Costs 2012-2020_EGD'!$A:$A,'2012 Actuals_Auditor'!T453&amp;'2012 Actuals_Auditor'!S453,'Avoided Costs 2012-2020_EGD'!$E:$E)*J453</f>
        <v>205796.81577217075</v>
      </c>
      <c r="V453" s="65">
        <f>SUMIF('Avoided Costs 2012-2020_EGD'!$A:$A,'2012 Actuals_Auditor'!T453&amp;'2012 Actuals_Auditor'!S453,'Avoided Costs 2012-2020_EGD'!$K:$K)*N453</f>
        <v>0</v>
      </c>
      <c r="W453" s="65">
        <f>SUMIF('Avoided Costs 2012-2020_EGD'!$A:$A,'2012 Actuals_Auditor'!T453&amp;'2012 Actuals_Auditor'!S453,'Avoided Costs 2012-2020_EGD'!$M:$M)*R453</f>
        <v>0</v>
      </c>
      <c r="X453" s="65">
        <f t="shared" si="217"/>
        <v>205796.81577217075</v>
      </c>
      <c r="Y453" s="146">
        <v>22608.49</v>
      </c>
      <c r="Z453" s="66">
        <f t="shared" si="218"/>
        <v>19895.4712</v>
      </c>
      <c r="AA453" s="66"/>
      <c r="AB453" s="66"/>
      <c r="AC453" s="66"/>
      <c r="AD453" s="66">
        <f t="shared" si="219"/>
        <v>19895.4712</v>
      </c>
      <c r="AE453" s="66">
        <f t="shared" si="220"/>
        <v>185901.34457217075</v>
      </c>
      <c r="AF453" s="101">
        <f t="shared" si="221"/>
        <v>1270400.9679665808</v>
      </c>
      <c r="AG453" s="101">
        <f t="shared" si="222"/>
        <v>1443637.4635983871</v>
      </c>
    </row>
    <row r="454" spans="1:33" s="68" customFormat="1" x14ac:dyDescent="0.2">
      <c r="A454" s="152" t="s">
        <v>144</v>
      </c>
      <c r="B454" s="152"/>
      <c r="C454" s="152"/>
      <c r="D454" s="153">
        <v>1</v>
      </c>
      <c r="E454" s="64"/>
      <c r="F454" s="154">
        <v>0.12</v>
      </c>
      <c r="G454" s="154"/>
      <c r="H454" s="67">
        <v>10193</v>
      </c>
      <c r="I454" s="67">
        <f t="shared" si="211"/>
        <v>9743.35324146727</v>
      </c>
      <c r="J454" s="67">
        <f t="shared" si="212"/>
        <v>8574.1508524911969</v>
      </c>
      <c r="K454" s="64"/>
      <c r="L454" s="64">
        <v>0</v>
      </c>
      <c r="M454" s="63">
        <f t="shared" si="213"/>
        <v>0</v>
      </c>
      <c r="N454" s="63">
        <f t="shared" si="214"/>
        <v>0</v>
      </c>
      <c r="O454" s="64"/>
      <c r="P454" s="64">
        <v>0</v>
      </c>
      <c r="Q454" s="63">
        <f t="shared" si="215"/>
        <v>0</v>
      </c>
      <c r="R454" s="64">
        <f t="shared" si="216"/>
        <v>0</v>
      </c>
      <c r="S454" s="153">
        <v>25</v>
      </c>
      <c r="T454" s="155" t="s">
        <v>15</v>
      </c>
      <c r="U454" s="65">
        <f>SUMIF('Avoided Costs 2012-2020_EGD'!$A:$A,'2012 Actuals_Auditor'!T454&amp;'2012 Actuals_Auditor'!S454,'Avoided Costs 2012-2020_EGD'!$E:$E)*J454</f>
        <v>29443.591147376417</v>
      </c>
      <c r="V454" s="65">
        <f>SUMIF('Avoided Costs 2012-2020_EGD'!$A:$A,'2012 Actuals_Auditor'!T454&amp;'2012 Actuals_Auditor'!S454,'Avoided Costs 2012-2020_EGD'!$K:$K)*N454</f>
        <v>0</v>
      </c>
      <c r="W454" s="65">
        <f>SUMIF('Avoided Costs 2012-2020_EGD'!$A:$A,'2012 Actuals_Auditor'!T454&amp;'2012 Actuals_Auditor'!S454,'Avoided Costs 2012-2020_EGD'!$M:$M)*R454</f>
        <v>0</v>
      </c>
      <c r="X454" s="65">
        <f t="shared" si="217"/>
        <v>29443.591147376417</v>
      </c>
      <c r="Y454" s="146">
        <v>21488</v>
      </c>
      <c r="Z454" s="66">
        <f t="shared" si="218"/>
        <v>18909.439999999999</v>
      </c>
      <c r="AA454" s="66"/>
      <c r="AB454" s="66"/>
      <c r="AC454" s="66"/>
      <c r="AD454" s="66">
        <f t="shared" si="219"/>
        <v>18909.439999999999</v>
      </c>
      <c r="AE454" s="66">
        <f t="shared" si="220"/>
        <v>10534.151147376419</v>
      </c>
      <c r="AF454" s="101">
        <f t="shared" si="221"/>
        <v>214353.77131227992</v>
      </c>
      <c r="AG454" s="101">
        <f t="shared" si="222"/>
        <v>243583.83103668175</v>
      </c>
    </row>
    <row r="455" spans="1:33" s="68" customFormat="1" x14ac:dyDescent="0.2">
      <c r="A455" s="152" t="s">
        <v>145</v>
      </c>
      <c r="B455" s="152"/>
      <c r="C455" s="152"/>
      <c r="D455" s="153">
        <v>1</v>
      </c>
      <c r="E455" s="64"/>
      <c r="F455" s="154">
        <v>0.12</v>
      </c>
      <c r="G455" s="154"/>
      <c r="H455" s="67">
        <v>24283</v>
      </c>
      <c r="I455" s="67">
        <f>H455</f>
        <v>24283</v>
      </c>
      <c r="J455" s="67">
        <f t="shared" si="212"/>
        <v>21369.040000000001</v>
      </c>
      <c r="K455" s="64"/>
      <c r="L455" s="64">
        <v>0</v>
      </c>
      <c r="M455" s="63">
        <f>L455</f>
        <v>0</v>
      </c>
      <c r="N455" s="63">
        <f t="shared" si="214"/>
        <v>0</v>
      </c>
      <c r="O455" s="64"/>
      <c r="P455" s="64">
        <v>0</v>
      </c>
      <c r="Q455" s="63">
        <f>+P455</f>
        <v>0</v>
      </c>
      <c r="R455" s="64">
        <f t="shared" si="216"/>
        <v>0</v>
      </c>
      <c r="S455" s="153">
        <v>25</v>
      </c>
      <c r="T455" s="155" t="s">
        <v>15</v>
      </c>
      <c r="U455" s="65">
        <f>SUMIF('Avoided Costs 2012-2020_EGD'!$A:$A,'2012 Actuals_Auditor'!T455&amp;'2012 Actuals_Auditor'!S455,'Avoided Costs 2012-2020_EGD'!$E:$E)*J455</f>
        <v>73381.176491561913</v>
      </c>
      <c r="V455" s="65">
        <f>SUMIF('Avoided Costs 2012-2020_EGD'!$A:$A,'2012 Actuals_Auditor'!T455&amp;'2012 Actuals_Auditor'!S455,'Avoided Costs 2012-2020_EGD'!$K:$K)*N455</f>
        <v>0</v>
      </c>
      <c r="W455" s="65">
        <f>SUMIF('Avoided Costs 2012-2020_EGD'!$A:$A,'2012 Actuals_Auditor'!T455&amp;'2012 Actuals_Auditor'!S455,'Avoided Costs 2012-2020_EGD'!$M:$M)*R455</f>
        <v>0</v>
      </c>
      <c r="X455" s="65">
        <f t="shared" si="217"/>
        <v>73381.176491561913</v>
      </c>
      <c r="Y455" s="146">
        <v>20600</v>
      </c>
      <c r="Z455" s="66">
        <f t="shared" si="218"/>
        <v>18128</v>
      </c>
      <c r="AA455" s="66"/>
      <c r="AB455" s="66"/>
      <c r="AC455" s="66"/>
      <c r="AD455" s="66">
        <f t="shared" si="219"/>
        <v>18128</v>
      </c>
      <c r="AE455" s="66">
        <f t="shared" si="220"/>
        <v>55253.176491561913</v>
      </c>
      <c r="AF455" s="101">
        <f t="shared" si="221"/>
        <v>534226</v>
      </c>
      <c r="AG455" s="101">
        <f t="shared" si="222"/>
        <v>607075</v>
      </c>
    </row>
    <row r="456" spans="1:33" s="68" customFormat="1" x14ac:dyDescent="0.2">
      <c r="A456" s="152" t="s">
        <v>146</v>
      </c>
      <c r="B456" s="152"/>
      <c r="C456" s="152"/>
      <c r="D456" s="153">
        <v>0</v>
      </c>
      <c r="E456" s="64"/>
      <c r="F456" s="154">
        <v>0.12</v>
      </c>
      <c r="G456" s="154"/>
      <c r="H456" s="67">
        <v>1090</v>
      </c>
      <c r="I456" s="67">
        <f>+$H$42*H456</f>
        <v>1041.9165145883767</v>
      </c>
      <c r="J456" s="67">
        <f t="shared" si="212"/>
        <v>916.88653283777148</v>
      </c>
      <c r="K456" s="64"/>
      <c r="L456" s="64">
        <v>0</v>
      </c>
      <c r="M456" s="63">
        <f t="shared" si="213"/>
        <v>0</v>
      </c>
      <c r="N456" s="63">
        <f t="shared" si="214"/>
        <v>0</v>
      </c>
      <c r="O456" s="64"/>
      <c r="P456" s="64">
        <v>0</v>
      </c>
      <c r="Q456" s="63">
        <f>+P456*$P$42</f>
        <v>0</v>
      </c>
      <c r="R456" s="64">
        <f t="shared" si="216"/>
        <v>0</v>
      </c>
      <c r="S456" s="153">
        <v>25</v>
      </c>
      <c r="T456" s="155" t="s">
        <v>52</v>
      </c>
      <c r="U456" s="65">
        <f>SUMIF('Avoided Costs 2012-2020_EGD'!$A:$A,'2012 Actuals_Auditor'!T456&amp;'2012 Actuals_Auditor'!S456,'Avoided Costs 2012-2020_EGD'!$E:$E)*J456</f>
        <v>2958.6017787278001</v>
      </c>
      <c r="V456" s="65">
        <f>SUMIF('Avoided Costs 2012-2020_EGD'!$A:$A,'2012 Actuals_Auditor'!T456&amp;'2012 Actuals_Auditor'!S456,'Avoided Costs 2012-2020_EGD'!$K:$K)*N456</f>
        <v>0</v>
      </c>
      <c r="W456" s="65">
        <f>SUMIF('Avoided Costs 2012-2020_EGD'!$A:$A,'2012 Actuals_Auditor'!T456&amp;'2012 Actuals_Auditor'!S456,'Avoided Costs 2012-2020_EGD'!$M:$M)*R456</f>
        <v>0</v>
      </c>
      <c r="X456" s="65">
        <f t="shared" si="217"/>
        <v>2958.6017787278001</v>
      </c>
      <c r="Y456" s="146">
        <v>5073.8</v>
      </c>
      <c r="Z456" s="66">
        <f t="shared" si="218"/>
        <v>4464.9440000000004</v>
      </c>
      <c r="AA456" s="66"/>
      <c r="AB456" s="66"/>
      <c r="AC456" s="66"/>
      <c r="AD456" s="66">
        <f t="shared" si="219"/>
        <v>4464.9440000000004</v>
      </c>
      <c r="AE456" s="66">
        <f t="shared" si="220"/>
        <v>-1506.3422212722003</v>
      </c>
      <c r="AF456" s="101">
        <f t="shared" si="221"/>
        <v>22922.163320944288</v>
      </c>
      <c r="AG456" s="101">
        <f t="shared" si="222"/>
        <v>26047.912864709418</v>
      </c>
    </row>
    <row r="457" spans="1:33" s="68" customFormat="1" x14ac:dyDescent="0.2">
      <c r="A457" s="152" t="s">
        <v>147</v>
      </c>
      <c r="B457" s="152"/>
      <c r="C457" s="152"/>
      <c r="D457" s="153">
        <v>1</v>
      </c>
      <c r="E457" s="64"/>
      <c r="F457" s="154">
        <v>0.12</v>
      </c>
      <c r="G457" s="154"/>
      <c r="H457" s="67">
        <v>11199</v>
      </c>
      <c r="I457" s="67">
        <f>+$H$42*H457</f>
        <v>10704.975272362597</v>
      </c>
      <c r="J457" s="67">
        <f t="shared" si="212"/>
        <v>9420.3782396790848</v>
      </c>
      <c r="K457" s="64"/>
      <c r="L457" s="64">
        <v>0</v>
      </c>
      <c r="M457" s="63">
        <f t="shared" si="213"/>
        <v>0</v>
      </c>
      <c r="N457" s="63">
        <f t="shared" si="214"/>
        <v>0</v>
      </c>
      <c r="O457" s="64"/>
      <c r="P457" s="64">
        <v>0</v>
      </c>
      <c r="Q457" s="63">
        <f>+P457*$P$42</f>
        <v>0</v>
      </c>
      <c r="R457" s="64">
        <f t="shared" si="216"/>
        <v>0</v>
      </c>
      <c r="S457" s="153">
        <v>25</v>
      </c>
      <c r="T457" s="155" t="s">
        <v>15</v>
      </c>
      <c r="U457" s="65">
        <f>SUMIF('Avoided Costs 2012-2020_EGD'!$A:$A,'2012 Actuals_Auditor'!T457&amp;'2012 Actuals_Auditor'!S457,'Avoided Costs 2012-2020_EGD'!$E:$E)*J457</f>
        <v>32349.531762922445</v>
      </c>
      <c r="V457" s="65">
        <f>SUMIF('Avoided Costs 2012-2020_EGD'!$A:$A,'2012 Actuals_Auditor'!T457&amp;'2012 Actuals_Auditor'!S457,'Avoided Costs 2012-2020_EGD'!$K:$K)*N457</f>
        <v>0</v>
      </c>
      <c r="W457" s="65">
        <f>SUMIF('Avoided Costs 2012-2020_EGD'!$A:$A,'2012 Actuals_Auditor'!T457&amp;'2012 Actuals_Auditor'!S457,'Avoided Costs 2012-2020_EGD'!$M:$M)*R457</f>
        <v>0</v>
      </c>
      <c r="X457" s="65">
        <f t="shared" si="217"/>
        <v>32349.531762922445</v>
      </c>
      <c r="Y457" s="146">
        <v>18733.2</v>
      </c>
      <c r="Z457" s="66">
        <f t="shared" si="218"/>
        <v>16485.216</v>
      </c>
      <c r="AA457" s="66"/>
      <c r="AB457" s="66"/>
      <c r="AC457" s="66"/>
      <c r="AD457" s="66">
        <f t="shared" si="219"/>
        <v>16485.216</v>
      </c>
      <c r="AE457" s="66">
        <f t="shared" si="220"/>
        <v>15864.315762922444</v>
      </c>
      <c r="AF457" s="101">
        <f t="shared" si="221"/>
        <v>235509.45599197713</v>
      </c>
      <c r="AG457" s="101">
        <f t="shared" si="222"/>
        <v>267624.38180906494</v>
      </c>
    </row>
    <row r="458" spans="1:33" s="68" customFormat="1" x14ac:dyDescent="0.2">
      <c r="A458" s="152" t="s">
        <v>148</v>
      </c>
      <c r="B458" s="152"/>
      <c r="C458" s="152"/>
      <c r="D458" s="153">
        <v>1</v>
      </c>
      <c r="E458" s="64"/>
      <c r="F458" s="154">
        <v>0.12</v>
      </c>
      <c r="G458" s="154"/>
      <c r="H458" s="67">
        <v>11570</v>
      </c>
      <c r="I458" s="67">
        <f>+$H$42*H458</f>
        <v>11059.609242006898</v>
      </c>
      <c r="J458" s="67">
        <f t="shared" si="212"/>
        <v>9732.4561329660701</v>
      </c>
      <c r="K458" s="64"/>
      <c r="L458" s="64">
        <v>0</v>
      </c>
      <c r="M458" s="63">
        <f t="shared" si="213"/>
        <v>0</v>
      </c>
      <c r="N458" s="63">
        <f t="shared" si="214"/>
        <v>0</v>
      </c>
      <c r="O458" s="64"/>
      <c r="P458" s="64">
        <v>0</v>
      </c>
      <c r="Q458" s="63">
        <f>+P458*$P$42</f>
        <v>0</v>
      </c>
      <c r="R458" s="64">
        <f t="shared" si="216"/>
        <v>0</v>
      </c>
      <c r="S458" s="153">
        <v>25</v>
      </c>
      <c r="T458" s="155" t="s">
        <v>15</v>
      </c>
      <c r="U458" s="65">
        <f>SUMIF('Avoided Costs 2012-2020_EGD'!$A:$A,'2012 Actuals_Auditor'!T458&amp;'2012 Actuals_Auditor'!S458,'Avoided Costs 2012-2020_EGD'!$E:$E)*J458</f>
        <v>33421.205687741109</v>
      </c>
      <c r="V458" s="65">
        <f>SUMIF('Avoided Costs 2012-2020_EGD'!$A:$A,'2012 Actuals_Auditor'!T458&amp;'2012 Actuals_Auditor'!S458,'Avoided Costs 2012-2020_EGD'!$K:$K)*N458</f>
        <v>0</v>
      </c>
      <c r="W458" s="65">
        <f>SUMIF('Avoided Costs 2012-2020_EGD'!$A:$A,'2012 Actuals_Auditor'!T458&amp;'2012 Actuals_Auditor'!S458,'Avoided Costs 2012-2020_EGD'!$M:$M)*R458</f>
        <v>0</v>
      </c>
      <c r="X458" s="65">
        <f t="shared" si="217"/>
        <v>33421.205687741109</v>
      </c>
      <c r="Y458" s="146">
        <v>13963</v>
      </c>
      <c r="Z458" s="66">
        <f t="shared" si="218"/>
        <v>12287.44</v>
      </c>
      <c r="AA458" s="66"/>
      <c r="AB458" s="66"/>
      <c r="AC458" s="66"/>
      <c r="AD458" s="66">
        <f t="shared" si="219"/>
        <v>12287.44</v>
      </c>
      <c r="AE458" s="66">
        <f t="shared" si="220"/>
        <v>21133.765687741106</v>
      </c>
      <c r="AF458" s="101">
        <f t="shared" si="221"/>
        <v>243311.40332415176</v>
      </c>
      <c r="AG458" s="101">
        <f t="shared" si="222"/>
        <v>276490.23105017247</v>
      </c>
    </row>
    <row r="459" spans="1:33" s="68" customFormat="1" x14ac:dyDescent="0.2">
      <c r="A459" s="152" t="s">
        <v>149</v>
      </c>
      <c r="B459" s="152"/>
      <c r="C459" s="152"/>
      <c r="D459" s="153">
        <v>1</v>
      </c>
      <c r="E459" s="64"/>
      <c r="F459" s="154">
        <v>0.12</v>
      </c>
      <c r="G459" s="154"/>
      <c r="H459" s="67">
        <v>10857</v>
      </c>
      <c r="I459" s="67">
        <f>+$H$42*H459</f>
        <v>10378.062017326611</v>
      </c>
      <c r="J459" s="67">
        <f t="shared" si="212"/>
        <v>9132.6945752474167</v>
      </c>
      <c r="K459" s="64"/>
      <c r="L459" s="64">
        <v>0</v>
      </c>
      <c r="M459" s="63">
        <f t="shared" si="213"/>
        <v>0</v>
      </c>
      <c r="N459" s="63">
        <f t="shared" si="214"/>
        <v>0</v>
      </c>
      <c r="O459" s="64"/>
      <c r="P459" s="64">
        <v>0</v>
      </c>
      <c r="Q459" s="63">
        <f>+P459*$P$42</f>
        <v>0</v>
      </c>
      <c r="R459" s="64">
        <f t="shared" si="216"/>
        <v>0</v>
      </c>
      <c r="S459" s="153">
        <v>25</v>
      </c>
      <c r="T459" s="155" t="s">
        <v>15</v>
      </c>
      <c r="U459" s="65">
        <f>SUMIF('Avoided Costs 2012-2020_EGD'!$A:$A,'2012 Actuals_Auditor'!T459&amp;'2012 Actuals_Auditor'!S459,'Avoided Costs 2012-2020_EGD'!$E:$E)*J459</f>
        <v>31361.627497995265</v>
      </c>
      <c r="V459" s="65">
        <f>SUMIF('Avoided Costs 2012-2020_EGD'!$A:$A,'2012 Actuals_Auditor'!T459&amp;'2012 Actuals_Auditor'!S459,'Avoided Costs 2012-2020_EGD'!$K:$K)*N459</f>
        <v>0</v>
      </c>
      <c r="W459" s="65">
        <f>SUMIF('Avoided Costs 2012-2020_EGD'!$A:$A,'2012 Actuals_Auditor'!T459&amp;'2012 Actuals_Auditor'!S459,'Avoided Costs 2012-2020_EGD'!$M:$M)*R459</f>
        <v>0</v>
      </c>
      <c r="X459" s="65">
        <f t="shared" si="217"/>
        <v>31361.627497995265</v>
      </c>
      <c r="Y459" s="146">
        <v>5538</v>
      </c>
      <c r="Z459" s="66">
        <f t="shared" si="218"/>
        <v>4873.4399999999996</v>
      </c>
      <c r="AA459" s="66"/>
      <c r="AB459" s="66"/>
      <c r="AC459" s="66"/>
      <c r="AD459" s="66">
        <f t="shared" si="219"/>
        <v>4873.4399999999996</v>
      </c>
      <c r="AE459" s="66">
        <f t="shared" si="220"/>
        <v>26488.187497995266</v>
      </c>
      <c r="AF459" s="101">
        <f t="shared" si="221"/>
        <v>228317.36438118541</v>
      </c>
      <c r="AG459" s="101">
        <f t="shared" si="222"/>
        <v>259451.55043316528</v>
      </c>
    </row>
    <row r="460" spans="1:33" s="68" customFormat="1" x14ac:dyDescent="0.2">
      <c r="A460" s="152" t="s">
        <v>150</v>
      </c>
      <c r="B460" s="152"/>
      <c r="C460" s="152"/>
      <c r="D460" s="153">
        <v>1</v>
      </c>
      <c r="E460" s="64"/>
      <c r="F460" s="154">
        <v>0.12</v>
      </c>
      <c r="G460" s="154"/>
      <c r="H460" s="67">
        <v>19253</v>
      </c>
      <c r="I460" s="67">
        <f>+$H$42*H460</f>
        <v>18403.686839789007</v>
      </c>
      <c r="J460" s="67">
        <f t="shared" si="212"/>
        <v>16195.244419014325</v>
      </c>
      <c r="K460" s="64"/>
      <c r="L460" s="64">
        <v>115936</v>
      </c>
      <c r="M460" s="63">
        <f t="shared" si="213"/>
        <v>115936</v>
      </c>
      <c r="N460" s="63">
        <f t="shared" si="214"/>
        <v>102023.68000000001</v>
      </c>
      <c r="O460" s="64"/>
      <c r="P460" s="64">
        <v>0</v>
      </c>
      <c r="Q460" s="63">
        <f>+P460*$P$42</f>
        <v>0</v>
      </c>
      <c r="R460" s="64">
        <f t="shared" si="216"/>
        <v>0</v>
      </c>
      <c r="S460" s="153">
        <v>15</v>
      </c>
      <c r="T460" s="155" t="s">
        <v>15</v>
      </c>
      <c r="U460" s="65">
        <f>SUMIF('Avoided Costs 2012-2020_EGD'!$A:$A,'2012 Actuals_Auditor'!T460&amp;'2012 Actuals_Auditor'!S460,'Avoided Costs 2012-2020_EGD'!$E:$E)*J460</f>
        <v>39352.887192221242</v>
      </c>
      <c r="V460" s="65">
        <f>SUMIF('Avoided Costs 2012-2020_EGD'!$A:$A,'2012 Actuals_Auditor'!T460&amp;'2012 Actuals_Auditor'!S460,'Avoided Costs 2012-2020_EGD'!$K:$K)*N460</f>
        <v>105062.29471267688</v>
      </c>
      <c r="W460" s="65">
        <f>SUMIF('Avoided Costs 2012-2020_EGD'!$A:$A,'2012 Actuals_Auditor'!T460&amp;'2012 Actuals_Auditor'!S460,'Avoided Costs 2012-2020_EGD'!$M:$M)*R460</f>
        <v>0</v>
      </c>
      <c r="X460" s="65">
        <f t="shared" si="217"/>
        <v>144415.18190489814</v>
      </c>
      <c r="Y460" s="146">
        <v>21930</v>
      </c>
      <c r="Z460" s="66">
        <f t="shared" si="218"/>
        <v>19298.400000000001</v>
      </c>
      <c r="AA460" s="66"/>
      <c r="AB460" s="66"/>
      <c r="AC460" s="66"/>
      <c r="AD460" s="66">
        <f t="shared" si="219"/>
        <v>19298.400000000001</v>
      </c>
      <c r="AE460" s="66">
        <f t="shared" si="220"/>
        <v>125116.78190489815</v>
      </c>
      <c r="AF460" s="101">
        <f t="shared" si="221"/>
        <v>242928.66628521489</v>
      </c>
      <c r="AG460" s="101">
        <f t="shared" si="222"/>
        <v>276055.30259683507</v>
      </c>
    </row>
    <row r="461" spans="1:33" s="59" customFormat="1" x14ac:dyDescent="0.2">
      <c r="A461" s="152" t="s">
        <v>3</v>
      </c>
      <c r="B461" s="152" t="s">
        <v>184</v>
      </c>
      <c r="C461" s="155"/>
      <c r="D461" s="153">
        <f>SUM(D442:D460)</f>
        <v>17</v>
      </c>
      <c r="E461" s="67"/>
      <c r="F461" s="154"/>
      <c r="G461" s="228"/>
      <c r="H461" s="67">
        <f>SUM(H442:H460)</f>
        <v>1007876</v>
      </c>
      <c r="I461" s="67">
        <f>SUM(I442:I460)</f>
        <v>964486.47737020662</v>
      </c>
      <c r="J461" s="67">
        <f>SUM(J442:J460)</f>
        <v>848748.10008578177</v>
      </c>
      <c r="K461" s="64"/>
      <c r="L461" s="67">
        <f>SUM(L442:L460)</f>
        <v>2456845</v>
      </c>
      <c r="M461" s="67">
        <f>SUM(M442:M460)</f>
        <v>2456845</v>
      </c>
      <c r="N461" s="67">
        <f>SUM(N442:N460)</f>
        <v>2162023.6</v>
      </c>
      <c r="O461" s="229"/>
      <c r="P461" s="67">
        <f>SUM(P442:P460)</f>
        <v>0</v>
      </c>
      <c r="Q461" s="67">
        <f>SUM(Q442:Q460)</f>
        <v>0</v>
      </c>
      <c r="R461" s="67">
        <f>SUM(R442:R460)</f>
        <v>0</v>
      </c>
      <c r="S461" s="153"/>
      <c r="T461" s="155"/>
      <c r="U461" s="66">
        <f>SUM(U442:U460)</f>
        <v>2240664.7065591426</v>
      </c>
      <c r="V461" s="66">
        <f>SUM(V442:V460)</f>
        <v>2226416.0696709096</v>
      </c>
      <c r="W461" s="66">
        <f>SUM(W442:W460)</f>
        <v>0</v>
      </c>
      <c r="X461" s="66">
        <f>SUM(X442:X460)</f>
        <v>4467080.7762300512</v>
      </c>
      <c r="Y461" s="146"/>
      <c r="Z461" s="66">
        <f>SUM(Z442:Z460)</f>
        <v>1133318.1111999997</v>
      </c>
      <c r="AA461" s="66">
        <v>103926</v>
      </c>
      <c r="AB461" s="66">
        <v>17485</v>
      </c>
      <c r="AC461" s="66">
        <f>AB461+AA461</f>
        <v>121411</v>
      </c>
      <c r="AD461" s="66">
        <f t="shared" si="219"/>
        <v>1150803.1111999997</v>
      </c>
      <c r="AE461" s="230">
        <f t="shared" si="220"/>
        <v>3316277.6650300515</v>
      </c>
      <c r="AF461" s="101">
        <f>SUM(AF442:AF460)</f>
        <v>14508733.383367501</v>
      </c>
      <c r="AG461" s="101">
        <f>SUM(AG442:AG460)</f>
        <v>16487197.026553979</v>
      </c>
    </row>
    <row r="462" spans="1:33" x14ac:dyDescent="0.2">
      <c r="A462" s="140"/>
      <c r="F462" s="17"/>
      <c r="G462" s="17"/>
      <c r="M462" s="17"/>
      <c r="O462" s="17"/>
      <c r="P462" s="17"/>
      <c r="Q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</row>
    <row r="463" spans="1:33" x14ac:dyDescent="0.2">
      <c r="A463" s="140" t="s">
        <v>986</v>
      </c>
      <c r="B463" s="10" t="s">
        <v>55</v>
      </c>
      <c r="J463" s="13"/>
      <c r="K463" s="54"/>
      <c r="L463" s="54"/>
      <c r="O463" s="21"/>
      <c r="P463" s="22"/>
      <c r="R463" s="13"/>
      <c r="S463" s="13"/>
      <c r="Z463" s="57"/>
      <c r="AA463" s="57"/>
      <c r="AC463" s="57"/>
      <c r="AD463" s="57"/>
      <c r="AE463" s="57"/>
      <c r="AF463" s="100"/>
      <c r="AG463" s="100"/>
    </row>
    <row r="464" spans="1:33" s="68" customFormat="1" x14ac:dyDescent="0.2">
      <c r="A464" s="147" t="s">
        <v>987</v>
      </c>
      <c r="B464" s="147"/>
      <c r="C464" s="147"/>
      <c r="D464" s="148">
        <v>1</v>
      </c>
      <c r="E464" s="149"/>
      <c r="F464" s="150">
        <v>0.12</v>
      </c>
      <c r="G464" s="150"/>
      <c r="H464" s="67">
        <v>12217</v>
      </c>
      <c r="I464" s="67">
        <f>H464</f>
        <v>12217</v>
      </c>
      <c r="J464" s="67">
        <f t="shared" ref="J464:J495" si="223">I464*(1-F464)</f>
        <v>10750.960000000001</v>
      </c>
      <c r="K464" s="63"/>
      <c r="L464" s="149">
        <v>0</v>
      </c>
      <c r="M464" s="63">
        <f>L464</f>
        <v>0</v>
      </c>
      <c r="N464" s="63">
        <f t="shared" ref="N464:N495" si="224">M464*(1-F464)</f>
        <v>0</v>
      </c>
      <c r="O464" s="69"/>
      <c r="P464" s="149">
        <v>0</v>
      </c>
      <c r="Q464" s="63">
        <f>+P464</f>
        <v>0</v>
      </c>
      <c r="R464" s="64">
        <f t="shared" ref="R464:R495" si="225">Q464*(1-F464)</f>
        <v>0</v>
      </c>
      <c r="S464" s="148">
        <v>25</v>
      </c>
      <c r="T464" s="151" t="s">
        <v>15</v>
      </c>
      <c r="U464" s="65">
        <f>SUMIF('Avoided Costs 2012-2020_EGD'!$A:$A,'2012 Actuals_Auditor'!T464&amp;'2012 Actuals_Auditor'!S464,'Avoided Costs 2012-2020_EGD'!$E:$E)*J464</f>
        <v>36918.742873508709</v>
      </c>
      <c r="V464" s="65">
        <f>SUMIF('Avoided Costs 2012-2020_EGD'!$A:$A,'2012 Actuals_Auditor'!T464&amp;'2012 Actuals_Auditor'!S464,'Avoided Costs 2012-2020_EGD'!$K:$K)*N464</f>
        <v>0</v>
      </c>
      <c r="W464" s="65">
        <f>SUMIF('Avoided Costs 2012-2020_EGD'!$A:$A,'2012 Actuals_Auditor'!T464&amp;'2012 Actuals_Auditor'!S464,'Avoided Costs 2012-2020_EGD'!$M:$M)*R464</f>
        <v>0</v>
      </c>
      <c r="X464" s="65">
        <f>SUM(U464:W464)</f>
        <v>36918.742873508709</v>
      </c>
      <c r="Y464" s="146">
        <v>8646</v>
      </c>
      <c r="Z464" s="66">
        <f t="shared" ref="Z464:Z495" si="226">Y464*(1-F464)</f>
        <v>7608.4800000000005</v>
      </c>
      <c r="AA464" s="66"/>
      <c r="AB464" s="66"/>
      <c r="AC464" s="66"/>
      <c r="AD464" s="66">
        <f t="shared" ref="AD464:AD495" si="227">Z464+AB464</f>
        <v>7608.4800000000005</v>
      </c>
      <c r="AE464" s="66">
        <f t="shared" ref="AE464:AE495" si="228">X464-AD464</f>
        <v>29310.262873508709</v>
      </c>
      <c r="AF464" s="101">
        <f t="shared" ref="AF464:AF495" si="229">J464*S464</f>
        <v>268774</v>
      </c>
      <c r="AG464" s="101">
        <f t="shared" ref="AG464:AG495" si="230">(I464*S464)</f>
        <v>305425</v>
      </c>
    </row>
    <row r="465" spans="1:33" s="68" customFormat="1" x14ac:dyDescent="0.2">
      <c r="A465" s="147" t="s">
        <v>988</v>
      </c>
      <c r="B465" s="147"/>
      <c r="C465" s="147"/>
      <c r="D465" s="148">
        <v>1</v>
      </c>
      <c r="E465" s="149"/>
      <c r="F465" s="150">
        <v>0.12</v>
      </c>
      <c r="G465" s="150"/>
      <c r="H465" s="67">
        <v>8781</v>
      </c>
      <c r="I465" s="67">
        <f t="shared" ref="I465:I478" si="231">+$H$42*H465</f>
        <v>8393.6412060555376</v>
      </c>
      <c r="J465" s="67">
        <f t="shared" si="223"/>
        <v>7386.404261328873</v>
      </c>
      <c r="K465" s="63"/>
      <c r="L465" s="149">
        <v>0</v>
      </c>
      <c r="M465" s="63">
        <f t="shared" ref="M465:M565" si="232">+$L$42*L465</f>
        <v>0</v>
      </c>
      <c r="N465" s="63">
        <f t="shared" si="224"/>
        <v>0</v>
      </c>
      <c r="O465" s="69"/>
      <c r="P465" s="149">
        <v>0</v>
      </c>
      <c r="Q465" s="63">
        <f t="shared" ref="Q465:Q478" si="233">+P465*$P$42</f>
        <v>0</v>
      </c>
      <c r="R465" s="64">
        <f t="shared" si="225"/>
        <v>0</v>
      </c>
      <c r="S465" s="148">
        <v>5</v>
      </c>
      <c r="T465" s="151" t="s">
        <v>15</v>
      </c>
      <c r="U465" s="65">
        <f>SUMIF('Avoided Costs 2012-2020_EGD'!$A:$A,'2012 Actuals_Auditor'!T465&amp;'2012 Actuals_Auditor'!S465,'Avoided Costs 2012-2020_EGD'!$E:$E)*J465</f>
        <v>6156.9540843945961</v>
      </c>
      <c r="V465" s="65">
        <f>SUMIF('Avoided Costs 2012-2020_EGD'!$A:$A,'2012 Actuals_Auditor'!T465&amp;'2012 Actuals_Auditor'!S465,'Avoided Costs 2012-2020_EGD'!$K:$K)*N465</f>
        <v>0</v>
      </c>
      <c r="W465" s="65">
        <f>SUMIF('Avoided Costs 2012-2020_EGD'!$A:$A,'2012 Actuals_Auditor'!T465&amp;'2012 Actuals_Auditor'!S465,'Avoided Costs 2012-2020_EGD'!$M:$M)*R465</f>
        <v>0</v>
      </c>
      <c r="X465" s="65">
        <f t="shared" ref="X465:X566" si="234">SUM(U465:W465)</f>
        <v>6156.9540843945961</v>
      </c>
      <c r="Y465" s="146">
        <v>0</v>
      </c>
      <c r="Z465" s="66">
        <f t="shared" si="226"/>
        <v>0</v>
      </c>
      <c r="AA465" s="66"/>
      <c r="AB465" s="66"/>
      <c r="AC465" s="66"/>
      <c r="AD465" s="66">
        <f t="shared" si="227"/>
        <v>0</v>
      </c>
      <c r="AE465" s="66">
        <f t="shared" si="228"/>
        <v>6156.9540843945961</v>
      </c>
      <c r="AF465" s="101">
        <f t="shared" si="229"/>
        <v>36932.021306644368</v>
      </c>
      <c r="AG465" s="101">
        <f t="shared" si="230"/>
        <v>41968.206030277688</v>
      </c>
    </row>
    <row r="466" spans="1:33" s="68" customFormat="1" x14ac:dyDescent="0.2">
      <c r="A466" s="147" t="s">
        <v>989</v>
      </c>
      <c r="B466" s="147"/>
      <c r="C466" s="147"/>
      <c r="D466" s="148">
        <v>1</v>
      </c>
      <c r="E466" s="149"/>
      <c r="F466" s="150">
        <v>0.12</v>
      </c>
      <c r="G466" s="150"/>
      <c r="H466" s="67">
        <v>13776</v>
      </c>
      <c r="I466" s="67">
        <f t="shared" si="231"/>
        <v>13168.295325660072</v>
      </c>
      <c r="J466" s="67">
        <f t="shared" si="223"/>
        <v>11588.099886580863</v>
      </c>
      <c r="K466" s="63"/>
      <c r="L466" s="149">
        <v>0</v>
      </c>
      <c r="M466" s="63">
        <f t="shared" si="232"/>
        <v>0</v>
      </c>
      <c r="N466" s="63">
        <f t="shared" si="224"/>
        <v>0</v>
      </c>
      <c r="O466" s="69"/>
      <c r="P466" s="149">
        <v>0</v>
      </c>
      <c r="Q466" s="63">
        <f t="shared" si="233"/>
        <v>0</v>
      </c>
      <c r="R466" s="64">
        <f t="shared" si="225"/>
        <v>0</v>
      </c>
      <c r="S466" s="148">
        <v>5</v>
      </c>
      <c r="T466" s="151" t="s">
        <v>15</v>
      </c>
      <c r="U466" s="65">
        <f>SUMIF('Avoided Costs 2012-2020_EGD'!$A:$A,'2012 Actuals_Auditor'!T466&amp;'2012 Actuals_Auditor'!S466,'Avoided Costs 2012-2020_EGD'!$E:$E)*J466</f>
        <v>9659.2870363990387</v>
      </c>
      <c r="V466" s="65">
        <f>SUMIF('Avoided Costs 2012-2020_EGD'!$A:$A,'2012 Actuals_Auditor'!T466&amp;'2012 Actuals_Auditor'!S466,'Avoided Costs 2012-2020_EGD'!$K:$K)*N466</f>
        <v>0</v>
      </c>
      <c r="W466" s="65">
        <f>SUMIF('Avoided Costs 2012-2020_EGD'!$A:$A,'2012 Actuals_Auditor'!T466&amp;'2012 Actuals_Auditor'!S466,'Avoided Costs 2012-2020_EGD'!$M:$M)*R466</f>
        <v>0</v>
      </c>
      <c r="X466" s="65">
        <f t="shared" si="234"/>
        <v>9659.2870363990387</v>
      </c>
      <c r="Y466" s="146">
        <v>0</v>
      </c>
      <c r="Z466" s="66">
        <f t="shared" si="226"/>
        <v>0</v>
      </c>
      <c r="AA466" s="66"/>
      <c r="AB466" s="66"/>
      <c r="AC466" s="66"/>
      <c r="AD466" s="66">
        <f t="shared" si="227"/>
        <v>0</v>
      </c>
      <c r="AE466" s="66">
        <f t="shared" si="228"/>
        <v>9659.2870363990387</v>
      </c>
      <c r="AF466" s="101">
        <f t="shared" si="229"/>
        <v>57940.499432904318</v>
      </c>
      <c r="AG466" s="101">
        <f t="shared" si="230"/>
        <v>65841.476628300356</v>
      </c>
    </row>
    <row r="467" spans="1:33" s="68" customFormat="1" x14ac:dyDescent="0.2">
      <c r="A467" s="147" t="s">
        <v>990</v>
      </c>
      <c r="B467" s="147"/>
      <c r="C467" s="147"/>
      <c r="D467" s="148">
        <v>1</v>
      </c>
      <c r="E467" s="149"/>
      <c r="F467" s="150">
        <v>0.12</v>
      </c>
      <c r="G467" s="150"/>
      <c r="H467" s="67">
        <v>3058</v>
      </c>
      <c r="I467" s="67">
        <f t="shared" si="231"/>
        <v>2923.1015611112439</v>
      </c>
      <c r="J467" s="67">
        <f t="shared" si="223"/>
        <v>2572.3293737778945</v>
      </c>
      <c r="K467" s="63"/>
      <c r="L467" s="149">
        <v>11629</v>
      </c>
      <c r="M467" s="63">
        <f t="shared" si="232"/>
        <v>11629</v>
      </c>
      <c r="N467" s="63">
        <f t="shared" si="224"/>
        <v>10233.52</v>
      </c>
      <c r="O467" s="69"/>
      <c r="P467" s="149">
        <v>0</v>
      </c>
      <c r="Q467" s="63">
        <f t="shared" si="233"/>
        <v>0</v>
      </c>
      <c r="R467" s="64">
        <f t="shared" si="225"/>
        <v>0</v>
      </c>
      <c r="S467" s="148">
        <v>15</v>
      </c>
      <c r="T467" s="151" t="s">
        <v>15</v>
      </c>
      <c r="U467" s="65">
        <f>SUMIF('Avoided Costs 2012-2020_EGD'!$A:$A,'2012 Actuals_Auditor'!T467&amp;'2012 Actuals_Auditor'!S467,'Avoided Costs 2012-2020_EGD'!$E:$E)*J467</f>
        <v>6250.5131165954681</v>
      </c>
      <c r="V467" s="65">
        <f>SUMIF('Avoided Costs 2012-2020_EGD'!$A:$A,'2012 Actuals_Auditor'!T467&amp;'2012 Actuals_Auditor'!S467,'Avoided Costs 2012-2020_EGD'!$K:$K)*N467</f>
        <v>10538.309284551127</v>
      </c>
      <c r="W467" s="65">
        <f>SUMIF('Avoided Costs 2012-2020_EGD'!$A:$A,'2012 Actuals_Auditor'!T467&amp;'2012 Actuals_Auditor'!S467,'Avoided Costs 2012-2020_EGD'!$M:$M)*R467</f>
        <v>0</v>
      </c>
      <c r="X467" s="65">
        <f t="shared" si="234"/>
        <v>16788.822401146594</v>
      </c>
      <c r="Y467" s="146">
        <v>7218</v>
      </c>
      <c r="Z467" s="66">
        <f t="shared" si="226"/>
        <v>6351.84</v>
      </c>
      <c r="AA467" s="66"/>
      <c r="AB467" s="66"/>
      <c r="AC467" s="66"/>
      <c r="AD467" s="66">
        <f t="shared" si="227"/>
        <v>6351.84</v>
      </c>
      <c r="AE467" s="66">
        <f t="shared" si="228"/>
        <v>10436.982401146593</v>
      </c>
      <c r="AF467" s="101">
        <f t="shared" si="229"/>
        <v>38584.940606668417</v>
      </c>
      <c r="AG467" s="101">
        <f t="shared" si="230"/>
        <v>43846.523416668657</v>
      </c>
    </row>
    <row r="468" spans="1:33" s="68" customFormat="1" x14ac:dyDescent="0.2">
      <c r="A468" s="147" t="s">
        <v>991</v>
      </c>
      <c r="B468" s="147"/>
      <c r="C468" s="147"/>
      <c r="D468" s="148">
        <v>1</v>
      </c>
      <c r="E468" s="149"/>
      <c r="F468" s="150">
        <v>0.12</v>
      </c>
      <c r="G468" s="150"/>
      <c r="H468" s="67">
        <v>8970</v>
      </c>
      <c r="I468" s="67">
        <f t="shared" si="231"/>
        <v>8574.3037943648978</v>
      </c>
      <c r="J468" s="67">
        <f t="shared" si="223"/>
        <v>7545.38733904111</v>
      </c>
      <c r="K468" s="63"/>
      <c r="L468" s="149">
        <v>16192</v>
      </c>
      <c r="M468" s="63">
        <f t="shared" si="232"/>
        <v>16192</v>
      </c>
      <c r="N468" s="63">
        <f t="shared" si="224"/>
        <v>14248.960000000001</v>
      </c>
      <c r="O468" s="69"/>
      <c r="P468" s="149">
        <v>0</v>
      </c>
      <c r="Q468" s="63">
        <f t="shared" si="233"/>
        <v>0</v>
      </c>
      <c r="R468" s="64">
        <f t="shared" si="225"/>
        <v>0</v>
      </c>
      <c r="S468" s="148">
        <v>15</v>
      </c>
      <c r="T468" s="151" t="s">
        <v>15</v>
      </c>
      <c r="U468" s="65">
        <f>SUMIF('Avoided Costs 2012-2020_EGD'!$A:$A,'2012 Actuals_Auditor'!T468&amp;'2012 Actuals_Auditor'!S468,'Avoided Costs 2012-2020_EGD'!$E:$E)*J468</f>
        <v>18334.565943708745</v>
      </c>
      <c r="V468" s="65">
        <f>SUMIF('Avoided Costs 2012-2020_EGD'!$A:$A,'2012 Actuals_Auditor'!T468&amp;'2012 Actuals_Auditor'!S468,'Avoided Costs 2012-2020_EGD'!$K:$K)*N468</f>
        <v>14673.342844221503</v>
      </c>
      <c r="W468" s="65">
        <f>SUMIF('Avoided Costs 2012-2020_EGD'!$A:$A,'2012 Actuals_Auditor'!T468&amp;'2012 Actuals_Auditor'!S468,'Avoided Costs 2012-2020_EGD'!$M:$M)*R468</f>
        <v>0</v>
      </c>
      <c r="X468" s="65">
        <f t="shared" si="234"/>
        <v>33007.908787930246</v>
      </c>
      <c r="Y468" s="146">
        <v>21617</v>
      </c>
      <c r="Z468" s="66">
        <f t="shared" si="226"/>
        <v>19022.96</v>
      </c>
      <c r="AA468" s="66"/>
      <c r="AB468" s="66"/>
      <c r="AC468" s="66"/>
      <c r="AD468" s="66">
        <f t="shared" si="227"/>
        <v>19022.96</v>
      </c>
      <c r="AE468" s="66">
        <f t="shared" si="228"/>
        <v>13984.948787930247</v>
      </c>
      <c r="AF468" s="101">
        <f t="shared" si="229"/>
        <v>113180.81008561666</v>
      </c>
      <c r="AG468" s="101">
        <f t="shared" si="230"/>
        <v>128614.55691547347</v>
      </c>
    </row>
    <row r="469" spans="1:33" s="68" customFormat="1" x14ac:dyDescent="0.2">
      <c r="A469" s="147" t="s">
        <v>992</v>
      </c>
      <c r="B469" s="147"/>
      <c r="C469" s="147"/>
      <c r="D469" s="148">
        <v>1</v>
      </c>
      <c r="E469" s="149"/>
      <c r="F469" s="150">
        <v>0.12</v>
      </c>
      <c r="G469" s="150"/>
      <c r="H469" s="67">
        <v>263</v>
      </c>
      <c r="I469" s="67">
        <f t="shared" si="231"/>
        <v>251.39820489609457</v>
      </c>
      <c r="J469" s="67">
        <f t="shared" si="223"/>
        <v>221.23042030856323</v>
      </c>
      <c r="K469" s="63"/>
      <c r="L469" s="149">
        <v>3647</v>
      </c>
      <c r="M469" s="63">
        <f t="shared" si="232"/>
        <v>3647</v>
      </c>
      <c r="N469" s="63">
        <f t="shared" si="224"/>
        <v>3209.36</v>
      </c>
      <c r="O469" s="69"/>
      <c r="P469" s="149">
        <v>0</v>
      </c>
      <c r="Q469" s="63">
        <f t="shared" si="233"/>
        <v>0</v>
      </c>
      <c r="R469" s="64">
        <f t="shared" si="225"/>
        <v>0</v>
      </c>
      <c r="S469" s="148">
        <v>15</v>
      </c>
      <c r="T469" s="151" t="s">
        <v>15</v>
      </c>
      <c r="U469" s="65">
        <f>SUMIF('Avoided Costs 2012-2020_EGD'!$A:$A,'2012 Actuals_Auditor'!T469&amp;'2012 Actuals_Auditor'!S469,'Avoided Costs 2012-2020_EGD'!$E:$E)*J469</f>
        <v>537.56865587462664</v>
      </c>
      <c r="V469" s="65">
        <f>SUMIF('Avoided Costs 2012-2020_EGD'!$A:$A,'2012 Actuals_Auditor'!T469&amp;'2012 Actuals_Auditor'!S469,'Avoided Costs 2012-2020_EGD'!$K:$K)*N469</f>
        <v>3304.9457357260262</v>
      </c>
      <c r="W469" s="65">
        <f>SUMIF('Avoided Costs 2012-2020_EGD'!$A:$A,'2012 Actuals_Auditor'!T469&amp;'2012 Actuals_Auditor'!S469,'Avoided Costs 2012-2020_EGD'!$M:$M)*R469</f>
        <v>0</v>
      </c>
      <c r="X469" s="65">
        <f t="shared" si="234"/>
        <v>3842.5143916006527</v>
      </c>
      <c r="Y469" s="146">
        <v>1132</v>
      </c>
      <c r="Z469" s="66">
        <f t="shared" si="226"/>
        <v>996.16</v>
      </c>
      <c r="AA469" s="66"/>
      <c r="AB469" s="66"/>
      <c r="AC469" s="66"/>
      <c r="AD469" s="66">
        <f t="shared" si="227"/>
        <v>996.16</v>
      </c>
      <c r="AE469" s="66">
        <f t="shared" si="228"/>
        <v>2846.3543916006529</v>
      </c>
      <c r="AF469" s="101">
        <f t="shared" si="229"/>
        <v>3318.4563046284484</v>
      </c>
      <c r="AG469" s="101">
        <f t="shared" si="230"/>
        <v>3770.9730734414184</v>
      </c>
    </row>
    <row r="470" spans="1:33" s="68" customFormat="1" x14ac:dyDescent="0.2">
      <c r="A470" s="147" t="s">
        <v>993</v>
      </c>
      <c r="B470" s="147"/>
      <c r="C470" s="147"/>
      <c r="D470" s="148">
        <v>1</v>
      </c>
      <c r="E470" s="149"/>
      <c r="F470" s="150">
        <v>0.12</v>
      </c>
      <c r="G470" s="150"/>
      <c r="H470" s="67">
        <v>4307</v>
      </c>
      <c r="I470" s="67">
        <f t="shared" si="231"/>
        <v>4117.0040626900354</v>
      </c>
      <c r="J470" s="67">
        <f t="shared" si="223"/>
        <v>3622.9635751672313</v>
      </c>
      <c r="K470" s="63"/>
      <c r="L470" s="149">
        <v>19032</v>
      </c>
      <c r="M470" s="63">
        <f t="shared" si="232"/>
        <v>19032</v>
      </c>
      <c r="N470" s="63">
        <f t="shared" si="224"/>
        <v>16748.16</v>
      </c>
      <c r="O470" s="69"/>
      <c r="P470" s="149">
        <v>0</v>
      </c>
      <c r="Q470" s="63">
        <f t="shared" si="233"/>
        <v>0</v>
      </c>
      <c r="R470" s="64">
        <f t="shared" si="225"/>
        <v>0</v>
      </c>
      <c r="S470" s="148">
        <v>15</v>
      </c>
      <c r="T470" s="151" t="s">
        <v>15</v>
      </c>
      <c r="U470" s="65">
        <f>SUMIF('Avoided Costs 2012-2020_EGD'!$A:$A,'2012 Actuals_Auditor'!T470&amp;'2012 Actuals_Auditor'!S470,'Avoided Costs 2012-2020_EGD'!$E:$E)*J470</f>
        <v>8803.4532351787711</v>
      </c>
      <c r="V470" s="65">
        <f>SUMIF('Avoided Costs 2012-2020_EGD'!$A:$A,'2012 Actuals_Auditor'!T470&amp;'2012 Actuals_Auditor'!S470,'Avoided Costs 2012-2020_EGD'!$K:$K)*N470</f>
        <v>17246.977582214895</v>
      </c>
      <c r="W470" s="65">
        <f>SUMIF('Avoided Costs 2012-2020_EGD'!$A:$A,'2012 Actuals_Auditor'!T470&amp;'2012 Actuals_Auditor'!S470,'Avoided Costs 2012-2020_EGD'!$M:$M)*R470</f>
        <v>0</v>
      </c>
      <c r="X470" s="65">
        <f t="shared" si="234"/>
        <v>26050.430817393666</v>
      </c>
      <c r="Y470" s="146">
        <v>6811</v>
      </c>
      <c r="Z470" s="66">
        <f t="shared" si="226"/>
        <v>5993.68</v>
      </c>
      <c r="AA470" s="66"/>
      <c r="AB470" s="66"/>
      <c r="AC470" s="66"/>
      <c r="AD470" s="66">
        <f t="shared" si="227"/>
        <v>5993.68</v>
      </c>
      <c r="AE470" s="66">
        <f t="shared" si="228"/>
        <v>20056.750817393666</v>
      </c>
      <c r="AF470" s="101">
        <f t="shared" si="229"/>
        <v>54344.453627508468</v>
      </c>
      <c r="AG470" s="101">
        <f t="shared" si="230"/>
        <v>61755.06094035053</v>
      </c>
    </row>
    <row r="471" spans="1:33" s="68" customFormat="1" x14ac:dyDescent="0.2">
      <c r="A471" s="147" t="s">
        <v>994</v>
      </c>
      <c r="B471" s="147"/>
      <c r="C471" s="147"/>
      <c r="D471" s="148">
        <v>1</v>
      </c>
      <c r="E471" s="149"/>
      <c r="F471" s="150">
        <v>0.12</v>
      </c>
      <c r="G471" s="150"/>
      <c r="H471" s="67">
        <v>662</v>
      </c>
      <c r="I471" s="67">
        <f t="shared" si="231"/>
        <v>632.79700243807838</v>
      </c>
      <c r="J471" s="67">
        <f t="shared" si="223"/>
        <v>556.86136214550902</v>
      </c>
      <c r="K471" s="63"/>
      <c r="L471" s="149">
        <v>4712</v>
      </c>
      <c r="M471" s="63">
        <f t="shared" si="232"/>
        <v>4712</v>
      </c>
      <c r="N471" s="63">
        <f t="shared" si="224"/>
        <v>4146.5600000000004</v>
      </c>
      <c r="O471" s="69"/>
      <c r="P471" s="149">
        <v>0</v>
      </c>
      <c r="Q471" s="63">
        <f t="shared" si="233"/>
        <v>0</v>
      </c>
      <c r="R471" s="64">
        <f t="shared" si="225"/>
        <v>0</v>
      </c>
      <c r="S471" s="148">
        <v>15</v>
      </c>
      <c r="T471" s="151" t="s">
        <v>15</v>
      </c>
      <c r="U471" s="65">
        <f>SUMIF('Avoided Costs 2012-2020_EGD'!$A:$A,'2012 Actuals_Auditor'!T471&amp;'2012 Actuals_Auditor'!S471,'Avoided Costs 2012-2020_EGD'!$E:$E)*J471</f>
        <v>1353.1195824676915</v>
      </c>
      <c r="V471" s="65">
        <f>SUMIF('Avoided Costs 2012-2020_EGD'!$A:$A,'2012 Actuals_Auditor'!T471&amp;'2012 Actuals_Auditor'!S471,'Avoided Costs 2012-2020_EGD'!$K:$K)*N471</f>
        <v>4270.0587624735499</v>
      </c>
      <c r="W471" s="65">
        <f>SUMIF('Avoided Costs 2012-2020_EGD'!$A:$A,'2012 Actuals_Auditor'!T471&amp;'2012 Actuals_Auditor'!S471,'Avoided Costs 2012-2020_EGD'!$M:$M)*R471</f>
        <v>0</v>
      </c>
      <c r="X471" s="65">
        <f t="shared" si="234"/>
        <v>5623.1783449412414</v>
      </c>
      <c r="Y471" s="146">
        <v>1583</v>
      </c>
      <c r="Z471" s="66">
        <f t="shared" si="226"/>
        <v>1393.04</v>
      </c>
      <c r="AA471" s="66"/>
      <c r="AB471" s="66"/>
      <c r="AC471" s="66"/>
      <c r="AD471" s="66">
        <f t="shared" si="227"/>
        <v>1393.04</v>
      </c>
      <c r="AE471" s="66">
        <f t="shared" si="228"/>
        <v>4230.1383449412415</v>
      </c>
      <c r="AF471" s="101">
        <f t="shared" si="229"/>
        <v>8352.9204321826346</v>
      </c>
      <c r="AG471" s="101">
        <f t="shared" si="230"/>
        <v>9491.9550365711766</v>
      </c>
    </row>
    <row r="472" spans="1:33" s="68" customFormat="1" x14ac:dyDescent="0.2">
      <c r="A472" s="147" t="s">
        <v>995</v>
      </c>
      <c r="B472" s="147"/>
      <c r="C472" s="147"/>
      <c r="D472" s="148">
        <v>1</v>
      </c>
      <c r="E472" s="149"/>
      <c r="F472" s="150">
        <v>0.12</v>
      </c>
      <c r="G472" s="150"/>
      <c r="H472" s="67">
        <v>11120</v>
      </c>
      <c r="I472" s="67">
        <f t="shared" si="231"/>
        <v>10629.460222222706</v>
      </c>
      <c r="J472" s="67">
        <f t="shared" si="223"/>
        <v>9353.9249955559808</v>
      </c>
      <c r="K472" s="63"/>
      <c r="L472" s="149">
        <v>37699</v>
      </c>
      <c r="M472" s="63">
        <f t="shared" si="232"/>
        <v>37699</v>
      </c>
      <c r="N472" s="63">
        <f t="shared" si="224"/>
        <v>33175.120000000003</v>
      </c>
      <c r="O472" s="69"/>
      <c r="P472" s="149">
        <v>0</v>
      </c>
      <c r="Q472" s="63">
        <f t="shared" si="233"/>
        <v>0</v>
      </c>
      <c r="R472" s="64">
        <f t="shared" si="225"/>
        <v>0</v>
      </c>
      <c r="S472" s="148">
        <v>15</v>
      </c>
      <c r="T472" s="151" t="s">
        <v>15</v>
      </c>
      <c r="U472" s="65">
        <f>SUMIF('Avoided Costs 2012-2020_EGD'!$A:$A,'2012 Actuals_Auditor'!T472&amp;'2012 Actuals_Auditor'!S472,'Avoided Costs 2012-2020_EGD'!$E:$E)*J472</f>
        <v>22729.138605801701</v>
      </c>
      <c r="V472" s="65">
        <f>SUMIF('Avoided Costs 2012-2020_EGD'!$A:$A,'2012 Actuals_Auditor'!T472&amp;'2012 Actuals_Auditor'!S472,'Avoided Costs 2012-2020_EGD'!$K:$K)*N472</f>
        <v>34163.188728032757</v>
      </c>
      <c r="W472" s="65">
        <f>SUMIF('Avoided Costs 2012-2020_EGD'!$A:$A,'2012 Actuals_Auditor'!T472&amp;'2012 Actuals_Auditor'!S472,'Avoided Costs 2012-2020_EGD'!$M:$M)*R472</f>
        <v>0</v>
      </c>
      <c r="X472" s="65">
        <f t="shared" si="234"/>
        <v>56892.327333834459</v>
      </c>
      <c r="Y472" s="146">
        <v>18637</v>
      </c>
      <c r="Z472" s="66">
        <f t="shared" si="226"/>
        <v>16400.560000000001</v>
      </c>
      <c r="AA472" s="66"/>
      <c r="AB472" s="66"/>
      <c r="AC472" s="66"/>
      <c r="AD472" s="66">
        <f t="shared" si="227"/>
        <v>16400.560000000001</v>
      </c>
      <c r="AE472" s="66">
        <f t="shared" si="228"/>
        <v>40491.767333834461</v>
      </c>
      <c r="AF472" s="101">
        <f t="shared" si="229"/>
        <v>140308.87493333971</v>
      </c>
      <c r="AG472" s="101">
        <f t="shared" si="230"/>
        <v>159441.9033333406</v>
      </c>
    </row>
    <row r="473" spans="1:33" s="68" customFormat="1" x14ac:dyDescent="0.2">
      <c r="A473" s="147" t="s">
        <v>996</v>
      </c>
      <c r="B473" s="147"/>
      <c r="C473" s="147"/>
      <c r="D473" s="148">
        <v>1</v>
      </c>
      <c r="E473" s="149"/>
      <c r="F473" s="150">
        <v>0.12</v>
      </c>
      <c r="G473" s="150"/>
      <c r="H473" s="67">
        <v>10329</v>
      </c>
      <c r="I473" s="67">
        <f t="shared" si="231"/>
        <v>9873.3538341131589</v>
      </c>
      <c r="J473" s="67">
        <f t="shared" si="223"/>
        <v>8688.5513740195802</v>
      </c>
      <c r="K473" s="63"/>
      <c r="L473" s="149">
        <v>21454</v>
      </c>
      <c r="M473" s="63">
        <f t="shared" si="232"/>
        <v>21454</v>
      </c>
      <c r="N473" s="63">
        <f t="shared" si="224"/>
        <v>18879.52</v>
      </c>
      <c r="O473" s="69"/>
      <c r="P473" s="149">
        <v>0</v>
      </c>
      <c r="Q473" s="63">
        <f t="shared" si="233"/>
        <v>0</v>
      </c>
      <c r="R473" s="64">
        <f t="shared" si="225"/>
        <v>0</v>
      </c>
      <c r="S473" s="148">
        <v>15</v>
      </c>
      <c r="T473" s="151" t="s">
        <v>15</v>
      </c>
      <c r="U473" s="65">
        <f>SUMIF('Avoided Costs 2012-2020_EGD'!$A:$A,'2012 Actuals_Auditor'!T473&amp;'2012 Actuals_Auditor'!S473,'Avoided Costs 2012-2020_EGD'!$E:$E)*J473</f>
        <v>21112.344663608437</v>
      </c>
      <c r="V473" s="65">
        <f>SUMIF('Avoided Costs 2012-2020_EGD'!$A:$A,'2012 Actuals_Auditor'!T473&amp;'2012 Actuals_Auditor'!S473,'Avoided Costs 2012-2020_EGD'!$K:$K)*N473</f>
        <v>19441.816784827573</v>
      </c>
      <c r="W473" s="65">
        <f>SUMIF('Avoided Costs 2012-2020_EGD'!$A:$A,'2012 Actuals_Auditor'!T473&amp;'2012 Actuals_Auditor'!S473,'Avoided Costs 2012-2020_EGD'!$M:$M)*R473</f>
        <v>0</v>
      </c>
      <c r="X473" s="65">
        <f t="shared" si="234"/>
        <v>40554.161448436011</v>
      </c>
      <c r="Y473" s="146">
        <v>21373</v>
      </c>
      <c r="Z473" s="66">
        <f t="shared" si="226"/>
        <v>18808.240000000002</v>
      </c>
      <c r="AA473" s="66"/>
      <c r="AB473" s="66"/>
      <c r="AC473" s="66"/>
      <c r="AD473" s="66">
        <f t="shared" si="227"/>
        <v>18808.240000000002</v>
      </c>
      <c r="AE473" s="66">
        <f t="shared" si="228"/>
        <v>21745.921448436009</v>
      </c>
      <c r="AF473" s="101">
        <f t="shared" si="229"/>
        <v>130328.27061029371</v>
      </c>
      <c r="AG473" s="101">
        <f t="shared" si="230"/>
        <v>148100.30751169738</v>
      </c>
    </row>
    <row r="474" spans="1:33" s="68" customFormat="1" x14ac:dyDescent="0.2">
      <c r="A474" s="147" t="s">
        <v>997</v>
      </c>
      <c r="B474" s="147"/>
      <c r="C474" s="147"/>
      <c r="D474" s="148">
        <v>1</v>
      </c>
      <c r="E474" s="149"/>
      <c r="F474" s="150">
        <v>0.12</v>
      </c>
      <c r="G474" s="150"/>
      <c r="H474" s="67">
        <v>8283</v>
      </c>
      <c r="I474" s="67">
        <f t="shared" si="231"/>
        <v>7917.6096241610321</v>
      </c>
      <c r="J474" s="67">
        <f t="shared" si="223"/>
        <v>6967.4964692617086</v>
      </c>
      <c r="K474" s="63"/>
      <c r="L474" s="149">
        <v>43235</v>
      </c>
      <c r="M474" s="63">
        <f t="shared" si="232"/>
        <v>43235</v>
      </c>
      <c r="N474" s="63">
        <f t="shared" si="224"/>
        <v>38046.800000000003</v>
      </c>
      <c r="O474" s="69"/>
      <c r="P474" s="149">
        <v>0</v>
      </c>
      <c r="Q474" s="63">
        <f t="shared" si="233"/>
        <v>0</v>
      </c>
      <c r="R474" s="64">
        <f t="shared" si="225"/>
        <v>0</v>
      </c>
      <c r="S474" s="148">
        <v>15</v>
      </c>
      <c r="T474" s="151" t="s">
        <v>15</v>
      </c>
      <c r="U474" s="65">
        <f>SUMIF('Avoided Costs 2012-2020_EGD'!$A:$A,'2012 Actuals_Auditor'!T474&amp;'2012 Actuals_Auditor'!S474,'Avoided Costs 2012-2020_EGD'!$E:$E)*J474</f>
        <v>16930.346679123701</v>
      </c>
      <c r="V474" s="65">
        <f>SUMIF('Avoided Costs 2012-2020_EGD'!$A:$A,'2012 Actuals_Auditor'!T474&amp;'2012 Actuals_Auditor'!S474,'Avoided Costs 2012-2020_EGD'!$K:$K)*N474</f>
        <v>39179.964048290305</v>
      </c>
      <c r="W474" s="65">
        <f>SUMIF('Avoided Costs 2012-2020_EGD'!$A:$A,'2012 Actuals_Auditor'!T474&amp;'2012 Actuals_Auditor'!S474,'Avoided Costs 2012-2020_EGD'!$M:$M)*R474</f>
        <v>0</v>
      </c>
      <c r="X474" s="65">
        <f t="shared" si="234"/>
        <v>56110.310727414006</v>
      </c>
      <c r="Y474" s="146">
        <v>18301</v>
      </c>
      <c r="Z474" s="66">
        <f t="shared" si="226"/>
        <v>16104.88</v>
      </c>
      <c r="AA474" s="66"/>
      <c r="AB474" s="66"/>
      <c r="AC474" s="66"/>
      <c r="AD474" s="66">
        <f t="shared" si="227"/>
        <v>16104.88</v>
      </c>
      <c r="AE474" s="66">
        <f t="shared" si="228"/>
        <v>40005.430727414008</v>
      </c>
      <c r="AF474" s="101">
        <f t="shared" si="229"/>
        <v>104512.44703892563</v>
      </c>
      <c r="AG474" s="101">
        <f t="shared" si="230"/>
        <v>118764.14436241548</v>
      </c>
    </row>
    <row r="475" spans="1:33" s="68" customFormat="1" x14ac:dyDescent="0.2">
      <c r="A475" s="147" t="s">
        <v>998</v>
      </c>
      <c r="B475" s="147"/>
      <c r="C475" s="147"/>
      <c r="D475" s="148">
        <v>1</v>
      </c>
      <c r="E475" s="149"/>
      <c r="F475" s="150">
        <v>0.12</v>
      </c>
      <c r="G475" s="150"/>
      <c r="H475" s="67">
        <v>719</v>
      </c>
      <c r="I475" s="67">
        <f t="shared" si="231"/>
        <v>687.28254494407599</v>
      </c>
      <c r="J475" s="67">
        <f t="shared" si="223"/>
        <v>604.80863955078689</v>
      </c>
      <c r="K475" s="63"/>
      <c r="L475" s="149">
        <v>4872</v>
      </c>
      <c r="M475" s="63">
        <f t="shared" si="232"/>
        <v>4872</v>
      </c>
      <c r="N475" s="63">
        <f t="shared" si="224"/>
        <v>4287.3599999999997</v>
      </c>
      <c r="O475" s="69"/>
      <c r="P475" s="149">
        <v>0</v>
      </c>
      <c r="Q475" s="63">
        <f t="shared" si="233"/>
        <v>0</v>
      </c>
      <c r="R475" s="64">
        <f t="shared" si="225"/>
        <v>0</v>
      </c>
      <c r="S475" s="148">
        <v>15</v>
      </c>
      <c r="T475" s="151" t="s">
        <v>15</v>
      </c>
      <c r="U475" s="65">
        <f>SUMIF('Avoided Costs 2012-2020_EGD'!$A:$A,'2012 Actuals_Auditor'!T475&amp;'2012 Actuals_Auditor'!S475,'Avoided Costs 2012-2020_EGD'!$E:$E)*J475</f>
        <v>1469.6268576952721</v>
      </c>
      <c r="V475" s="65">
        <f>SUMIF('Avoided Costs 2012-2020_EGD'!$A:$A,'2012 Actuals_Auditor'!T475&amp;'2012 Actuals_Auditor'!S475,'Avoided Costs 2012-2020_EGD'!$K:$K)*N475</f>
        <v>4415.0522688393739</v>
      </c>
      <c r="W475" s="65">
        <f>SUMIF('Avoided Costs 2012-2020_EGD'!$A:$A,'2012 Actuals_Auditor'!T475&amp;'2012 Actuals_Auditor'!S475,'Avoided Costs 2012-2020_EGD'!$M:$M)*R475</f>
        <v>0</v>
      </c>
      <c r="X475" s="65">
        <f t="shared" si="234"/>
        <v>5884.6791265346455</v>
      </c>
      <c r="Y475" s="146">
        <v>22463</v>
      </c>
      <c r="Z475" s="66">
        <f t="shared" si="226"/>
        <v>19767.439999999999</v>
      </c>
      <c r="AA475" s="66"/>
      <c r="AB475" s="66"/>
      <c r="AC475" s="66"/>
      <c r="AD475" s="66">
        <f t="shared" si="227"/>
        <v>19767.439999999999</v>
      </c>
      <c r="AE475" s="66">
        <f t="shared" si="228"/>
        <v>-13882.760873465353</v>
      </c>
      <c r="AF475" s="101">
        <f t="shared" si="229"/>
        <v>9072.1295932618032</v>
      </c>
      <c r="AG475" s="101">
        <f t="shared" si="230"/>
        <v>10309.238174161141</v>
      </c>
    </row>
    <row r="476" spans="1:33" s="68" customFormat="1" x14ac:dyDescent="0.2">
      <c r="A476" s="147" t="s">
        <v>999</v>
      </c>
      <c r="B476" s="147"/>
      <c r="C476" s="147"/>
      <c r="D476" s="148">
        <v>1</v>
      </c>
      <c r="E476" s="149"/>
      <c r="F476" s="150">
        <v>0.12</v>
      </c>
      <c r="G476" s="150"/>
      <c r="H476" s="67">
        <v>14811</v>
      </c>
      <c r="I476" s="67">
        <f t="shared" si="231"/>
        <v>14157.638071163714</v>
      </c>
      <c r="J476" s="67">
        <f t="shared" si="223"/>
        <v>12458.721502624068</v>
      </c>
      <c r="K476" s="63"/>
      <c r="L476" s="149">
        <v>118316</v>
      </c>
      <c r="M476" s="63">
        <f t="shared" si="232"/>
        <v>118316</v>
      </c>
      <c r="N476" s="63">
        <f t="shared" si="224"/>
        <v>104118.08</v>
      </c>
      <c r="O476" s="69"/>
      <c r="P476" s="149">
        <v>0</v>
      </c>
      <c r="Q476" s="63">
        <f t="shared" si="233"/>
        <v>0</v>
      </c>
      <c r="R476" s="64">
        <f t="shared" si="225"/>
        <v>0</v>
      </c>
      <c r="S476" s="148">
        <v>15</v>
      </c>
      <c r="T476" s="151" t="s">
        <v>15</v>
      </c>
      <c r="U476" s="65">
        <f>SUMIF('Avoided Costs 2012-2020_EGD'!$A:$A,'2012 Actuals_Auditor'!T476&amp;'2012 Actuals_Auditor'!S476,'Avoided Costs 2012-2020_EGD'!$E:$E)*J476</f>
        <v>30273.495673608726</v>
      </c>
      <c r="V476" s="65">
        <f>SUMIF('Avoided Costs 2012-2020_EGD'!$A:$A,'2012 Actuals_Auditor'!T476&amp;'2012 Actuals_Auditor'!S476,'Avoided Costs 2012-2020_EGD'!$K:$K)*N476</f>
        <v>107219.07311986852</v>
      </c>
      <c r="W476" s="65">
        <f>SUMIF('Avoided Costs 2012-2020_EGD'!$A:$A,'2012 Actuals_Auditor'!T476&amp;'2012 Actuals_Auditor'!S476,'Avoided Costs 2012-2020_EGD'!$M:$M)*R476</f>
        <v>0</v>
      </c>
      <c r="X476" s="65">
        <f t="shared" si="234"/>
        <v>137492.56879347726</v>
      </c>
      <c r="Y476" s="146">
        <v>11109</v>
      </c>
      <c r="Z476" s="66">
        <f t="shared" si="226"/>
        <v>9775.92</v>
      </c>
      <c r="AA476" s="66"/>
      <c r="AB476" s="66"/>
      <c r="AC476" s="66"/>
      <c r="AD476" s="66">
        <f t="shared" si="227"/>
        <v>9775.92</v>
      </c>
      <c r="AE476" s="66">
        <f t="shared" si="228"/>
        <v>127716.64879347726</v>
      </c>
      <c r="AF476" s="101">
        <f t="shared" si="229"/>
        <v>186880.82253936102</v>
      </c>
      <c r="AG476" s="101">
        <f t="shared" si="230"/>
        <v>212364.57106745572</v>
      </c>
    </row>
    <row r="477" spans="1:33" s="68" customFormat="1" x14ac:dyDescent="0.2">
      <c r="A477" s="147" t="s">
        <v>1000</v>
      </c>
      <c r="B477" s="147"/>
      <c r="C477" s="147"/>
      <c r="D477" s="148">
        <v>1</v>
      </c>
      <c r="E477" s="149"/>
      <c r="F477" s="150">
        <v>0.12</v>
      </c>
      <c r="G477" s="150"/>
      <c r="H477" s="67">
        <v>4894</v>
      </c>
      <c r="I477" s="67">
        <f t="shared" si="231"/>
        <v>4678.1095618307481</v>
      </c>
      <c r="J477" s="67">
        <f t="shared" si="223"/>
        <v>4116.7364144110588</v>
      </c>
      <c r="K477" s="63"/>
      <c r="L477" s="149">
        <v>14717</v>
      </c>
      <c r="M477" s="63">
        <f t="shared" si="232"/>
        <v>14717</v>
      </c>
      <c r="N477" s="63">
        <f t="shared" si="224"/>
        <v>12950.960000000001</v>
      </c>
      <c r="O477" s="69"/>
      <c r="P477" s="149">
        <v>0</v>
      </c>
      <c r="Q477" s="63">
        <f t="shared" si="233"/>
        <v>0</v>
      </c>
      <c r="R477" s="64">
        <f t="shared" si="225"/>
        <v>0</v>
      </c>
      <c r="S477" s="148">
        <v>15</v>
      </c>
      <c r="T477" s="151" t="s">
        <v>15</v>
      </c>
      <c r="U477" s="65">
        <f>SUMIF('Avoided Costs 2012-2020_EGD'!$A:$A,'2012 Actuals_Auditor'!T477&amp;'2012 Actuals_Auditor'!S477,'Avoided Costs 2012-2020_EGD'!$E:$E)*J477</f>
        <v>10003.273771294384</v>
      </c>
      <c r="V477" s="65">
        <f>SUMIF('Avoided Costs 2012-2020_EGD'!$A:$A,'2012 Actuals_Auditor'!T477&amp;'2012 Actuals_Auditor'!S477,'Avoided Costs 2012-2020_EGD'!$K:$K)*N477</f>
        <v>13336.683957411551</v>
      </c>
      <c r="W477" s="65">
        <f>SUMIF('Avoided Costs 2012-2020_EGD'!$A:$A,'2012 Actuals_Auditor'!T477&amp;'2012 Actuals_Auditor'!S477,'Avoided Costs 2012-2020_EGD'!$M:$M)*R477</f>
        <v>0</v>
      </c>
      <c r="X477" s="65">
        <f t="shared" si="234"/>
        <v>23339.957728705936</v>
      </c>
      <c r="Y477" s="146">
        <v>11217</v>
      </c>
      <c r="Z477" s="66">
        <f t="shared" si="226"/>
        <v>9870.9600000000009</v>
      </c>
      <c r="AA477" s="66"/>
      <c r="AB477" s="66"/>
      <c r="AC477" s="66"/>
      <c r="AD477" s="66">
        <f t="shared" si="227"/>
        <v>9870.9600000000009</v>
      </c>
      <c r="AE477" s="66">
        <f t="shared" si="228"/>
        <v>13468.997728705936</v>
      </c>
      <c r="AF477" s="101">
        <f t="shared" si="229"/>
        <v>61751.04621616588</v>
      </c>
      <c r="AG477" s="101">
        <f t="shared" si="230"/>
        <v>70171.643427461226</v>
      </c>
    </row>
    <row r="478" spans="1:33" s="68" customFormat="1" x14ac:dyDescent="0.2">
      <c r="A478" s="147" t="s">
        <v>1001</v>
      </c>
      <c r="B478" s="147"/>
      <c r="C478" s="147"/>
      <c r="D478" s="148">
        <v>1</v>
      </c>
      <c r="E478" s="149"/>
      <c r="F478" s="150">
        <v>0.12</v>
      </c>
      <c r="G478" s="150"/>
      <c r="H478" s="67">
        <v>12671</v>
      </c>
      <c r="I478" s="67">
        <f t="shared" si="231"/>
        <v>12112.040510412222</v>
      </c>
      <c r="J478" s="67">
        <f t="shared" si="223"/>
        <v>10658.595649162755</v>
      </c>
      <c r="K478" s="63"/>
      <c r="L478" s="149">
        <v>0</v>
      </c>
      <c r="M478" s="63">
        <f t="shared" si="232"/>
        <v>0</v>
      </c>
      <c r="N478" s="63">
        <f t="shared" si="224"/>
        <v>0</v>
      </c>
      <c r="O478" s="69"/>
      <c r="P478" s="149">
        <v>0</v>
      </c>
      <c r="Q478" s="63">
        <f t="shared" si="233"/>
        <v>0</v>
      </c>
      <c r="R478" s="64">
        <f t="shared" si="225"/>
        <v>0</v>
      </c>
      <c r="S478" s="148">
        <v>5</v>
      </c>
      <c r="T478" s="151" t="s">
        <v>15</v>
      </c>
      <c r="U478" s="65">
        <f>SUMIF('Avoided Costs 2012-2020_EGD'!$A:$A,'2012 Actuals_Auditor'!T478&amp;'2012 Actuals_Auditor'!S478,'Avoided Costs 2012-2020_EGD'!$E:$E)*J478</f>
        <v>8884.4966636332902</v>
      </c>
      <c r="V478" s="65">
        <f>SUMIF('Avoided Costs 2012-2020_EGD'!$A:$A,'2012 Actuals_Auditor'!T478&amp;'2012 Actuals_Auditor'!S478,'Avoided Costs 2012-2020_EGD'!$K:$K)*N478</f>
        <v>0</v>
      </c>
      <c r="W478" s="65">
        <f>SUMIF('Avoided Costs 2012-2020_EGD'!$A:$A,'2012 Actuals_Auditor'!T478&amp;'2012 Actuals_Auditor'!S478,'Avoided Costs 2012-2020_EGD'!$M:$M)*R478</f>
        <v>0</v>
      </c>
      <c r="X478" s="65">
        <f t="shared" si="234"/>
        <v>8884.4966636332902</v>
      </c>
      <c r="Y478" s="146">
        <v>0</v>
      </c>
      <c r="Z478" s="66">
        <f t="shared" si="226"/>
        <v>0</v>
      </c>
      <c r="AA478" s="66"/>
      <c r="AB478" s="66"/>
      <c r="AC478" s="66"/>
      <c r="AD478" s="66">
        <f t="shared" si="227"/>
        <v>0</v>
      </c>
      <c r="AE478" s="66">
        <f t="shared" si="228"/>
        <v>8884.4966636332902</v>
      </c>
      <c r="AF478" s="101">
        <f t="shared" si="229"/>
        <v>53292.978245813778</v>
      </c>
      <c r="AG478" s="101">
        <f t="shared" si="230"/>
        <v>60560.202552061106</v>
      </c>
    </row>
    <row r="479" spans="1:33" s="68" customFormat="1" x14ac:dyDescent="0.2">
      <c r="A479" s="147" t="s">
        <v>1002</v>
      </c>
      <c r="B479" s="147"/>
      <c r="C479" s="147"/>
      <c r="D479" s="148">
        <v>1</v>
      </c>
      <c r="E479" s="149"/>
      <c r="F479" s="150">
        <v>0.12</v>
      </c>
      <c r="G479" s="150"/>
      <c r="H479" s="67">
        <v>12217</v>
      </c>
      <c r="I479" s="67">
        <f t="shared" ref="I479:I486" si="235">H479</f>
        <v>12217</v>
      </c>
      <c r="J479" s="67">
        <f t="shared" si="223"/>
        <v>10750.960000000001</v>
      </c>
      <c r="K479" s="63"/>
      <c r="L479" s="149">
        <v>0</v>
      </c>
      <c r="M479" s="63">
        <f t="shared" ref="M479:M486" si="236">L479</f>
        <v>0</v>
      </c>
      <c r="N479" s="63">
        <f t="shared" si="224"/>
        <v>0</v>
      </c>
      <c r="O479" s="69"/>
      <c r="P479" s="149">
        <v>0</v>
      </c>
      <c r="Q479" s="63">
        <f t="shared" ref="Q479:Q486" si="237">+P479</f>
        <v>0</v>
      </c>
      <c r="R479" s="64">
        <f t="shared" si="225"/>
        <v>0</v>
      </c>
      <c r="S479" s="148">
        <v>25</v>
      </c>
      <c r="T479" s="151" t="s">
        <v>15</v>
      </c>
      <c r="U479" s="65">
        <f>SUMIF('Avoided Costs 2012-2020_EGD'!$A:$A,'2012 Actuals_Auditor'!T479&amp;'2012 Actuals_Auditor'!S479,'Avoided Costs 2012-2020_EGD'!$E:$E)*J479</f>
        <v>36918.742873508709</v>
      </c>
      <c r="V479" s="65">
        <f>SUMIF('Avoided Costs 2012-2020_EGD'!$A:$A,'2012 Actuals_Auditor'!T479&amp;'2012 Actuals_Auditor'!S479,'Avoided Costs 2012-2020_EGD'!$K:$K)*N479</f>
        <v>0</v>
      </c>
      <c r="W479" s="65">
        <f>SUMIF('Avoided Costs 2012-2020_EGD'!$A:$A,'2012 Actuals_Auditor'!T479&amp;'2012 Actuals_Auditor'!S479,'Avoided Costs 2012-2020_EGD'!$M:$M)*R479</f>
        <v>0</v>
      </c>
      <c r="X479" s="65">
        <f t="shared" si="234"/>
        <v>36918.742873508709</v>
      </c>
      <c r="Y479" s="146">
        <v>7608.48</v>
      </c>
      <c r="Z479" s="66">
        <f t="shared" si="226"/>
        <v>6695.4623999999994</v>
      </c>
      <c r="AA479" s="66"/>
      <c r="AB479" s="66"/>
      <c r="AC479" s="66"/>
      <c r="AD479" s="66">
        <f t="shared" si="227"/>
        <v>6695.4623999999994</v>
      </c>
      <c r="AE479" s="66">
        <f t="shared" si="228"/>
        <v>30223.280473508708</v>
      </c>
      <c r="AF479" s="101">
        <f t="shared" si="229"/>
        <v>268774</v>
      </c>
      <c r="AG479" s="101">
        <f t="shared" si="230"/>
        <v>305425</v>
      </c>
    </row>
    <row r="480" spans="1:33" s="68" customFormat="1" x14ac:dyDescent="0.2">
      <c r="A480" s="147" t="s">
        <v>1003</v>
      </c>
      <c r="B480" s="147"/>
      <c r="C480" s="147"/>
      <c r="D480" s="148">
        <v>1</v>
      </c>
      <c r="E480" s="149"/>
      <c r="F480" s="150">
        <v>0.12</v>
      </c>
      <c r="G480" s="150"/>
      <c r="H480" s="67">
        <v>12217</v>
      </c>
      <c r="I480" s="67">
        <f t="shared" si="235"/>
        <v>12217</v>
      </c>
      <c r="J480" s="67">
        <f t="shared" si="223"/>
        <v>10750.960000000001</v>
      </c>
      <c r="K480" s="63"/>
      <c r="L480" s="149">
        <v>0</v>
      </c>
      <c r="M480" s="63">
        <f t="shared" si="236"/>
        <v>0</v>
      </c>
      <c r="N480" s="63">
        <f t="shared" si="224"/>
        <v>0</v>
      </c>
      <c r="O480" s="69"/>
      <c r="P480" s="149">
        <v>0</v>
      </c>
      <c r="Q480" s="63">
        <f t="shared" si="237"/>
        <v>0</v>
      </c>
      <c r="R480" s="64">
        <f t="shared" si="225"/>
        <v>0</v>
      </c>
      <c r="S480" s="148">
        <v>25</v>
      </c>
      <c r="T480" s="151" t="s">
        <v>15</v>
      </c>
      <c r="U480" s="65">
        <f>SUMIF('Avoided Costs 2012-2020_EGD'!$A:$A,'2012 Actuals_Auditor'!T480&amp;'2012 Actuals_Auditor'!S480,'Avoided Costs 2012-2020_EGD'!$E:$E)*J480</f>
        <v>36918.742873508709</v>
      </c>
      <c r="V480" s="65">
        <f>SUMIF('Avoided Costs 2012-2020_EGD'!$A:$A,'2012 Actuals_Auditor'!T480&amp;'2012 Actuals_Auditor'!S480,'Avoided Costs 2012-2020_EGD'!$K:$K)*N480</f>
        <v>0</v>
      </c>
      <c r="W480" s="65">
        <f>SUMIF('Avoided Costs 2012-2020_EGD'!$A:$A,'2012 Actuals_Auditor'!T480&amp;'2012 Actuals_Auditor'!S480,'Avoided Costs 2012-2020_EGD'!$M:$M)*R480</f>
        <v>0</v>
      </c>
      <c r="X480" s="65">
        <f t="shared" si="234"/>
        <v>36918.742873508709</v>
      </c>
      <c r="Y480" s="146">
        <v>7608.48</v>
      </c>
      <c r="Z480" s="66">
        <f t="shared" si="226"/>
        <v>6695.4623999999994</v>
      </c>
      <c r="AA480" s="66"/>
      <c r="AB480" s="66"/>
      <c r="AC480" s="66"/>
      <c r="AD480" s="66">
        <f t="shared" si="227"/>
        <v>6695.4623999999994</v>
      </c>
      <c r="AE480" s="66">
        <f t="shared" si="228"/>
        <v>30223.280473508708</v>
      </c>
      <c r="AF480" s="101">
        <f t="shared" si="229"/>
        <v>268774</v>
      </c>
      <c r="AG480" s="101">
        <f t="shared" si="230"/>
        <v>305425</v>
      </c>
    </row>
    <row r="481" spans="1:33" s="68" customFormat="1" x14ac:dyDescent="0.2">
      <c r="A481" s="147" t="s">
        <v>1004</v>
      </c>
      <c r="B481" s="147"/>
      <c r="C481" s="147"/>
      <c r="D481" s="148">
        <v>1</v>
      </c>
      <c r="E481" s="149"/>
      <c r="F481" s="150">
        <v>0.12</v>
      </c>
      <c r="G481" s="150"/>
      <c r="H481" s="67">
        <v>12217</v>
      </c>
      <c r="I481" s="67">
        <f t="shared" si="235"/>
        <v>12217</v>
      </c>
      <c r="J481" s="67">
        <f t="shared" si="223"/>
        <v>10750.960000000001</v>
      </c>
      <c r="K481" s="63"/>
      <c r="L481" s="149">
        <v>0</v>
      </c>
      <c r="M481" s="63">
        <f t="shared" si="236"/>
        <v>0</v>
      </c>
      <c r="N481" s="63">
        <f t="shared" si="224"/>
        <v>0</v>
      </c>
      <c r="O481" s="69"/>
      <c r="P481" s="149">
        <v>0</v>
      </c>
      <c r="Q481" s="63">
        <f t="shared" si="237"/>
        <v>0</v>
      </c>
      <c r="R481" s="64">
        <f t="shared" si="225"/>
        <v>0</v>
      </c>
      <c r="S481" s="148">
        <v>25</v>
      </c>
      <c r="T481" s="151" t="s">
        <v>15</v>
      </c>
      <c r="U481" s="65">
        <f>SUMIF('Avoided Costs 2012-2020_EGD'!$A:$A,'2012 Actuals_Auditor'!T481&amp;'2012 Actuals_Auditor'!S481,'Avoided Costs 2012-2020_EGD'!$E:$E)*J481</f>
        <v>36918.742873508709</v>
      </c>
      <c r="V481" s="65">
        <f>SUMIF('Avoided Costs 2012-2020_EGD'!$A:$A,'2012 Actuals_Auditor'!T481&amp;'2012 Actuals_Auditor'!S481,'Avoided Costs 2012-2020_EGD'!$K:$K)*N481</f>
        <v>0</v>
      </c>
      <c r="W481" s="65">
        <f>SUMIF('Avoided Costs 2012-2020_EGD'!$A:$A,'2012 Actuals_Auditor'!T481&amp;'2012 Actuals_Auditor'!S481,'Avoided Costs 2012-2020_EGD'!$M:$M)*R481</f>
        <v>0</v>
      </c>
      <c r="X481" s="65">
        <f t="shared" si="234"/>
        <v>36918.742873508709</v>
      </c>
      <c r="Y481" s="146">
        <v>7608.48</v>
      </c>
      <c r="Z481" s="66">
        <f t="shared" si="226"/>
        <v>6695.4623999999994</v>
      </c>
      <c r="AA481" s="66"/>
      <c r="AB481" s="66"/>
      <c r="AC481" s="66"/>
      <c r="AD481" s="66">
        <f t="shared" si="227"/>
        <v>6695.4623999999994</v>
      </c>
      <c r="AE481" s="66">
        <f t="shared" si="228"/>
        <v>30223.280473508708</v>
      </c>
      <c r="AF481" s="101">
        <f t="shared" si="229"/>
        <v>268774</v>
      </c>
      <c r="AG481" s="101">
        <f t="shared" si="230"/>
        <v>305425</v>
      </c>
    </row>
    <row r="482" spans="1:33" s="68" customFormat="1" x14ac:dyDescent="0.2">
      <c r="A482" s="147" t="s">
        <v>1005</v>
      </c>
      <c r="B482" s="147"/>
      <c r="C482" s="147"/>
      <c r="D482" s="148">
        <v>1</v>
      </c>
      <c r="E482" s="149"/>
      <c r="F482" s="150">
        <v>0.12</v>
      </c>
      <c r="G482" s="150"/>
      <c r="H482" s="67">
        <v>12217</v>
      </c>
      <c r="I482" s="67">
        <f t="shared" si="235"/>
        <v>12217</v>
      </c>
      <c r="J482" s="67">
        <f t="shared" si="223"/>
        <v>10750.960000000001</v>
      </c>
      <c r="K482" s="63"/>
      <c r="L482" s="149">
        <v>0</v>
      </c>
      <c r="M482" s="63">
        <f t="shared" si="236"/>
        <v>0</v>
      </c>
      <c r="N482" s="63">
        <f t="shared" si="224"/>
        <v>0</v>
      </c>
      <c r="O482" s="69"/>
      <c r="P482" s="149">
        <v>0</v>
      </c>
      <c r="Q482" s="63">
        <f t="shared" si="237"/>
        <v>0</v>
      </c>
      <c r="R482" s="64">
        <f t="shared" si="225"/>
        <v>0</v>
      </c>
      <c r="S482" s="148">
        <v>25</v>
      </c>
      <c r="T482" s="151" t="s">
        <v>15</v>
      </c>
      <c r="U482" s="65">
        <f>SUMIF('Avoided Costs 2012-2020_EGD'!$A:$A,'2012 Actuals_Auditor'!T482&amp;'2012 Actuals_Auditor'!S482,'Avoided Costs 2012-2020_EGD'!$E:$E)*J482</f>
        <v>36918.742873508709</v>
      </c>
      <c r="V482" s="65">
        <f>SUMIF('Avoided Costs 2012-2020_EGD'!$A:$A,'2012 Actuals_Auditor'!T482&amp;'2012 Actuals_Auditor'!S482,'Avoided Costs 2012-2020_EGD'!$K:$K)*N482</f>
        <v>0</v>
      </c>
      <c r="W482" s="65">
        <f>SUMIF('Avoided Costs 2012-2020_EGD'!$A:$A,'2012 Actuals_Auditor'!T482&amp;'2012 Actuals_Auditor'!S482,'Avoided Costs 2012-2020_EGD'!$M:$M)*R482</f>
        <v>0</v>
      </c>
      <c r="X482" s="65">
        <f t="shared" si="234"/>
        <v>36918.742873508709</v>
      </c>
      <c r="Y482" s="146">
        <v>7608.48</v>
      </c>
      <c r="Z482" s="66">
        <f t="shared" si="226"/>
        <v>6695.4623999999994</v>
      </c>
      <c r="AA482" s="66"/>
      <c r="AB482" s="66"/>
      <c r="AC482" s="66"/>
      <c r="AD482" s="66">
        <f t="shared" si="227"/>
        <v>6695.4623999999994</v>
      </c>
      <c r="AE482" s="66">
        <f t="shared" si="228"/>
        <v>30223.280473508708</v>
      </c>
      <c r="AF482" s="101">
        <f t="shared" si="229"/>
        <v>268774</v>
      </c>
      <c r="AG482" s="101">
        <f t="shared" si="230"/>
        <v>305425</v>
      </c>
    </row>
    <row r="483" spans="1:33" s="68" customFormat="1" x14ac:dyDescent="0.2">
      <c r="A483" s="147" t="s">
        <v>1006</v>
      </c>
      <c r="B483" s="147"/>
      <c r="C483" s="147"/>
      <c r="D483" s="148">
        <v>1</v>
      </c>
      <c r="E483" s="149"/>
      <c r="F483" s="150">
        <v>0.12</v>
      </c>
      <c r="G483" s="150"/>
      <c r="H483" s="67">
        <v>12217</v>
      </c>
      <c r="I483" s="67">
        <f t="shared" si="235"/>
        <v>12217</v>
      </c>
      <c r="J483" s="67">
        <f t="shared" si="223"/>
        <v>10750.960000000001</v>
      </c>
      <c r="K483" s="63"/>
      <c r="L483" s="149">
        <v>0</v>
      </c>
      <c r="M483" s="63">
        <f t="shared" si="236"/>
        <v>0</v>
      </c>
      <c r="N483" s="63">
        <f t="shared" si="224"/>
        <v>0</v>
      </c>
      <c r="O483" s="69"/>
      <c r="P483" s="149">
        <v>0</v>
      </c>
      <c r="Q483" s="63">
        <f t="shared" si="237"/>
        <v>0</v>
      </c>
      <c r="R483" s="64">
        <f t="shared" si="225"/>
        <v>0</v>
      </c>
      <c r="S483" s="148">
        <v>25</v>
      </c>
      <c r="T483" s="151" t="s">
        <v>15</v>
      </c>
      <c r="U483" s="65">
        <f>SUMIF('Avoided Costs 2012-2020_EGD'!$A:$A,'2012 Actuals_Auditor'!T483&amp;'2012 Actuals_Auditor'!S483,'Avoided Costs 2012-2020_EGD'!$E:$E)*J483</f>
        <v>36918.742873508709</v>
      </c>
      <c r="V483" s="65">
        <f>SUMIF('Avoided Costs 2012-2020_EGD'!$A:$A,'2012 Actuals_Auditor'!T483&amp;'2012 Actuals_Auditor'!S483,'Avoided Costs 2012-2020_EGD'!$K:$K)*N483</f>
        <v>0</v>
      </c>
      <c r="W483" s="65">
        <f>SUMIF('Avoided Costs 2012-2020_EGD'!$A:$A,'2012 Actuals_Auditor'!T483&amp;'2012 Actuals_Auditor'!S483,'Avoided Costs 2012-2020_EGD'!$M:$M)*R483</f>
        <v>0</v>
      </c>
      <c r="X483" s="65">
        <f t="shared" si="234"/>
        <v>36918.742873508709</v>
      </c>
      <c r="Y483" s="146">
        <v>7608.48</v>
      </c>
      <c r="Z483" s="66">
        <f t="shared" si="226"/>
        <v>6695.4623999999994</v>
      </c>
      <c r="AA483" s="66"/>
      <c r="AB483" s="66"/>
      <c r="AC483" s="66"/>
      <c r="AD483" s="66">
        <f t="shared" si="227"/>
        <v>6695.4623999999994</v>
      </c>
      <c r="AE483" s="66">
        <f t="shared" si="228"/>
        <v>30223.280473508708</v>
      </c>
      <c r="AF483" s="101">
        <f t="shared" si="229"/>
        <v>268774</v>
      </c>
      <c r="AG483" s="101">
        <f t="shared" si="230"/>
        <v>305425</v>
      </c>
    </row>
    <row r="484" spans="1:33" s="68" customFormat="1" x14ac:dyDescent="0.2">
      <c r="A484" s="147" t="s">
        <v>1007</v>
      </c>
      <c r="B484" s="147"/>
      <c r="C484" s="147"/>
      <c r="D484" s="148">
        <v>1</v>
      </c>
      <c r="E484" s="149"/>
      <c r="F484" s="150">
        <v>0.12</v>
      </c>
      <c r="G484" s="150"/>
      <c r="H484" s="67">
        <v>12217</v>
      </c>
      <c r="I484" s="67">
        <f t="shared" si="235"/>
        <v>12217</v>
      </c>
      <c r="J484" s="67">
        <f t="shared" si="223"/>
        <v>10750.960000000001</v>
      </c>
      <c r="K484" s="63"/>
      <c r="L484" s="149">
        <v>0</v>
      </c>
      <c r="M484" s="63">
        <f t="shared" si="236"/>
        <v>0</v>
      </c>
      <c r="N484" s="63">
        <f t="shared" si="224"/>
        <v>0</v>
      </c>
      <c r="O484" s="69"/>
      <c r="P484" s="149">
        <v>0</v>
      </c>
      <c r="Q484" s="63">
        <f t="shared" si="237"/>
        <v>0</v>
      </c>
      <c r="R484" s="64">
        <f t="shared" si="225"/>
        <v>0</v>
      </c>
      <c r="S484" s="148">
        <v>25</v>
      </c>
      <c r="T484" s="151" t="s">
        <v>15</v>
      </c>
      <c r="U484" s="65">
        <f>SUMIF('Avoided Costs 2012-2020_EGD'!$A:$A,'2012 Actuals_Auditor'!T484&amp;'2012 Actuals_Auditor'!S484,'Avoided Costs 2012-2020_EGD'!$E:$E)*J484</f>
        <v>36918.742873508709</v>
      </c>
      <c r="V484" s="65">
        <f>SUMIF('Avoided Costs 2012-2020_EGD'!$A:$A,'2012 Actuals_Auditor'!T484&amp;'2012 Actuals_Auditor'!S484,'Avoided Costs 2012-2020_EGD'!$K:$K)*N484</f>
        <v>0</v>
      </c>
      <c r="W484" s="65">
        <f>SUMIF('Avoided Costs 2012-2020_EGD'!$A:$A,'2012 Actuals_Auditor'!T484&amp;'2012 Actuals_Auditor'!S484,'Avoided Costs 2012-2020_EGD'!$M:$M)*R484</f>
        <v>0</v>
      </c>
      <c r="X484" s="65">
        <f t="shared" si="234"/>
        <v>36918.742873508709</v>
      </c>
      <c r="Y484" s="146">
        <v>7608.48</v>
      </c>
      <c r="Z484" s="66">
        <f t="shared" si="226"/>
        <v>6695.4623999999994</v>
      </c>
      <c r="AA484" s="66"/>
      <c r="AB484" s="66"/>
      <c r="AC484" s="66"/>
      <c r="AD484" s="66">
        <f t="shared" si="227"/>
        <v>6695.4623999999994</v>
      </c>
      <c r="AE484" s="66">
        <f t="shared" si="228"/>
        <v>30223.280473508708</v>
      </c>
      <c r="AF484" s="101">
        <f t="shared" si="229"/>
        <v>268774</v>
      </c>
      <c r="AG484" s="101">
        <f t="shared" si="230"/>
        <v>305425</v>
      </c>
    </row>
    <row r="485" spans="1:33" s="68" customFormat="1" x14ac:dyDescent="0.2">
      <c r="A485" s="147" t="s">
        <v>1008</v>
      </c>
      <c r="B485" s="147"/>
      <c r="C485" s="147"/>
      <c r="D485" s="148">
        <v>1</v>
      </c>
      <c r="E485" s="149"/>
      <c r="F485" s="150">
        <v>0.12</v>
      </c>
      <c r="G485" s="150"/>
      <c r="H485" s="67">
        <v>12217</v>
      </c>
      <c r="I485" s="67">
        <f t="shared" si="235"/>
        <v>12217</v>
      </c>
      <c r="J485" s="67">
        <f t="shared" si="223"/>
        <v>10750.960000000001</v>
      </c>
      <c r="K485" s="63"/>
      <c r="L485" s="149">
        <v>0</v>
      </c>
      <c r="M485" s="63">
        <f t="shared" si="236"/>
        <v>0</v>
      </c>
      <c r="N485" s="63">
        <f t="shared" si="224"/>
        <v>0</v>
      </c>
      <c r="O485" s="69"/>
      <c r="P485" s="149">
        <v>0</v>
      </c>
      <c r="Q485" s="63">
        <f t="shared" si="237"/>
        <v>0</v>
      </c>
      <c r="R485" s="64">
        <f t="shared" si="225"/>
        <v>0</v>
      </c>
      <c r="S485" s="148">
        <v>25</v>
      </c>
      <c r="T485" s="151" t="s">
        <v>15</v>
      </c>
      <c r="U485" s="65">
        <f>SUMIF('Avoided Costs 2012-2020_EGD'!$A:$A,'2012 Actuals_Auditor'!T485&amp;'2012 Actuals_Auditor'!S485,'Avoided Costs 2012-2020_EGD'!$E:$E)*J485</f>
        <v>36918.742873508709</v>
      </c>
      <c r="V485" s="65">
        <f>SUMIF('Avoided Costs 2012-2020_EGD'!$A:$A,'2012 Actuals_Auditor'!T485&amp;'2012 Actuals_Auditor'!S485,'Avoided Costs 2012-2020_EGD'!$K:$K)*N485</f>
        <v>0</v>
      </c>
      <c r="W485" s="65">
        <f>SUMIF('Avoided Costs 2012-2020_EGD'!$A:$A,'2012 Actuals_Auditor'!T485&amp;'2012 Actuals_Auditor'!S485,'Avoided Costs 2012-2020_EGD'!$M:$M)*R485</f>
        <v>0</v>
      </c>
      <c r="X485" s="65">
        <f t="shared" si="234"/>
        <v>36918.742873508709</v>
      </c>
      <c r="Y485" s="146">
        <v>7608.48</v>
      </c>
      <c r="Z485" s="66">
        <f t="shared" si="226"/>
        <v>6695.4623999999994</v>
      </c>
      <c r="AA485" s="66"/>
      <c r="AB485" s="66"/>
      <c r="AC485" s="66"/>
      <c r="AD485" s="66">
        <f t="shared" si="227"/>
        <v>6695.4623999999994</v>
      </c>
      <c r="AE485" s="66">
        <f t="shared" si="228"/>
        <v>30223.280473508708</v>
      </c>
      <c r="AF485" s="101">
        <f t="shared" si="229"/>
        <v>268774</v>
      </c>
      <c r="AG485" s="101">
        <f t="shared" si="230"/>
        <v>305425</v>
      </c>
    </row>
    <row r="486" spans="1:33" s="68" customFormat="1" x14ac:dyDescent="0.2">
      <c r="A486" s="147" t="s">
        <v>1009</v>
      </c>
      <c r="B486" s="147"/>
      <c r="C486" s="147"/>
      <c r="D486" s="148">
        <v>1</v>
      </c>
      <c r="E486" s="149"/>
      <c r="F486" s="150">
        <v>0.12</v>
      </c>
      <c r="G486" s="150"/>
      <c r="H486" s="67">
        <v>12217</v>
      </c>
      <c r="I486" s="67">
        <f t="shared" si="235"/>
        <v>12217</v>
      </c>
      <c r="J486" s="67">
        <f t="shared" si="223"/>
        <v>10750.960000000001</v>
      </c>
      <c r="K486" s="63"/>
      <c r="L486" s="149">
        <v>0</v>
      </c>
      <c r="M486" s="63">
        <f t="shared" si="236"/>
        <v>0</v>
      </c>
      <c r="N486" s="63">
        <f t="shared" si="224"/>
        <v>0</v>
      </c>
      <c r="O486" s="69"/>
      <c r="P486" s="149">
        <v>0</v>
      </c>
      <c r="Q486" s="63">
        <f t="shared" si="237"/>
        <v>0</v>
      </c>
      <c r="R486" s="64">
        <f t="shared" si="225"/>
        <v>0</v>
      </c>
      <c r="S486" s="148">
        <v>25</v>
      </c>
      <c r="T486" s="151" t="s">
        <v>15</v>
      </c>
      <c r="U486" s="65">
        <f>SUMIF('Avoided Costs 2012-2020_EGD'!$A:$A,'2012 Actuals_Auditor'!T486&amp;'2012 Actuals_Auditor'!S486,'Avoided Costs 2012-2020_EGD'!$E:$E)*J486</f>
        <v>36918.742873508709</v>
      </c>
      <c r="V486" s="65">
        <f>SUMIF('Avoided Costs 2012-2020_EGD'!$A:$A,'2012 Actuals_Auditor'!T486&amp;'2012 Actuals_Auditor'!S486,'Avoided Costs 2012-2020_EGD'!$K:$K)*N486</f>
        <v>0</v>
      </c>
      <c r="W486" s="65">
        <f>SUMIF('Avoided Costs 2012-2020_EGD'!$A:$A,'2012 Actuals_Auditor'!T486&amp;'2012 Actuals_Auditor'!S486,'Avoided Costs 2012-2020_EGD'!$M:$M)*R486</f>
        <v>0</v>
      </c>
      <c r="X486" s="65">
        <f t="shared" si="234"/>
        <v>36918.742873508709</v>
      </c>
      <c r="Y486" s="146">
        <v>7608.48</v>
      </c>
      <c r="Z486" s="66">
        <f t="shared" si="226"/>
        <v>6695.4623999999994</v>
      </c>
      <c r="AA486" s="66"/>
      <c r="AB486" s="66"/>
      <c r="AC486" s="66"/>
      <c r="AD486" s="66">
        <f t="shared" si="227"/>
        <v>6695.4623999999994</v>
      </c>
      <c r="AE486" s="66">
        <f t="shared" si="228"/>
        <v>30223.280473508708</v>
      </c>
      <c r="AF486" s="101">
        <f t="shared" si="229"/>
        <v>268774</v>
      </c>
      <c r="AG486" s="101">
        <f t="shared" si="230"/>
        <v>305425</v>
      </c>
    </row>
    <row r="487" spans="1:33" s="68" customFormat="1" x14ac:dyDescent="0.2">
      <c r="A487" s="147" t="s">
        <v>1010</v>
      </c>
      <c r="B487" s="147"/>
      <c r="C487" s="147"/>
      <c r="D487" s="148">
        <v>1</v>
      </c>
      <c r="E487" s="149"/>
      <c r="F487" s="150">
        <v>0.12</v>
      </c>
      <c r="G487" s="150"/>
      <c r="H487" s="67">
        <v>6444</v>
      </c>
      <c r="I487" s="67">
        <f t="shared" ref="I487:I500" si="238">+$H$42*H487</f>
        <v>6159.7339633096326</v>
      </c>
      <c r="J487" s="67">
        <f t="shared" si="223"/>
        <v>5420.565887712477</v>
      </c>
      <c r="K487" s="63"/>
      <c r="L487" s="149">
        <v>16920</v>
      </c>
      <c r="M487" s="63">
        <f t="shared" si="232"/>
        <v>16920</v>
      </c>
      <c r="N487" s="63">
        <f t="shared" si="224"/>
        <v>14889.6</v>
      </c>
      <c r="O487" s="69"/>
      <c r="P487" s="149">
        <v>0</v>
      </c>
      <c r="Q487" s="63">
        <f t="shared" ref="Q487:Q500" si="239">+P487*$P$42</f>
        <v>0</v>
      </c>
      <c r="R487" s="64">
        <f t="shared" si="225"/>
        <v>0</v>
      </c>
      <c r="S487" s="148">
        <v>15</v>
      </c>
      <c r="T487" s="151" t="s">
        <v>15</v>
      </c>
      <c r="U487" s="65">
        <f>SUMIF('Avoided Costs 2012-2020_EGD'!$A:$A,'2012 Actuals_Auditor'!T487&amp;'2012 Actuals_Auditor'!S487,'Avoided Costs 2012-2020_EGD'!$E:$E)*J487</f>
        <v>13171.4540625707</v>
      </c>
      <c r="V487" s="65">
        <f>SUMIF('Avoided Costs 2012-2020_EGD'!$A:$A,'2012 Actuals_Auditor'!T487&amp;'2012 Actuals_Auditor'!S487,'Avoided Costs 2012-2020_EGD'!$K:$K)*N487</f>
        <v>15333.063298186005</v>
      </c>
      <c r="W487" s="65">
        <f>SUMIF('Avoided Costs 2012-2020_EGD'!$A:$A,'2012 Actuals_Auditor'!T487&amp;'2012 Actuals_Auditor'!S487,'Avoided Costs 2012-2020_EGD'!$M:$M)*R487</f>
        <v>0</v>
      </c>
      <c r="X487" s="65">
        <f t="shared" si="234"/>
        <v>28504.517360756705</v>
      </c>
      <c r="Y487" s="146">
        <v>46363</v>
      </c>
      <c r="Z487" s="66">
        <f t="shared" si="226"/>
        <v>40799.440000000002</v>
      </c>
      <c r="AA487" s="66"/>
      <c r="AB487" s="66"/>
      <c r="AC487" s="66"/>
      <c r="AD487" s="66">
        <f t="shared" si="227"/>
        <v>40799.440000000002</v>
      </c>
      <c r="AE487" s="66">
        <f t="shared" si="228"/>
        <v>-12294.922639243297</v>
      </c>
      <c r="AF487" s="101">
        <f t="shared" si="229"/>
        <v>81308.488315687151</v>
      </c>
      <c r="AG487" s="101">
        <f t="shared" si="230"/>
        <v>92396.009449644494</v>
      </c>
    </row>
    <row r="488" spans="1:33" s="68" customFormat="1" x14ac:dyDescent="0.2">
      <c r="A488" s="147" t="s">
        <v>1011</v>
      </c>
      <c r="B488" s="147"/>
      <c r="C488" s="147"/>
      <c r="D488" s="148">
        <v>1</v>
      </c>
      <c r="E488" s="149"/>
      <c r="F488" s="150">
        <v>0.12</v>
      </c>
      <c r="G488" s="150"/>
      <c r="H488" s="67">
        <v>11939</v>
      </c>
      <c r="I488" s="67">
        <f t="shared" si="238"/>
        <v>11412.331438229936</v>
      </c>
      <c r="J488" s="67">
        <f t="shared" si="223"/>
        <v>10042.851665642344</v>
      </c>
      <c r="K488" s="63"/>
      <c r="L488" s="149">
        <v>43675</v>
      </c>
      <c r="M488" s="63">
        <f t="shared" si="232"/>
        <v>43675</v>
      </c>
      <c r="N488" s="63">
        <f t="shared" si="224"/>
        <v>38434</v>
      </c>
      <c r="O488" s="69"/>
      <c r="P488" s="149">
        <v>0</v>
      </c>
      <c r="Q488" s="63">
        <f t="shared" si="239"/>
        <v>0</v>
      </c>
      <c r="R488" s="64">
        <f t="shared" si="225"/>
        <v>0</v>
      </c>
      <c r="S488" s="148">
        <v>15</v>
      </c>
      <c r="T488" s="151" t="s">
        <v>15</v>
      </c>
      <c r="U488" s="65">
        <f>SUMIF('Avoided Costs 2012-2020_EGD'!$A:$A,'2012 Actuals_Auditor'!T488&amp;'2012 Actuals_Auditor'!S488,'Avoided Costs 2012-2020_EGD'!$E:$E)*J488</f>
        <v>24403.164191966414</v>
      </c>
      <c r="V488" s="65">
        <f>SUMIF('Avoided Costs 2012-2020_EGD'!$A:$A,'2012 Actuals_Auditor'!T488&amp;'2012 Actuals_Auditor'!S488,'Avoided Costs 2012-2020_EGD'!$K:$K)*N488</f>
        <v>39578.69619079632</v>
      </c>
      <c r="W488" s="65">
        <f>SUMIF('Avoided Costs 2012-2020_EGD'!$A:$A,'2012 Actuals_Auditor'!T488&amp;'2012 Actuals_Auditor'!S488,'Avoided Costs 2012-2020_EGD'!$M:$M)*R488</f>
        <v>0</v>
      </c>
      <c r="X488" s="65">
        <f t="shared" si="234"/>
        <v>63981.860382762738</v>
      </c>
      <c r="Y488" s="146">
        <v>50231</v>
      </c>
      <c r="Z488" s="66">
        <f t="shared" si="226"/>
        <v>44203.28</v>
      </c>
      <c r="AA488" s="66"/>
      <c r="AB488" s="66"/>
      <c r="AC488" s="66"/>
      <c r="AD488" s="66">
        <f t="shared" si="227"/>
        <v>44203.28</v>
      </c>
      <c r="AE488" s="66">
        <f t="shared" si="228"/>
        <v>19778.580382762739</v>
      </c>
      <c r="AF488" s="101">
        <f t="shared" si="229"/>
        <v>150642.77498463515</v>
      </c>
      <c r="AG488" s="101">
        <f t="shared" si="230"/>
        <v>171184.97157344903</v>
      </c>
    </row>
    <row r="489" spans="1:33" s="68" customFormat="1" x14ac:dyDescent="0.2">
      <c r="A489" s="147" t="s">
        <v>1012</v>
      </c>
      <c r="B489" s="147"/>
      <c r="C489" s="147"/>
      <c r="D489" s="148">
        <v>1</v>
      </c>
      <c r="E489" s="149"/>
      <c r="F489" s="150">
        <v>0.12</v>
      </c>
      <c r="G489" s="150"/>
      <c r="H489" s="67">
        <v>1850</v>
      </c>
      <c r="I489" s="67">
        <f t="shared" si="238"/>
        <v>1768.3904146683458</v>
      </c>
      <c r="J489" s="67">
        <f t="shared" si="223"/>
        <v>1556.1835649081443</v>
      </c>
      <c r="K489" s="63"/>
      <c r="L489" s="149">
        <v>5304</v>
      </c>
      <c r="M489" s="63">
        <f t="shared" si="232"/>
        <v>5304</v>
      </c>
      <c r="N489" s="63">
        <f t="shared" si="224"/>
        <v>4667.5200000000004</v>
      </c>
      <c r="O489" s="69"/>
      <c r="P489" s="149">
        <v>0</v>
      </c>
      <c r="Q489" s="63">
        <f t="shared" si="239"/>
        <v>0</v>
      </c>
      <c r="R489" s="64">
        <f t="shared" si="225"/>
        <v>0</v>
      </c>
      <c r="S489" s="148">
        <v>15</v>
      </c>
      <c r="T489" s="151" t="s">
        <v>15</v>
      </c>
      <c r="U489" s="65">
        <f>SUMIF('Avoided Costs 2012-2020_EGD'!$A:$A,'2012 Actuals_Auditor'!T489&amp;'2012 Actuals_Auditor'!S489,'Avoided Costs 2012-2020_EGD'!$E:$E)*J489</f>
        <v>3781.3764766846357</v>
      </c>
      <c r="V489" s="65">
        <f>SUMIF('Avoided Costs 2012-2020_EGD'!$A:$A,'2012 Actuals_Auditor'!T489&amp;'2012 Actuals_Auditor'!S489,'Avoided Costs 2012-2020_EGD'!$K:$K)*N489</f>
        <v>4806.5347360271026</v>
      </c>
      <c r="W489" s="65">
        <f>SUMIF('Avoided Costs 2012-2020_EGD'!$A:$A,'2012 Actuals_Auditor'!T489&amp;'2012 Actuals_Auditor'!S489,'Avoided Costs 2012-2020_EGD'!$M:$M)*R489</f>
        <v>0</v>
      </c>
      <c r="X489" s="65">
        <f t="shared" si="234"/>
        <v>8587.9112127117387</v>
      </c>
      <c r="Y489" s="146">
        <v>32234</v>
      </c>
      <c r="Z489" s="66">
        <f t="shared" si="226"/>
        <v>28365.920000000002</v>
      </c>
      <c r="AA489" s="66"/>
      <c r="AB489" s="66"/>
      <c r="AC489" s="66"/>
      <c r="AD489" s="66">
        <f t="shared" si="227"/>
        <v>28365.920000000002</v>
      </c>
      <c r="AE489" s="66">
        <f t="shared" si="228"/>
        <v>-19778.008787288265</v>
      </c>
      <c r="AF489" s="101">
        <f t="shared" si="229"/>
        <v>23342.753473622164</v>
      </c>
      <c r="AG489" s="101">
        <f t="shared" si="230"/>
        <v>26525.856220025187</v>
      </c>
    </row>
    <row r="490" spans="1:33" s="68" customFormat="1" x14ac:dyDescent="0.2">
      <c r="A490" s="147" t="s">
        <v>1013</v>
      </c>
      <c r="B490" s="147"/>
      <c r="C490" s="147"/>
      <c r="D490" s="148">
        <v>1</v>
      </c>
      <c r="E490" s="149"/>
      <c r="F490" s="150">
        <v>0.12</v>
      </c>
      <c r="G490" s="150"/>
      <c r="H490" s="67">
        <v>4964</v>
      </c>
      <c r="I490" s="67">
        <f t="shared" si="238"/>
        <v>4745.0216315749558</v>
      </c>
      <c r="J490" s="67">
        <f t="shared" si="223"/>
        <v>4175.6190357859614</v>
      </c>
      <c r="K490" s="63"/>
      <c r="L490" s="149">
        <v>22526</v>
      </c>
      <c r="M490" s="63">
        <f t="shared" si="232"/>
        <v>22526</v>
      </c>
      <c r="N490" s="63">
        <f t="shared" si="224"/>
        <v>19822.88</v>
      </c>
      <c r="O490" s="69"/>
      <c r="P490" s="149">
        <v>0</v>
      </c>
      <c r="Q490" s="63">
        <f t="shared" si="239"/>
        <v>0</v>
      </c>
      <c r="R490" s="64">
        <f t="shared" si="225"/>
        <v>0</v>
      </c>
      <c r="S490" s="148">
        <v>15</v>
      </c>
      <c r="T490" s="151" t="s">
        <v>15</v>
      </c>
      <c r="U490" s="65">
        <f>SUMIF('Avoided Costs 2012-2020_EGD'!$A:$A,'2012 Actuals_Auditor'!T490&amp;'2012 Actuals_Auditor'!S490,'Avoided Costs 2012-2020_EGD'!$E:$E)*J490</f>
        <v>10146.352881222991</v>
      </c>
      <c r="V490" s="65">
        <f>SUMIF('Avoided Costs 2012-2020_EGD'!$A:$A,'2012 Actuals_Auditor'!T490&amp;'2012 Actuals_Auditor'!S490,'Avoided Costs 2012-2020_EGD'!$K:$K)*N490</f>
        <v>20413.273277478605</v>
      </c>
      <c r="W490" s="65">
        <f>SUMIF('Avoided Costs 2012-2020_EGD'!$A:$A,'2012 Actuals_Auditor'!T490&amp;'2012 Actuals_Auditor'!S490,'Avoided Costs 2012-2020_EGD'!$M:$M)*R490</f>
        <v>0</v>
      </c>
      <c r="X490" s="65">
        <f t="shared" si="234"/>
        <v>30559.626158701598</v>
      </c>
      <c r="Y490" s="146">
        <v>36106</v>
      </c>
      <c r="Z490" s="66">
        <f t="shared" si="226"/>
        <v>31773.279999999999</v>
      </c>
      <c r="AA490" s="66"/>
      <c r="AB490" s="66"/>
      <c r="AC490" s="66"/>
      <c r="AD490" s="66">
        <f t="shared" si="227"/>
        <v>31773.279999999999</v>
      </c>
      <c r="AE490" s="66">
        <f t="shared" si="228"/>
        <v>-1213.6538412984009</v>
      </c>
      <c r="AF490" s="101">
        <f t="shared" si="229"/>
        <v>62634.285536789423</v>
      </c>
      <c r="AG490" s="101">
        <f t="shared" si="230"/>
        <v>71175.324473624336</v>
      </c>
    </row>
    <row r="491" spans="1:33" s="68" customFormat="1" x14ac:dyDescent="0.2">
      <c r="A491" s="147" t="s">
        <v>1014</v>
      </c>
      <c r="B491" s="147"/>
      <c r="C491" s="147"/>
      <c r="D491" s="148">
        <v>1</v>
      </c>
      <c r="E491" s="149"/>
      <c r="F491" s="150">
        <v>0.12</v>
      </c>
      <c r="G491" s="150"/>
      <c r="H491" s="67">
        <v>12661</v>
      </c>
      <c r="I491" s="67">
        <f t="shared" si="238"/>
        <v>12102.481643305906</v>
      </c>
      <c r="J491" s="67">
        <f t="shared" si="223"/>
        <v>10650.183846109197</v>
      </c>
      <c r="K491" s="63"/>
      <c r="L491" s="149">
        <v>89044</v>
      </c>
      <c r="M491" s="63">
        <f t="shared" si="232"/>
        <v>89044</v>
      </c>
      <c r="N491" s="63">
        <f t="shared" si="224"/>
        <v>78358.720000000001</v>
      </c>
      <c r="O491" s="69"/>
      <c r="P491" s="149">
        <v>0</v>
      </c>
      <c r="Q491" s="63">
        <f t="shared" si="239"/>
        <v>0</v>
      </c>
      <c r="R491" s="64">
        <f t="shared" si="225"/>
        <v>0</v>
      </c>
      <c r="S491" s="148">
        <v>15</v>
      </c>
      <c r="T491" s="151" t="s">
        <v>15</v>
      </c>
      <c r="U491" s="65">
        <f>SUMIF('Avoided Costs 2012-2020_EGD'!$A:$A,'2012 Actuals_Auditor'!T491&amp;'2012 Actuals_Auditor'!S491,'Avoided Costs 2012-2020_EGD'!$E:$E)*J491</f>
        <v>25878.92301151577</v>
      </c>
      <c r="V491" s="65">
        <f>SUMIF('Avoided Costs 2012-2020_EGD'!$A:$A,'2012 Actuals_Auditor'!T491&amp;'2012 Actuals_Auditor'!S491,'Avoided Costs 2012-2020_EGD'!$K:$K)*N491</f>
        <v>80692.511130240819</v>
      </c>
      <c r="W491" s="65">
        <f>SUMIF('Avoided Costs 2012-2020_EGD'!$A:$A,'2012 Actuals_Auditor'!T491&amp;'2012 Actuals_Auditor'!S491,'Avoided Costs 2012-2020_EGD'!$M:$M)*R491</f>
        <v>0</v>
      </c>
      <c r="X491" s="65">
        <f t="shared" si="234"/>
        <v>106571.43414175659</v>
      </c>
      <c r="Y491" s="146">
        <v>23099</v>
      </c>
      <c r="Z491" s="66">
        <f t="shared" si="226"/>
        <v>20327.12</v>
      </c>
      <c r="AA491" s="66"/>
      <c r="AB491" s="66"/>
      <c r="AC491" s="66"/>
      <c r="AD491" s="66">
        <f t="shared" si="227"/>
        <v>20327.12</v>
      </c>
      <c r="AE491" s="66">
        <f t="shared" si="228"/>
        <v>86244.314141756593</v>
      </c>
      <c r="AF491" s="101">
        <f t="shared" si="229"/>
        <v>159752.75769163796</v>
      </c>
      <c r="AG491" s="101">
        <f t="shared" si="230"/>
        <v>181537.22464958858</v>
      </c>
    </row>
    <row r="492" spans="1:33" s="68" customFormat="1" x14ac:dyDescent="0.2">
      <c r="A492" s="147" t="s">
        <v>1015</v>
      </c>
      <c r="B492" s="147"/>
      <c r="C492" s="147"/>
      <c r="D492" s="148">
        <v>1</v>
      </c>
      <c r="E492" s="149"/>
      <c r="F492" s="150">
        <v>0.12</v>
      </c>
      <c r="G492" s="150"/>
      <c r="H492" s="67">
        <v>3483</v>
      </c>
      <c r="I492" s="67">
        <f t="shared" si="238"/>
        <v>3329.3534131296478</v>
      </c>
      <c r="J492" s="67">
        <f t="shared" si="223"/>
        <v>2929.8310035540903</v>
      </c>
      <c r="K492" s="63"/>
      <c r="L492" s="149">
        <v>4796</v>
      </c>
      <c r="M492" s="63">
        <f t="shared" si="232"/>
        <v>4796</v>
      </c>
      <c r="N492" s="63">
        <f t="shared" si="224"/>
        <v>4220.4800000000005</v>
      </c>
      <c r="O492" s="69"/>
      <c r="P492" s="149">
        <v>0</v>
      </c>
      <c r="Q492" s="63">
        <f t="shared" si="239"/>
        <v>0</v>
      </c>
      <c r="R492" s="64">
        <f t="shared" si="225"/>
        <v>0</v>
      </c>
      <c r="S492" s="148">
        <v>15</v>
      </c>
      <c r="T492" s="151" t="s">
        <v>15</v>
      </c>
      <c r="U492" s="65">
        <f>SUMIF('Avoided Costs 2012-2020_EGD'!$A:$A,'2012 Actuals_Auditor'!T492&amp;'2012 Actuals_Auditor'!S492,'Avoided Costs 2012-2020_EGD'!$E:$E)*J492</f>
        <v>7119.207712590588</v>
      </c>
      <c r="V492" s="65">
        <f>SUMIF('Avoided Costs 2012-2020_EGD'!$A:$A,'2012 Actuals_Auditor'!T492&amp;'2012 Actuals_Auditor'!S492,'Avoided Costs 2012-2020_EGD'!$K:$K)*N492</f>
        <v>4346.180353315608</v>
      </c>
      <c r="W492" s="65">
        <f>SUMIF('Avoided Costs 2012-2020_EGD'!$A:$A,'2012 Actuals_Auditor'!T492&amp;'2012 Actuals_Auditor'!S492,'Avoided Costs 2012-2020_EGD'!$M:$M)*R492</f>
        <v>0</v>
      </c>
      <c r="X492" s="65">
        <f t="shared" si="234"/>
        <v>11465.388065906196</v>
      </c>
      <c r="Y492" s="146">
        <v>15115</v>
      </c>
      <c r="Z492" s="66">
        <f t="shared" si="226"/>
        <v>13301.2</v>
      </c>
      <c r="AA492" s="66"/>
      <c r="AB492" s="66"/>
      <c r="AC492" s="66"/>
      <c r="AD492" s="66">
        <f t="shared" si="227"/>
        <v>13301.2</v>
      </c>
      <c r="AE492" s="66">
        <f t="shared" si="228"/>
        <v>-1835.8119340938047</v>
      </c>
      <c r="AF492" s="101">
        <f t="shared" si="229"/>
        <v>43947.465053311353</v>
      </c>
      <c r="AG492" s="101">
        <f t="shared" si="230"/>
        <v>49940.301196944718</v>
      </c>
    </row>
    <row r="493" spans="1:33" s="68" customFormat="1" x14ac:dyDescent="0.2">
      <c r="A493" s="147" t="s">
        <v>1016</v>
      </c>
      <c r="B493" s="147"/>
      <c r="C493" s="147"/>
      <c r="D493" s="148">
        <v>1</v>
      </c>
      <c r="E493" s="149"/>
      <c r="F493" s="150">
        <v>0.12</v>
      </c>
      <c r="G493" s="150"/>
      <c r="H493" s="67">
        <v>1357</v>
      </c>
      <c r="I493" s="67">
        <f t="shared" si="238"/>
        <v>1297.1382663269974</v>
      </c>
      <c r="J493" s="67">
        <f t="shared" si="223"/>
        <v>1141.4816743677577</v>
      </c>
      <c r="K493" s="63"/>
      <c r="L493" s="149">
        <v>24381</v>
      </c>
      <c r="M493" s="63">
        <f t="shared" si="232"/>
        <v>24381</v>
      </c>
      <c r="N493" s="63">
        <f t="shared" si="224"/>
        <v>21455.279999999999</v>
      </c>
      <c r="O493" s="69"/>
      <c r="P493" s="149">
        <v>0</v>
      </c>
      <c r="Q493" s="63">
        <f t="shared" si="239"/>
        <v>0</v>
      </c>
      <c r="R493" s="64">
        <f t="shared" si="225"/>
        <v>0</v>
      </c>
      <c r="S493" s="148">
        <v>15</v>
      </c>
      <c r="T493" s="151" t="s">
        <v>15</v>
      </c>
      <c r="U493" s="65">
        <f>SUMIF('Avoided Costs 2012-2020_EGD'!$A:$A,'2012 Actuals_Auditor'!T493&amp;'2012 Actuals_Auditor'!S493,'Avoided Costs 2012-2020_EGD'!$E:$E)*J493</f>
        <v>2773.6907453302979</v>
      </c>
      <c r="V493" s="65">
        <f>SUMIF('Avoided Costs 2012-2020_EGD'!$A:$A,'2012 Actuals_Auditor'!T493&amp;'2012 Actuals_Auditor'!S493,'Avoided Costs 2012-2020_EGD'!$K:$K)*N493</f>
        <v>22094.291741907386</v>
      </c>
      <c r="W493" s="65">
        <f>SUMIF('Avoided Costs 2012-2020_EGD'!$A:$A,'2012 Actuals_Auditor'!T493&amp;'2012 Actuals_Auditor'!S493,'Avoided Costs 2012-2020_EGD'!$M:$M)*R493</f>
        <v>0</v>
      </c>
      <c r="X493" s="65">
        <f t="shared" si="234"/>
        <v>24867.982487237685</v>
      </c>
      <c r="Y493" s="146">
        <v>32489</v>
      </c>
      <c r="Z493" s="66">
        <f t="shared" si="226"/>
        <v>28590.32</v>
      </c>
      <c r="AA493" s="66"/>
      <c r="AB493" s="66"/>
      <c r="AC493" s="66"/>
      <c r="AD493" s="66">
        <f t="shared" si="227"/>
        <v>28590.32</v>
      </c>
      <c r="AE493" s="66">
        <f t="shared" si="228"/>
        <v>-3722.3375127623149</v>
      </c>
      <c r="AF493" s="101">
        <f t="shared" si="229"/>
        <v>17122.225115516365</v>
      </c>
      <c r="AG493" s="101">
        <f t="shared" si="230"/>
        <v>19457.07399490496</v>
      </c>
    </row>
    <row r="494" spans="1:33" s="68" customFormat="1" x14ac:dyDescent="0.2">
      <c r="A494" s="147" t="s">
        <v>1017</v>
      </c>
      <c r="B494" s="147"/>
      <c r="C494" s="147"/>
      <c r="D494" s="148">
        <v>1</v>
      </c>
      <c r="E494" s="149"/>
      <c r="F494" s="150">
        <v>0.12</v>
      </c>
      <c r="G494" s="150"/>
      <c r="H494" s="67">
        <v>3936</v>
      </c>
      <c r="I494" s="67">
        <f t="shared" si="238"/>
        <v>3762.3700930457348</v>
      </c>
      <c r="J494" s="67">
        <f t="shared" si="223"/>
        <v>3310.8856818802465</v>
      </c>
      <c r="K494" s="63"/>
      <c r="L494" s="149">
        <v>14186</v>
      </c>
      <c r="M494" s="63">
        <f t="shared" si="232"/>
        <v>14186</v>
      </c>
      <c r="N494" s="63">
        <f t="shared" si="224"/>
        <v>12483.68</v>
      </c>
      <c r="O494" s="69"/>
      <c r="P494" s="149">
        <v>0</v>
      </c>
      <c r="Q494" s="63">
        <f t="shared" si="239"/>
        <v>0</v>
      </c>
      <c r="R494" s="64">
        <f t="shared" si="225"/>
        <v>0</v>
      </c>
      <c r="S494" s="148">
        <v>15</v>
      </c>
      <c r="T494" s="151" t="s">
        <v>15</v>
      </c>
      <c r="U494" s="65">
        <f>SUMIF('Avoided Costs 2012-2020_EGD'!$A:$A,'2012 Actuals_Auditor'!T494&amp;'2012 Actuals_Auditor'!S494,'Avoided Costs 2012-2020_EGD'!$E:$E)*J494</f>
        <v>8045.1339525571493</v>
      </c>
      <c r="V494" s="65">
        <f>SUMIF('Avoided Costs 2012-2020_EGD'!$A:$A,'2012 Actuals_Auditor'!T494&amp;'2012 Actuals_Auditor'!S494,'Avoided Costs 2012-2020_EGD'!$K:$K)*N494</f>
        <v>12855.486758159968</v>
      </c>
      <c r="W494" s="65">
        <f>SUMIF('Avoided Costs 2012-2020_EGD'!$A:$A,'2012 Actuals_Auditor'!T494&amp;'2012 Actuals_Auditor'!S494,'Avoided Costs 2012-2020_EGD'!$M:$M)*R494</f>
        <v>0</v>
      </c>
      <c r="X494" s="65">
        <f t="shared" si="234"/>
        <v>20900.620710717118</v>
      </c>
      <c r="Y494" s="146">
        <v>15222</v>
      </c>
      <c r="Z494" s="66">
        <f t="shared" si="226"/>
        <v>13395.36</v>
      </c>
      <c r="AA494" s="66"/>
      <c r="AB494" s="66"/>
      <c r="AC494" s="66"/>
      <c r="AD494" s="66">
        <f t="shared" si="227"/>
        <v>13395.36</v>
      </c>
      <c r="AE494" s="66">
        <f t="shared" si="228"/>
        <v>7505.260710717117</v>
      </c>
      <c r="AF494" s="101">
        <f t="shared" si="229"/>
        <v>49663.285228203698</v>
      </c>
      <c r="AG494" s="101">
        <f t="shared" si="230"/>
        <v>56435.551395686023</v>
      </c>
    </row>
    <row r="495" spans="1:33" s="68" customFormat="1" x14ac:dyDescent="0.2">
      <c r="A495" s="147" t="s">
        <v>1018</v>
      </c>
      <c r="B495" s="147"/>
      <c r="C495" s="147"/>
      <c r="D495" s="148">
        <v>1</v>
      </c>
      <c r="E495" s="149"/>
      <c r="F495" s="150">
        <v>0.12</v>
      </c>
      <c r="G495" s="150"/>
      <c r="H495" s="67">
        <v>798</v>
      </c>
      <c r="I495" s="67">
        <f t="shared" si="238"/>
        <v>762.79759508396751</v>
      </c>
      <c r="J495" s="67">
        <f t="shared" si="223"/>
        <v>671.26188367389136</v>
      </c>
      <c r="K495" s="63"/>
      <c r="L495" s="149">
        <v>808</v>
      </c>
      <c r="M495" s="63">
        <f t="shared" si="232"/>
        <v>808</v>
      </c>
      <c r="N495" s="63">
        <f t="shared" si="224"/>
        <v>711.04</v>
      </c>
      <c r="O495" s="69"/>
      <c r="P495" s="149">
        <v>0</v>
      </c>
      <c r="Q495" s="63">
        <f t="shared" si="239"/>
        <v>0</v>
      </c>
      <c r="R495" s="64">
        <f t="shared" si="225"/>
        <v>0</v>
      </c>
      <c r="S495" s="148">
        <v>15</v>
      </c>
      <c r="T495" s="151" t="s">
        <v>15</v>
      </c>
      <c r="U495" s="65">
        <f>SUMIF('Avoided Costs 2012-2020_EGD'!$A:$A,'2012 Actuals_Auditor'!T495&amp;'2012 Actuals_Auditor'!S495,'Avoided Costs 2012-2020_EGD'!$E:$E)*J495</f>
        <v>1631.1018531861293</v>
      </c>
      <c r="V495" s="65">
        <f>SUMIF('Avoided Costs 2012-2020_EGD'!$A:$A,'2012 Actuals_Auditor'!T495&amp;'2012 Actuals_Auditor'!S495,'Avoided Costs 2012-2020_EGD'!$K:$K)*N495</f>
        <v>732.21720714741673</v>
      </c>
      <c r="W495" s="65">
        <f>SUMIF('Avoided Costs 2012-2020_EGD'!$A:$A,'2012 Actuals_Auditor'!T495&amp;'2012 Actuals_Auditor'!S495,'Avoided Costs 2012-2020_EGD'!$M:$M)*R495</f>
        <v>0</v>
      </c>
      <c r="X495" s="65">
        <f t="shared" si="234"/>
        <v>2363.3190603335461</v>
      </c>
      <c r="Y495" s="146">
        <v>5649</v>
      </c>
      <c r="Z495" s="66">
        <f t="shared" si="226"/>
        <v>4971.12</v>
      </c>
      <c r="AA495" s="66"/>
      <c r="AB495" s="66"/>
      <c r="AC495" s="66"/>
      <c r="AD495" s="66">
        <f t="shared" si="227"/>
        <v>4971.12</v>
      </c>
      <c r="AE495" s="66">
        <f t="shared" si="228"/>
        <v>-2607.8009396664538</v>
      </c>
      <c r="AF495" s="101">
        <f t="shared" si="229"/>
        <v>10068.928255108371</v>
      </c>
      <c r="AG495" s="101">
        <f t="shared" si="230"/>
        <v>11441.963926259512</v>
      </c>
    </row>
    <row r="496" spans="1:33" s="68" customFormat="1" x14ac:dyDescent="0.2">
      <c r="A496" s="147" t="s">
        <v>1019</v>
      </c>
      <c r="B496" s="147"/>
      <c r="C496" s="147"/>
      <c r="D496" s="148">
        <v>1</v>
      </c>
      <c r="E496" s="149"/>
      <c r="F496" s="150">
        <v>0.12</v>
      </c>
      <c r="G496" s="150"/>
      <c r="H496" s="67">
        <v>3547</v>
      </c>
      <c r="I496" s="67">
        <f t="shared" si="238"/>
        <v>3390.5301626100663</v>
      </c>
      <c r="J496" s="67">
        <f t="shared" ref="J496:J527" si="240">I496*(1-F496)</f>
        <v>2983.6665430968583</v>
      </c>
      <c r="K496" s="63"/>
      <c r="L496" s="149">
        <v>13496</v>
      </c>
      <c r="M496" s="63">
        <f t="shared" si="232"/>
        <v>13496</v>
      </c>
      <c r="N496" s="63">
        <f t="shared" ref="N496:N527" si="241">M496*(1-F496)</f>
        <v>11876.48</v>
      </c>
      <c r="O496" s="69"/>
      <c r="P496" s="149">
        <v>0</v>
      </c>
      <c r="Q496" s="63">
        <f t="shared" si="239"/>
        <v>0</v>
      </c>
      <c r="R496" s="64">
        <f t="shared" ref="R496:R527" si="242">Q496*(1-F496)</f>
        <v>0</v>
      </c>
      <c r="S496" s="148">
        <v>15</v>
      </c>
      <c r="T496" s="151" t="s">
        <v>15</v>
      </c>
      <c r="U496" s="65">
        <f>SUMIF('Avoided Costs 2012-2020_EGD'!$A:$A,'2012 Actuals_Auditor'!T496&amp;'2012 Actuals_Auditor'!S496,'Avoided Costs 2012-2020_EGD'!$E:$E)*J496</f>
        <v>7250.0228988110293</v>
      </c>
      <c r="V496" s="65">
        <f>SUMIF('Avoided Costs 2012-2020_EGD'!$A:$A,'2012 Actuals_Auditor'!T496&amp;'2012 Actuals_Auditor'!S496,'Avoided Costs 2012-2020_EGD'!$K:$K)*N496</f>
        <v>12230.202261957347</v>
      </c>
      <c r="W496" s="65">
        <f>SUMIF('Avoided Costs 2012-2020_EGD'!$A:$A,'2012 Actuals_Auditor'!T496&amp;'2012 Actuals_Auditor'!S496,'Avoided Costs 2012-2020_EGD'!$M:$M)*R496</f>
        <v>0</v>
      </c>
      <c r="X496" s="65">
        <f t="shared" si="234"/>
        <v>19480.225160768376</v>
      </c>
      <c r="Y496" s="146">
        <v>5903</v>
      </c>
      <c r="Z496" s="66">
        <f t="shared" ref="Z496:Z527" si="243">Y496*(1-F496)</f>
        <v>5194.6400000000003</v>
      </c>
      <c r="AA496" s="66"/>
      <c r="AB496" s="66"/>
      <c r="AC496" s="66"/>
      <c r="AD496" s="66">
        <f t="shared" ref="AD496:AD527" si="244">Z496+AB496</f>
        <v>5194.6400000000003</v>
      </c>
      <c r="AE496" s="66">
        <f t="shared" ref="AE496:AE527" si="245">X496-AD496</f>
        <v>14285.585160768376</v>
      </c>
      <c r="AF496" s="101">
        <f t="shared" ref="AF496:AF527" si="246">J496*S496</f>
        <v>44754.998146452876</v>
      </c>
      <c r="AG496" s="101">
        <f t="shared" ref="AG496:AG527" si="247">(I496*S496)</f>
        <v>50857.952439150991</v>
      </c>
    </row>
    <row r="497" spans="1:33" s="68" customFormat="1" x14ac:dyDescent="0.2">
      <c r="A497" s="147" t="s">
        <v>1020</v>
      </c>
      <c r="B497" s="147"/>
      <c r="C497" s="147"/>
      <c r="D497" s="148">
        <v>1</v>
      </c>
      <c r="E497" s="149"/>
      <c r="F497" s="150">
        <v>0.12</v>
      </c>
      <c r="G497" s="150"/>
      <c r="H497" s="67">
        <v>4992</v>
      </c>
      <c r="I497" s="67">
        <f t="shared" si="238"/>
        <v>4771.7864594726389</v>
      </c>
      <c r="J497" s="67">
        <f t="shared" si="240"/>
        <v>4199.1720843359226</v>
      </c>
      <c r="K497" s="63"/>
      <c r="L497" s="149">
        <v>16836</v>
      </c>
      <c r="M497" s="63">
        <f t="shared" si="232"/>
        <v>16836</v>
      </c>
      <c r="N497" s="63">
        <f t="shared" si="241"/>
        <v>14815.68</v>
      </c>
      <c r="O497" s="69"/>
      <c r="P497" s="149">
        <v>0</v>
      </c>
      <c r="Q497" s="63">
        <f t="shared" si="239"/>
        <v>0</v>
      </c>
      <c r="R497" s="64">
        <f t="shared" si="242"/>
        <v>0</v>
      </c>
      <c r="S497" s="148">
        <v>15</v>
      </c>
      <c r="T497" s="151" t="s">
        <v>15</v>
      </c>
      <c r="U497" s="65">
        <f>SUMIF('Avoided Costs 2012-2020_EGD'!$A:$A,'2012 Actuals_Auditor'!T497&amp;'2012 Actuals_Auditor'!S497,'Avoided Costs 2012-2020_EGD'!$E:$E)*J497</f>
        <v>10203.584525194434</v>
      </c>
      <c r="V497" s="65">
        <f>SUMIF('Avoided Costs 2012-2020_EGD'!$A:$A,'2012 Actuals_Auditor'!T497&amp;'2012 Actuals_Auditor'!S497,'Avoided Costs 2012-2020_EGD'!$K:$K)*N497</f>
        <v>15256.941707343947</v>
      </c>
      <c r="W497" s="65">
        <f>SUMIF('Avoided Costs 2012-2020_EGD'!$A:$A,'2012 Actuals_Auditor'!T497&amp;'2012 Actuals_Auditor'!S497,'Avoided Costs 2012-2020_EGD'!$M:$M)*R497</f>
        <v>0</v>
      </c>
      <c r="X497" s="65">
        <f t="shared" si="234"/>
        <v>25460.526232538381</v>
      </c>
      <c r="Y497" s="146">
        <v>11454</v>
      </c>
      <c r="Z497" s="66">
        <f t="shared" si="243"/>
        <v>10079.52</v>
      </c>
      <c r="AA497" s="66"/>
      <c r="AB497" s="66"/>
      <c r="AC497" s="66"/>
      <c r="AD497" s="66">
        <f t="shared" si="244"/>
        <v>10079.52</v>
      </c>
      <c r="AE497" s="66">
        <f t="shared" si="245"/>
        <v>15381.006232538381</v>
      </c>
      <c r="AF497" s="101">
        <f t="shared" si="246"/>
        <v>62987.58126503884</v>
      </c>
      <c r="AG497" s="101">
        <f t="shared" si="247"/>
        <v>71576.79689208958</v>
      </c>
    </row>
    <row r="498" spans="1:33" s="68" customFormat="1" x14ac:dyDescent="0.2">
      <c r="A498" s="147" t="s">
        <v>1021</v>
      </c>
      <c r="B498" s="147"/>
      <c r="C498" s="147"/>
      <c r="D498" s="148">
        <v>1</v>
      </c>
      <c r="E498" s="149"/>
      <c r="F498" s="150">
        <v>0.12</v>
      </c>
      <c r="G498" s="150"/>
      <c r="H498" s="67">
        <v>1826</v>
      </c>
      <c r="I498" s="67">
        <f t="shared" si="238"/>
        <v>1745.4491336131889</v>
      </c>
      <c r="J498" s="67">
        <f t="shared" si="240"/>
        <v>1535.9952375796063</v>
      </c>
      <c r="K498" s="63"/>
      <c r="L498" s="149">
        <v>14426</v>
      </c>
      <c r="M498" s="63">
        <f t="shared" si="232"/>
        <v>14426</v>
      </c>
      <c r="N498" s="63">
        <f t="shared" si="241"/>
        <v>12694.88</v>
      </c>
      <c r="O498" s="69"/>
      <c r="P498" s="149">
        <v>0</v>
      </c>
      <c r="Q498" s="63">
        <f t="shared" si="239"/>
        <v>0</v>
      </c>
      <c r="R498" s="64">
        <f t="shared" si="242"/>
        <v>0</v>
      </c>
      <c r="S498" s="148">
        <v>15</v>
      </c>
      <c r="T498" s="151" t="s">
        <v>15</v>
      </c>
      <c r="U498" s="65">
        <f>SUMIF('Avoided Costs 2012-2020_EGD'!$A:$A,'2012 Actuals_Auditor'!T498&amp;'2012 Actuals_Auditor'!S498,'Avoided Costs 2012-2020_EGD'!$E:$E)*J498</f>
        <v>3732.3207818519704</v>
      </c>
      <c r="V498" s="65">
        <f>SUMIF('Avoided Costs 2012-2020_EGD'!$A:$A,'2012 Actuals_Auditor'!T498&amp;'2012 Actuals_Auditor'!S498,'Avoided Costs 2012-2020_EGD'!$K:$K)*N498</f>
        <v>13072.977017708705</v>
      </c>
      <c r="W498" s="65">
        <f>SUMIF('Avoided Costs 2012-2020_EGD'!$A:$A,'2012 Actuals_Auditor'!T498&amp;'2012 Actuals_Auditor'!S498,'Avoided Costs 2012-2020_EGD'!$M:$M)*R498</f>
        <v>0</v>
      </c>
      <c r="X498" s="65">
        <f t="shared" si="234"/>
        <v>16805.297799560674</v>
      </c>
      <c r="Y498" s="146">
        <v>21839</v>
      </c>
      <c r="Z498" s="66">
        <f t="shared" si="243"/>
        <v>19218.32</v>
      </c>
      <c r="AA498" s="66"/>
      <c r="AB498" s="66"/>
      <c r="AC498" s="66"/>
      <c r="AD498" s="66">
        <f t="shared" si="244"/>
        <v>19218.32</v>
      </c>
      <c r="AE498" s="66">
        <f t="shared" si="245"/>
        <v>-2413.0222004393254</v>
      </c>
      <c r="AF498" s="101">
        <f t="shared" si="246"/>
        <v>23039.928563694095</v>
      </c>
      <c r="AG498" s="101">
        <f t="shared" si="247"/>
        <v>26181.737004197832</v>
      </c>
    </row>
    <row r="499" spans="1:33" s="68" customFormat="1" x14ac:dyDescent="0.2">
      <c r="A499" s="147" t="s">
        <v>1022</v>
      </c>
      <c r="B499" s="147"/>
      <c r="C499" s="147"/>
      <c r="D499" s="148">
        <v>1</v>
      </c>
      <c r="E499" s="149"/>
      <c r="F499" s="150">
        <v>0.12</v>
      </c>
      <c r="G499" s="150"/>
      <c r="H499" s="67">
        <v>5344</v>
      </c>
      <c r="I499" s="67">
        <f t="shared" si="238"/>
        <v>5108.2585816149403</v>
      </c>
      <c r="J499" s="67">
        <f t="shared" si="240"/>
        <v>4495.2675518211472</v>
      </c>
      <c r="K499" s="63"/>
      <c r="L499" s="149">
        <v>3714</v>
      </c>
      <c r="M499" s="63">
        <f t="shared" si="232"/>
        <v>3714</v>
      </c>
      <c r="N499" s="63">
        <f t="shared" si="241"/>
        <v>3268.32</v>
      </c>
      <c r="O499" s="69"/>
      <c r="P499" s="149">
        <v>0</v>
      </c>
      <c r="Q499" s="63">
        <f t="shared" si="239"/>
        <v>0</v>
      </c>
      <c r="R499" s="64">
        <f t="shared" si="242"/>
        <v>0</v>
      </c>
      <c r="S499" s="148">
        <v>15</v>
      </c>
      <c r="T499" s="151" t="s">
        <v>15</v>
      </c>
      <c r="U499" s="65">
        <f>SUMIF('Avoided Costs 2012-2020_EGD'!$A:$A,'2012 Actuals_Auditor'!T499&amp;'2012 Actuals_Auditor'!S499,'Avoided Costs 2012-2020_EGD'!$E:$E)*J499</f>
        <v>10923.06804940686</v>
      </c>
      <c r="V499" s="65">
        <f>SUMIF('Avoided Costs 2012-2020_EGD'!$A:$A,'2012 Actuals_Auditor'!T499&amp;'2012 Actuals_Auditor'!S499,'Avoided Costs 2012-2020_EGD'!$K:$K)*N499</f>
        <v>3365.6617665167155</v>
      </c>
      <c r="W499" s="65">
        <f>SUMIF('Avoided Costs 2012-2020_EGD'!$A:$A,'2012 Actuals_Auditor'!T499&amp;'2012 Actuals_Auditor'!S499,'Avoided Costs 2012-2020_EGD'!$M:$M)*R499</f>
        <v>0</v>
      </c>
      <c r="X499" s="65">
        <f t="shared" si="234"/>
        <v>14288.729815923576</v>
      </c>
      <c r="Y499" s="146">
        <v>26775</v>
      </c>
      <c r="Z499" s="66">
        <f t="shared" si="243"/>
        <v>23562</v>
      </c>
      <c r="AA499" s="66"/>
      <c r="AB499" s="66"/>
      <c r="AC499" s="66"/>
      <c r="AD499" s="66">
        <f t="shared" si="244"/>
        <v>23562</v>
      </c>
      <c r="AE499" s="66">
        <f t="shared" si="245"/>
        <v>-9273.2701840764239</v>
      </c>
      <c r="AF499" s="101">
        <f t="shared" si="246"/>
        <v>67429.013277317208</v>
      </c>
      <c r="AG499" s="101">
        <f t="shared" si="247"/>
        <v>76623.878724224109</v>
      </c>
    </row>
    <row r="500" spans="1:33" s="68" customFormat="1" x14ac:dyDescent="0.2">
      <c r="A500" s="147" t="s">
        <v>1023</v>
      </c>
      <c r="B500" s="147"/>
      <c r="C500" s="147"/>
      <c r="D500" s="148">
        <v>1</v>
      </c>
      <c r="E500" s="149"/>
      <c r="F500" s="150">
        <v>0.12</v>
      </c>
      <c r="G500" s="150"/>
      <c r="H500" s="67">
        <v>447</v>
      </c>
      <c r="I500" s="67">
        <f t="shared" si="238"/>
        <v>427.28135965229762</v>
      </c>
      <c r="J500" s="67">
        <f t="shared" si="240"/>
        <v>376.00759649402193</v>
      </c>
      <c r="K500" s="63"/>
      <c r="L500" s="149">
        <v>2317</v>
      </c>
      <c r="M500" s="63">
        <f t="shared" si="232"/>
        <v>2317</v>
      </c>
      <c r="N500" s="63">
        <f t="shared" si="241"/>
        <v>2038.96</v>
      </c>
      <c r="O500" s="69"/>
      <c r="P500" s="149">
        <v>0</v>
      </c>
      <c r="Q500" s="63">
        <f t="shared" si="239"/>
        <v>0</v>
      </c>
      <c r="R500" s="64">
        <f t="shared" si="242"/>
        <v>0</v>
      </c>
      <c r="S500" s="148">
        <v>15</v>
      </c>
      <c r="T500" s="151" t="s">
        <v>15</v>
      </c>
      <c r="U500" s="65">
        <f>SUMIF('Avoided Costs 2012-2020_EGD'!$A:$A,'2012 Actuals_Auditor'!T500&amp;'2012 Actuals_Auditor'!S500,'Avoided Costs 2012-2020_EGD'!$E:$E)*J500</f>
        <v>913.66231625839589</v>
      </c>
      <c r="V500" s="65">
        <f>SUMIF('Avoided Costs 2012-2020_EGD'!$A:$A,'2012 Actuals_Auditor'!T500&amp;'2012 Actuals_Auditor'!S500,'Avoided Costs 2012-2020_EGD'!$K:$K)*N500</f>
        <v>2099.6872140601049</v>
      </c>
      <c r="W500" s="65">
        <f>SUMIF('Avoided Costs 2012-2020_EGD'!$A:$A,'2012 Actuals_Auditor'!T500&amp;'2012 Actuals_Auditor'!S500,'Avoided Costs 2012-2020_EGD'!$M:$M)*R500</f>
        <v>0</v>
      </c>
      <c r="X500" s="65">
        <f t="shared" si="234"/>
        <v>3013.3495303185009</v>
      </c>
      <c r="Y500" s="146">
        <v>4878</v>
      </c>
      <c r="Z500" s="66">
        <f t="shared" si="243"/>
        <v>4292.6400000000003</v>
      </c>
      <c r="AA500" s="66"/>
      <c r="AB500" s="66"/>
      <c r="AC500" s="66"/>
      <c r="AD500" s="66">
        <f t="shared" si="244"/>
        <v>4292.6400000000003</v>
      </c>
      <c r="AE500" s="66">
        <f t="shared" si="245"/>
        <v>-1279.2904696814994</v>
      </c>
      <c r="AF500" s="101">
        <f t="shared" si="246"/>
        <v>5640.1139474103293</v>
      </c>
      <c r="AG500" s="101">
        <f t="shared" si="247"/>
        <v>6409.2203947844646</v>
      </c>
    </row>
    <row r="501" spans="1:33" s="68" customFormat="1" x14ac:dyDescent="0.2">
      <c r="A501" s="147" t="s">
        <v>1024</v>
      </c>
      <c r="B501" s="147"/>
      <c r="C501" s="147"/>
      <c r="D501" s="148">
        <v>1</v>
      </c>
      <c r="E501" s="149"/>
      <c r="F501" s="150">
        <v>0.12</v>
      </c>
      <c r="G501" s="150"/>
      <c r="H501" s="67">
        <v>12217</v>
      </c>
      <c r="I501" s="67">
        <f t="shared" ref="I501:I518" si="248">H501</f>
        <v>12217</v>
      </c>
      <c r="J501" s="67">
        <f t="shared" si="240"/>
        <v>10750.960000000001</v>
      </c>
      <c r="K501" s="63"/>
      <c r="L501" s="149">
        <v>0</v>
      </c>
      <c r="M501" s="63">
        <f t="shared" ref="M501:M510" si="249">L501</f>
        <v>0</v>
      </c>
      <c r="N501" s="63">
        <f t="shared" si="241"/>
        <v>0</v>
      </c>
      <c r="O501" s="69"/>
      <c r="P501" s="149">
        <v>0</v>
      </c>
      <c r="Q501" s="63">
        <f t="shared" ref="Q501:Q518" si="250">+P501</f>
        <v>0</v>
      </c>
      <c r="R501" s="64">
        <f t="shared" si="242"/>
        <v>0</v>
      </c>
      <c r="S501" s="148">
        <v>25</v>
      </c>
      <c r="T501" s="151" t="s">
        <v>15</v>
      </c>
      <c r="U501" s="65">
        <f>SUMIF('Avoided Costs 2012-2020_EGD'!$A:$A,'2012 Actuals_Auditor'!T501&amp;'2012 Actuals_Auditor'!S501,'Avoided Costs 2012-2020_EGD'!$E:$E)*J501</f>
        <v>36918.742873508709</v>
      </c>
      <c r="V501" s="65">
        <f>SUMIF('Avoided Costs 2012-2020_EGD'!$A:$A,'2012 Actuals_Auditor'!T501&amp;'2012 Actuals_Auditor'!S501,'Avoided Costs 2012-2020_EGD'!$K:$K)*N501</f>
        <v>0</v>
      </c>
      <c r="W501" s="65">
        <f>SUMIF('Avoided Costs 2012-2020_EGD'!$A:$A,'2012 Actuals_Auditor'!T501&amp;'2012 Actuals_Auditor'!S501,'Avoided Costs 2012-2020_EGD'!$M:$M)*R501</f>
        <v>0</v>
      </c>
      <c r="X501" s="65">
        <f t="shared" si="234"/>
        <v>36918.742873508709</v>
      </c>
      <c r="Y501" s="146">
        <v>7608.48</v>
      </c>
      <c r="Z501" s="66">
        <f t="shared" si="243"/>
        <v>6695.4623999999994</v>
      </c>
      <c r="AA501" s="66"/>
      <c r="AB501" s="66"/>
      <c r="AC501" s="66"/>
      <c r="AD501" s="66">
        <f t="shared" si="244"/>
        <v>6695.4623999999994</v>
      </c>
      <c r="AE501" s="66">
        <f t="shared" si="245"/>
        <v>30223.280473508708</v>
      </c>
      <c r="AF501" s="101">
        <f t="shared" si="246"/>
        <v>268774</v>
      </c>
      <c r="AG501" s="101">
        <f t="shared" si="247"/>
        <v>305425</v>
      </c>
    </row>
    <row r="502" spans="1:33" s="68" customFormat="1" x14ac:dyDescent="0.2">
      <c r="A502" s="147" t="s">
        <v>1025</v>
      </c>
      <c r="B502" s="147"/>
      <c r="C502" s="147"/>
      <c r="D502" s="148">
        <v>1</v>
      </c>
      <c r="E502" s="149"/>
      <c r="F502" s="150">
        <v>0.12</v>
      </c>
      <c r="G502" s="150"/>
      <c r="H502" s="67">
        <v>12217</v>
      </c>
      <c r="I502" s="67">
        <f t="shared" si="248"/>
        <v>12217</v>
      </c>
      <c r="J502" s="67">
        <f t="shared" si="240"/>
        <v>10750.960000000001</v>
      </c>
      <c r="K502" s="63"/>
      <c r="L502" s="149">
        <v>0</v>
      </c>
      <c r="M502" s="63">
        <f t="shared" si="249"/>
        <v>0</v>
      </c>
      <c r="N502" s="63">
        <f t="shared" si="241"/>
        <v>0</v>
      </c>
      <c r="O502" s="69"/>
      <c r="P502" s="149">
        <v>0</v>
      </c>
      <c r="Q502" s="63">
        <f t="shared" si="250"/>
        <v>0</v>
      </c>
      <c r="R502" s="64">
        <f t="shared" si="242"/>
        <v>0</v>
      </c>
      <c r="S502" s="148">
        <v>25</v>
      </c>
      <c r="T502" s="151" t="s">
        <v>15</v>
      </c>
      <c r="U502" s="65">
        <f>SUMIF('Avoided Costs 2012-2020_EGD'!$A:$A,'2012 Actuals_Auditor'!T502&amp;'2012 Actuals_Auditor'!S502,'Avoided Costs 2012-2020_EGD'!$E:$E)*J502</f>
        <v>36918.742873508709</v>
      </c>
      <c r="V502" s="65">
        <f>SUMIF('Avoided Costs 2012-2020_EGD'!$A:$A,'2012 Actuals_Auditor'!T502&amp;'2012 Actuals_Auditor'!S502,'Avoided Costs 2012-2020_EGD'!$K:$K)*N502</f>
        <v>0</v>
      </c>
      <c r="W502" s="65">
        <f>SUMIF('Avoided Costs 2012-2020_EGD'!$A:$A,'2012 Actuals_Auditor'!T502&amp;'2012 Actuals_Auditor'!S502,'Avoided Costs 2012-2020_EGD'!$M:$M)*R502</f>
        <v>0</v>
      </c>
      <c r="X502" s="65">
        <f t="shared" si="234"/>
        <v>36918.742873508709</v>
      </c>
      <c r="Y502" s="146">
        <v>7608.48</v>
      </c>
      <c r="Z502" s="66">
        <f t="shared" si="243"/>
        <v>6695.4623999999994</v>
      </c>
      <c r="AA502" s="66"/>
      <c r="AB502" s="66"/>
      <c r="AC502" s="66"/>
      <c r="AD502" s="66">
        <f t="shared" si="244"/>
        <v>6695.4623999999994</v>
      </c>
      <c r="AE502" s="66">
        <f t="shared" si="245"/>
        <v>30223.280473508708</v>
      </c>
      <c r="AF502" s="101">
        <f t="shared" si="246"/>
        <v>268774</v>
      </c>
      <c r="AG502" s="101">
        <f t="shared" si="247"/>
        <v>305425</v>
      </c>
    </row>
    <row r="503" spans="1:33" s="68" customFormat="1" x14ac:dyDescent="0.2">
      <c r="A503" s="147" t="s">
        <v>1026</v>
      </c>
      <c r="B503" s="147"/>
      <c r="C503" s="147"/>
      <c r="D503" s="148">
        <v>1</v>
      </c>
      <c r="E503" s="149"/>
      <c r="F503" s="150">
        <v>0.12</v>
      </c>
      <c r="G503" s="150"/>
      <c r="H503" s="67">
        <v>12217</v>
      </c>
      <c r="I503" s="67">
        <f t="shared" si="248"/>
        <v>12217</v>
      </c>
      <c r="J503" s="67">
        <f t="shared" si="240"/>
        <v>10750.960000000001</v>
      </c>
      <c r="K503" s="63"/>
      <c r="L503" s="149">
        <v>0</v>
      </c>
      <c r="M503" s="63">
        <f t="shared" si="249"/>
        <v>0</v>
      </c>
      <c r="N503" s="63">
        <f t="shared" si="241"/>
        <v>0</v>
      </c>
      <c r="O503" s="69"/>
      <c r="P503" s="149">
        <v>0</v>
      </c>
      <c r="Q503" s="63">
        <f t="shared" si="250"/>
        <v>0</v>
      </c>
      <c r="R503" s="64">
        <f t="shared" si="242"/>
        <v>0</v>
      </c>
      <c r="S503" s="148">
        <v>25</v>
      </c>
      <c r="T503" s="151" t="s">
        <v>15</v>
      </c>
      <c r="U503" s="65">
        <f>SUMIF('Avoided Costs 2012-2020_EGD'!$A:$A,'2012 Actuals_Auditor'!T503&amp;'2012 Actuals_Auditor'!S503,'Avoided Costs 2012-2020_EGD'!$E:$E)*J503</f>
        <v>36918.742873508709</v>
      </c>
      <c r="V503" s="65">
        <f>SUMIF('Avoided Costs 2012-2020_EGD'!$A:$A,'2012 Actuals_Auditor'!T503&amp;'2012 Actuals_Auditor'!S503,'Avoided Costs 2012-2020_EGD'!$K:$K)*N503</f>
        <v>0</v>
      </c>
      <c r="W503" s="65">
        <f>SUMIF('Avoided Costs 2012-2020_EGD'!$A:$A,'2012 Actuals_Auditor'!T503&amp;'2012 Actuals_Auditor'!S503,'Avoided Costs 2012-2020_EGD'!$M:$M)*R503</f>
        <v>0</v>
      </c>
      <c r="X503" s="65">
        <f t="shared" si="234"/>
        <v>36918.742873508709</v>
      </c>
      <c r="Y503" s="146">
        <v>7608.48</v>
      </c>
      <c r="Z503" s="66">
        <f t="shared" si="243"/>
        <v>6695.4623999999994</v>
      </c>
      <c r="AA503" s="66"/>
      <c r="AB503" s="66"/>
      <c r="AC503" s="66"/>
      <c r="AD503" s="66">
        <f t="shared" si="244"/>
        <v>6695.4623999999994</v>
      </c>
      <c r="AE503" s="66">
        <f t="shared" si="245"/>
        <v>30223.280473508708</v>
      </c>
      <c r="AF503" s="101">
        <f t="shared" si="246"/>
        <v>268774</v>
      </c>
      <c r="AG503" s="101">
        <f t="shared" si="247"/>
        <v>305425</v>
      </c>
    </row>
    <row r="504" spans="1:33" s="68" customFormat="1" x14ac:dyDescent="0.2">
      <c r="A504" s="147" t="s">
        <v>1027</v>
      </c>
      <c r="B504" s="147"/>
      <c r="C504" s="147"/>
      <c r="D504" s="148">
        <v>1</v>
      </c>
      <c r="E504" s="149"/>
      <c r="F504" s="150">
        <v>0.12</v>
      </c>
      <c r="G504" s="150"/>
      <c r="H504" s="67">
        <v>12217</v>
      </c>
      <c r="I504" s="67">
        <f t="shared" si="248"/>
        <v>12217</v>
      </c>
      <c r="J504" s="67">
        <f t="shared" si="240"/>
        <v>10750.960000000001</v>
      </c>
      <c r="K504" s="63"/>
      <c r="L504" s="149">
        <v>0</v>
      </c>
      <c r="M504" s="63">
        <f t="shared" si="249"/>
        <v>0</v>
      </c>
      <c r="N504" s="63">
        <f t="shared" si="241"/>
        <v>0</v>
      </c>
      <c r="O504" s="69"/>
      <c r="P504" s="149">
        <v>0</v>
      </c>
      <c r="Q504" s="63">
        <f t="shared" si="250"/>
        <v>0</v>
      </c>
      <c r="R504" s="64">
        <f t="shared" si="242"/>
        <v>0</v>
      </c>
      <c r="S504" s="148">
        <v>25</v>
      </c>
      <c r="T504" s="151" t="s">
        <v>15</v>
      </c>
      <c r="U504" s="65">
        <f>SUMIF('Avoided Costs 2012-2020_EGD'!$A:$A,'2012 Actuals_Auditor'!T504&amp;'2012 Actuals_Auditor'!S504,'Avoided Costs 2012-2020_EGD'!$E:$E)*J504</f>
        <v>36918.742873508709</v>
      </c>
      <c r="V504" s="65">
        <f>SUMIF('Avoided Costs 2012-2020_EGD'!$A:$A,'2012 Actuals_Auditor'!T504&amp;'2012 Actuals_Auditor'!S504,'Avoided Costs 2012-2020_EGD'!$K:$K)*N504</f>
        <v>0</v>
      </c>
      <c r="W504" s="65">
        <f>SUMIF('Avoided Costs 2012-2020_EGD'!$A:$A,'2012 Actuals_Auditor'!T504&amp;'2012 Actuals_Auditor'!S504,'Avoided Costs 2012-2020_EGD'!$M:$M)*R504</f>
        <v>0</v>
      </c>
      <c r="X504" s="65">
        <f t="shared" si="234"/>
        <v>36918.742873508709</v>
      </c>
      <c r="Y504" s="146">
        <v>7608.48</v>
      </c>
      <c r="Z504" s="66">
        <f t="shared" si="243"/>
        <v>6695.4623999999994</v>
      </c>
      <c r="AA504" s="66"/>
      <c r="AB504" s="66"/>
      <c r="AC504" s="66"/>
      <c r="AD504" s="66">
        <f t="shared" si="244"/>
        <v>6695.4623999999994</v>
      </c>
      <c r="AE504" s="66">
        <f t="shared" si="245"/>
        <v>30223.280473508708</v>
      </c>
      <c r="AF504" s="101">
        <f t="shared" si="246"/>
        <v>268774</v>
      </c>
      <c r="AG504" s="101">
        <f t="shared" si="247"/>
        <v>305425</v>
      </c>
    </row>
    <row r="505" spans="1:33" s="68" customFormat="1" x14ac:dyDescent="0.2">
      <c r="A505" s="147" t="s">
        <v>1028</v>
      </c>
      <c r="B505" s="147"/>
      <c r="C505" s="147"/>
      <c r="D505" s="148">
        <v>1</v>
      </c>
      <c r="E505" s="149"/>
      <c r="F505" s="150">
        <v>0.12</v>
      </c>
      <c r="G505" s="150"/>
      <c r="H505" s="67">
        <v>49476</v>
      </c>
      <c r="I505" s="67">
        <f t="shared" si="248"/>
        <v>49476</v>
      </c>
      <c r="J505" s="67">
        <f t="shared" si="240"/>
        <v>43538.879999999997</v>
      </c>
      <c r="K505" s="63"/>
      <c r="L505" s="149">
        <v>0</v>
      </c>
      <c r="M505" s="63">
        <f t="shared" si="249"/>
        <v>0</v>
      </c>
      <c r="N505" s="63">
        <f t="shared" si="241"/>
        <v>0</v>
      </c>
      <c r="O505" s="69"/>
      <c r="P505" s="149">
        <v>0</v>
      </c>
      <c r="Q505" s="63">
        <f t="shared" si="250"/>
        <v>0</v>
      </c>
      <c r="R505" s="64">
        <f t="shared" si="242"/>
        <v>0</v>
      </c>
      <c r="S505" s="148">
        <v>25</v>
      </c>
      <c r="T505" s="151" t="s">
        <v>15</v>
      </c>
      <c r="U505" s="65">
        <f>SUMIF('Avoided Costs 2012-2020_EGD'!$A:$A,'2012 Actuals_Auditor'!T505&amp;'2012 Actuals_Auditor'!S505,'Avoided Costs 2012-2020_EGD'!$E:$E)*J505</f>
        <v>149512.29617825296</v>
      </c>
      <c r="V505" s="65">
        <f>SUMIF('Avoided Costs 2012-2020_EGD'!$A:$A,'2012 Actuals_Auditor'!T505&amp;'2012 Actuals_Auditor'!S505,'Avoided Costs 2012-2020_EGD'!$K:$K)*N505</f>
        <v>0</v>
      </c>
      <c r="W505" s="65">
        <f>SUMIF('Avoided Costs 2012-2020_EGD'!$A:$A,'2012 Actuals_Auditor'!T505&amp;'2012 Actuals_Auditor'!S505,'Avoided Costs 2012-2020_EGD'!$M:$M)*R505</f>
        <v>0</v>
      </c>
      <c r="X505" s="65">
        <f t="shared" si="234"/>
        <v>149512.29617825296</v>
      </c>
      <c r="Y505" s="146">
        <v>12733.6</v>
      </c>
      <c r="Z505" s="66">
        <f t="shared" si="243"/>
        <v>11205.568000000001</v>
      </c>
      <c r="AA505" s="66"/>
      <c r="AB505" s="66"/>
      <c r="AC505" s="66"/>
      <c r="AD505" s="66">
        <f t="shared" si="244"/>
        <v>11205.568000000001</v>
      </c>
      <c r="AE505" s="66">
        <f t="shared" si="245"/>
        <v>138306.72817825296</v>
      </c>
      <c r="AF505" s="101">
        <f t="shared" si="246"/>
        <v>1088472</v>
      </c>
      <c r="AG505" s="101">
        <f t="shared" si="247"/>
        <v>1236900</v>
      </c>
    </row>
    <row r="506" spans="1:33" s="68" customFormat="1" x14ac:dyDescent="0.2">
      <c r="A506" s="147" t="s">
        <v>1029</v>
      </c>
      <c r="B506" s="147"/>
      <c r="C506" s="147"/>
      <c r="D506" s="148">
        <v>1</v>
      </c>
      <c r="E506" s="149"/>
      <c r="F506" s="150">
        <v>0.12</v>
      </c>
      <c r="G506" s="150"/>
      <c r="H506" s="67">
        <v>12217</v>
      </c>
      <c r="I506" s="67">
        <f t="shared" si="248"/>
        <v>12217</v>
      </c>
      <c r="J506" s="67">
        <f t="shared" si="240"/>
        <v>10750.960000000001</v>
      </c>
      <c r="K506" s="63"/>
      <c r="L506" s="149">
        <v>0</v>
      </c>
      <c r="M506" s="63">
        <f t="shared" si="249"/>
        <v>0</v>
      </c>
      <c r="N506" s="63">
        <f t="shared" si="241"/>
        <v>0</v>
      </c>
      <c r="O506" s="69"/>
      <c r="P506" s="149">
        <v>0</v>
      </c>
      <c r="Q506" s="63">
        <f t="shared" si="250"/>
        <v>0</v>
      </c>
      <c r="R506" s="64">
        <f t="shared" si="242"/>
        <v>0</v>
      </c>
      <c r="S506" s="148">
        <v>25</v>
      </c>
      <c r="T506" s="151" t="s">
        <v>15</v>
      </c>
      <c r="U506" s="65">
        <f>SUMIF('Avoided Costs 2012-2020_EGD'!$A:$A,'2012 Actuals_Auditor'!T506&amp;'2012 Actuals_Auditor'!S506,'Avoided Costs 2012-2020_EGD'!$E:$E)*J506</f>
        <v>36918.742873508709</v>
      </c>
      <c r="V506" s="65">
        <f>SUMIF('Avoided Costs 2012-2020_EGD'!$A:$A,'2012 Actuals_Auditor'!T506&amp;'2012 Actuals_Auditor'!S506,'Avoided Costs 2012-2020_EGD'!$K:$K)*N506</f>
        <v>0</v>
      </c>
      <c r="W506" s="65">
        <f>SUMIF('Avoided Costs 2012-2020_EGD'!$A:$A,'2012 Actuals_Auditor'!T506&amp;'2012 Actuals_Auditor'!S506,'Avoided Costs 2012-2020_EGD'!$M:$M)*R506</f>
        <v>0</v>
      </c>
      <c r="X506" s="65">
        <f t="shared" si="234"/>
        <v>36918.742873508709</v>
      </c>
      <c r="Y506" s="146">
        <v>7608.48</v>
      </c>
      <c r="Z506" s="66">
        <f t="shared" si="243"/>
        <v>6695.4623999999994</v>
      </c>
      <c r="AA506" s="66"/>
      <c r="AB506" s="66"/>
      <c r="AC506" s="66"/>
      <c r="AD506" s="66">
        <f t="shared" si="244"/>
        <v>6695.4623999999994</v>
      </c>
      <c r="AE506" s="66">
        <f t="shared" si="245"/>
        <v>30223.280473508708</v>
      </c>
      <c r="AF506" s="101">
        <f t="shared" si="246"/>
        <v>268774</v>
      </c>
      <c r="AG506" s="101">
        <f t="shared" si="247"/>
        <v>305425</v>
      </c>
    </row>
    <row r="507" spans="1:33" s="68" customFormat="1" x14ac:dyDescent="0.2">
      <c r="A507" s="147" t="s">
        <v>1030</v>
      </c>
      <c r="B507" s="147"/>
      <c r="C507" s="147"/>
      <c r="D507" s="148">
        <v>1</v>
      </c>
      <c r="E507" s="149"/>
      <c r="F507" s="150">
        <v>0.12</v>
      </c>
      <c r="G507" s="150"/>
      <c r="H507" s="67">
        <v>12217</v>
      </c>
      <c r="I507" s="67">
        <f t="shared" si="248"/>
        <v>12217</v>
      </c>
      <c r="J507" s="67">
        <f t="shared" si="240"/>
        <v>10750.960000000001</v>
      </c>
      <c r="K507" s="63"/>
      <c r="L507" s="149">
        <v>0</v>
      </c>
      <c r="M507" s="63">
        <f t="shared" si="249"/>
        <v>0</v>
      </c>
      <c r="N507" s="63">
        <f t="shared" si="241"/>
        <v>0</v>
      </c>
      <c r="O507" s="69"/>
      <c r="P507" s="149">
        <v>0</v>
      </c>
      <c r="Q507" s="63">
        <f t="shared" si="250"/>
        <v>0</v>
      </c>
      <c r="R507" s="64">
        <f t="shared" si="242"/>
        <v>0</v>
      </c>
      <c r="S507" s="148">
        <v>25</v>
      </c>
      <c r="T507" s="151" t="s">
        <v>15</v>
      </c>
      <c r="U507" s="65">
        <f>SUMIF('Avoided Costs 2012-2020_EGD'!$A:$A,'2012 Actuals_Auditor'!T507&amp;'2012 Actuals_Auditor'!S507,'Avoided Costs 2012-2020_EGD'!$E:$E)*J507</f>
        <v>36918.742873508709</v>
      </c>
      <c r="V507" s="65">
        <f>SUMIF('Avoided Costs 2012-2020_EGD'!$A:$A,'2012 Actuals_Auditor'!T507&amp;'2012 Actuals_Auditor'!S507,'Avoided Costs 2012-2020_EGD'!$K:$K)*N507</f>
        <v>0</v>
      </c>
      <c r="W507" s="65">
        <f>SUMIF('Avoided Costs 2012-2020_EGD'!$A:$A,'2012 Actuals_Auditor'!T507&amp;'2012 Actuals_Auditor'!S507,'Avoided Costs 2012-2020_EGD'!$M:$M)*R507</f>
        <v>0</v>
      </c>
      <c r="X507" s="65">
        <f t="shared" si="234"/>
        <v>36918.742873508709</v>
      </c>
      <c r="Y507" s="146">
        <v>7608.48</v>
      </c>
      <c r="Z507" s="66">
        <f t="shared" si="243"/>
        <v>6695.4623999999994</v>
      </c>
      <c r="AA507" s="66"/>
      <c r="AB507" s="66"/>
      <c r="AC507" s="66"/>
      <c r="AD507" s="66">
        <f t="shared" si="244"/>
        <v>6695.4623999999994</v>
      </c>
      <c r="AE507" s="66">
        <f t="shared" si="245"/>
        <v>30223.280473508708</v>
      </c>
      <c r="AF507" s="101">
        <f t="shared" si="246"/>
        <v>268774</v>
      </c>
      <c r="AG507" s="101">
        <f t="shared" si="247"/>
        <v>305425</v>
      </c>
    </row>
    <row r="508" spans="1:33" s="68" customFormat="1" x14ac:dyDescent="0.2">
      <c r="A508" s="147" t="s">
        <v>1031</v>
      </c>
      <c r="B508" s="147"/>
      <c r="C508" s="147"/>
      <c r="D508" s="148">
        <v>1</v>
      </c>
      <c r="E508" s="149"/>
      <c r="F508" s="150">
        <v>0.12</v>
      </c>
      <c r="G508" s="150"/>
      <c r="H508" s="67">
        <v>12217</v>
      </c>
      <c r="I508" s="67">
        <f t="shared" si="248"/>
        <v>12217</v>
      </c>
      <c r="J508" s="67">
        <f t="shared" si="240"/>
        <v>10750.960000000001</v>
      </c>
      <c r="K508" s="63"/>
      <c r="L508" s="149">
        <v>0</v>
      </c>
      <c r="M508" s="63">
        <f t="shared" si="249"/>
        <v>0</v>
      </c>
      <c r="N508" s="63">
        <f t="shared" si="241"/>
        <v>0</v>
      </c>
      <c r="O508" s="69"/>
      <c r="P508" s="149">
        <v>0</v>
      </c>
      <c r="Q508" s="63">
        <f t="shared" si="250"/>
        <v>0</v>
      </c>
      <c r="R508" s="64">
        <f t="shared" si="242"/>
        <v>0</v>
      </c>
      <c r="S508" s="148">
        <v>25</v>
      </c>
      <c r="T508" s="151" t="s">
        <v>15</v>
      </c>
      <c r="U508" s="65">
        <f>SUMIF('Avoided Costs 2012-2020_EGD'!$A:$A,'2012 Actuals_Auditor'!T508&amp;'2012 Actuals_Auditor'!S508,'Avoided Costs 2012-2020_EGD'!$E:$E)*J508</f>
        <v>36918.742873508709</v>
      </c>
      <c r="V508" s="65">
        <f>SUMIF('Avoided Costs 2012-2020_EGD'!$A:$A,'2012 Actuals_Auditor'!T508&amp;'2012 Actuals_Auditor'!S508,'Avoided Costs 2012-2020_EGD'!$K:$K)*N508</f>
        <v>0</v>
      </c>
      <c r="W508" s="65">
        <f>SUMIF('Avoided Costs 2012-2020_EGD'!$A:$A,'2012 Actuals_Auditor'!T508&amp;'2012 Actuals_Auditor'!S508,'Avoided Costs 2012-2020_EGD'!$M:$M)*R508</f>
        <v>0</v>
      </c>
      <c r="X508" s="65">
        <f t="shared" si="234"/>
        <v>36918.742873508709</v>
      </c>
      <c r="Y508" s="146">
        <v>7608.48</v>
      </c>
      <c r="Z508" s="66">
        <f t="shared" si="243"/>
        <v>6695.4623999999994</v>
      </c>
      <c r="AA508" s="66"/>
      <c r="AB508" s="66"/>
      <c r="AC508" s="66"/>
      <c r="AD508" s="66">
        <f t="shared" si="244"/>
        <v>6695.4623999999994</v>
      </c>
      <c r="AE508" s="66">
        <f t="shared" si="245"/>
        <v>30223.280473508708</v>
      </c>
      <c r="AF508" s="101">
        <f t="shared" si="246"/>
        <v>268774</v>
      </c>
      <c r="AG508" s="101">
        <f t="shared" si="247"/>
        <v>305425</v>
      </c>
    </row>
    <row r="509" spans="1:33" s="68" customFormat="1" x14ac:dyDescent="0.2">
      <c r="A509" s="147" t="s">
        <v>1032</v>
      </c>
      <c r="B509" s="147"/>
      <c r="C509" s="147"/>
      <c r="D509" s="148">
        <v>1</v>
      </c>
      <c r="E509" s="149"/>
      <c r="F509" s="150">
        <v>0.12</v>
      </c>
      <c r="G509" s="150"/>
      <c r="H509" s="67">
        <v>12217</v>
      </c>
      <c r="I509" s="67">
        <f t="shared" si="248"/>
        <v>12217</v>
      </c>
      <c r="J509" s="67">
        <f t="shared" si="240"/>
        <v>10750.960000000001</v>
      </c>
      <c r="K509" s="63"/>
      <c r="L509" s="149">
        <v>0</v>
      </c>
      <c r="M509" s="63">
        <f t="shared" si="249"/>
        <v>0</v>
      </c>
      <c r="N509" s="63">
        <f t="shared" si="241"/>
        <v>0</v>
      </c>
      <c r="O509" s="69"/>
      <c r="P509" s="149">
        <v>0</v>
      </c>
      <c r="Q509" s="63">
        <f t="shared" si="250"/>
        <v>0</v>
      </c>
      <c r="R509" s="64">
        <f t="shared" si="242"/>
        <v>0</v>
      </c>
      <c r="S509" s="148">
        <v>25</v>
      </c>
      <c r="T509" s="151" t="s">
        <v>15</v>
      </c>
      <c r="U509" s="65">
        <f>SUMIF('Avoided Costs 2012-2020_EGD'!$A:$A,'2012 Actuals_Auditor'!T509&amp;'2012 Actuals_Auditor'!S509,'Avoided Costs 2012-2020_EGD'!$E:$E)*J509</f>
        <v>36918.742873508709</v>
      </c>
      <c r="V509" s="65">
        <f>SUMIF('Avoided Costs 2012-2020_EGD'!$A:$A,'2012 Actuals_Auditor'!T509&amp;'2012 Actuals_Auditor'!S509,'Avoided Costs 2012-2020_EGD'!$K:$K)*N509</f>
        <v>0</v>
      </c>
      <c r="W509" s="65">
        <f>SUMIF('Avoided Costs 2012-2020_EGD'!$A:$A,'2012 Actuals_Auditor'!T509&amp;'2012 Actuals_Auditor'!S509,'Avoided Costs 2012-2020_EGD'!$M:$M)*R509</f>
        <v>0</v>
      </c>
      <c r="X509" s="65">
        <f t="shared" si="234"/>
        <v>36918.742873508709</v>
      </c>
      <c r="Y509" s="146">
        <v>7608.48</v>
      </c>
      <c r="Z509" s="66">
        <f t="shared" si="243"/>
        <v>6695.4623999999994</v>
      </c>
      <c r="AA509" s="66"/>
      <c r="AB509" s="66"/>
      <c r="AC509" s="66"/>
      <c r="AD509" s="66">
        <f t="shared" si="244"/>
        <v>6695.4623999999994</v>
      </c>
      <c r="AE509" s="66">
        <f t="shared" si="245"/>
        <v>30223.280473508708</v>
      </c>
      <c r="AF509" s="101">
        <f t="shared" si="246"/>
        <v>268774</v>
      </c>
      <c r="AG509" s="101">
        <f t="shared" si="247"/>
        <v>305425</v>
      </c>
    </row>
    <row r="510" spans="1:33" s="68" customFormat="1" x14ac:dyDescent="0.2">
      <c r="A510" s="147" t="s">
        <v>1033</v>
      </c>
      <c r="B510" s="147"/>
      <c r="C510" s="147"/>
      <c r="D510" s="148">
        <v>1</v>
      </c>
      <c r="E510" s="149"/>
      <c r="F510" s="150">
        <v>0.12</v>
      </c>
      <c r="G510" s="150"/>
      <c r="H510" s="67">
        <v>12217</v>
      </c>
      <c r="I510" s="67">
        <f t="shared" si="248"/>
        <v>12217</v>
      </c>
      <c r="J510" s="67">
        <f t="shared" si="240"/>
        <v>10750.960000000001</v>
      </c>
      <c r="K510" s="63"/>
      <c r="L510" s="149">
        <v>0</v>
      </c>
      <c r="M510" s="63">
        <f t="shared" si="249"/>
        <v>0</v>
      </c>
      <c r="N510" s="63">
        <f t="shared" si="241"/>
        <v>0</v>
      </c>
      <c r="O510" s="69"/>
      <c r="P510" s="149">
        <v>0</v>
      </c>
      <c r="Q510" s="63">
        <f t="shared" si="250"/>
        <v>0</v>
      </c>
      <c r="R510" s="64">
        <f t="shared" si="242"/>
        <v>0</v>
      </c>
      <c r="S510" s="148">
        <v>25</v>
      </c>
      <c r="T510" s="151" t="s">
        <v>15</v>
      </c>
      <c r="U510" s="65">
        <f>SUMIF('Avoided Costs 2012-2020_EGD'!$A:$A,'2012 Actuals_Auditor'!T510&amp;'2012 Actuals_Auditor'!S510,'Avoided Costs 2012-2020_EGD'!$E:$E)*J510</f>
        <v>36918.742873508709</v>
      </c>
      <c r="V510" s="65">
        <f>SUMIF('Avoided Costs 2012-2020_EGD'!$A:$A,'2012 Actuals_Auditor'!T510&amp;'2012 Actuals_Auditor'!S510,'Avoided Costs 2012-2020_EGD'!$K:$K)*N510</f>
        <v>0</v>
      </c>
      <c r="W510" s="65">
        <f>SUMIF('Avoided Costs 2012-2020_EGD'!$A:$A,'2012 Actuals_Auditor'!T510&amp;'2012 Actuals_Auditor'!S510,'Avoided Costs 2012-2020_EGD'!$M:$M)*R510</f>
        <v>0</v>
      </c>
      <c r="X510" s="65">
        <f t="shared" si="234"/>
        <v>36918.742873508709</v>
      </c>
      <c r="Y510" s="146">
        <v>7608.48</v>
      </c>
      <c r="Z510" s="66">
        <f t="shared" si="243"/>
        <v>6695.4623999999994</v>
      </c>
      <c r="AA510" s="66"/>
      <c r="AB510" s="66"/>
      <c r="AC510" s="66"/>
      <c r="AD510" s="66">
        <f t="shared" si="244"/>
        <v>6695.4623999999994</v>
      </c>
      <c r="AE510" s="66">
        <f t="shared" si="245"/>
        <v>30223.280473508708</v>
      </c>
      <c r="AF510" s="101">
        <f t="shared" si="246"/>
        <v>268774</v>
      </c>
      <c r="AG510" s="101">
        <f t="shared" si="247"/>
        <v>305425</v>
      </c>
    </row>
    <row r="511" spans="1:33" s="68" customFormat="1" x14ac:dyDescent="0.2">
      <c r="A511" s="147" t="s">
        <v>1034</v>
      </c>
      <c r="B511" s="147"/>
      <c r="C511" s="147"/>
      <c r="D511" s="148">
        <v>1</v>
      </c>
      <c r="E511" s="149"/>
      <c r="F511" s="150">
        <v>0.12</v>
      </c>
      <c r="G511" s="150"/>
      <c r="H511" s="67">
        <v>3076</v>
      </c>
      <c r="I511" s="67">
        <f t="shared" si="248"/>
        <v>3076</v>
      </c>
      <c r="J511" s="67">
        <f t="shared" si="240"/>
        <v>2706.88</v>
      </c>
      <c r="K511" s="63"/>
      <c r="L511" s="149">
        <v>0</v>
      </c>
      <c r="M511" s="63">
        <f t="shared" ref="M511:M518" si="251">L511</f>
        <v>0</v>
      </c>
      <c r="N511" s="63">
        <f t="shared" si="241"/>
        <v>0</v>
      </c>
      <c r="O511" s="69"/>
      <c r="P511" s="149">
        <v>0</v>
      </c>
      <c r="Q511" s="63">
        <f t="shared" si="250"/>
        <v>0</v>
      </c>
      <c r="R511" s="64">
        <f t="shared" si="242"/>
        <v>0</v>
      </c>
      <c r="S511" s="148">
        <v>25</v>
      </c>
      <c r="T511" s="151" t="s">
        <v>15</v>
      </c>
      <c r="U511" s="65">
        <f>SUMIF('Avoided Costs 2012-2020_EGD'!$A:$A,'2012 Actuals_Auditor'!T511&amp;'2012 Actuals_Auditor'!S511,'Avoided Costs 2012-2020_EGD'!$E:$E)*J511</f>
        <v>9295.4123826563628</v>
      </c>
      <c r="V511" s="65">
        <f>SUMIF('Avoided Costs 2012-2020_EGD'!$A:$A,'2012 Actuals_Auditor'!T511&amp;'2012 Actuals_Auditor'!S511,'Avoided Costs 2012-2020_EGD'!$K:$K)*N511</f>
        <v>0</v>
      </c>
      <c r="W511" s="65">
        <f>SUMIF('Avoided Costs 2012-2020_EGD'!$A:$A,'2012 Actuals_Auditor'!T511&amp;'2012 Actuals_Auditor'!S511,'Avoided Costs 2012-2020_EGD'!$M:$M)*R511</f>
        <v>0</v>
      </c>
      <c r="X511" s="65">
        <f t="shared" si="234"/>
        <v>9295.4123826563628</v>
      </c>
      <c r="Y511" s="146">
        <v>6000</v>
      </c>
      <c r="Z511" s="66">
        <f t="shared" si="243"/>
        <v>5280</v>
      </c>
      <c r="AA511" s="66"/>
      <c r="AB511" s="66"/>
      <c r="AC511" s="66"/>
      <c r="AD511" s="66">
        <f t="shared" si="244"/>
        <v>5280</v>
      </c>
      <c r="AE511" s="66">
        <f t="shared" si="245"/>
        <v>4015.4123826563628</v>
      </c>
      <c r="AF511" s="101">
        <f t="shared" si="246"/>
        <v>67672</v>
      </c>
      <c r="AG511" s="101">
        <f t="shared" si="247"/>
        <v>76900</v>
      </c>
    </row>
    <row r="512" spans="1:33" s="68" customFormat="1" x14ac:dyDescent="0.2">
      <c r="A512" s="147" t="s">
        <v>1035</v>
      </c>
      <c r="B512" s="147"/>
      <c r="C512" s="147"/>
      <c r="D512" s="148">
        <v>1</v>
      </c>
      <c r="E512" s="149"/>
      <c r="F512" s="150">
        <v>0.12</v>
      </c>
      <c r="G512" s="150"/>
      <c r="H512" s="67">
        <v>81975</v>
      </c>
      <c r="I512" s="67">
        <f t="shared" si="248"/>
        <v>81975</v>
      </c>
      <c r="J512" s="67">
        <f t="shared" si="240"/>
        <v>72138</v>
      </c>
      <c r="K512" s="63"/>
      <c r="L512" s="149">
        <v>0</v>
      </c>
      <c r="M512" s="63">
        <f t="shared" si="251"/>
        <v>0</v>
      </c>
      <c r="N512" s="63">
        <f t="shared" si="241"/>
        <v>0</v>
      </c>
      <c r="O512" s="69"/>
      <c r="P512" s="149">
        <v>0</v>
      </c>
      <c r="Q512" s="63">
        <f t="shared" si="250"/>
        <v>0</v>
      </c>
      <c r="R512" s="64">
        <f t="shared" si="242"/>
        <v>0</v>
      </c>
      <c r="S512" s="148">
        <v>25</v>
      </c>
      <c r="T512" s="151" t="s">
        <v>15</v>
      </c>
      <c r="U512" s="65">
        <f>SUMIF('Avoided Costs 2012-2020_EGD'!$A:$A,'2012 Actuals_Auditor'!T512&amp;'2012 Actuals_Auditor'!S512,'Avoided Costs 2012-2020_EGD'!$E:$E)*J512</f>
        <v>247721.53123155242</v>
      </c>
      <c r="V512" s="65">
        <f>SUMIF('Avoided Costs 2012-2020_EGD'!$A:$A,'2012 Actuals_Auditor'!T512&amp;'2012 Actuals_Auditor'!S512,'Avoided Costs 2012-2020_EGD'!$K:$K)*N512</f>
        <v>0</v>
      </c>
      <c r="W512" s="65">
        <f>SUMIF('Avoided Costs 2012-2020_EGD'!$A:$A,'2012 Actuals_Auditor'!T512&amp;'2012 Actuals_Auditor'!S512,'Avoided Costs 2012-2020_EGD'!$M:$M)*R512</f>
        <v>0</v>
      </c>
      <c r="X512" s="65">
        <f t="shared" si="234"/>
        <v>247721.53123155242</v>
      </c>
      <c r="Y512" s="146">
        <v>21150</v>
      </c>
      <c r="Z512" s="66">
        <f t="shared" si="243"/>
        <v>18612</v>
      </c>
      <c r="AA512" s="66"/>
      <c r="AB512" s="66"/>
      <c r="AC512" s="66"/>
      <c r="AD512" s="66">
        <f t="shared" si="244"/>
        <v>18612</v>
      </c>
      <c r="AE512" s="66">
        <f t="shared" si="245"/>
        <v>229109.53123155242</v>
      </c>
      <c r="AF512" s="101">
        <f t="shared" si="246"/>
        <v>1803450</v>
      </c>
      <c r="AG512" s="101">
        <f t="shared" si="247"/>
        <v>2049375</v>
      </c>
    </row>
    <row r="513" spans="1:33" s="68" customFormat="1" x14ac:dyDescent="0.2">
      <c r="A513" s="147" t="s">
        <v>1036</v>
      </c>
      <c r="B513" s="147"/>
      <c r="C513" s="147"/>
      <c r="D513" s="148">
        <v>1</v>
      </c>
      <c r="E513" s="149"/>
      <c r="F513" s="150">
        <v>0.12</v>
      </c>
      <c r="G513" s="150"/>
      <c r="H513" s="67">
        <v>12217</v>
      </c>
      <c r="I513" s="67">
        <f t="shared" si="248"/>
        <v>12217</v>
      </c>
      <c r="J513" s="67">
        <f t="shared" si="240"/>
        <v>10750.960000000001</v>
      </c>
      <c r="K513" s="63"/>
      <c r="L513" s="149">
        <v>0</v>
      </c>
      <c r="M513" s="63">
        <f t="shared" si="251"/>
        <v>0</v>
      </c>
      <c r="N513" s="63">
        <f t="shared" si="241"/>
        <v>0</v>
      </c>
      <c r="O513" s="69"/>
      <c r="P513" s="149">
        <v>0</v>
      </c>
      <c r="Q513" s="63">
        <f t="shared" si="250"/>
        <v>0</v>
      </c>
      <c r="R513" s="64">
        <f t="shared" si="242"/>
        <v>0</v>
      </c>
      <c r="S513" s="148">
        <v>25</v>
      </c>
      <c r="T513" s="151" t="s">
        <v>15</v>
      </c>
      <c r="U513" s="65">
        <f>SUMIF('Avoided Costs 2012-2020_EGD'!$A:$A,'2012 Actuals_Auditor'!T513&amp;'2012 Actuals_Auditor'!S513,'Avoided Costs 2012-2020_EGD'!$E:$E)*J513</f>
        <v>36918.742873508709</v>
      </c>
      <c r="V513" s="65">
        <f>SUMIF('Avoided Costs 2012-2020_EGD'!$A:$A,'2012 Actuals_Auditor'!T513&amp;'2012 Actuals_Auditor'!S513,'Avoided Costs 2012-2020_EGD'!$K:$K)*N513</f>
        <v>0</v>
      </c>
      <c r="W513" s="65">
        <f>SUMIF('Avoided Costs 2012-2020_EGD'!$A:$A,'2012 Actuals_Auditor'!T513&amp;'2012 Actuals_Auditor'!S513,'Avoided Costs 2012-2020_EGD'!$M:$M)*R513</f>
        <v>0</v>
      </c>
      <c r="X513" s="65">
        <f t="shared" si="234"/>
        <v>36918.742873508709</v>
      </c>
      <c r="Y513" s="146">
        <v>7608.48</v>
      </c>
      <c r="Z513" s="66">
        <f t="shared" si="243"/>
        <v>6695.4623999999994</v>
      </c>
      <c r="AA513" s="66"/>
      <c r="AB513" s="66"/>
      <c r="AC513" s="66"/>
      <c r="AD513" s="66">
        <f t="shared" si="244"/>
        <v>6695.4623999999994</v>
      </c>
      <c r="AE513" s="66">
        <f t="shared" si="245"/>
        <v>30223.280473508708</v>
      </c>
      <c r="AF513" s="101">
        <f t="shared" si="246"/>
        <v>268774</v>
      </c>
      <c r="AG513" s="101">
        <f t="shared" si="247"/>
        <v>305425</v>
      </c>
    </row>
    <row r="514" spans="1:33" s="68" customFormat="1" x14ac:dyDescent="0.2">
      <c r="A514" s="147" t="s">
        <v>1037</v>
      </c>
      <c r="B514" s="147"/>
      <c r="C514" s="147"/>
      <c r="D514" s="148">
        <v>1</v>
      </c>
      <c r="E514" s="149"/>
      <c r="F514" s="150">
        <v>0.12</v>
      </c>
      <c r="G514" s="150"/>
      <c r="H514" s="67">
        <v>12217</v>
      </c>
      <c r="I514" s="67">
        <f t="shared" si="248"/>
        <v>12217</v>
      </c>
      <c r="J514" s="67">
        <f t="shared" si="240"/>
        <v>10750.960000000001</v>
      </c>
      <c r="K514" s="63"/>
      <c r="L514" s="149">
        <v>0</v>
      </c>
      <c r="M514" s="63">
        <f t="shared" si="251"/>
        <v>0</v>
      </c>
      <c r="N514" s="63">
        <f t="shared" si="241"/>
        <v>0</v>
      </c>
      <c r="O514" s="69"/>
      <c r="P514" s="149">
        <v>0</v>
      </c>
      <c r="Q514" s="63">
        <f t="shared" si="250"/>
        <v>0</v>
      </c>
      <c r="R514" s="64">
        <f t="shared" si="242"/>
        <v>0</v>
      </c>
      <c r="S514" s="148">
        <v>25</v>
      </c>
      <c r="T514" s="151" t="s">
        <v>15</v>
      </c>
      <c r="U514" s="65">
        <f>SUMIF('Avoided Costs 2012-2020_EGD'!$A:$A,'2012 Actuals_Auditor'!T514&amp;'2012 Actuals_Auditor'!S514,'Avoided Costs 2012-2020_EGD'!$E:$E)*J514</f>
        <v>36918.742873508709</v>
      </c>
      <c r="V514" s="65">
        <f>SUMIF('Avoided Costs 2012-2020_EGD'!$A:$A,'2012 Actuals_Auditor'!T514&amp;'2012 Actuals_Auditor'!S514,'Avoided Costs 2012-2020_EGD'!$K:$K)*N514</f>
        <v>0</v>
      </c>
      <c r="W514" s="65">
        <f>SUMIF('Avoided Costs 2012-2020_EGD'!$A:$A,'2012 Actuals_Auditor'!T514&amp;'2012 Actuals_Auditor'!S514,'Avoided Costs 2012-2020_EGD'!$M:$M)*R514</f>
        <v>0</v>
      </c>
      <c r="X514" s="65">
        <f t="shared" si="234"/>
        <v>36918.742873508709</v>
      </c>
      <c r="Y514" s="146">
        <v>7608.48</v>
      </c>
      <c r="Z514" s="66">
        <f t="shared" si="243"/>
        <v>6695.4623999999994</v>
      </c>
      <c r="AA514" s="66"/>
      <c r="AB514" s="66"/>
      <c r="AC514" s="66"/>
      <c r="AD514" s="66">
        <f t="shared" si="244"/>
        <v>6695.4623999999994</v>
      </c>
      <c r="AE514" s="66">
        <f t="shared" si="245"/>
        <v>30223.280473508708</v>
      </c>
      <c r="AF514" s="101">
        <f t="shared" si="246"/>
        <v>268774</v>
      </c>
      <c r="AG514" s="101">
        <f t="shared" si="247"/>
        <v>305425</v>
      </c>
    </row>
    <row r="515" spans="1:33" s="68" customFormat="1" x14ac:dyDescent="0.2">
      <c r="A515" s="147" t="s">
        <v>1038</v>
      </c>
      <c r="B515" s="147"/>
      <c r="C515" s="147"/>
      <c r="D515" s="148">
        <v>1</v>
      </c>
      <c r="E515" s="149"/>
      <c r="F515" s="150">
        <v>0.12</v>
      </c>
      <c r="G515" s="150"/>
      <c r="H515" s="67">
        <v>12217</v>
      </c>
      <c r="I515" s="67">
        <f t="shared" si="248"/>
        <v>12217</v>
      </c>
      <c r="J515" s="67">
        <f t="shared" si="240"/>
        <v>10750.960000000001</v>
      </c>
      <c r="K515" s="63"/>
      <c r="L515" s="149">
        <v>0</v>
      </c>
      <c r="M515" s="63">
        <f t="shared" si="251"/>
        <v>0</v>
      </c>
      <c r="N515" s="63">
        <f t="shared" si="241"/>
        <v>0</v>
      </c>
      <c r="O515" s="69"/>
      <c r="P515" s="149">
        <v>0</v>
      </c>
      <c r="Q515" s="63">
        <f t="shared" si="250"/>
        <v>0</v>
      </c>
      <c r="R515" s="64">
        <f t="shared" si="242"/>
        <v>0</v>
      </c>
      <c r="S515" s="148">
        <v>25</v>
      </c>
      <c r="T515" s="151" t="s">
        <v>15</v>
      </c>
      <c r="U515" s="65">
        <f>SUMIF('Avoided Costs 2012-2020_EGD'!$A:$A,'2012 Actuals_Auditor'!T515&amp;'2012 Actuals_Auditor'!S515,'Avoided Costs 2012-2020_EGD'!$E:$E)*J515</f>
        <v>36918.742873508709</v>
      </c>
      <c r="V515" s="65">
        <f>SUMIF('Avoided Costs 2012-2020_EGD'!$A:$A,'2012 Actuals_Auditor'!T515&amp;'2012 Actuals_Auditor'!S515,'Avoided Costs 2012-2020_EGD'!$K:$K)*N515</f>
        <v>0</v>
      </c>
      <c r="W515" s="65">
        <f>SUMIF('Avoided Costs 2012-2020_EGD'!$A:$A,'2012 Actuals_Auditor'!T515&amp;'2012 Actuals_Auditor'!S515,'Avoided Costs 2012-2020_EGD'!$M:$M)*R515</f>
        <v>0</v>
      </c>
      <c r="X515" s="65">
        <f t="shared" si="234"/>
        <v>36918.742873508709</v>
      </c>
      <c r="Y515" s="146">
        <v>7608.48</v>
      </c>
      <c r="Z515" s="66">
        <f t="shared" si="243"/>
        <v>6695.4623999999994</v>
      </c>
      <c r="AA515" s="66"/>
      <c r="AB515" s="66"/>
      <c r="AC515" s="66"/>
      <c r="AD515" s="66">
        <f t="shared" si="244"/>
        <v>6695.4623999999994</v>
      </c>
      <c r="AE515" s="66">
        <f t="shared" si="245"/>
        <v>30223.280473508708</v>
      </c>
      <c r="AF515" s="101">
        <f t="shared" si="246"/>
        <v>268774</v>
      </c>
      <c r="AG515" s="101">
        <f t="shared" si="247"/>
        <v>305425</v>
      </c>
    </row>
    <row r="516" spans="1:33" s="68" customFormat="1" x14ac:dyDescent="0.2">
      <c r="A516" s="147" t="s">
        <v>1039</v>
      </c>
      <c r="B516" s="147"/>
      <c r="C516" s="147"/>
      <c r="D516" s="148">
        <v>1</v>
      </c>
      <c r="E516" s="149"/>
      <c r="F516" s="150">
        <v>0.12</v>
      </c>
      <c r="G516" s="150"/>
      <c r="H516" s="67">
        <v>12217</v>
      </c>
      <c r="I516" s="67">
        <f t="shared" si="248"/>
        <v>12217</v>
      </c>
      <c r="J516" s="67">
        <f t="shared" si="240"/>
        <v>10750.960000000001</v>
      </c>
      <c r="K516" s="63"/>
      <c r="L516" s="149">
        <v>0</v>
      </c>
      <c r="M516" s="63">
        <f t="shared" si="251"/>
        <v>0</v>
      </c>
      <c r="N516" s="63">
        <f t="shared" si="241"/>
        <v>0</v>
      </c>
      <c r="O516" s="69"/>
      <c r="P516" s="149">
        <v>0</v>
      </c>
      <c r="Q516" s="63">
        <f t="shared" si="250"/>
        <v>0</v>
      </c>
      <c r="R516" s="64">
        <f t="shared" si="242"/>
        <v>0</v>
      </c>
      <c r="S516" s="148">
        <v>25</v>
      </c>
      <c r="T516" s="151" t="s">
        <v>15</v>
      </c>
      <c r="U516" s="65">
        <f>SUMIF('Avoided Costs 2012-2020_EGD'!$A:$A,'2012 Actuals_Auditor'!T516&amp;'2012 Actuals_Auditor'!S516,'Avoided Costs 2012-2020_EGD'!$E:$E)*J516</f>
        <v>36918.742873508709</v>
      </c>
      <c r="V516" s="65">
        <f>SUMIF('Avoided Costs 2012-2020_EGD'!$A:$A,'2012 Actuals_Auditor'!T516&amp;'2012 Actuals_Auditor'!S516,'Avoided Costs 2012-2020_EGD'!$K:$K)*N516</f>
        <v>0</v>
      </c>
      <c r="W516" s="65">
        <f>SUMIF('Avoided Costs 2012-2020_EGD'!$A:$A,'2012 Actuals_Auditor'!T516&amp;'2012 Actuals_Auditor'!S516,'Avoided Costs 2012-2020_EGD'!$M:$M)*R516</f>
        <v>0</v>
      </c>
      <c r="X516" s="65">
        <f t="shared" si="234"/>
        <v>36918.742873508709</v>
      </c>
      <c r="Y516" s="146">
        <v>7608.48</v>
      </c>
      <c r="Z516" s="66">
        <f t="shared" si="243"/>
        <v>6695.4623999999994</v>
      </c>
      <c r="AA516" s="66"/>
      <c r="AB516" s="66"/>
      <c r="AC516" s="66"/>
      <c r="AD516" s="66">
        <f t="shared" si="244"/>
        <v>6695.4623999999994</v>
      </c>
      <c r="AE516" s="66">
        <f t="shared" si="245"/>
        <v>30223.280473508708</v>
      </c>
      <c r="AF516" s="101">
        <f t="shared" si="246"/>
        <v>268774</v>
      </c>
      <c r="AG516" s="101">
        <f t="shared" si="247"/>
        <v>305425</v>
      </c>
    </row>
    <row r="517" spans="1:33" s="68" customFormat="1" x14ac:dyDescent="0.2">
      <c r="A517" s="147" t="s">
        <v>1040</v>
      </c>
      <c r="B517" s="147"/>
      <c r="C517" s="147"/>
      <c r="D517" s="148">
        <v>1</v>
      </c>
      <c r="E517" s="149"/>
      <c r="F517" s="150">
        <v>0.12</v>
      </c>
      <c r="G517" s="150"/>
      <c r="H517" s="67">
        <v>12217</v>
      </c>
      <c r="I517" s="67">
        <f t="shared" si="248"/>
        <v>12217</v>
      </c>
      <c r="J517" s="67">
        <f t="shared" si="240"/>
        <v>10750.960000000001</v>
      </c>
      <c r="K517" s="63"/>
      <c r="L517" s="149">
        <v>0</v>
      </c>
      <c r="M517" s="63">
        <f t="shared" si="251"/>
        <v>0</v>
      </c>
      <c r="N517" s="63">
        <f t="shared" si="241"/>
        <v>0</v>
      </c>
      <c r="O517" s="69"/>
      <c r="P517" s="149">
        <v>0</v>
      </c>
      <c r="Q517" s="63">
        <f t="shared" si="250"/>
        <v>0</v>
      </c>
      <c r="R517" s="64">
        <f t="shared" si="242"/>
        <v>0</v>
      </c>
      <c r="S517" s="148">
        <v>25</v>
      </c>
      <c r="T517" s="151" t="s">
        <v>15</v>
      </c>
      <c r="U517" s="65">
        <f>SUMIF('Avoided Costs 2012-2020_EGD'!$A:$A,'2012 Actuals_Auditor'!T517&amp;'2012 Actuals_Auditor'!S517,'Avoided Costs 2012-2020_EGD'!$E:$E)*J517</f>
        <v>36918.742873508709</v>
      </c>
      <c r="V517" s="65">
        <f>SUMIF('Avoided Costs 2012-2020_EGD'!$A:$A,'2012 Actuals_Auditor'!T517&amp;'2012 Actuals_Auditor'!S517,'Avoided Costs 2012-2020_EGD'!$K:$K)*N517</f>
        <v>0</v>
      </c>
      <c r="W517" s="65">
        <f>SUMIF('Avoided Costs 2012-2020_EGD'!$A:$A,'2012 Actuals_Auditor'!T517&amp;'2012 Actuals_Auditor'!S517,'Avoided Costs 2012-2020_EGD'!$M:$M)*R517</f>
        <v>0</v>
      </c>
      <c r="X517" s="65">
        <f t="shared" si="234"/>
        <v>36918.742873508709</v>
      </c>
      <c r="Y517" s="146">
        <v>7608.48</v>
      </c>
      <c r="Z517" s="66">
        <f t="shared" si="243"/>
        <v>6695.4623999999994</v>
      </c>
      <c r="AA517" s="66"/>
      <c r="AB517" s="66"/>
      <c r="AC517" s="66"/>
      <c r="AD517" s="66">
        <f t="shared" si="244"/>
        <v>6695.4623999999994</v>
      </c>
      <c r="AE517" s="66">
        <f t="shared" si="245"/>
        <v>30223.280473508708</v>
      </c>
      <c r="AF517" s="101">
        <f t="shared" si="246"/>
        <v>268774</v>
      </c>
      <c r="AG517" s="101">
        <f t="shared" si="247"/>
        <v>305425</v>
      </c>
    </row>
    <row r="518" spans="1:33" s="68" customFormat="1" x14ac:dyDescent="0.2">
      <c r="A518" s="147" t="s">
        <v>1041</v>
      </c>
      <c r="B518" s="147"/>
      <c r="C518" s="147"/>
      <c r="D518" s="148">
        <v>1</v>
      </c>
      <c r="E518" s="149"/>
      <c r="F518" s="150">
        <v>0.12</v>
      </c>
      <c r="G518" s="150"/>
      <c r="H518" s="67">
        <v>12217</v>
      </c>
      <c r="I518" s="67">
        <f t="shared" si="248"/>
        <v>12217</v>
      </c>
      <c r="J518" s="67">
        <f t="shared" si="240"/>
        <v>10750.960000000001</v>
      </c>
      <c r="K518" s="63"/>
      <c r="L518" s="149">
        <v>0</v>
      </c>
      <c r="M518" s="63">
        <f t="shared" si="251"/>
        <v>0</v>
      </c>
      <c r="N518" s="63">
        <f t="shared" si="241"/>
        <v>0</v>
      </c>
      <c r="O518" s="69"/>
      <c r="P518" s="149">
        <v>0</v>
      </c>
      <c r="Q518" s="63">
        <f t="shared" si="250"/>
        <v>0</v>
      </c>
      <c r="R518" s="64">
        <f t="shared" si="242"/>
        <v>0</v>
      </c>
      <c r="S518" s="148">
        <v>25</v>
      </c>
      <c r="T518" s="151" t="s">
        <v>15</v>
      </c>
      <c r="U518" s="65">
        <f>SUMIF('Avoided Costs 2012-2020_EGD'!$A:$A,'2012 Actuals_Auditor'!T518&amp;'2012 Actuals_Auditor'!S518,'Avoided Costs 2012-2020_EGD'!$E:$E)*J518</f>
        <v>36918.742873508709</v>
      </c>
      <c r="V518" s="65">
        <f>SUMIF('Avoided Costs 2012-2020_EGD'!$A:$A,'2012 Actuals_Auditor'!T518&amp;'2012 Actuals_Auditor'!S518,'Avoided Costs 2012-2020_EGD'!$K:$K)*N518</f>
        <v>0</v>
      </c>
      <c r="W518" s="65">
        <f>SUMIF('Avoided Costs 2012-2020_EGD'!$A:$A,'2012 Actuals_Auditor'!T518&amp;'2012 Actuals_Auditor'!S518,'Avoided Costs 2012-2020_EGD'!$M:$M)*R518</f>
        <v>0</v>
      </c>
      <c r="X518" s="65">
        <f t="shared" si="234"/>
        <v>36918.742873508709</v>
      </c>
      <c r="Y518" s="146">
        <v>7608.48</v>
      </c>
      <c r="Z518" s="66">
        <f t="shared" si="243"/>
        <v>6695.4623999999994</v>
      </c>
      <c r="AA518" s="66"/>
      <c r="AB518" s="66"/>
      <c r="AC518" s="66"/>
      <c r="AD518" s="66">
        <f t="shared" si="244"/>
        <v>6695.4623999999994</v>
      </c>
      <c r="AE518" s="66">
        <f t="shared" si="245"/>
        <v>30223.280473508708</v>
      </c>
      <c r="AF518" s="101">
        <f t="shared" si="246"/>
        <v>268774</v>
      </c>
      <c r="AG518" s="101">
        <f t="shared" si="247"/>
        <v>305425</v>
      </c>
    </row>
    <row r="519" spans="1:33" s="68" customFormat="1" x14ac:dyDescent="0.2">
      <c r="A519" s="147" t="s">
        <v>1042</v>
      </c>
      <c r="B519" s="147"/>
      <c r="C519" s="147"/>
      <c r="D519" s="148">
        <v>1</v>
      </c>
      <c r="E519" s="149"/>
      <c r="F519" s="150">
        <v>0.12</v>
      </c>
      <c r="G519" s="150"/>
      <c r="H519" s="67">
        <v>4572</v>
      </c>
      <c r="I519" s="67">
        <f>+$H$42*H519</f>
        <v>4370.3140410073929</v>
      </c>
      <c r="J519" s="67">
        <f t="shared" si="240"/>
        <v>3845.8763560865059</v>
      </c>
      <c r="K519" s="63"/>
      <c r="L519" s="149">
        <v>0</v>
      </c>
      <c r="M519" s="63">
        <f t="shared" si="232"/>
        <v>0</v>
      </c>
      <c r="N519" s="63">
        <f t="shared" si="241"/>
        <v>0</v>
      </c>
      <c r="O519" s="69"/>
      <c r="P519" s="149">
        <v>0</v>
      </c>
      <c r="Q519" s="63">
        <f>+P519*$P$42</f>
        <v>0</v>
      </c>
      <c r="R519" s="64">
        <f t="shared" si="242"/>
        <v>0</v>
      </c>
      <c r="S519" s="148">
        <v>5</v>
      </c>
      <c r="T519" s="151" t="s">
        <v>15</v>
      </c>
      <c r="U519" s="65">
        <f>SUMIF('Avoided Costs 2012-2020_EGD'!$A:$A,'2012 Actuals_Auditor'!T519&amp;'2012 Actuals_Auditor'!S519,'Avoided Costs 2012-2020_EGD'!$E:$E)*J519</f>
        <v>3205.7389903031653</v>
      </c>
      <c r="V519" s="65">
        <f>SUMIF('Avoided Costs 2012-2020_EGD'!$A:$A,'2012 Actuals_Auditor'!T519&amp;'2012 Actuals_Auditor'!S519,'Avoided Costs 2012-2020_EGD'!$K:$K)*N519</f>
        <v>0</v>
      </c>
      <c r="W519" s="65">
        <f>SUMIF('Avoided Costs 2012-2020_EGD'!$A:$A,'2012 Actuals_Auditor'!T519&amp;'2012 Actuals_Auditor'!S519,'Avoided Costs 2012-2020_EGD'!$M:$M)*R519</f>
        <v>0</v>
      </c>
      <c r="X519" s="65">
        <f t="shared" si="234"/>
        <v>3205.7389903031653</v>
      </c>
      <c r="Y519" s="146">
        <v>6500</v>
      </c>
      <c r="Z519" s="66">
        <f t="shared" si="243"/>
        <v>5720</v>
      </c>
      <c r="AA519" s="66"/>
      <c r="AB519" s="66"/>
      <c r="AC519" s="66"/>
      <c r="AD519" s="66">
        <f t="shared" si="244"/>
        <v>5720</v>
      </c>
      <c r="AE519" s="66">
        <f t="shared" si="245"/>
        <v>-2514.2610096968347</v>
      </c>
      <c r="AF519" s="101">
        <f t="shared" si="246"/>
        <v>19229.38178043253</v>
      </c>
      <c r="AG519" s="101">
        <f t="shared" si="247"/>
        <v>21851.570205036965</v>
      </c>
    </row>
    <row r="520" spans="1:33" s="68" customFormat="1" x14ac:dyDescent="0.2">
      <c r="A520" s="147" t="s">
        <v>1043</v>
      </c>
      <c r="B520" s="147"/>
      <c r="C520" s="147"/>
      <c r="D520" s="148">
        <v>1</v>
      </c>
      <c r="E520" s="149"/>
      <c r="F520" s="150">
        <v>0.12</v>
      </c>
      <c r="G520" s="150"/>
      <c r="H520" s="67">
        <v>12217</v>
      </c>
      <c r="I520" s="67">
        <f>H520</f>
        <v>12217</v>
      </c>
      <c r="J520" s="67">
        <f t="shared" si="240"/>
        <v>10750.960000000001</v>
      </c>
      <c r="K520" s="63"/>
      <c r="L520" s="149">
        <v>0</v>
      </c>
      <c r="M520" s="63">
        <f>L520</f>
        <v>0</v>
      </c>
      <c r="N520" s="63">
        <f t="shared" si="241"/>
        <v>0</v>
      </c>
      <c r="O520" s="69"/>
      <c r="P520" s="149">
        <v>0</v>
      </c>
      <c r="Q520" s="63">
        <f>+P520</f>
        <v>0</v>
      </c>
      <c r="R520" s="64">
        <f t="shared" si="242"/>
        <v>0</v>
      </c>
      <c r="S520" s="148">
        <v>25</v>
      </c>
      <c r="T520" s="151" t="s">
        <v>15</v>
      </c>
      <c r="U520" s="65">
        <f>SUMIF('Avoided Costs 2012-2020_EGD'!$A:$A,'2012 Actuals_Auditor'!T520&amp;'2012 Actuals_Auditor'!S520,'Avoided Costs 2012-2020_EGD'!$E:$E)*J520</f>
        <v>36918.742873508709</v>
      </c>
      <c r="V520" s="65">
        <f>SUMIF('Avoided Costs 2012-2020_EGD'!$A:$A,'2012 Actuals_Auditor'!T520&amp;'2012 Actuals_Auditor'!S520,'Avoided Costs 2012-2020_EGD'!$K:$K)*N520</f>
        <v>0</v>
      </c>
      <c r="W520" s="65">
        <f>SUMIF('Avoided Costs 2012-2020_EGD'!$A:$A,'2012 Actuals_Auditor'!T520&amp;'2012 Actuals_Auditor'!S520,'Avoided Costs 2012-2020_EGD'!$M:$M)*R520</f>
        <v>0</v>
      </c>
      <c r="X520" s="65">
        <f t="shared" si="234"/>
        <v>36918.742873508709</v>
      </c>
      <c r="Y520" s="146">
        <v>7608.48</v>
      </c>
      <c r="Z520" s="66">
        <f t="shared" si="243"/>
        <v>6695.4623999999994</v>
      </c>
      <c r="AA520" s="66"/>
      <c r="AB520" s="66"/>
      <c r="AC520" s="66"/>
      <c r="AD520" s="66">
        <f t="shared" si="244"/>
        <v>6695.4623999999994</v>
      </c>
      <c r="AE520" s="66">
        <f t="shared" si="245"/>
        <v>30223.280473508708</v>
      </c>
      <c r="AF520" s="101">
        <f t="shared" si="246"/>
        <v>268774</v>
      </c>
      <c r="AG520" s="101">
        <f t="shared" si="247"/>
        <v>305425</v>
      </c>
    </row>
    <row r="521" spans="1:33" s="68" customFormat="1" x14ac:dyDescent="0.2">
      <c r="A521" s="147" t="s">
        <v>1044</v>
      </c>
      <c r="B521" s="147"/>
      <c r="C521" s="147"/>
      <c r="D521" s="148">
        <v>1</v>
      </c>
      <c r="E521" s="149"/>
      <c r="F521" s="150">
        <v>0.12</v>
      </c>
      <c r="G521" s="150"/>
      <c r="H521" s="67">
        <v>4847</v>
      </c>
      <c r="I521" s="67">
        <f t="shared" ref="I521:I531" si="252">+$H$42*H521</f>
        <v>4633.1828864310664</v>
      </c>
      <c r="J521" s="67">
        <f t="shared" si="240"/>
        <v>4077.2009400593383</v>
      </c>
      <c r="K521" s="63"/>
      <c r="L521" s="149">
        <v>0</v>
      </c>
      <c r="M521" s="63">
        <f t="shared" si="232"/>
        <v>0</v>
      </c>
      <c r="N521" s="63">
        <f t="shared" si="241"/>
        <v>0</v>
      </c>
      <c r="O521" s="69"/>
      <c r="P521" s="149">
        <v>0</v>
      </c>
      <c r="Q521" s="63">
        <f t="shared" ref="Q521:Q531" si="253">+P521*$P$42</f>
        <v>0</v>
      </c>
      <c r="R521" s="64">
        <f t="shared" si="242"/>
        <v>0</v>
      </c>
      <c r="S521" s="148">
        <v>25</v>
      </c>
      <c r="T521" s="151" t="s">
        <v>15</v>
      </c>
      <c r="U521" s="65">
        <f>SUMIF('Avoided Costs 2012-2020_EGD'!$A:$A,'2012 Actuals_Auditor'!T521&amp;'2012 Actuals_Auditor'!S521,'Avoided Costs 2012-2020_EGD'!$E:$E)*J521</f>
        <v>14001.087637725253</v>
      </c>
      <c r="V521" s="65">
        <f>SUMIF('Avoided Costs 2012-2020_EGD'!$A:$A,'2012 Actuals_Auditor'!T521&amp;'2012 Actuals_Auditor'!S521,'Avoided Costs 2012-2020_EGD'!$K:$K)*N521</f>
        <v>0</v>
      </c>
      <c r="W521" s="65">
        <f>SUMIF('Avoided Costs 2012-2020_EGD'!$A:$A,'2012 Actuals_Auditor'!T521&amp;'2012 Actuals_Auditor'!S521,'Avoided Costs 2012-2020_EGD'!$M:$M)*R521</f>
        <v>0</v>
      </c>
      <c r="X521" s="65">
        <f t="shared" si="234"/>
        <v>14001.087637725253</v>
      </c>
      <c r="Y521" s="146">
        <v>23310</v>
      </c>
      <c r="Z521" s="66">
        <f t="shared" si="243"/>
        <v>20512.8</v>
      </c>
      <c r="AA521" s="66"/>
      <c r="AB521" s="66"/>
      <c r="AC521" s="66"/>
      <c r="AD521" s="66">
        <f t="shared" si="244"/>
        <v>20512.8</v>
      </c>
      <c r="AE521" s="66">
        <f t="shared" si="245"/>
        <v>-6511.7123622747458</v>
      </c>
      <c r="AF521" s="101">
        <f t="shared" si="246"/>
        <v>101930.02350148346</v>
      </c>
      <c r="AG521" s="101">
        <f t="shared" si="247"/>
        <v>115829.57216077666</v>
      </c>
    </row>
    <row r="522" spans="1:33" s="68" customFormat="1" x14ac:dyDescent="0.2">
      <c r="A522" s="147" t="s">
        <v>1045</v>
      </c>
      <c r="B522" s="147"/>
      <c r="C522" s="147"/>
      <c r="D522" s="148">
        <v>1</v>
      </c>
      <c r="E522" s="149"/>
      <c r="F522" s="150">
        <v>0.12</v>
      </c>
      <c r="G522" s="150"/>
      <c r="H522" s="67">
        <v>5126</v>
      </c>
      <c r="I522" s="67">
        <f t="shared" si="252"/>
        <v>4899.8752786972655</v>
      </c>
      <c r="J522" s="67">
        <f t="shared" si="240"/>
        <v>4311.890245253594</v>
      </c>
      <c r="K522" s="63"/>
      <c r="L522" s="149">
        <v>0</v>
      </c>
      <c r="M522" s="63">
        <f t="shared" si="232"/>
        <v>0</v>
      </c>
      <c r="N522" s="63">
        <f t="shared" si="241"/>
        <v>0</v>
      </c>
      <c r="O522" s="69"/>
      <c r="P522" s="149">
        <v>0</v>
      </c>
      <c r="Q522" s="63">
        <f t="shared" si="253"/>
        <v>0</v>
      </c>
      <c r="R522" s="64">
        <f t="shared" si="242"/>
        <v>0</v>
      </c>
      <c r="S522" s="148">
        <v>5</v>
      </c>
      <c r="T522" s="151" t="s">
        <v>15</v>
      </c>
      <c r="U522" s="65">
        <f>SUMIF('Avoided Costs 2012-2020_EGD'!$A:$A,'2012 Actuals_Auditor'!T522&amp;'2012 Actuals_Auditor'!S522,'Avoided Costs 2012-2020_EGD'!$E:$E)*J522</f>
        <v>3594.1859283232779</v>
      </c>
      <c r="V522" s="65">
        <f>SUMIF('Avoided Costs 2012-2020_EGD'!$A:$A,'2012 Actuals_Auditor'!T522&amp;'2012 Actuals_Auditor'!S522,'Avoided Costs 2012-2020_EGD'!$K:$K)*N522</f>
        <v>0</v>
      </c>
      <c r="W522" s="65">
        <f>SUMIF('Avoided Costs 2012-2020_EGD'!$A:$A,'2012 Actuals_Auditor'!T522&amp;'2012 Actuals_Auditor'!S522,'Avoided Costs 2012-2020_EGD'!$M:$M)*R522</f>
        <v>0</v>
      </c>
      <c r="X522" s="65">
        <f t="shared" si="234"/>
        <v>3594.1859283232779</v>
      </c>
      <c r="Y522" s="146">
        <v>4500</v>
      </c>
      <c r="Z522" s="66">
        <f t="shared" si="243"/>
        <v>3960</v>
      </c>
      <c r="AA522" s="66"/>
      <c r="AB522" s="66"/>
      <c r="AC522" s="66"/>
      <c r="AD522" s="66">
        <f t="shared" si="244"/>
        <v>3960</v>
      </c>
      <c r="AE522" s="66">
        <f t="shared" si="245"/>
        <v>-365.81407167672205</v>
      </c>
      <c r="AF522" s="101">
        <f t="shared" si="246"/>
        <v>21559.451226267971</v>
      </c>
      <c r="AG522" s="101">
        <f t="shared" si="247"/>
        <v>24499.376393486327</v>
      </c>
    </row>
    <row r="523" spans="1:33" s="68" customFormat="1" x14ac:dyDescent="0.2">
      <c r="A523" s="147" t="s">
        <v>1046</v>
      </c>
      <c r="B523" s="147"/>
      <c r="C523" s="147"/>
      <c r="D523" s="148">
        <v>1</v>
      </c>
      <c r="E523" s="149"/>
      <c r="F523" s="150">
        <v>0.12</v>
      </c>
      <c r="G523" s="150"/>
      <c r="H523" s="67">
        <v>17386</v>
      </c>
      <c r="I523" s="67">
        <f t="shared" si="252"/>
        <v>16619.046351039924</v>
      </c>
      <c r="J523" s="67">
        <f t="shared" si="240"/>
        <v>14624.760788915133</v>
      </c>
      <c r="K523" s="63"/>
      <c r="L523" s="149">
        <v>0</v>
      </c>
      <c r="M523" s="63">
        <f t="shared" si="232"/>
        <v>0</v>
      </c>
      <c r="N523" s="63">
        <f t="shared" si="241"/>
        <v>0</v>
      </c>
      <c r="O523" s="69"/>
      <c r="P523" s="149">
        <v>0</v>
      </c>
      <c r="Q523" s="63">
        <f t="shared" si="253"/>
        <v>0</v>
      </c>
      <c r="R523" s="64">
        <f t="shared" si="242"/>
        <v>0</v>
      </c>
      <c r="S523" s="148">
        <v>5</v>
      </c>
      <c r="T523" s="151" t="s">
        <v>15</v>
      </c>
      <c r="U523" s="65">
        <f>SUMIF('Avoided Costs 2012-2020_EGD'!$A:$A,'2012 Actuals_Auditor'!T523&amp;'2012 Actuals_Auditor'!S523,'Avoided Costs 2012-2020_EGD'!$E:$E)*J523</f>
        <v>12190.502643353198</v>
      </c>
      <c r="V523" s="65">
        <f>SUMIF('Avoided Costs 2012-2020_EGD'!$A:$A,'2012 Actuals_Auditor'!T523&amp;'2012 Actuals_Auditor'!S523,'Avoided Costs 2012-2020_EGD'!$K:$K)*N523</f>
        <v>0</v>
      </c>
      <c r="W523" s="65">
        <f>SUMIF('Avoided Costs 2012-2020_EGD'!$A:$A,'2012 Actuals_Auditor'!T523&amp;'2012 Actuals_Auditor'!S523,'Avoided Costs 2012-2020_EGD'!$M:$M)*R523</f>
        <v>0</v>
      </c>
      <c r="X523" s="65">
        <f t="shared" si="234"/>
        <v>12190.502643353198</v>
      </c>
      <c r="Y523" s="146">
        <v>5000</v>
      </c>
      <c r="Z523" s="66">
        <f t="shared" si="243"/>
        <v>4400</v>
      </c>
      <c r="AA523" s="66"/>
      <c r="AB523" s="66"/>
      <c r="AC523" s="66"/>
      <c r="AD523" s="66">
        <f t="shared" si="244"/>
        <v>4400</v>
      </c>
      <c r="AE523" s="66">
        <f t="shared" si="245"/>
        <v>7790.5026433531984</v>
      </c>
      <c r="AF523" s="101">
        <f t="shared" si="246"/>
        <v>73123.803944575659</v>
      </c>
      <c r="AG523" s="101">
        <f t="shared" si="247"/>
        <v>83095.231755199624</v>
      </c>
    </row>
    <row r="524" spans="1:33" s="68" customFormat="1" x14ac:dyDescent="0.2">
      <c r="A524" s="147" t="s">
        <v>1047</v>
      </c>
      <c r="B524" s="147"/>
      <c r="C524" s="147"/>
      <c r="D524" s="148">
        <v>1</v>
      </c>
      <c r="E524" s="149"/>
      <c r="F524" s="150">
        <v>0.12</v>
      </c>
      <c r="G524" s="150"/>
      <c r="H524" s="67">
        <v>84641</v>
      </c>
      <c r="I524" s="67">
        <f t="shared" si="252"/>
        <v>80907.207074564038</v>
      </c>
      <c r="J524" s="67">
        <f t="shared" si="240"/>
        <v>71198.342225616347</v>
      </c>
      <c r="K524" s="63"/>
      <c r="L524" s="149">
        <v>0</v>
      </c>
      <c r="M524" s="63">
        <f t="shared" si="232"/>
        <v>0</v>
      </c>
      <c r="N524" s="63">
        <f t="shared" si="241"/>
        <v>0</v>
      </c>
      <c r="O524" s="69"/>
      <c r="P524" s="149">
        <v>0</v>
      </c>
      <c r="Q524" s="63">
        <f t="shared" si="253"/>
        <v>0</v>
      </c>
      <c r="R524" s="64">
        <f t="shared" si="242"/>
        <v>0</v>
      </c>
      <c r="S524" s="148">
        <v>5</v>
      </c>
      <c r="T524" s="151" t="s">
        <v>15</v>
      </c>
      <c r="U524" s="65">
        <f>SUMIF('Avoided Costs 2012-2020_EGD'!$A:$A,'2012 Actuals_Auditor'!T524&amp;'2012 Actuals_Auditor'!S524,'Avoided Costs 2012-2020_EGD'!$E:$E)*J524</f>
        <v>59347.540218339935</v>
      </c>
      <c r="V524" s="65">
        <f>SUMIF('Avoided Costs 2012-2020_EGD'!$A:$A,'2012 Actuals_Auditor'!T524&amp;'2012 Actuals_Auditor'!S524,'Avoided Costs 2012-2020_EGD'!$K:$K)*N524</f>
        <v>0</v>
      </c>
      <c r="W524" s="65">
        <f>SUMIF('Avoided Costs 2012-2020_EGD'!$A:$A,'2012 Actuals_Auditor'!T524&amp;'2012 Actuals_Auditor'!S524,'Avoided Costs 2012-2020_EGD'!$M:$M)*R524</f>
        <v>0</v>
      </c>
      <c r="X524" s="65">
        <f t="shared" si="234"/>
        <v>59347.540218339935</v>
      </c>
      <c r="Y524" s="146">
        <v>5000</v>
      </c>
      <c r="Z524" s="66">
        <f t="shared" si="243"/>
        <v>4400</v>
      </c>
      <c r="AA524" s="66"/>
      <c r="AB524" s="66"/>
      <c r="AC524" s="66"/>
      <c r="AD524" s="66">
        <f t="shared" si="244"/>
        <v>4400</v>
      </c>
      <c r="AE524" s="66">
        <f t="shared" si="245"/>
        <v>54947.540218339935</v>
      </c>
      <c r="AF524" s="101">
        <f t="shared" si="246"/>
        <v>355991.71112808172</v>
      </c>
      <c r="AG524" s="101">
        <f t="shared" si="247"/>
        <v>404536.03537282022</v>
      </c>
    </row>
    <row r="525" spans="1:33" s="68" customFormat="1" x14ac:dyDescent="0.2">
      <c r="A525" s="147" t="s">
        <v>1048</v>
      </c>
      <c r="B525" s="147"/>
      <c r="C525" s="147"/>
      <c r="D525" s="148">
        <v>1</v>
      </c>
      <c r="E525" s="149"/>
      <c r="F525" s="150">
        <v>0.12</v>
      </c>
      <c r="G525" s="150"/>
      <c r="H525" s="67">
        <v>15382</v>
      </c>
      <c r="I525" s="67">
        <f t="shared" si="252"/>
        <v>14703.449382934323</v>
      </c>
      <c r="J525" s="67">
        <f t="shared" si="240"/>
        <v>12939.035456982205</v>
      </c>
      <c r="K525" s="63"/>
      <c r="L525" s="149">
        <v>0</v>
      </c>
      <c r="M525" s="63">
        <f t="shared" si="232"/>
        <v>0</v>
      </c>
      <c r="N525" s="63">
        <f t="shared" si="241"/>
        <v>0</v>
      </c>
      <c r="O525" s="69"/>
      <c r="P525" s="149">
        <v>0</v>
      </c>
      <c r="Q525" s="63">
        <f t="shared" si="253"/>
        <v>0</v>
      </c>
      <c r="R525" s="64">
        <f t="shared" si="242"/>
        <v>0</v>
      </c>
      <c r="S525" s="148">
        <v>5</v>
      </c>
      <c r="T525" s="151" t="s">
        <v>15</v>
      </c>
      <c r="U525" s="65">
        <f>SUMIF('Avoided Costs 2012-2020_EGD'!$A:$A,'2012 Actuals_Auditor'!T525&amp;'2012 Actuals_Auditor'!S525,'Avoided Costs 2012-2020_EGD'!$E:$E)*J525</f>
        <v>10785.362456002469</v>
      </c>
      <c r="V525" s="65">
        <f>SUMIF('Avoided Costs 2012-2020_EGD'!$A:$A,'2012 Actuals_Auditor'!T525&amp;'2012 Actuals_Auditor'!S525,'Avoided Costs 2012-2020_EGD'!$K:$K)*N525</f>
        <v>0</v>
      </c>
      <c r="W525" s="65">
        <f>SUMIF('Avoided Costs 2012-2020_EGD'!$A:$A,'2012 Actuals_Auditor'!T525&amp;'2012 Actuals_Auditor'!S525,'Avoided Costs 2012-2020_EGD'!$M:$M)*R525</f>
        <v>0</v>
      </c>
      <c r="X525" s="65">
        <f t="shared" si="234"/>
        <v>10785.362456002469</v>
      </c>
      <c r="Y525" s="146">
        <v>5000</v>
      </c>
      <c r="Z525" s="66">
        <f t="shared" si="243"/>
        <v>4400</v>
      </c>
      <c r="AA525" s="66"/>
      <c r="AB525" s="66"/>
      <c r="AC525" s="66"/>
      <c r="AD525" s="66">
        <f t="shared" si="244"/>
        <v>4400</v>
      </c>
      <c r="AE525" s="66">
        <f t="shared" si="245"/>
        <v>6385.3624560024691</v>
      </c>
      <c r="AF525" s="101">
        <f t="shared" si="246"/>
        <v>64695.177284911028</v>
      </c>
      <c r="AG525" s="101">
        <f t="shared" si="247"/>
        <v>73517.246914671618</v>
      </c>
    </row>
    <row r="526" spans="1:33" s="68" customFormat="1" x14ac:dyDescent="0.2">
      <c r="A526" s="147" t="s">
        <v>1049</v>
      </c>
      <c r="B526" s="147"/>
      <c r="C526" s="147"/>
      <c r="D526" s="148">
        <v>1</v>
      </c>
      <c r="E526" s="149"/>
      <c r="F526" s="150">
        <v>0.12</v>
      </c>
      <c r="G526" s="150"/>
      <c r="H526" s="67">
        <v>3345</v>
      </c>
      <c r="I526" s="67">
        <f t="shared" si="252"/>
        <v>3197.4410470624957</v>
      </c>
      <c r="J526" s="67">
        <f t="shared" si="240"/>
        <v>2813.7481214149961</v>
      </c>
      <c r="K526" s="63"/>
      <c r="L526" s="149">
        <v>0</v>
      </c>
      <c r="M526" s="63">
        <f t="shared" si="232"/>
        <v>0</v>
      </c>
      <c r="N526" s="63">
        <f t="shared" si="241"/>
        <v>0</v>
      </c>
      <c r="O526" s="69"/>
      <c r="P526" s="149">
        <v>0</v>
      </c>
      <c r="Q526" s="63">
        <f t="shared" si="253"/>
        <v>0</v>
      </c>
      <c r="R526" s="64">
        <f t="shared" si="242"/>
        <v>0</v>
      </c>
      <c r="S526" s="148">
        <v>5</v>
      </c>
      <c r="T526" s="151" t="s">
        <v>15</v>
      </c>
      <c r="U526" s="65">
        <f>SUMIF('Avoided Costs 2012-2020_EGD'!$A:$A,'2012 Actuals_Auditor'!T526&amp;'2012 Actuals_Auditor'!S526,'Avoided Costs 2012-2020_EGD'!$E:$E)*J526</f>
        <v>2345.4061510420138</v>
      </c>
      <c r="V526" s="65">
        <f>SUMIF('Avoided Costs 2012-2020_EGD'!$A:$A,'2012 Actuals_Auditor'!T526&amp;'2012 Actuals_Auditor'!S526,'Avoided Costs 2012-2020_EGD'!$K:$K)*N526</f>
        <v>0</v>
      </c>
      <c r="W526" s="65">
        <f>SUMIF('Avoided Costs 2012-2020_EGD'!$A:$A,'2012 Actuals_Auditor'!T526&amp;'2012 Actuals_Auditor'!S526,'Avoided Costs 2012-2020_EGD'!$M:$M)*R526</f>
        <v>0</v>
      </c>
      <c r="X526" s="65">
        <f t="shared" si="234"/>
        <v>2345.4061510420138</v>
      </c>
      <c r="Y526" s="146">
        <v>31000</v>
      </c>
      <c r="Z526" s="66">
        <f t="shared" si="243"/>
        <v>27280</v>
      </c>
      <c r="AA526" s="66"/>
      <c r="AB526" s="66"/>
      <c r="AC526" s="66"/>
      <c r="AD526" s="66">
        <f t="shared" si="244"/>
        <v>27280</v>
      </c>
      <c r="AE526" s="66">
        <f t="shared" si="245"/>
        <v>-24934.593848957986</v>
      </c>
      <c r="AF526" s="101">
        <f t="shared" si="246"/>
        <v>14068.74060707498</v>
      </c>
      <c r="AG526" s="101">
        <f t="shared" si="247"/>
        <v>15987.205235312478</v>
      </c>
    </row>
    <row r="527" spans="1:33" s="68" customFormat="1" x14ac:dyDescent="0.2">
      <c r="A527" s="147" t="s">
        <v>1050</v>
      </c>
      <c r="B527" s="147"/>
      <c r="C527" s="147"/>
      <c r="D527" s="148">
        <v>1</v>
      </c>
      <c r="E527" s="149"/>
      <c r="F527" s="150">
        <v>0.12</v>
      </c>
      <c r="G527" s="150"/>
      <c r="H527" s="67">
        <v>8658</v>
      </c>
      <c r="I527" s="67">
        <f t="shared" si="252"/>
        <v>8276.0671406478577</v>
      </c>
      <c r="J527" s="67">
        <f t="shared" si="240"/>
        <v>7282.9390837701148</v>
      </c>
      <c r="K527" s="63"/>
      <c r="L527" s="149">
        <v>0</v>
      </c>
      <c r="M527" s="63">
        <f t="shared" si="232"/>
        <v>0</v>
      </c>
      <c r="N527" s="63">
        <f t="shared" si="241"/>
        <v>0</v>
      </c>
      <c r="O527" s="69"/>
      <c r="P527" s="149">
        <v>0</v>
      </c>
      <c r="Q527" s="63">
        <f t="shared" si="253"/>
        <v>0</v>
      </c>
      <c r="R527" s="64">
        <f t="shared" si="242"/>
        <v>0</v>
      </c>
      <c r="S527" s="148">
        <v>5</v>
      </c>
      <c r="T527" s="151" t="s">
        <v>15</v>
      </c>
      <c r="U527" s="65">
        <f>SUMIF('Avoided Costs 2012-2020_EGD'!$A:$A,'2012 Actuals_Auditor'!T527&amp;'2012 Actuals_Auditor'!S527,'Avoided Costs 2012-2020_EGD'!$E:$E)*J527</f>
        <v>6070.7104501410322</v>
      </c>
      <c r="V527" s="65">
        <f>SUMIF('Avoided Costs 2012-2020_EGD'!$A:$A,'2012 Actuals_Auditor'!T527&amp;'2012 Actuals_Auditor'!S527,'Avoided Costs 2012-2020_EGD'!$K:$K)*N527</f>
        <v>0</v>
      </c>
      <c r="W527" s="65">
        <f>SUMIF('Avoided Costs 2012-2020_EGD'!$A:$A,'2012 Actuals_Auditor'!T527&amp;'2012 Actuals_Auditor'!S527,'Avoided Costs 2012-2020_EGD'!$M:$M)*R527</f>
        <v>0</v>
      </c>
      <c r="X527" s="65">
        <f t="shared" si="234"/>
        <v>6070.7104501410322</v>
      </c>
      <c r="Y527" s="146">
        <v>1500</v>
      </c>
      <c r="Z527" s="66">
        <f t="shared" si="243"/>
        <v>1320</v>
      </c>
      <c r="AA527" s="66"/>
      <c r="AB527" s="66"/>
      <c r="AC527" s="66"/>
      <c r="AD527" s="66">
        <f t="shared" si="244"/>
        <v>1320</v>
      </c>
      <c r="AE527" s="66">
        <f t="shared" si="245"/>
        <v>4750.7104501410322</v>
      </c>
      <c r="AF527" s="101">
        <f t="shared" si="246"/>
        <v>36414.695418850577</v>
      </c>
      <c r="AG527" s="101">
        <f t="shared" si="247"/>
        <v>41380.335703239289</v>
      </c>
    </row>
    <row r="528" spans="1:33" s="68" customFormat="1" x14ac:dyDescent="0.2">
      <c r="A528" s="147" t="s">
        <v>1051</v>
      </c>
      <c r="B528" s="147"/>
      <c r="C528" s="147"/>
      <c r="D528" s="148">
        <v>1</v>
      </c>
      <c r="E528" s="149"/>
      <c r="F528" s="150">
        <v>0.12</v>
      </c>
      <c r="G528" s="150"/>
      <c r="H528" s="67">
        <v>3827</v>
      </c>
      <c r="I528" s="67">
        <f t="shared" si="252"/>
        <v>3658.178441586897</v>
      </c>
      <c r="J528" s="67">
        <f t="shared" ref="J528:J559" si="254">I528*(1-F528)</f>
        <v>3219.1970285964694</v>
      </c>
      <c r="K528" s="63"/>
      <c r="L528" s="149">
        <v>0</v>
      </c>
      <c r="M528" s="63">
        <f t="shared" si="232"/>
        <v>0</v>
      </c>
      <c r="N528" s="63">
        <f t="shared" ref="N528:N559" si="255">M528*(1-F528)</f>
        <v>0</v>
      </c>
      <c r="O528" s="69"/>
      <c r="P528" s="149">
        <v>0</v>
      </c>
      <c r="Q528" s="63">
        <f t="shared" si="253"/>
        <v>0</v>
      </c>
      <c r="R528" s="64">
        <f t="shared" ref="R528:R559" si="256">Q528*(1-F528)</f>
        <v>0</v>
      </c>
      <c r="S528" s="148">
        <v>5</v>
      </c>
      <c r="T528" s="151" t="s">
        <v>15</v>
      </c>
      <c r="U528" s="65">
        <f>SUMIF('Avoided Costs 2012-2020_EGD'!$A:$A,'2012 Actuals_Auditor'!T528&amp;'2012 Actuals_Auditor'!S528,'Avoided Costs 2012-2020_EGD'!$E:$E)*J528</f>
        <v>2683.3690104746747</v>
      </c>
      <c r="V528" s="65">
        <f>SUMIF('Avoided Costs 2012-2020_EGD'!$A:$A,'2012 Actuals_Auditor'!T528&amp;'2012 Actuals_Auditor'!S528,'Avoided Costs 2012-2020_EGD'!$K:$K)*N528</f>
        <v>0</v>
      </c>
      <c r="W528" s="65">
        <f>SUMIF('Avoided Costs 2012-2020_EGD'!$A:$A,'2012 Actuals_Auditor'!T528&amp;'2012 Actuals_Auditor'!S528,'Avoided Costs 2012-2020_EGD'!$M:$M)*R528</f>
        <v>0</v>
      </c>
      <c r="X528" s="65">
        <f t="shared" si="234"/>
        <v>2683.3690104746747</v>
      </c>
      <c r="Y528" s="146">
        <v>2000</v>
      </c>
      <c r="Z528" s="66">
        <f t="shared" ref="Z528:Z559" si="257">Y528*(1-F528)</f>
        <v>1760</v>
      </c>
      <c r="AA528" s="66"/>
      <c r="AB528" s="66"/>
      <c r="AC528" s="66"/>
      <c r="AD528" s="66">
        <f t="shared" ref="AD528:AD559" si="258">Z528+AB528</f>
        <v>1760</v>
      </c>
      <c r="AE528" s="66">
        <f t="shared" ref="AE528:AE559" si="259">X528-AD528</f>
        <v>923.36901047467472</v>
      </c>
      <c r="AF528" s="101">
        <f t="shared" ref="AF528:AF559" si="260">J528*S528</f>
        <v>16095.985142982347</v>
      </c>
      <c r="AG528" s="101">
        <f t="shared" ref="AG528:AG559" si="261">(I528*S528)</f>
        <v>18290.892207934485</v>
      </c>
    </row>
    <row r="529" spans="1:33" s="68" customFormat="1" x14ac:dyDescent="0.2">
      <c r="A529" s="147" t="s">
        <v>1052</v>
      </c>
      <c r="B529" s="147"/>
      <c r="C529" s="147"/>
      <c r="D529" s="148">
        <v>1</v>
      </c>
      <c r="E529" s="149"/>
      <c r="F529" s="150">
        <v>0.12</v>
      </c>
      <c r="G529" s="150"/>
      <c r="H529" s="67">
        <v>668</v>
      </c>
      <c r="I529" s="67">
        <f t="shared" si="252"/>
        <v>638.53232270186754</v>
      </c>
      <c r="J529" s="67">
        <f t="shared" si="254"/>
        <v>561.9084439776434</v>
      </c>
      <c r="K529" s="63"/>
      <c r="L529" s="149">
        <v>0</v>
      </c>
      <c r="M529" s="63">
        <f t="shared" si="232"/>
        <v>0</v>
      </c>
      <c r="N529" s="63">
        <f t="shared" si="255"/>
        <v>0</v>
      </c>
      <c r="O529" s="69"/>
      <c r="P529" s="149">
        <v>0</v>
      </c>
      <c r="Q529" s="63">
        <f t="shared" si="253"/>
        <v>0</v>
      </c>
      <c r="R529" s="64">
        <f t="shared" si="256"/>
        <v>0</v>
      </c>
      <c r="S529" s="148">
        <v>5</v>
      </c>
      <c r="T529" s="151" t="s">
        <v>15</v>
      </c>
      <c r="U529" s="65">
        <f>SUMIF('Avoided Costs 2012-2020_EGD'!$A:$A,'2012 Actuals_Auditor'!T529&amp;'2012 Actuals_Auditor'!S529,'Avoided Costs 2012-2020_EGD'!$E:$E)*J529</f>
        <v>468.38006245024366</v>
      </c>
      <c r="V529" s="65">
        <f>SUMIF('Avoided Costs 2012-2020_EGD'!$A:$A,'2012 Actuals_Auditor'!T529&amp;'2012 Actuals_Auditor'!S529,'Avoided Costs 2012-2020_EGD'!$K:$K)*N529</f>
        <v>0</v>
      </c>
      <c r="W529" s="65">
        <f>SUMIF('Avoided Costs 2012-2020_EGD'!$A:$A,'2012 Actuals_Auditor'!T529&amp;'2012 Actuals_Auditor'!S529,'Avoided Costs 2012-2020_EGD'!$M:$M)*R529</f>
        <v>0</v>
      </c>
      <c r="X529" s="65">
        <f t="shared" si="234"/>
        <v>468.38006245024366</v>
      </c>
      <c r="Y529" s="146">
        <v>2000</v>
      </c>
      <c r="Z529" s="66">
        <f t="shared" si="257"/>
        <v>1760</v>
      </c>
      <c r="AA529" s="66"/>
      <c r="AB529" s="66"/>
      <c r="AC529" s="66"/>
      <c r="AD529" s="66">
        <f t="shared" si="258"/>
        <v>1760</v>
      </c>
      <c r="AE529" s="66">
        <f t="shared" si="259"/>
        <v>-1291.6199375497563</v>
      </c>
      <c r="AF529" s="101">
        <f t="shared" si="260"/>
        <v>2809.542219888217</v>
      </c>
      <c r="AG529" s="101">
        <f t="shared" si="261"/>
        <v>3192.6616135093377</v>
      </c>
    </row>
    <row r="530" spans="1:33" s="68" customFormat="1" x14ac:dyDescent="0.2">
      <c r="A530" s="147" t="s">
        <v>1053</v>
      </c>
      <c r="B530" s="147"/>
      <c r="C530" s="147"/>
      <c r="D530" s="148">
        <v>1</v>
      </c>
      <c r="E530" s="149"/>
      <c r="F530" s="150">
        <v>0.12</v>
      </c>
      <c r="G530" s="150"/>
      <c r="H530" s="67">
        <v>5062</v>
      </c>
      <c r="I530" s="67">
        <f t="shared" si="252"/>
        <v>4838.6985292168465</v>
      </c>
      <c r="J530" s="67">
        <f t="shared" si="254"/>
        <v>4258.0547057108251</v>
      </c>
      <c r="K530" s="63"/>
      <c r="L530" s="149">
        <v>0</v>
      </c>
      <c r="M530" s="63">
        <f t="shared" si="232"/>
        <v>0</v>
      </c>
      <c r="N530" s="63">
        <f t="shared" si="255"/>
        <v>0</v>
      </c>
      <c r="O530" s="69"/>
      <c r="P530" s="149">
        <v>0</v>
      </c>
      <c r="Q530" s="63">
        <f t="shared" si="253"/>
        <v>0</v>
      </c>
      <c r="R530" s="64">
        <f t="shared" si="256"/>
        <v>0</v>
      </c>
      <c r="S530" s="148">
        <v>5</v>
      </c>
      <c r="T530" s="151" t="s">
        <v>15</v>
      </c>
      <c r="U530" s="65">
        <f>SUMIF('Avoided Costs 2012-2020_EGD'!$A:$A,'2012 Actuals_Auditor'!T530&amp;'2012 Actuals_Auditor'!S530,'Avoided Costs 2012-2020_EGD'!$E:$E)*J530</f>
        <v>3549.3111918010982</v>
      </c>
      <c r="V530" s="65">
        <f>SUMIF('Avoided Costs 2012-2020_EGD'!$A:$A,'2012 Actuals_Auditor'!T530&amp;'2012 Actuals_Auditor'!S530,'Avoided Costs 2012-2020_EGD'!$K:$K)*N530</f>
        <v>0</v>
      </c>
      <c r="W530" s="65">
        <f>SUMIF('Avoided Costs 2012-2020_EGD'!$A:$A,'2012 Actuals_Auditor'!T530&amp;'2012 Actuals_Auditor'!S530,'Avoided Costs 2012-2020_EGD'!$M:$M)*R530</f>
        <v>0</v>
      </c>
      <c r="X530" s="65">
        <f t="shared" si="234"/>
        <v>3549.3111918010982</v>
      </c>
      <c r="Y530" s="146">
        <v>45000</v>
      </c>
      <c r="Z530" s="66">
        <f t="shared" si="257"/>
        <v>39600</v>
      </c>
      <c r="AA530" s="66"/>
      <c r="AB530" s="66"/>
      <c r="AC530" s="66"/>
      <c r="AD530" s="66">
        <f t="shared" si="258"/>
        <v>39600</v>
      </c>
      <c r="AE530" s="66">
        <f t="shared" si="259"/>
        <v>-36050.688808198902</v>
      </c>
      <c r="AF530" s="101">
        <f t="shared" si="260"/>
        <v>21290.273528554128</v>
      </c>
      <c r="AG530" s="101">
        <f t="shared" si="261"/>
        <v>24193.492646084233</v>
      </c>
    </row>
    <row r="531" spans="1:33" s="68" customFormat="1" x14ac:dyDescent="0.2">
      <c r="A531" s="147" t="s">
        <v>1054</v>
      </c>
      <c r="B531" s="147"/>
      <c r="C531" s="147"/>
      <c r="D531" s="148">
        <v>1</v>
      </c>
      <c r="E531" s="149"/>
      <c r="F531" s="150">
        <v>0.12</v>
      </c>
      <c r="G531" s="150"/>
      <c r="H531" s="67">
        <v>26574</v>
      </c>
      <c r="I531" s="67">
        <f t="shared" si="252"/>
        <v>25401.733448322499</v>
      </c>
      <c r="J531" s="67">
        <f t="shared" si="254"/>
        <v>22353.525434523799</v>
      </c>
      <c r="K531" s="63"/>
      <c r="L531" s="149">
        <v>0</v>
      </c>
      <c r="M531" s="63">
        <f t="shared" si="232"/>
        <v>0</v>
      </c>
      <c r="N531" s="63">
        <f t="shared" si="255"/>
        <v>0</v>
      </c>
      <c r="O531" s="69"/>
      <c r="P531" s="149">
        <v>0</v>
      </c>
      <c r="Q531" s="63">
        <f t="shared" si="253"/>
        <v>0</v>
      </c>
      <c r="R531" s="64">
        <f t="shared" si="256"/>
        <v>0</v>
      </c>
      <c r="S531" s="148">
        <v>5</v>
      </c>
      <c r="T531" s="151" t="s">
        <v>15</v>
      </c>
      <c r="U531" s="65">
        <f>SUMIF('Avoided Costs 2012-2020_EGD'!$A:$A,'2012 Actuals_Auditor'!T531&amp;'2012 Actuals_Auditor'!S531,'Avoided Costs 2012-2020_EGD'!$E:$E)*J531</f>
        <v>18632.832005318527</v>
      </c>
      <c r="V531" s="65">
        <f>SUMIF('Avoided Costs 2012-2020_EGD'!$A:$A,'2012 Actuals_Auditor'!T531&amp;'2012 Actuals_Auditor'!S531,'Avoided Costs 2012-2020_EGD'!$K:$K)*N531</f>
        <v>0</v>
      </c>
      <c r="W531" s="65">
        <f>SUMIF('Avoided Costs 2012-2020_EGD'!$A:$A,'2012 Actuals_Auditor'!T531&amp;'2012 Actuals_Auditor'!S531,'Avoided Costs 2012-2020_EGD'!$M:$M)*R531</f>
        <v>0</v>
      </c>
      <c r="X531" s="65">
        <f t="shared" si="234"/>
        <v>18632.832005318527</v>
      </c>
      <c r="Y531" s="146">
        <v>15000</v>
      </c>
      <c r="Z531" s="66">
        <f t="shared" si="257"/>
        <v>13200</v>
      </c>
      <c r="AA531" s="66"/>
      <c r="AB531" s="66"/>
      <c r="AC531" s="66"/>
      <c r="AD531" s="66">
        <f t="shared" si="258"/>
        <v>13200</v>
      </c>
      <c r="AE531" s="66">
        <f t="shared" si="259"/>
        <v>5432.8320053185271</v>
      </c>
      <c r="AF531" s="101">
        <f t="shared" si="260"/>
        <v>111767.62717261899</v>
      </c>
      <c r="AG531" s="101">
        <f t="shared" si="261"/>
        <v>127008.66724161249</v>
      </c>
    </row>
    <row r="532" spans="1:33" s="68" customFormat="1" x14ac:dyDescent="0.2">
      <c r="A532" s="147" t="s">
        <v>1055</v>
      </c>
      <c r="B532" s="147"/>
      <c r="C532" s="147"/>
      <c r="D532" s="148">
        <v>1</v>
      </c>
      <c r="E532" s="149"/>
      <c r="F532" s="150">
        <v>0.12</v>
      </c>
      <c r="G532" s="150"/>
      <c r="H532" s="67">
        <v>49476</v>
      </c>
      <c r="I532" s="67">
        <f>H532</f>
        <v>49476</v>
      </c>
      <c r="J532" s="67">
        <f t="shared" si="254"/>
        <v>43538.879999999997</v>
      </c>
      <c r="K532" s="63"/>
      <c r="L532" s="149">
        <v>0</v>
      </c>
      <c r="M532" s="63">
        <f>L532</f>
        <v>0</v>
      </c>
      <c r="N532" s="63">
        <f t="shared" si="255"/>
        <v>0</v>
      </c>
      <c r="O532" s="69"/>
      <c r="P532" s="149">
        <v>0</v>
      </c>
      <c r="Q532" s="63">
        <f>+P532</f>
        <v>0</v>
      </c>
      <c r="R532" s="64">
        <f t="shared" si="256"/>
        <v>0</v>
      </c>
      <c r="S532" s="148">
        <v>25</v>
      </c>
      <c r="T532" s="151" t="s">
        <v>15</v>
      </c>
      <c r="U532" s="65">
        <f>SUMIF('Avoided Costs 2012-2020_EGD'!$A:$A,'2012 Actuals_Auditor'!T532&amp;'2012 Actuals_Auditor'!S532,'Avoided Costs 2012-2020_EGD'!$E:$E)*J532</f>
        <v>149512.29617825296</v>
      </c>
      <c r="V532" s="65">
        <f>SUMIF('Avoided Costs 2012-2020_EGD'!$A:$A,'2012 Actuals_Auditor'!T532&amp;'2012 Actuals_Auditor'!S532,'Avoided Costs 2012-2020_EGD'!$K:$K)*N532</f>
        <v>0</v>
      </c>
      <c r="W532" s="65">
        <f>SUMIF('Avoided Costs 2012-2020_EGD'!$A:$A,'2012 Actuals_Auditor'!T532&amp;'2012 Actuals_Auditor'!S532,'Avoided Costs 2012-2020_EGD'!$M:$M)*R532</f>
        <v>0</v>
      </c>
      <c r="X532" s="65">
        <f t="shared" si="234"/>
        <v>149512.29617825296</v>
      </c>
      <c r="Y532" s="146">
        <v>12733.6</v>
      </c>
      <c r="Z532" s="66">
        <f t="shared" si="257"/>
        <v>11205.568000000001</v>
      </c>
      <c r="AA532" s="66"/>
      <c r="AB532" s="66"/>
      <c r="AC532" s="66"/>
      <c r="AD532" s="66">
        <f t="shared" si="258"/>
        <v>11205.568000000001</v>
      </c>
      <c r="AE532" s="66">
        <f t="shared" si="259"/>
        <v>138306.72817825296</v>
      </c>
      <c r="AF532" s="101">
        <f t="shared" si="260"/>
        <v>1088472</v>
      </c>
      <c r="AG532" s="101">
        <f t="shared" si="261"/>
        <v>1236900</v>
      </c>
    </row>
    <row r="533" spans="1:33" s="68" customFormat="1" x14ac:dyDescent="0.2">
      <c r="A533" s="147" t="s">
        <v>1056</v>
      </c>
      <c r="B533" s="147"/>
      <c r="C533" s="147"/>
      <c r="D533" s="148">
        <v>1</v>
      </c>
      <c r="E533" s="149"/>
      <c r="F533" s="150">
        <v>0.12</v>
      </c>
      <c r="G533" s="150"/>
      <c r="H533" s="67">
        <v>3454</v>
      </c>
      <c r="I533" s="67">
        <f>+$H$42*H533</f>
        <v>3301.6326985213332</v>
      </c>
      <c r="J533" s="67">
        <f t="shared" si="254"/>
        <v>2905.4367746987732</v>
      </c>
      <c r="K533" s="63"/>
      <c r="L533" s="149">
        <v>0</v>
      </c>
      <c r="M533" s="63">
        <f t="shared" si="232"/>
        <v>0</v>
      </c>
      <c r="N533" s="63">
        <f t="shared" si="255"/>
        <v>0</v>
      </c>
      <c r="O533" s="69"/>
      <c r="P533" s="149">
        <v>0</v>
      </c>
      <c r="Q533" s="63">
        <f>+P533*$P$42</f>
        <v>0</v>
      </c>
      <c r="R533" s="64">
        <f t="shared" si="256"/>
        <v>0</v>
      </c>
      <c r="S533" s="148">
        <v>5</v>
      </c>
      <c r="T533" s="151" t="s">
        <v>15</v>
      </c>
      <c r="U533" s="65">
        <f>SUMIF('Avoided Costs 2012-2020_EGD'!$A:$A,'2012 Actuals_Auditor'!T533&amp;'2012 Actuals_Auditor'!S533,'Avoided Costs 2012-2020_EGD'!$E:$E)*J533</f>
        <v>2421.8334366813501</v>
      </c>
      <c r="V533" s="65">
        <f>SUMIF('Avoided Costs 2012-2020_EGD'!$A:$A,'2012 Actuals_Auditor'!T533&amp;'2012 Actuals_Auditor'!S533,'Avoided Costs 2012-2020_EGD'!$K:$K)*N533</f>
        <v>0</v>
      </c>
      <c r="W533" s="65">
        <f>SUMIF('Avoided Costs 2012-2020_EGD'!$A:$A,'2012 Actuals_Auditor'!T533&amp;'2012 Actuals_Auditor'!S533,'Avoided Costs 2012-2020_EGD'!$M:$M)*R533</f>
        <v>0</v>
      </c>
      <c r="X533" s="65">
        <f t="shared" si="234"/>
        <v>2421.8334366813501</v>
      </c>
      <c r="Y533" s="146">
        <v>1000</v>
      </c>
      <c r="Z533" s="66">
        <f t="shared" si="257"/>
        <v>880</v>
      </c>
      <c r="AA533" s="66"/>
      <c r="AB533" s="66"/>
      <c r="AC533" s="66"/>
      <c r="AD533" s="66">
        <f t="shared" si="258"/>
        <v>880</v>
      </c>
      <c r="AE533" s="66">
        <f t="shared" si="259"/>
        <v>1541.8334366813501</v>
      </c>
      <c r="AF533" s="101">
        <f t="shared" si="260"/>
        <v>14527.183873493866</v>
      </c>
      <c r="AG533" s="101">
        <f t="shared" si="261"/>
        <v>16508.163492606665</v>
      </c>
    </row>
    <row r="534" spans="1:33" s="68" customFormat="1" x14ac:dyDescent="0.2">
      <c r="A534" s="147" t="s">
        <v>1057</v>
      </c>
      <c r="B534" s="147"/>
      <c r="C534" s="147"/>
      <c r="D534" s="148">
        <v>1</v>
      </c>
      <c r="E534" s="149"/>
      <c r="F534" s="150">
        <v>0.12</v>
      </c>
      <c r="G534" s="150"/>
      <c r="H534" s="67">
        <v>3266</v>
      </c>
      <c r="I534" s="67">
        <f>+$H$42*H534</f>
        <v>3121.9259969226041</v>
      </c>
      <c r="J534" s="67">
        <f t="shared" si="254"/>
        <v>2747.2948772918917</v>
      </c>
      <c r="K534" s="63"/>
      <c r="L534" s="149">
        <v>0</v>
      </c>
      <c r="M534" s="63">
        <f t="shared" si="232"/>
        <v>0</v>
      </c>
      <c r="N534" s="63">
        <f t="shared" si="255"/>
        <v>0</v>
      </c>
      <c r="O534" s="69"/>
      <c r="P534" s="149">
        <v>0</v>
      </c>
      <c r="Q534" s="63">
        <f>+P534*$P$42</f>
        <v>0</v>
      </c>
      <c r="R534" s="64">
        <f t="shared" si="256"/>
        <v>0</v>
      </c>
      <c r="S534" s="148">
        <v>5</v>
      </c>
      <c r="T534" s="151" t="s">
        <v>15</v>
      </c>
      <c r="U534" s="65">
        <f>SUMIF('Avoided Costs 2012-2020_EGD'!$A:$A,'2012 Actuals_Auditor'!T534&amp;'2012 Actuals_Auditor'!S534,'Avoided Costs 2012-2020_EGD'!$E:$E)*J534</f>
        <v>2290.0138981474493</v>
      </c>
      <c r="V534" s="65">
        <f>SUMIF('Avoided Costs 2012-2020_EGD'!$A:$A,'2012 Actuals_Auditor'!T534&amp;'2012 Actuals_Auditor'!S534,'Avoided Costs 2012-2020_EGD'!$K:$K)*N534</f>
        <v>0</v>
      </c>
      <c r="W534" s="65">
        <f>SUMIF('Avoided Costs 2012-2020_EGD'!$A:$A,'2012 Actuals_Auditor'!T534&amp;'2012 Actuals_Auditor'!S534,'Avoided Costs 2012-2020_EGD'!$M:$M)*R534</f>
        <v>0</v>
      </c>
      <c r="X534" s="65">
        <f t="shared" si="234"/>
        <v>2290.0138981474493</v>
      </c>
      <c r="Y534" s="146">
        <v>2000</v>
      </c>
      <c r="Z534" s="66">
        <f t="shared" si="257"/>
        <v>1760</v>
      </c>
      <c r="AA534" s="66"/>
      <c r="AB534" s="66"/>
      <c r="AC534" s="66"/>
      <c r="AD534" s="66">
        <f t="shared" si="258"/>
        <v>1760</v>
      </c>
      <c r="AE534" s="66">
        <f t="shared" si="259"/>
        <v>530.01389814744925</v>
      </c>
      <c r="AF534" s="101">
        <f t="shared" si="260"/>
        <v>13736.474386459458</v>
      </c>
      <c r="AG534" s="101">
        <f t="shared" si="261"/>
        <v>15609.62998461302</v>
      </c>
    </row>
    <row r="535" spans="1:33" s="68" customFormat="1" x14ac:dyDescent="0.2">
      <c r="A535" s="147" t="s">
        <v>1058</v>
      </c>
      <c r="B535" s="147"/>
      <c r="C535" s="147"/>
      <c r="D535" s="148">
        <v>1</v>
      </c>
      <c r="E535" s="149"/>
      <c r="F535" s="150">
        <v>0.12</v>
      </c>
      <c r="G535" s="150"/>
      <c r="H535" s="67">
        <v>3222</v>
      </c>
      <c r="I535" s="67">
        <f>+$H$42*H535</f>
        <v>3079.8669816548163</v>
      </c>
      <c r="J535" s="67">
        <f t="shared" si="254"/>
        <v>2710.2829438562385</v>
      </c>
      <c r="K535" s="63"/>
      <c r="L535" s="149">
        <v>0</v>
      </c>
      <c r="M535" s="63">
        <f t="shared" si="232"/>
        <v>0</v>
      </c>
      <c r="N535" s="63">
        <f t="shared" si="255"/>
        <v>0</v>
      </c>
      <c r="O535" s="69"/>
      <c r="P535" s="149">
        <v>0</v>
      </c>
      <c r="Q535" s="63">
        <f>+P535*$P$42</f>
        <v>0</v>
      </c>
      <c r="R535" s="64">
        <f t="shared" si="256"/>
        <v>0</v>
      </c>
      <c r="S535" s="148">
        <v>5</v>
      </c>
      <c r="T535" s="151" t="s">
        <v>15</v>
      </c>
      <c r="U535" s="65">
        <f>SUMIF('Avoided Costs 2012-2020_EGD'!$A:$A,'2012 Actuals_Auditor'!T535&amp;'2012 Actuals_Auditor'!S535,'Avoided Costs 2012-2020_EGD'!$E:$E)*J535</f>
        <v>2259.1625167884513</v>
      </c>
      <c r="V535" s="65">
        <f>SUMIF('Avoided Costs 2012-2020_EGD'!$A:$A,'2012 Actuals_Auditor'!T535&amp;'2012 Actuals_Auditor'!S535,'Avoided Costs 2012-2020_EGD'!$K:$K)*N535</f>
        <v>0</v>
      </c>
      <c r="W535" s="65">
        <f>SUMIF('Avoided Costs 2012-2020_EGD'!$A:$A,'2012 Actuals_Auditor'!T535&amp;'2012 Actuals_Auditor'!S535,'Avoided Costs 2012-2020_EGD'!$M:$M)*R535</f>
        <v>0</v>
      </c>
      <c r="X535" s="65">
        <f t="shared" si="234"/>
        <v>2259.1625167884513</v>
      </c>
      <c r="Y535" s="146">
        <v>4000</v>
      </c>
      <c r="Z535" s="66">
        <f t="shared" si="257"/>
        <v>3520</v>
      </c>
      <c r="AA535" s="66"/>
      <c r="AB535" s="66"/>
      <c r="AC535" s="66"/>
      <c r="AD535" s="66">
        <f t="shared" si="258"/>
        <v>3520</v>
      </c>
      <c r="AE535" s="66">
        <f t="shared" si="259"/>
        <v>-1260.8374832115487</v>
      </c>
      <c r="AF535" s="101">
        <f t="shared" si="260"/>
        <v>13551.414719281192</v>
      </c>
      <c r="AG535" s="101">
        <f t="shared" si="261"/>
        <v>15399.334908274082</v>
      </c>
    </row>
    <row r="536" spans="1:33" s="68" customFormat="1" x14ac:dyDescent="0.2">
      <c r="A536" s="147" t="s">
        <v>1059</v>
      </c>
      <c r="B536" s="147"/>
      <c r="C536" s="147"/>
      <c r="D536" s="148">
        <v>1</v>
      </c>
      <c r="E536" s="149"/>
      <c r="F536" s="150">
        <v>0.12</v>
      </c>
      <c r="G536" s="150"/>
      <c r="H536" s="67">
        <v>9692</v>
      </c>
      <c r="I536" s="67">
        <f>+$H$42*H536</f>
        <v>9264.4539994408697</v>
      </c>
      <c r="J536" s="67">
        <f t="shared" si="254"/>
        <v>8152.7195195079657</v>
      </c>
      <c r="K536" s="63"/>
      <c r="L536" s="149">
        <v>0</v>
      </c>
      <c r="M536" s="63">
        <f t="shared" si="232"/>
        <v>0</v>
      </c>
      <c r="N536" s="63">
        <f t="shared" si="255"/>
        <v>0</v>
      </c>
      <c r="O536" s="69"/>
      <c r="P536" s="149">
        <v>0</v>
      </c>
      <c r="Q536" s="63">
        <f>+P536*$P$42</f>
        <v>0</v>
      </c>
      <c r="R536" s="64">
        <f t="shared" si="256"/>
        <v>0</v>
      </c>
      <c r="S536" s="148">
        <v>5</v>
      </c>
      <c r="T536" s="151" t="s">
        <v>15</v>
      </c>
      <c r="U536" s="65">
        <f>SUMIF('Avoided Costs 2012-2020_EGD'!$A:$A,'2012 Actuals_Auditor'!T536&amp;'2012 Actuals_Auditor'!S536,'Avoided Costs 2012-2020_EGD'!$E:$E)*J536</f>
        <v>6795.717912077489</v>
      </c>
      <c r="V536" s="65">
        <f>SUMIF('Avoided Costs 2012-2020_EGD'!$A:$A,'2012 Actuals_Auditor'!T536&amp;'2012 Actuals_Auditor'!S536,'Avoided Costs 2012-2020_EGD'!$K:$K)*N536</f>
        <v>0</v>
      </c>
      <c r="W536" s="65">
        <f>SUMIF('Avoided Costs 2012-2020_EGD'!$A:$A,'2012 Actuals_Auditor'!T536&amp;'2012 Actuals_Auditor'!S536,'Avoided Costs 2012-2020_EGD'!$M:$M)*R536</f>
        <v>0</v>
      </c>
      <c r="X536" s="65">
        <f t="shared" si="234"/>
        <v>6795.717912077489</v>
      </c>
      <c r="Y536" s="146">
        <v>8000</v>
      </c>
      <c r="Z536" s="66">
        <f t="shared" si="257"/>
        <v>7040</v>
      </c>
      <c r="AA536" s="66"/>
      <c r="AB536" s="66"/>
      <c r="AC536" s="66"/>
      <c r="AD536" s="66">
        <f t="shared" si="258"/>
        <v>7040</v>
      </c>
      <c r="AE536" s="66">
        <f t="shared" si="259"/>
        <v>-244.28208792251098</v>
      </c>
      <c r="AF536" s="101">
        <f t="shared" si="260"/>
        <v>40763.597597539832</v>
      </c>
      <c r="AG536" s="101">
        <f t="shared" si="261"/>
        <v>46322.269997204348</v>
      </c>
    </row>
    <row r="537" spans="1:33" s="68" customFormat="1" x14ac:dyDescent="0.2">
      <c r="A537" s="147" t="s">
        <v>1060</v>
      </c>
      <c r="B537" s="147"/>
      <c r="C537" s="147"/>
      <c r="D537" s="148">
        <v>1</v>
      </c>
      <c r="E537" s="149"/>
      <c r="F537" s="150">
        <v>0.12</v>
      </c>
      <c r="G537" s="150"/>
      <c r="H537" s="67">
        <v>12217</v>
      </c>
      <c r="I537" s="67">
        <f>H537</f>
        <v>12217</v>
      </c>
      <c r="J537" s="67">
        <f t="shared" si="254"/>
        <v>10750.960000000001</v>
      </c>
      <c r="K537" s="63"/>
      <c r="L537" s="149">
        <v>0</v>
      </c>
      <c r="M537" s="63">
        <f>L537</f>
        <v>0</v>
      </c>
      <c r="N537" s="63">
        <f t="shared" si="255"/>
        <v>0</v>
      </c>
      <c r="O537" s="69"/>
      <c r="P537" s="149">
        <v>0</v>
      </c>
      <c r="Q537" s="63">
        <f>+P537</f>
        <v>0</v>
      </c>
      <c r="R537" s="64">
        <f t="shared" si="256"/>
        <v>0</v>
      </c>
      <c r="S537" s="148">
        <v>25</v>
      </c>
      <c r="T537" s="151" t="s">
        <v>15</v>
      </c>
      <c r="U537" s="65">
        <f>SUMIF('Avoided Costs 2012-2020_EGD'!$A:$A,'2012 Actuals_Auditor'!T537&amp;'2012 Actuals_Auditor'!S537,'Avoided Costs 2012-2020_EGD'!$E:$E)*J537</f>
        <v>36918.742873508709</v>
      </c>
      <c r="V537" s="65">
        <f>SUMIF('Avoided Costs 2012-2020_EGD'!$A:$A,'2012 Actuals_Auditor'!T537&amp;'2012 Actuals_Auditor'!S537,'Avoided Costs 2012-2020_EGD'!$K:$K)*N537</f>
        <v>0</v>
      </c>
      <c r="W537" s="65">
        <f>SUMIF('Avoided Costs 2012-2020_EGD'!$A:$A,'2012 Actuals_Auditor'!T537&amp;'2012 Actuals_Auditor'!S537,'Avoided Costs 2012-2020_EGD'!$M:$M)*R537</f>
        <v>0</v>
      </c>
      <c r="X537" s="65">
        <f t="shared" si="234"/>
        <v>36918.742873508709</v>
      </c>
      <c r="Y537" s="146">
        <v>7608.48</v>
      </c>
      <c r="Z537" s="66">
        <f t="shared" si="257"/>
        <v>6695.4623999999994</v>
      </c>
      <c r="AA537" s="66"/>
      <c r="AB537" s="66"/>
      <c r="AC537" s="66"/>
      <c r="AD537" s="66">
        <f t="shared" si="258"/>
        <v>6695.4623999999994</v>
      </c>
      <c r="AE537" s="66">
        <f t="shared" si="259"/>
        <v>30223.280473508708</v>
      </c>
      <c r="AF537" s="101">
        <f t="shared" si="260"/>
        <v>268774</v>
      </c>
      <c r="AG537" s="101">
        <f t="shared" si="261"/>
        <v>305425</v>
      </c>
    </row>
    <row r="538" spans="1:33" s="68" customFormat="1" x14ac:dyDescent="0.2">
      <c r="A538" s="147" t="s">
        <v>1061</v>
      </c>
      <c r="B538" s="147"/>
      <c r="C538" s="147"/>
      <c r="D538" s="148">
        <v>1</v>
      </c>
      <c r="E538" s="149"/>
      <c r="F538" s="150">
        <v>0.12</v>
      </c>
      <c r="G538" s="150"/>
      <c r="H538" s="67">
        <v>9413</v>
      </c>
      <c r="I538" s="67">
        <f t="shared" ref="I538:I558" si="262">+$H$42*H538</f>
        <v>8997.7616071746706</v>
      </c>
      <c r="J538" s="67">
        <f t="shared" si="254"/>
        <v>7918.0302143137105</v>
      </c>
      <c r="K538" s="63"/>
      <c r="L538" s="149">
        <v>0</v>
      </c>
      <c r="M538" s="63">
        <f t="shared" si="232"/>
        <v>0</v>
      </c>
      <c r="N538" s="63">
        <f t="shared" si="255"/>
        <v>0</v>
      </c>
      <c r="O538" s="69"/>
      <c r="P538" s="149">
        <v>0</v>
      </c>
      <c r="Q538" s="63">
        <f t="shared" ref="Q538:Q558" si="263">+P538*$P$42</f>
        <v>0</v>
      </c>
      <c r="R538" s="64">
        <f t="shared" si="256"/>
        <v>0</v>
      </c>
      <c r="S538" s="148">
        <v>5</v>
      </c>
      <c r="T538" s="151" t="s">
        <v>15</v>
      </c>
      <c r="U538" s="65">
        <f>SUMIF('Avoided Costs 2012-2020_EGD'!$A:$A,'2012 Actuals_Auditor'!T538&amp;'2012 Actuals_Auditor'!S538,'Avoided Costs 2012-2020_EGD'!$E:$E)*J538</f>
        <v>6600.0921075511151</v>
      </c>
      <c r="V538" s="65">
        <f>SUMIF('Avoided Costs 2012-2020_EGD'!$A:$A,'2012 Actuals_Auditor'!T538&amp;'2012 Actuals_Auditor'!S538,'Avoided Costs 2012-2020_EGD'!$K:$K)*N538</f>
        <v>0</v>
      </c>
      <c r="W538" s="65">
        <f>SUMIF('Avoided Costs 2012-2020_EGD'!$A:$A,'2012 Actuals_Auditor'!T538&amp;'2012 Actuals_Auditor'!S538,'Avoided Costs 2012-2020_EGD'!$M:$M)*R538</f>
        <v>0</v>
      </c>
      <c r="X538" s="65">
        <f t="shared" si="234"/>
        <v>6600.0921075511151</v>
      </c>
      <c r="Y538" s="146">
        <v>2000</v>
      </c>
      <c r="Z538" s="66">
        <f t="shared" si="257"/>
        <v>1760</v>
      </c>
      <c r="AA538" s="66"/>
      <c r="AB538" s="66"/>
      <c r="AC538" s="66"/>
      <c r="AD538" s="66">
        <f t="shared" si="258"/>
        <v>1760</v>
      </c>
      <c r="AE538" s="66">
        <f t="shared" si="259"/>
        <v>4840.0921075511151</v>
      </c>
      <c r="AF538" s="101">
        <f t="shared" si="260"/>
        <v>39590.151071568551</v>
      </c>
      <c r="AG538" s="101">
        <f t="shared" si="261"/>
        <v>44988.808035873357</v>
      </c>
    </row>
    <row r="539" spans="1:33" s="68" customFormat="1" x14ac:dyDescent="0.2">
      <c r="A539" s="147" t="s">
        <v>1062</v>
      </c>
      <c r="B539" s="147"/>
      <c r="C539" s="147"/>
      <c r="D539" s="148">
        <v>1</v>
      </c>
      <c r="E539" s="149"/>
      <c r="F539" s="150">
        <v>0.12</v>
      </c>
      <c r="G539" s="150"/>
      <c r="H539" s="67">
        <v>1205</v>
      </c>
      <c r="I539" s="67">
        <f t="shared" si="262"/>
        <v>1151.8434863110037</v>
      </c>
      <c r="J539" s="67">
        <f t="shared" si="254"/>
        <v>1013.6222679536833</v>
      </c>
      <c r="K539" s="63"/>
      <c r="L539" s="149">
        <v>0</v>
      </c>
      <c r="M539" s="63">
        <f t="shared" si="232"/>
        <v>0</v>
      </c>
      <c r="N539" s="63">
        <f t="shared" si="255"/>
        <v>0</v>
      </c>
      <c r="O539" s="69"/>
      <c r="P539" s="149">
        <v>0</v>
      </c>
      <c r="Q539" s="63">
        <f t="shared" si="263"/>
        <v>0</v>
      </c>
      <c r="R539" s="64">
        <f t="shared" si="256"/>
        <v>0</v>
      </c>
      <c r="S539" s="148">
        <v>5</v>
      </c>
      <c r="T539" s="151" t="s">
        <v>15</v>
      </c>
      <c r="U539" s="65">
        <f>SUMIF('Avoided Costs 2012-2020_EGD'!$A:$A,'2012 Actuals_Auditor'!T539&amp;'2012 Actuals_Auditor'!S539,'Avoided Costs 2012-2020_EGD'!$E:$E)*J539</f>
        <v>844.90714858165222</v>
      </c>
      <c r="V539" s="65">
        <f>SUMIF('Avoided Costs 2012-2020_EGD'!$A:$A,'2012 Actuals_Auditor'!T539&amp;'2012 Actuals_Auditor'!S539,'Avoided Costs 2012-2020_EGD'!$K:$K)*N539</f>
        <v>0</v>
      </c>
      <c r="W539" s="65">
        <f>SUMIF('Avoided Costs 2012-2020_EGD'!$A:$A,'2012 Actuals_Auditor'!T539&amp;'2012 Actuals_Auditor'!S539,'Avoided Costs 2012-2020_EGD'!$M:$M)*R539</f>
        <v>0</v>
      </c>
      <c r="X539" s="65">
        <f t="shared" si="234"/>
        <v>844.90714858165222</v>
      </c>
      <c r="Y539" s="146">
        <v>2500</v>
      </c>
      <c r="Z539" s="66">
        <f t="shared" si="257"/>
        <v>2200</v>
      </c>
      <c r="AA539" s="66"/>
      <c r="AB539" s="66"/>
      <c r="AC539" s="66"/>
      <c r="AD539" s="66">
        <f t="shared" si="258"/>
        <v>2200</v>
      </c>
      <c r="AE539" s="66">
        <f t="shared" si="259"/>
        <v>-1355.0928514183479</v>
      </c>
      <c r="AF539" s="101">
        <f t="shared" si="260"/>
        <v>5068.1113397684167</v>
      </c>
      <c r="AG539" s="101">
        <f t="shared" si="261"/>
        <v>5759.2174315550183</v>
      </c>
    </row>
    <row r="540" spans="1:33" s="68" customFormat="1" x14ac:dyDescent="0.2">
      <c r="A540" s="147" t="s">
        <v>1063</v>
      </c>
      <c r="B540" s="147"/>
      <c r="C540" s="147"/>
      <c r="D540" s="148">
        <v>1</v>
      </c>
      <c r="E540" s="149"/>
      <c r="F540" s="150">
        <v>0.12</v>
      </c>
      <c r="G540" s="150"/>
      <c r="H540" s="67">
        <v>2124</v>
      </c>
      <c r="I540" s="67">
        <f t="shared" si="262"/>
        <v>2030.3033733813872</v>
      </c>
      <c r="J540" s="67">
        <f t="shared" si="254"/>
        <v>1786.6669685756208</v>
      </c>
      <c r="K540" s="63"/>
      <c r="L540" s="149">
        <v>0</v>
      </c>
      <c r="M540" s="63">
        <f t="shared" si="232"/>
        <v>0</v>
      </c>
      <c r="N540" s="63">
        <f t="shared" si="255"/>
        <v>0</v>
      </c>
      <c r="O540" s="69"/>
      <c r="P540" s="149">
        <v>0</v>
      </c>
      <c r="Q540" s="63">
        <f t="shared" si="263"/>
        <v>0</v>
      </c>
      <c r="R540" s="64">
        <f t="shared" si="256"/>
        <v>0</v>
      </c>
      <c r="S540" s="148">
        <v>5</v>
      </c>
      <c r="T540" s="151" t="s">
        <v>15</v>
      </c>
      <c r="U540" s="65">
        <f>SUMIF('Avoided Costs 2012-2020_EGD'!$A:$A,'2012 Actuals_Auditor'!T540&amp;'2012 Actuals_Auditor'!S540,'Avoided Costs 2012-2020_EGD'!$E:$E)*J540</f>
        <v>1489.2803183298167</v>
      </c>
      <c r="V540" s="65">
        <f>SUMIF('Avoided Costs 2012-2020_EGD'!$A:$A,'2012 Actuals_Auditor'!T540&amp;'2012 Actuals_Auditor'!S540,'Avoided Costs 2012-2020_EGD'!$K:$K)*N540</f>
        <v>0</v>
      </c>
      <c r="W540" s="65">
        <f>SUMIF('Avoided Costs 2012-2020_EGD'!$A:$A,'2012 Actuals_Auditor'!T540&amp;'2012 Actuals_Auditor'!S540,'Avoided Costs 2012-2020_EGD'!$M:$M)*R540</f>
        <v>0</v>
      </c>
      <c r="X540" s="65">
        <f t="shared" si="234"/>
        <v>1489.2803183298167</v>
      </c>
      <c r="Y540" s="146">
        <v>500</v>
      </c>
      <c r="Z540" s="66">
        <f t="shared" si="257"/>
        <v>440</v>
      </c>
      <c r="AA540" s="66"/>
      <c r="AB540" s="66"/>
      <c r="AC540" s="66"/>
      <c r="AD540" s="66">
        <f t="shared" si="258"/>
        <v>440</v>
      </c>
      <c r="AE540" s="66">
        <f t="shared" si="259"/>
        <v>1049.2803183298167</v>
      </c>
      <c r="AF540" s="101">
        <f t="shared" si="260"/>
        <v>8933.3348428781046</v>
      </c>
      <c r="AG540" s="101">
        <f t="shared" si="261"/>
        <v>10151.516866906935</v>
      </c>
    </row>
    <row r="541" spans="1:33" s="68" customFormat="1" x14ac:dyDescent="0.2">
      <c r="A541" s="147" t="s">
        <v>1064</v>
      </c>
      <c r="B541" s="147"/>
      <c r="C541" s="147"/>
      <c r="D541" s="148">
        <v>1</v>
      </c>
      <c r="E541" s="149"/>
      <c r="F541" s="150">
        <v>0.12</v>
      </c>
      <c r="G541" s="150"/>
      <c r="H541" s="67">
        <v>6724</v>
      </c>
      <c r="I541" s="67">
        <f t="shared" si="262"/>
        <v>6427.3822422864632</v>
      </c>
      <c r="J541" s="67">
        <f t="shared" si="254"/>
        <v>5656.0963732120881</v>
      </c>
      <c r="K541" s="63"/>
      <c r="L541" s="149">
        <v>0</v>
      </c>
      <c r="M541" s="63">
        <f t="shared" si="232"/>
        <v>0</v>
      </c>
      <c r="N541" s="63">
        <f t="shared" si="255"/>
        <v>0</v>
      </c>
      <c r="O541" s="69"/>
      <c r="P541" s="149">
        <v>0</v>
      </c>
      <c r="Q541" s="63">
        <f t="shared" si="263"/>
        <v>0</v>
      </c>
      <c r="R541" s="64">
        <f t="shared" si="256"/>
        <v>0</v>
      </c>
      <c r="S541" s="148">
        <v>5</v>
      </c>
      <c r="T541" s="151" t="s">
        <v>15</v>
      </c>
      <c r="U541" s="65">
        <f>SUMIF('Avoided Costs 2012-2020_EGD'!$A:$A,'2012 Actuals_Auditor'!T541&amp;'2012 Actuals_Auditor'!S541,'Avoided Costs 2012-2020_EGD'!$E:$E)*J541</f>
        <v>4714.6520058614351</v>
      </c>
      <c r="V541" s="65">
        <f>SUMIF('Avoided Costs 2012-2020_EGD'!$A:$A,'2012 Actuals_Auditor'!T541&amp;'2012 Actuals_Auditor'!S541,'Avoided Costs 2012-2020_EGD'!$K:$K)*N541</f>
        <v>0</v>
      </c>
      <c r="W541" s="65">
        <f>SUMIF('Avoided Costs 2012-2020_EGD'!$A:$A,'2012 Actuals_Auditor'!T541&amp;'2012 Actuals_Auditor'!S541,'Avoided Costs 2012-2020_EGD'!$M:$M)*R541</f>
        <v>0</v>
      </c>
      <c r="X541" s="65">
        <f t="shared" si="234"/>
        <v>4714.6520058614351</v>
      </c>
      <c r="Y541" s="146">
        <v>2000</v>
      </c>
      <c r="Z541" s="66">
        <f t="shared" si="257"/>
        <v>1760</v>
      </c>
      <c r="AA541" s="66"/>
      <c r="AB541" s="66"/>
      <c r="AC541" s="66"/>
      <c r="AD541" s="66">
        <f t="shared" si="258"/>
        <v>1760</v>
      </c>
      <c r="AE541" s="66">
        <f t="shared" si="259"/>
        <v>2954.6520058614351</v>
      </c>
      <c r="AF541" s="101">
        <f t="shared" si="260"/>
        <v>28280.48186606044</v>
      </c>
      <c r="AG541" s="101">
        <f t="shared" si="261"/>
        <v>32136.911211432314</v>
      </c>
    </row>
    <row r="542" spans="1:33" s="68" customFormat="1" x14ac:dyDescent="0.2">
      <c r="A542" s="147" t="s">
        <v>1065</v>
      </c>
      <c r="B542" s="147"/>
      <c r="C542" s="147"/>
      <c r="D542" s="148">
        <v>1</v>
      </c>
      <c r="E542" s="149"/>
      <c r="F542" s="150">
        <v>0.12</v>
      </c>
      <c r="G542" s="150"/>
      <c r="H542" s="67">
        <v>9210</v>
      </c>
      <c r="I542" s="67">
        <f t="shared" si="262"/>
        <v>8803.716604916468</v>
      </c>
      <c r="J542" s="67">
        <f t="shared" si="254"/>
        <v>7747.2706123264916</v>
      </c>
      <c r="K542" s="63"/>
      <c r="L542" s="149">
        <v>0</v>
      </c>
      <c r="M542" s="63">
        <f t="shared" si="232"/>
        <v>0</v>
      </c>
      <c r="N542" s="63">
        <f t="shared" si="255"/>
        <v>0</v>
      </c>
      <c r="O542" s="69"/>
      <c r="P542" s="149">
        <v>0</v>
      </c>
      <c r="Q542" s="63">
        <f t="shared" si="263"/>
        <v>0</v>
      </c>
      <c r="R542" s="64">
        <f t="shared" si="256"/>
        <v>0</v>
      </c>
      <c r="S542" s="148">
        <v>5</v>
      </c>
      <c r="T542" s="151" t="s">
        <v>15</v>
      </c>
      <c r="U542" s="65">
        <f>SUMIF('Avoided Costs 2012-2020_EGD'!$A:$A,'2012 Actuals_Auditor'!T542&amp;'2012 Actuals_Auditor'!S542,'Avoided Costs 2012-2020_EGD'!$E:$E)*J542</f>
        <v>6457.7550526448276</v>
      </c>
      <c r="V542" s="65">
        <f>SUMIF('Avoided Costs 2012-2020_EGD'!$A:$A,'2012 Actuals_Auditor'!T542&amp;'2012 Actuals_Auditor'!S542,'Avoided Costs 2012-2020_EGD'!$K:$K)*N542</f>
        <v>0</v>
      </c>
      <c r="W542" s="65">
        <f>SUMIF('Avoided Costs 2012-2020_EGD'!$A:$A,'2012 Actuals_Auditor'!T542&amp;'2012 Actuals_Auditor'!S542,'Avoided Costs 2012-2020_EGD'!$M:$M)*R542</f>
        <v>0</v>
      </c>
      <c r="X542" s="65">
        <f t="shared" si="234"/>
        <v>6457.7550526448276</v>
      </c>
      <c r="Y542" s="146">
        <v>2000</v>
      </c>
      <c r="Z542" s="66">
        <f t="shared" si="257"/>
        <v>1760</v>
      </c>
      <c r="AA542" s="66"/>
      <c r="AB542" s="66"/>
      <c r="AC542" s="66"/>
      <c r="AD542" s="66">
        <f t="shared" si="258"/>
        <v>1760</v>
      </c>
      <c r="AE542" s="66">
        <f t="shared" si="259"/>
        <v>4697.7550526448276</v>
      </c>
      <c r="AF542" s="101">
        <f t="shared" si="260"/>
        <v>38736.353061632457</v>
      </c>
      <c r="AG542" s="101">
        <f t="shared" si="261"/>
        <v>44018.583024582338</v>
      </c>
    </row>
    <row r="543" spans="1:33" s="68" customFormat="1" x14ac:dyDescent="0.2">
      <c r="A543" s="147" t="s">
        <v>1066</v>
      </c>
      <c r="B543" s="147"/>
      <c r="C543" s="147"/>
      <c r="D543" s="148">
        <v>1</v>
      </c>
      <c r="E543" s="149"/>
      <c r="F543" s="150">
        <v>0.12</v>
      </c>
      <c r="G543" s="150"/>
      <c r="H543" s="67">
        <v>6077</v>
      </c>
      <c r="I543" s="67">
        <f t="shared" si="262"/>
        <v>5808.923540507858</v>
      </c>
      <c r="J543" s="67">
        <f t="shared" si="254"/>
        <v>5111.8527156469154</v>
      </c>
      <c r="K543" s="63"/>
      <c r="L543" s="149">
        <v>0</v>
      </c>
      <c r="M543" s="63">
        <f t="shared" si="232"/>
        <v>0</v>
      </c>
      <c r="N543" s="63">
        <f t="shared" si="255"/>
        <v>0</v>
      </c>
      <c r="O543" s="69"/>
      <c r="P543" s="149">
        <v>0</v>
      </c>
      <c r="Q543" s="63">
        <f t="shared" si="263"/>
        <v>0</v>
      </c>
      <c r="R543" s="64">
        <f t="shared" si="256"/>
        <v>0</v>
      </c>
      <c r="S543" s="148">
        <v>5</v>
      </c>
      <c r="T543" s="151" t="s">
        <v>15</v>
      </c>
      <c r="U543" s="65">
        <f>SUMIF('Avoided Costs 2012-2020_EGD'!$A:$A,'2012 Actuals_Auditor'!T543&amp;'2012 Actuals_Auditor'!S543,'Avoided Costs 2012-2020_EGD'!$E:$E)*J543</f>
        <v>4260.9964663325318</v>
      </c>
      <c r="V543" s="65">
        <f>SUMIF('Avoided Costs 2012-2020_EGD'!$A:$A,'2012 Actuals_Auditor'!T543&amp;'2012 Actuals_Auditor'!S543,'Avoided Costs 2012-2020_EGD'!$K:$K)*N543</f>
        <v>0</v>
      </c>
      <c r="W543" s="65">
        <f>SUMIF('Avoided Costs 2012-2020_EGD'!$A:$A,'2012 Actuals_Auditor'!T543&amp;'2012 Actuals_Auditor'!S543,'Avoided Costs 2012-2020_EGD'!$M:$M)*R543</f>
        <v>0</v>
      </c>
      <c r="X543" s="65">
        <f t="shared" si="234"/>
        <v>4260.9964663325318</v>
      </c>
      <c r="Y543" s="146">
        <v>1500</v>
      </c>
      <c r="Z543" s="66">
        <f t="shared" si="257"/>
        <v>1320</v>
      </c>
      <c r="AA543" s="66"/>
      <c r="AB543" s="66"/>
      <c r="AC543" s="66"/>
      <c r="AD543" s="66">
        <f t="shared" si="258"/>
        <v>1320</v>
      </c>
      <c r="AE543" s="66">
        <f t="shared" si="259"/>
        <v>2940.9964663325318</v>
      </c>
      <c r="AF543" s="101">
        <f t="shared" si="260"/>
        <v>25559.263578234575</v>
      </c>
      <c r="AG543" s="101">
        <f t="shared" si="261"/>
        <v>29044.61770253929</v>
      </c>
    </row>
    <row r="544" spans="1:33" s="68" customFormat="1" x14ac:dyDescent="0.2">
      <c r="A544" s="147" t="s">
        <v>1067</v>
      </c>
      <c r="B544" s="147"/>
      <c r="C544" s="147"/>
      <c r="D544" s="148">
        <v>1</v>
      </c>
      <c r="E544" s="149"/>
      <c r="F544" s="150">
        <v>0.12</v>
      </c>
      <c r="G544" s="150"/>
      <c r="H544" s="67">
        <v>14933</v>
      </c>
      <c r="I544" s="67">
        <f t="shared" si="262"/>
        <v>14274.256249860762</v>
      </c>
      <c r="J544" s="67">
        <f t="shared" si="254"/>
        <v>12561.345499877471</v>
      </c>
      <c r="K544" s="63"/>
      <c r="L544" s="149">
        <v>0</v>
      </c>
      <c r="M544" s="63">
        <f t="shared" si="232"/>
        <v>0</v>
      </c>
      <c r="N544" s="63">
        <f t="shared" si="255"/>
        <v>0</v>
      </c>
      <c r="O544" s="69"/>
      <c r="P544" s="149">
        <v>0</v>
      </c>
      <c r="Q544" s="63">
        <f t="shared" si="263"/>
        <v>0</v>
      </c>
      <c r="R544" s="64">
        <f t="shared" si="256"/>
        <v>0</v>
      </c>
      <c r="S544" s="148">
        <v>5</v>
      </c>
      <c r="T544" s="151" t="s">
        <v>15</v>
      </c>
      <c r="U544" s="65">
        <f>SUMIF('Avoided Costs 2012-2020_EGD'!$A:$A,'2012 Actuals_Auditor'!T544&amp;'2012 Actuals_Auditor'!S544,'Avoided Costs 2012-2020_EGD'!$E:$E)*J544</f>
        <v>10470.538132589056</v>
      </c>
      <c r="V544" s="65">
        <f>SUMIF('Avoided Costs 2012-2020_EGD'!$A:$A,'2012 Actuals_Auditor'!T544&amp;'2012 Actuals_Auditor'!S544,'Avoided Costs 2012-2020_EGD'!$K:$K)*N544</f>
        <v>0</v>
      </c>
      <c r="W544" s="65">
        <f>SUMIF('Avoided Costs 2012-2020_EGD'!$A:$A,'2012 Actuals_Auditor'!T544&amp;'2012 Actuals_Auditor'!S544,'Avoided Costs 2012-2020_EGD'!$M:$M)*R544</f>
        <v>0</v>
      </c>
      <c r="X544" s="65">
        <f t="shared" si="234"/>
        <v>10470.538132589056</v>
      </c>
      <c r="Y544" s="146">
        <v>2000</v>
      </c>
      <c r="Z544" s="66">
        <f t="shared" si="257"/>
        <v>1760</v>
      </c>
      <c r="AA544" s="66"/>
      <c r="AB544" s="66"/>
      <c r="AC544" s="66"/>
      <c r="AD544" s="66">
        <f t="shared" si="258"/>
        <v>1760</v>
      </c>
      <c r="AE544" s="66">
        <f t="shared" si="259"/>
        <v>8710.5381325890557</v>
      </c>
      <c r="AF544" s="101">
        <f t="shared" si="260"/>
        <v>62806.727499387351</v>
      </c>
      <c r="AG544" s="101">
        <f t="shared" si="261"/>
        <v>71371.281249303807</v>
      </c>
    </row>
    <row r="545" spans="1:33" s="68" customFormat="1" x14ac:dyDescent="0.2">
      <c r="A545" s="147" t="s">
        <v>1068</v>
      </c>
      <c r="B545" s="147"/>
      <c r="C545" s="147"/>
      <c r="D545" s="148">
        <v>1</v>
      </c>
      <c r="E545" s="149"/>
      <c r="F545" s="150">
        <v>0.12</v>
      </c>
      <c r="G545" s="150"/>
      <c r="H545" s="67">
        <v>44926</v>
      </c>
      <c r="I545" s="67">
        <f t="shared" si="262"/>
        <v>42944.166361832489</v>
      </c>
      <c r="J545" s="67">
        <f t="shared" si="254"/>
        <v>37790.866398412589</v>
      </c>
      <c r="K545" s="63"/>
      <c r="L545" s="149">
        <v>0</v>
      </c>
      <c r="M545" s="63">
        <f t="shared" si="232"/>
        <v>0</v>
      </c>
      <c r="N545" s="63">
        <f t="shared" si="255"/>
        <v>0</v>
      </c>
      <c r="O545" s="69"/>
      <c r="P545" s="149">
        <v>0</v>
      </c>
      <c r="Q545" s="63">
        <f t="shared" si="263"/>
        <v>0</v>
      </c>
      <c r="R545" s="64">
        <f t="shared" si="256"/>
        <v>0</v>
      </c>
      <c r="S545" s="148">
        <v>5</v>
      </c>
      <c r="T545" s="151" t="s">
        <v>15</v>
      </c>
      <c r="U545" s="65">
        <f>SUMIF('Avoided Costs 2012-2020_EGD'!$A:$A,'2012 Actuals_Auditor'!T545&amp;'2012 Actuals_Auditor'!S545,'Avoided Costs 2012-2020_EGD'!$E:$E)*J545</f>
        <v>31500.662703053367</v>
      </c>
      <c r="V545" s="65">
        <f>SUMIF('Avoided Costs 2012-2020_EGD'!$A:$A,'2012 Actuals_Auditor'!T545&amp;'2012 Actuals_Auditor'!S545,'Avoided Costs 2012-2020_EGD'!$K:$K)*N545</f>
        <v>0</v>
      </c>
      <c r="W545" s="65">
        <f>SUMIF('Avoided Costs 2012-2020_EGD'!$A:$A,'2012 Actuals_Auditor'!T545&amp;'2012 Actuals_Auditor'!S545,'Avoided Costs 2012-2020_EGD'!$M:$M)*R545</f>
        <v>0</v>
      </c>
      <c r="X545" s="65">
        <f t="shared" si="234"/>
        <v>31500.662703053367</v>
      </c>
      <c r="Y545" s="146">
        <v>8000</v>
      </c>
      <c r="Z545" s="66">
        <f t="shared" si="257"/>
        <v>7040</v>
      </c>
      <c r="AA545" s="66"/>
      <c r="AB545" s="66"/>
      <c r="AC545" s="66"/>
      <c r="AD545" s="66">
        <f t="shared" si="258"/>
        <v>7040</v>
      </c>
      <c r="AE545" s="66">
        <f t="shared" si="259"/>
        <v>24460.662703053367</v>
      </c>
      <c r="AF545" s="101">
        <f t="shared" si="260"/>
        <v>188954.33199206294</v>
      </c>
      <c r="AG545" s="101">
        <f t="shared" si="261"/>
        <v>214720.83180916245</v>
      </c>
    </row>
    <row r="546" spans="1:33" s="68" customFormat="1" x14ac:dyDescent="0.2">
      <c r="A546" s="147" t="s">
        <v>1069</v>
      </c>
      <c r="B546" s="147"/>
      <c r="C546" s="147"/>
      <c r="D546" s="148">
        <v>1</v>
      </c>
      <c r="E546" s="149"/>
      <c r="F546" s="150">
        <v>0.12</v>
      </c>
      <c r="G546" s="150"/>
      <c r="H546" s="67">
        <v>6682</v>
      </c>
      <c r="I546" s="67">
        <f t="shared" si="262"/>
        <v>6387.2350004399386</v>
      </c>
      <c r="J546" s="67">
        <f t="shared" si="254"/>
        <v>5620.7668003871458</v>
      </c>
      <c r="K546" s="63"/>
      <c r="L546" s="149">
        <v>0</v>
      </c>
      <c r="M546" s="63">
        <f t="shared" si="232"/>
        <v>0</v>
      </c>
      <c r="N546" s="63">
        <f t="shared" si="255"/>
        <v>0</v>
      </c>
      <c r="O546" s="69"/>
      <c r="P546" s="149">
        <v>0</v>
      </c>
      <c r="Q546" s="63">
        <f t="shared" si="263"/>
        <v>0</v>
      </c>
      <c r="R546" s="64">
        <f t="shared" si="256"/>
        <v>0</v>
      </c>
      <c r="S546" s="148">
        <v>5</v>
      </c>
      <c r="T546" s="151" t="s">
        <v>15</v>
      </c>
      <c r="U546" s="65">
        <f>SUMIF('Avoided Costs 2012-2020_EGD'!$A:$A,'2012 Actuals_Auditor'!T546&amp;'2012 Actuals_Auditor'!S546,'Avoided Costs 2012-2020_EGD'!$E:$E)*J546</f>
        <v>4685.2029600187552</v>
      </c>
      <c r="V546" s="65">
        <f>SUMIF('Avoided Costs 2012-2020_EGD'!$A:$A,'2012 Actuals_Auditor'!T546&amp;'2012 Actuals_Auditor'!S546,'Avoided Costs 2012-2020_EGD'!$K:$K)*N546</f>
        <v>0</v>
      </c>
      <c r="W546" s="65">
        <f>SUMIF('Avoided Costs 2012-2020_EGD'!$A:$A,'2012 Actuals_Auditor'!T546&amp;'2012 Actuals_Auditor'!S546,'Avoided Costs 2012-2020_EGD'!$M:$M)*R546</f>
        <v>0</v>
      </c>
      <c r="X546" s="65">
        <f t="shared" si="234"/>
        <v>4685.2029600187552</v>
      </c>
      <c r="Y546" s="146">
        <v>4500</v>
      </c>
      <c r="Z546" s="66">
        <f t="shared" si="257"/>
        <v>3960</v>
      </c>
      <c r="AA546" s="66"/>
      <c r="AB546" s="66"/>
      <c r="AC546" s="66"/>
      <c r="AD546" s="66">
        <f t="shared" si="258"/>
        <v>3960</v>
      </c>
      <c r="AE546" s="66">
        <f t="shared" si="259"/>
        <v>725.20296001875522</v>
      </c>
      <c r="AF546" s="101">
        <f t="shared" si="260"/>
        <v>28103.834001935727</v>
      </c>
      <c r="AG546" s="101">
        <f t="shared" si="261"/>
        <v>31936.175002199692</v>
      </c>
    </row>
    <row r="547" spans="1:33" s="68" customFormat="1" x14ac:dyDescent="0.2">
      <c r="A547" s="147" t="s">
        <v>1070</v>
      </c>
      <c r="B547" s="147"/>
      <c r="C547" s="147"/>
      <c r="D547" s="148">
        <v>1</v>
      </c>
      <c r="E547" s="149"/>
      <c r="F547" s="150">
        <v>0.12</v>
      </c>
      <c r="G547" s="150"/>
      <c r="H547" s="67">
        <v>3734</v>
      </c>
      <c r="I547" s="67">
        <f t="shared" si="262"/>
        <v>3569.2809774981638</v>
      </c>
      <c r="J547" s="67">
        <f t="shared" si="254"/>
        <v>3140.9672601983843</v>
      </c>
      <c r="K547" s="63"/>
      <c r="L547" s="149">
        <v>0</v>
      </c>
      <c r="M547" s="63">
        <f t="shared" si="232"/>
        <v>0</v>
      </c>
      <c r="N547" s="63">
        <f t="shared" si="255"/>
        <v>0</v>
      </c>
      <c r="O547" s="69"/>
      <c r="P547" s="149">
        <v>0</v>
      </c>
      <c r="Q547" s="63">
        <f t="shared" si="263"/>
        <v>0</v>
      </c>
      <c r="R547" s="64">
        <f t="shared" si="256"/>
        <v>0</v>
      </c>
      <c r="S547" s="148">
        <v>5</v>
      </c>
      <c r="T547" s="151" t="s">
        <v>15</v>
      </c>
      <c r="U547" s="65">
        <f>SUMIF('Avoided Costs 2012-2020_EGD'!$A:$A,'2012 Actuals_Auditor'!T547&amp;'2012 Actuals_Auditor'!S547,'Avoided Costs 2012-2020_EGD'!$E:$E)*J547</f>
        <v>2618.1604089658836</v>
      </c>
      <c r="V547" s="65">
        <f>SUMIF('Avoided Costs 2012-2020_EGD'!$A:$A,'2012 Actuals_Auditor'!T547&amp;'2012 Actuals_Auditor'!S547,'Avoided Costs 2012-2020_EGD'!$K:$K)*N547</f>
        <v>0</v>
      </c>
      <c r="W547" s="65">
        <f>SUMIF('Avoided Costs 2012-2020_EGD'!$A:$A,'2012 Actuals_Auditor'!T547&amp;'2012 Actuals_Auditor'!S547,'Avoided Costs 2012-2020_EGD'!$M:$M)*R547</f>
        <v>0</v>
      </c>
      <c r="X547" s="65">
        <f t="shared" si="234"/>
        <v>2618.1604089658836</v>
      </c>
      <c r="Y547" s="146">
        <v>1700</v>
      </c>
      <c r="Z547" s="66">
        <f t="shared" si="257"/>
        <v>1496</v>
      </c>
      <c r="AA547" s="66"/>
      <c r="AB547" s="66"/>
      <c r="AC547" s="66"/>
      <c r="AD547" s="66">
        <f t="shared" si="258"/>
        <v>1496</v>
      </c>
      <c r="AE547" s="66">
        <f t="shared" si="259"/>
        <v>1122.1604089658836</v>
      </c>
      <c r="AF547" s="101">
        <f t="shared" si="260"/>
        <v>15704.836300991921</v>
      </c>
      <c r="AG547" s="101">
        <f t="shared" si="261"/>
        <v>17846.404887490819</v>
      </c>
    </row>
    <row r="548" spans="1:33" s="68" customFormat="1" x14ac:dyDescent="0.2">
      <c r="A548" s="147" t="s">
        <v>1071</v>
      </c>
      <c r="B548" s="147"/>
      <c r="C548" s="147"/>
      <c r="D548" s="148">
        <v>1</v>
      </c>
      <c r="E548" s="149"/>
      <c r="F548" s="150">
        <v>0.12</v>
      </c>
      <c r="G548" s="150"/>
      <c r="H548" s="67">
        <v>4850</v>
      </c>
      <c r="I548" s="67">
        <f t="shared" si="262"/>
        <v>4636.0505465629603</v>
      </c>
      <c r="J548" s="67">
        <f t="shared" si="254"/>
        <v>4079.7244809754052</v>
      </c>
      <c r="K548" s="63"/>
      <c r="L548" s="149">
        <v>0</v>
      </c>
      <c r="M548" s="63">
        <f t="shared" si="232"/>
        <v>0</v>
      </c>
      <c r="N548" s="63">
        <f t="shared" si="255"/>
        <v>0</v>
      </c>
      <c r="O548" s="69"/>
      <c r="P548" s="149">
        <v>0</v>
      </c>
      <c r="Q548" s="63">
        <f t="shared" si="263"/>
        <v>0</v>
      </c>
      <c r="R548" s="64">
        <f t="shared" si="256"/>
        <v>0</v>
      </c>
      <c r="S548" s="148">
        <v>5</v>
      </c>
      <c r="T548" s="151" t="s">
        <v>15</v>
      </c>
      <c r="U548" s="65">
        <f>SUMIF('Avoided Costs 2012-2020_EGD'!$A:$A,'2012 Actuals_Auditor'!T548&amp;'2012 Actuals_Auditor'!S548,'Avoided Costs 2012-2020_EGD'!$E:$E)*J548</f>
        <v>3400.6636270713802</v>
      </c>
      <c r="V548" s="65">
        <f>SUMIF('Avoided Costs 2012-2020_EGD'!$A:$A,'2012 Actuals_Auditor'!T548&amp;'2012 Actuals_Auditor'!S548,'Avoided Costs 2012-2020_EGD'!$K:$K)*N548</f>
        <v>0</v>
      </c>
      <c r="W548" s="65">
        <f>SUMIF('Avoided Costs 2012-2020_EGD'!$A:$A,'2012 Actuals_Auditor'!T548&amp;'2012 Actuals_Auditor'!S548,'Avoided Costs 2012-2020_EGD'!$M:$M)*R548</f>
        <v>0</v>
      </c>
      <c r="X548" s="65">
        <f t="shared" si="234"/>
        <v>3400.6636270713802</v>
      </c>
      <c r="Y548" s="146">
        <v>2000</v>
      </c>
      <c r="Z548" s="66">
        <f t="shared" si="257"/>
        <v>1760</v>
      </c>
      <c r="AA548" s="66"/>
      <c r="AB548" s="66"/>
      <c r="AC548" s="66"/>
      <c r="AD548" s="66">
        <f t="shared" si="258"/>
        <v>1760</v>
      </c>
      <c r="AE548" s="66">
        <f t="shared" si="259"/>
        <v>1640.6636270713802</v>
      </c>
      <c r="AF548" s="101">
        <f t="shared" si="260"/>
        <v>20398.622404877027</v>
      </c>
      <c r="AG548" s="101">
        <f t="shared" si="261"/>
        <v>23180.252732814803</v>
      </c>
    </row>
    <row r="549" spans="1:33" s="68" customFormat="1" x14ac:dyDescent="0.2">
      <c r="A549" s="147" t="s">
        <v>1072</v>
      </c>
      <c r="B549" s="147"/>
      <c r="C549" s="147"/>
      <c r="D549" s="148">
        <v>1</v>
      </c>
      <c r="E549" s="149"/>
      <c r="F549" s="150">
        <v>0.12</v>
      </c>
      <c r="G549" s="150"/>
      <c r="H549" s="67">
        <v>47739</v>
      </c>
      <c r="I549" s="67">
        <f t="shared" si="262"/>
        <v>45633.075678839006</v>
      </c>
      <c r="J549" s="67">
        <f t="shared" si="254"/>
        <v>40157.106597378326</v>
      </c>
      <c r="K549" s="63"/>
      <c r="L549" s="149">
        <v>0</v>
      </c>
      <c r="M549" s="63">
        <f t="shared" si="232"/>
        <v>0</v>
      </c>
      <c r="N549" s="63">
        <f t="shared" si="255"/>
        <v>0</v>
      </c>
      <c r="O549" s="69"/>
      <c r="P549" s="149">
        <v>0</v>
      </c>
      <c r="Q549" s="63">
        <f t="shared" si="263"/>
        <v>0</v>
      </c>
      <c r="R549" s="64">
        <f t="shared" si="256"/>
        <v>0</v>
      </c>
      <c r="S549" s="148">
        <v>5</v>
      </c>
      <c r="T549" s="151" t="s">
        <v>15</v>
      </c>
      <c r="U549" s="65">
        <f>SUMIF('Avoided Costs 2012-2020_EGD'!$A:$A,'2012 Actuals_Auditor'!T549&amp;'2012 Actuals_Auditor'!S549,'Avoided Costs 2012-2020_EGD'!$E:$E)*J549</f>
        <v>33473.047606754772</v>
      </c>
      <c r="V549" s="65">
        <f>SUMIF('Avoided Costs 2012-2020_EGD'!$A:$A,'2012 Actuals_Auditor'!T549&amp;'2012 Actuals_Auditor'!S549,'Avoided Costs 2012-2020_EGD'!$K:$K)*N549</f>
        <v>0</v>
      </c>
      <c r="W549" s="65">
        <f>SUMIF('Avoided Costs 2012-2020_EGD'!$A:$A,'2012 Actuals_Auditor'!T549&amp;'2012 Actuals_Auditor'!S549,'Avoided Costs 2012-2020_EGD'!$M:$M)*R549</f>
        <v>0</v>
      </c>
      <c r="X549" s="65">
        <f t="shared" si="234"/>
        <v>33473.047606754772</v>
      </c>
      <c r="Y549" s="146">
        <v>5000</v>
      </c>
      <c r="Z549" s="66">
        <f t="shared" si="257"/>
        <v>4400</v>
      </c>
      <c r="AA549" s="66"/>
      <c r="AB549" s="66"/>
      <c r="AC549" s="66"/>
      <c r="AD549" s="66">
        <f t="shared" si="258"/>
        <v>4400</v>
      </c>
      <c r="AE549" s="66">
        <f t="shared" si="259"/>
        <v>29073.047606754772</v>
      </c>
      <c r="AF549" s="101">
        <f t="shared" si="260"/>
        <v>200785.53298689163</v>
      </c>
      <c r="AG549" s="101">
        <f t="shared" si="261"/>
        <v>228165.37839419502</v>
      </c>
    </row>
    <row r="550" spans="1:33" s="68" customFormat="1" x14ac:dyDescent="0.2">
      <c r="A550" s="147" t="s">
        <v>1073</v>
      </c>
      <c r="B550" s="147"/>
      <c r="C550" s="147"/>
      <c r="D550" s="148">
        <v>1</v>
      </c>
      <c r="E550" s="149"/>
      <c r="F550" s="150">
        <v>0.12</v>
      </c>
      <c r="G550" s="150"/>
      <c r="H550" s="67">
        <v>8710</v>
      </c>
      <c r="I550" s="67">
        <f t="shared" si="262"/>
        <v>8325.7732496006993</v>
      </c>
      <c r="J550" s="67">
        <f t="shared" si="254"/>
        <v>7326.6804596486154</v>
      </c>
      <c r="K550" s="63"/>
      <c r="L550" s="149">
        <v>0</v>
      </c>
      <c r="M550" s="63">
        <f t="shared" si="232"/>
        <v>0</v>
      </c>
      <c r="N550" s="63">
        <f t="shared" si="255"/>
        <v>0</v>
      </c>
      <c r="O550" s="69"/>
      <c r="P550" s="149">
        <v>0</v>
      </c>
      <c r="Q550" s="63">
        <f t="shared" si="263"/>
        <v>0</v>
      </c>
      <c r="R550" s="64">
        <f t="shared" si="256"/>
        <v>0</v>
      </c>
      <c r="S550" s="148">
        <v>5</v>
      </c>
      <c r="T550" s="151" t="s">
        <v>15</v>
      </c>
      <c r="U550" s="65">
        <f>SUMIF('Avoided Costs 2012-2020_EGD'!$A:$A,'2012 Actuals_Auditor'!T550&amp;'2012 Actuals_Auditor'!S550,'Avoided Costs 2012-2020_EGD'!$E:$E)*J550</f>
        <v>6107.1711735653043</v>
      </c>
      <c r="V550" s="65">
        <f>SUMIF('Avoided Costs 2012-2020_EGD'!$A:$A,'2012 Actuals_Auditor'!T550&amp;'2012 Actuals_Auditor'!S550,'Avoided Costs 2012-2020_EGD'!$K:$K)*N550</f>
        <v>0</v>
      </c>
      <c r="W550" s="65">
        <f>SUMIF('Avoided Costs 2012-2020_EGD'!$A:$A,'2012 Actuals_Auditor'!T550&amp;'2012 Actuals_Auditor'!S550,'Avoided Costs 2012-2020_EGD'!$M:$M)*R550</f>
        <v>0</v>
      </c>
      <c r="X550" s="65">
        <f t="shared" si="234"/>
        <v>6107.1711735653043</v>
      </c>
      <c r="Y550" s="146">
        <v>800</v>
      </c>
      <c r="Z550" s="66">
        <f t="shared" si="257"/>
        <v>704</v>
      </c>
      <c r="AA550" s="66"/>
      <c r="AB550" s="66"/>
      <c r="AC550" s="66"/>
      <c r="AD550" s="66">
        <f t="shared" si="258"/>
        <v>704</v>
      </c>
      <c r="AE550" s="66">
        <f t="shared" si="259"/>
        <v>5403.1711735653043</v>
      </c>
      <c r="AF550" s="101">
        <f t="shared" si="260"/>
        <v>36633.402298243076</v>
      </c>
      <c r="AG550" s="101">
        <f t="shared" si="261"/>
        <v>41628.866248003498</v>
      </c>
    </row>
    <row r="551" spans="1:33" s="68" customFormat="1" x14ac:dyDescent="0.2">
      <c r="A551" s="147" t="s">
        <v>1074</v>
      </c>
      <c r="B551" s="147"/>
      <c r="C551" s="147"/>
      <c r="D551" s="148">
        <v>1</v>
      </c>
      <c r="E551" s="149"/>
      <c r="F551" s="150">
        <v>0.12</v>
      </c>
      <c r="G551" s="150"/>
      <c r="H551" s="67">
        <v>8094</v>
      </c>
      <c r="I551" s="67">
        <f t="shared" si="262"/>
        <v>7736.947035851671</v>
      </c>
      <c r="J551" s="67">
        <f t="shared" si="254"/>
        <v>6808.5133915494707</v>
      </c>
      <c r="K551" s="63"/>
      <c r="L551" s="149">
        <v>0</v>
      </c>
      <c r="M551" s="63">
        <f t="shared" si="232"/>
        <v>0</v>
      </c>
      <c r="N551" s="63">
        <f t="shared" si="255"/>
        <v>0</v>
      </c>
      <c r="O551" s="69"/>
      <c r="P551" s="149">
        <v>0</v>
      </c>
      <c r="Q551" s="63">
        <f t="shared" si="263"/>
        <v>0</v>
      </c>
      <c r="R551" s="64">
        <f t="shared" si="256"/>
        <v>0</v>
      </c>
      <c r="S551" s="148">
        <v>5</v>
      </c>
      <c r="T551" s="151" t="s">
        <v>15</v>
      </c>
      <c r="U551" s="65">
        <f>SUMIF('Avoided Costs 2012-2020_EGD'!$A:$A,'2012 Actuals_Auditor'!T551&amp;'2012 Actuals_Auditor'!S551,'Avoided Costs 2012-2020_EGD'!$E:$E)*J551</f>
        <v>5675.251834539331</v>
      </c>
      <c r="V551" s="65">
        <f>SUMIF('Avoided Costs 2012-2020_EGD'!$A:$A,'2012 Actuals_Auditor'!T551&amp;'2012 Actuals_Auditor'!S551,'Avoided Costs 2012-2020_EGD'!$K:$K)*N551</f>
        <v>0</v>
      </c>
      <c r="W551" s="65">
        <f>SUMIF('Avoided Costs 2012-2020_EGD'!$A:$A,'2012 Actuals_Auditor'!T551&amp;'2012 Actuals_Auditor'!S551,'Avoided Costs 2012-2020_EGD'!$M:$M)*R551</f>
        <v>0</v>
      </c>
      <c r="X551" s="65">
        <f t="shared" si="234"/>
        <v>5675.251834539331</v>
      </c>
      <c r="Y551" s="146">
        <v>500</v>
      </c>
      <c r="Z551" s="66">
        <f t="shared" si="257"/>
        <v>440</v>
      </c>
      <c r="AA551" s="66"/>
      <c r="AB551" s="66"/>
      <c r="AC551" s="66"/>
      <c r="AD551" s="66">
        <f t="shared" si="258"/>
        <v>440</v>
      </c>
      <c r="AE551" s="66">
        <f t="shared" si="259"/>
        <v>5235.251834539331</v>
      </c>
      <c r="AF551" s="101">
        <f t="shared" si="260"/>
        <v>34042.566957747353</v>
      </c>
      <c r="AG551" s="101">
        <f t="shared" si="261"/>
        <v>38684.735179258358</v>
      </c>
    </row>
    <row r="552" spans="1:33" s="68" customFormat="1" x14ac:dyDescent="0.2">
      <c r="A552" s="147" t="s">
        <v>1075</v>
      </c>
      <c r="B552" s="147"/>
      <c r="C552" s="147"/>
      <c r="D552" s="148">
        <v>1</v>
      </c>
      <c r="E552" s="149"/>
      <c r="F552" s="150">
        <v>0.12</v>
      </c>
      <c r="G552" s="150"/>
      <c r="H552" s="67">
        <v>5996</v>
      </c>
      <c r="I552" s="67">
        <f t="shared" si="262"/>
        <v>5731.4967169467036</v>
      </c>
      <c r="J552" s="67">
        <f t="shared" si="254"/>
        <v>5043.7171109130995</v>
      </c>
      <c r="K552" s="63"/>
      <c r="L552" s="149">
        <v>0</v>
      </c>
      <c r="M552" s="63">
        <f t="shared" si="232"/>
        <v>0</v>
      </c>
      <c r="N552" s="63">
        <f t="shared" si="255"/>
        <v>0</v>
      </c>
      <c r="O552" s="69"/>
      <c r="P552" s="149">
        <v>0</v>
      </c>
      <c r="Q552" s="63">
        <f t="shared" si="263"/>
        <v>0</v>
      </c>
      <c r="R552" s="64">
        <f t="shared" si="256"/>
        <v>0</v>
      </c>
      <c r="S552" s="148">
        <v>5</v>
      </c>
      <c r="T552" s="151" t="s">
        <v>15</v>
      </c>
      <c r="U552" s="65">
        <f>SUMIF('Avoided Costs 2012-2020_EGD'!$A:$A,'2012 Actuals_Auditor'!T552&amp;'2012 Actuals_Auditor'!S552,'Avoided Costs 2012-2020_EGD'!$E:$E)*J552</f>
        <v>4204.2018779216487</v>
      </c>
      <c r="V552" s="65">
        <f>SUMIF('Avoided Costs 2012-2020_EGD'!$A:$A,'2012 Actuals_Auditor'!T552&amp;'2012 Actuals_Auditor'!S552,'Avoided Costs 2012-2020_EGD'!$K:$K)*N552</f>
        <v>0</v>
      </c>
      <c r="W552" s="65">
        <f>SUMIF('Avoided Costs 2012-2020_EGD'!$A:$A,'2012 Actuals_Auditor'!T552&amp;'2012 Actuals_Auditor'!S552,'Avoided Costs 2012-2020_EGD'!$M:$M)*R552</f>
        <v>0</v>
      </c>
      <c r="X552" s="65">
        <f t="shared" si="234"/>
        <v>4204.2018779216487</v>
      </c>
      <c r="Y552" s="146">
        <v>5000</v>
      </c>
      <c r="Z552" s="66">
        <f t="shared" si="257"/>
        <v>4400</v>
      </c>
      <c r="AA552" s="66"/>
      <c r="AB552" s="66"/>
      <c r="AC552" s="66"/>
      <c r="AD552" s="66">
        <f t="shared" si="258"/>
        <v>4400</v>
      </c>
      <c r="AE552" s="66">
        <f t="shared" si="259"/>
        <v>-195.7981220783513</v>
      </c>
      <c r="AF552" s="101">
        <f t="shared" si="260"/>
        <v>25218.585554565499</v>
      </c>
      <c r="AG552" s="101">
        <f t="shared" si="261"/>
        <v>28657.48358473352</v>
      </c>
    </row>
    <row r="553" spans="1:33" s="68" customFormat="1" x14ac:dyDescent="0.2">
      <c r="A553" s="147" t="s">
        <v>1076</v>
      </c>
      <c r="B553" s="147"/>
      <c r="C553" s="147"/>
      <c r="D553" s="148">
        <v>1</v>
      </c>
      <c r="E553" s="149"/>
      <c r="F553" s="150">
        <v>0.12</v>
      </c>
      <c r="G553" s="150"/>
      <c r="H553" s="67">
        <v>573</v>
      </c>
      <c r="I553" s="67">
        <f t="shared" si="262"/>
        <v>547.72308519187141</v>
      </c>
      <c r="J553" s="67">
        <f t="shared" si="254"/>
        <v>481.99631496884683</v>
      </c>
      <c r="K553" s="63"/>
      <c r="L553" s="149">
        <v>0</v>
      </c>
      <c r="M553" s="63">
        <f t="shared" si="232"/>
        <v>0</v>
      </c>
      <c r="N553" s="63">
        <f t="shared" si="255"/>
        <v>0</v>
      </c>
      <c r="O553" s="69"/>
      <c r="P553" s="149">
        <v>0</v>
      </c>
      <c r="Q553" s="63">
        <f t="shared" si="263"/>
        <v>0</v>
      </c>
      <c r="R553" s="64">
        <f t="shared" si="256"/>
        <v>0</v>
      </c>
      <c r="S553" s="148">
        <v>5</v>
      </c>
      <c r="T553" s="151" t="s">
        <v>15</v>
      </c>
      <c r="U553" s="65">
        <f>SUMIF('Avoided Costs 2012-2020_EGD'!$A:$A,'2012 Actuals_Auditor'!T553&amp;'2012 Actuals_Auditor'!S553,'Avoided Costs 2012-2020_EGD'!$E:$E)*J553</f>
        <v>401.76912542513418</v>
      </c>
      <c r="V553" s="65">
        <f>SUMIF('Avoided Costs 2012-2020_EGD'!$A:$A,'2012 Actuals_Auditor'!T553&amp;'2012 Actuals_Auditor'!S553,'Avoided Costs 2012-2020_EGD'!$K:$K)*N553</f>
        <v>0</v>
      </c>
      <c r="W553" s="65">
        <f>SUMIF('Avoided Costs 2012-2020_EGD'!$A:$A,'2012 Actuals_Auditor'!T553&amp;'2012 Actuals_Auditor'!S553,'Avoided Costs 2012-2020_EGD'!$M:$M)*R553</f>
        <v>0</v>
      </c>
      <c r="X553" s="65">
        <f t="shared" si="234"/>
        <v>401.76912542513418</v>
      </c>
      <c r="Y553" s="146">
        <v>2800</v>
      </c>
      <c r="Z553" s="66">
        <f t="shared" si="257"/>
        <v>2464</v>
      </c>
      <c r="AA553" s="66"/>
      <c r="AB553" s="66"/>
      <c r="AC553" s="66"/>
      <c r="AD553" s="66">
        <f t="shared" si="258"/>
        <v>2464</v>
      </c>
      <c r="AE553" s="66">
        <f t="shared" si="259"/>
        <v>-2062.230874574866</v>
      </c>
      <c r="AF553" s="101">
        <f t="shared" si="260"/>
        <v>2409.9815748442343</v>
      </c>
      <c r="AG553" s="101">
        <f t="shared" si="261"/>
        <v>2738.6154259593568</v>
      </c>
    </row>
    <row r="554" spans="1:33" s="68" customFormat="1" x14ac:dyDescent="0.2">
      <c r="A554" s="147" t="s">
        <v>1077</v>
      </c>
      <c r="B554" s="147"/>
      <c r="C554" s="147"/>
      <c r="D554" s="148">
        <v>1</v>
      </c>
      <c r="E554" s="149"/>
      <c r="F554" s="150">
        <v>0.12</v>
      </c>
      <c r="G554" s="150"/>
      <c r="H554" s="67">
        <v>7729</v>
      </c>
      <c r="I554" s="67">
        <f t="shared" si="262"/>
        <v>7388.0483864711596</v>
      </c>
      <c r="J554" s="67">
        <f t="shared" si="254"/>
        <v>6501.4825800946201</v>
      </c>
      <c r="K554" s="63"/>
      <c r="L554" s="149">
        <v>0</v>
      </c>
      <c r="M554" s="63">
        <f t="shared" si="232"/>
        <v>0</v>
      </c>
      <c r="N554" s="63">
        <f t="shared" si="255"/>
        <v>0</v>
      </c>
      <c r="O554" s="69"/>
      <c r="P554" s="149">
        <v>0</v>
      </c>
      <c r="Q554" s="63">
        <f t="shared" si="263"/>
        <v>0</v>
      </c>
      <c r="R554" s="64">
        <f t="shared" si="256"/>
        <v>0</v>
      </c>
      <c r="S554" s="148">
        <v>5</v>
      </c>
      <c r="T554" s="151" t="s">
        <v>15</v>
      </c>
      <c r="U554" s="65">
        <f>SUMIF('Avoided Costs 2012-2020_EGD'!$A:$A,'2012 Actuals_Auditor'!T554&amp;'2012 Actuals_Auditor'!S554,'Avoided Costs 2012-2020_EGD'!$E:$E)*J554</f>
        <v>5419.3256028112783</v>
      </c>
      <c r="V554" s="65">
        <f>SUMIF('Avoided Costs 2012-2020_EGD'!$A:$A,'2012 Actuals_Auditor'!T554&amp;'2012 Actuals_Auditor'!S554,'Avoided Costs 2012-2020_EGD'!$K:$K)*N554</f>
        <v>0</v>
      </c>
      <c r="W554" s="65">
        <f>SUMIF('Avoided Costs 2012-2020_EGD'!$A:$A,'2012 Actuals_Auditor'!T554&amp;'2012 Actuals_Auditor'!S554,'Avoided Costs 2012-2020_EGD'!$M:$M)*R554</f>
        <v>0</v>
      </c>
      <c r="X554" s="65">
        <f t="shared" si="234"/>
        <v>5419.3256028112783</v>
      </c>
      <c r="Y554" s="146">
        <v>2000</v>
      </c>
      <c r="Z554" s="66">
        <f t="shared" si="257"/>
        <v>1760</v>
      </c>
      <c r="AA554" s="66"/>
      <c r="AB554" s="66"/>
      <c r="AC554" s="66"/>
      <c r="AD554" s="66">
        <f t="shared" si="258"/>
        <v>1760</v>
      </c>
      <c r="AE554" s="66">
        <f t="shared" si="259"/>
        <v>3659.3256028112783</v>
      </c>
      <c r="AF554" s="101">
        <f t="shared" si="260"/>
        <v>32507.4129004731</v>
      </c>
      <c r="AG554" s="101">
        <f t="shared" si="261"/>
        <v>36940.241932355799</v>
      </c>
    </row>
    <row r="555" spans="1:33" s="68" customFormat="1" x14ac:dyDescent="0.2">
      <c r="A555" s="147" t="s">
        <v>1078</v>
      </c>
      <c r="B555" s="147"/>
      <c r="C555" s="147"/>
      <c r="D555" s="148">
        <v>1</v>
      </c>
      <c r="E555" s="149"/>
      <c r="F555" s="150">
        <v>0.12</v>
      </c>
      <c r="G555" s="150"/>
      <c r="H555" s="67">
        <v>37701</v>
      </c>
      <c r="I555" s="67">
        <f t="shared" si="262"/>
        <v>36037.884877519624</v>
      </c>
      <c r="J555" s="67">
        <f t="shared" si="254"/>
        <v>31713.338692217269</v>
      </c>
      <c r="K555" s="63"/>
      <c r="L555" s="149">
        <v>0</v>
      </c>
      <c r="M555" s="63">
        <f t="shared" si="232"/>
        <v>0</v>
      </c>
      <c r="N555" s="63">
        <f t="shared" si="255"/>
        <v>0</v>
      </c>
      <c r="O555" s="69"/>
      <c r="P555" s="149">
        <v>0</v>
      </c>
      <c r="Q555" s="63">
        <f t="shared" si="263"/>
        <v>0</v>
      </c>
      <c r="R555" s="64">
        <f t="shared" si="256"/>
        <v>0</v>
      </c>
      <c r="S555" s="148">
        <v>5</v>
      </c>
      <c r="T555" s="151" t="s">
        <v>15</v>
      </c>
      <c r="U555" s="65">
        <f>SUMIF('Avoided Costs 2012-2020_EGD'!$A:$A,'2012 Actuals_Auditor'!T555&amp;'2012 Actuals_Auditor'!S555,'Avoided Costs 2012-2020_EGD'!$E:$E)*J555</f>
        <v>26434.725650354249</v>
      </c>
      <c r="V555" s="65">
        <f>SUMIF('Avoided Costs 2012-2020_EGD'!$A:$A,'2012 Actuals_Auditor'!T555&amp;'2012 Actuals_Auditor'!S555,'Avoided Costs 2012-2020_EGD'!$K:$K)*N555</f>
        <v>0</v>
      </c>
      <c r="W555" s="65">
        <f>SUMIF('Avoided Costs 2012-2020_EGD'!$A:$A,'2012 Actuals_Auditor'!T555&amp;'2012 Actuals_Auditor'!S555,'Avoided Costs 2012-2020_EGD'!$M:$M)*R555</f>
        <v>0</v>
      </c>
      <c r="X555" s="65">
        <f t="shared" si="234"/>
        <v>26434.725650354249</v>
      </c>
      <c r="Y555" s="146">
        <v>1000</v>
      </c>
      <c r="Z555" s="66">
        <f t="shared" si="257"/>
        <v>880</v>
      </c>
      <c r="AA555" s="66"/>
      <c r="AB555" s="66"/>
      <c r="AC555" s="66"/>
      <c r="AD555" s="66">
        <f t="shared" si="258"/>
        <v>880</v>
      </c>
      <c r="AE555" s="66">
        <f t="shared" si="259"/>
        <v>25554.725650354249</v>
      </c>
      <c r="AF555" s="101">
        <f t="shared" si="260"/>
        <v>158566.69346108634</v>
      </c>
      <c r="AG555" s="101">
        <f t="shared" si="261"/>
        <v>180189.42438759812</v>
      </c>
    </row>
    <row r="556" spans="1:33" s="68" customFormat="1" x14ac:dyDescent="0.2">
      <c r="A556" s="147" t="s">
        <v>1079</v>
      </c>
      <c r="B556" s="147"/>
      <c r="C556" s="147"/>
      <c r="D556" s="148">
        <v>1</v>
      </c>
      <c r="E556" s="149"/>
      <c r="F556" s="150">
        <v>0.12</v>
      </c>
      <c r="G556" s="150"/>
      <c r="H556" s="67">
        <v>6354</v>
      </c>
      <c r="I556" s="67">
        <f t="shared" si="262"/>
        <v>6073.7041593527947</v>
      </c>
      <c r="J556" s="67">
        <f t="shared" si="254"/>
        <v>5344.8596602304597</v>
      </c>
      <c r="K556" s="63"/>
      <c r="L556" s="149">
        <v>0</v>
      </c>
      <c r="M556" s="63">
        <f t="shared" si="232"/>
        <v>0</v>
      </c>
      <c r="N556" s="63">
        <f t="shared" si="255"/>
        <v>0</v>
      </c>
      <c r="O556" s="69"/>
      <c r="P556" s="149">
        <v>0</v>
      </c>
      <c r="Q556" s="63">
        <f t="shared" si="263"/>
        <v>0</v>
      </c>
      <c r="R556" s="64">
        <f t="shared" si="256"/>
        <v>0</v>
      </c>
      <c r="S556" s="148">
        <v>5</v>
      </c>
      <c r="T556" s="151" t="s">
        <v>15</v>
      </c>
      <c r="U556" s="65">
        <f>SUMIF('Avoided Costs 2012-2020_EGD'!$A:$A,'2012 Actuals_Auditor'!T556&amp;'2012 Actuals_Auditor'!S556,'Avoided Costs 2012-2020_EGD'!$E:$E)*J556</f>
        <v>4455.2199353425885</v>
      </c>
      <c r="V556" s="65">
        <f>SUMIF('Avoided Costs 2012-2020_EGD'!$A:$A,'2012 Actuals_Auditor'!T556&amp;'2012 Actuals_Auditor'!S556,'Avoided Costs 2012-2020_EGD'!$K:$K)*N556</f>
        <v>0</v>
      </c>
      <c r="W556" s="65">
        <f>SUMIF('Avoided Costs 2012-2020_EGD'!$A:$A,'2012 Actuals_Auditor'!T556&amp;'2012 Actuals_Auditor'!S556,'Avoided Costs 2012-2020_EGD'!$M:$M)*R556</f>
        <v>0</v>
      </c>
      <c r="X556" s="65">
        <f t="shared" si="234"/>
        <v>4455.2199353425885</v>
      </c>
      <c r="Y556" s="146">
        <v>2500</v>
      </c>
      <c r="Z556" s="66">
        <f t="shared" si="257"/>
        <v>2200</v>
      </c>
      <c r="AA556" s="66"/>
      <c r="AB556" s="66"/>
      <c r="AC556" s="66"/>
      <c r="AD556" s="66">
        <f t="shared" si="258"/>
        <v>2200</v>
      </c>
      <c r="AE556" s="66">
        <f t="shared" si="259"/>
        <v>2255.2199353425885</v>
      </c>
      <c r="AF556" s="101">
        <f t="shared" si="260"/>
        <v>26724.298301152299</v>
      </c>
      <c r="AG556" s="101">
        <f t="shared" si="261"/>
        <v>30368.520796763973</v>
      </c>
    </row>
    <row r="557" spans="1:33" s="68" customFormat="1" x14ac:dyDescent="0.2">
      <c r="A557" s="147" t="s">
        <v>1080</v>
      </c>
      <c r="B557" s="147"/>
      <c r="C557" s="147"/>
      <c r="D557" s="148">
        <v>1</v>
      </c>
      <c r="E557" s="149"/>
      <c r="F557" s="150">
        <v>0.12</v>
      </c>
      <c r="G557" s="150"/>
      <c r="H557" s="67">
        <v>1980</v>
      </c>
      <c r="I557" s="67">
        <f t="shared" si="262"/>
        <v>1892.6556870504457</v>
      </c>
      <c r="J557" s="67">
        <f t="shared" si="254"/>
        <v>1665.5370046043922</v>
      </c>
      <c r="K557" s="63"/>
      <c r="L557" s="149">
        <v>0</v>
      </c>
      <c r="M557" s="63">
        <f t="shared" si="232"/>
        <v>0</v>
      </c>
      <c r="N557" s="63">
        <f t="shared" si="255"/>
        <v>0</v>
      </c>
      <c r="O557" s="69"/>
      <c r="P557" s="149">
        <v>0</v>
      </c>
      <c r="Q557" s="63">
        <f t="shared" si="263"/>
        <v>0</v>
      </c>
      <c r="R557" s="64">
        <f t="shared" si="256"/>
        <v>0</v>
      </c>
      <c r="S557" s="148">
        <v>5</v>
      </c>
      <c r="T557" s="151" t="s">
        <v>15</v>
      </c>
      <c r="U557" s="65">
        <f>SUMIF('Avoided Costs 2012-2020_EGD'!$A:$A,'2012 Actuals_Auditor'!T557&amp;'2012 Actuals_Auditor'!S557,'Avoided Costs 2012-2020_EGD'!$E:$E)*J557</f>
        <v>1388.3121611549138</v>
      </c>
      <c r="V557" s="65">
        <f>SUMIF('Avoided Costs 2012-2020_EGD'!$A:$A,'2012 Actuals_Auditor'!T557&amp;'2012 Actuals_Auditor'!S557,'Avoided Costs 2012-2020_EGD'!$K:$K)*N557</f>
        <v>0</v>
      </c>
      <c r="W557" s="65">
        <f>SUMIF('Avoided Costs 2012-2020_EGD'!$A:$A,'2012 Actuals_Auditor'!T557&amp;'2012 Actuals_Auditor'!S557,'Avoided Costs 2012-2020_EGD'!$M:$M)*R557</f>
        <v>0</v>
      </c>
      <c r="X557" s="65">
        <f t="shared" si="234"/>
        <v>1388.3121611549138</v>
      </c>
      <c r="Y557" s="146">
        <v>500</v>
      </c>
      <c r="Z557" s="66">
        <f t="shared" si="257"/>
        <v>440</v>
      </c>
      <c r="AA557" s="66"/>
      <c r="AB557" s="66"/>
      <c r="AC557" s="66"/>
      <c r="AD557" s="66">
        <f t="shared" si="258"/>
        <v>440</v>
      </c>
      <c r="AE557" s="66">
        <f t="shared" si="259"/>
        <v>948.31216115491384</v>
      </c>
      <c r="AF557" s="101">
        <f t="shared" si="260"/>
        <v>8327.6850230219607</v>
      </c>
      <c r="AG557" s="101">
        <f t="shared" si="261"/>
        <v>9463.2784352522285</v>
      </c>
    </row>
    <row r="558" spans="1:33" s="68" customFormat="1" x14ac:dyDescent="0.2">
      <c r="A558" s="147" t="s">
        <v>1081</v>
      </c>
      <c r="B558" s="147"/>
      <c r="C558" s="147"/>
      <c r="D558" s="148">
        <v>1</v>
      </c>
      <c r="E558" s="149"/>
      <c r="F558" s="150">
        <v>0.12</v>
      </c>
      <c r="G558" s="150"/>
      <c r="H558" s="67">
        <v>174098</v>
      </c>
      <c r="I558" s="67">
        <f t="shared" si="262"/>
        <v>166417.96454752955</v>
      </c>
      <c r="J558" s="67">
        <f t="shared" si="254"/>
        <v>146447.808801826</v>
      </c>
      <c r="K558" s="63"/>
      <c r="L558" s="149">
        <v>-221623</v>
      </c>
      <c r="M558" s="63">
        <f t="shared" si="232"/>
        <v>-221623</v>
      </c>
      <c r="N558" s="63">
        <f t="shared" si="255"/>
        <v>-195028.24</v>
      </c>
      <c r="O558" s="69"/>
      <c r="P558" s="149">
        <v>0</v>
      </c>
      <c r="Q558" s="63">
        <f t="shared" si="263"/>
        <v>0</v>
      </c>
      <c r="R558" s="64">
        <f t="shared" si="256"/>
        <v>0</v>
      </c>
      <c r="S558" s="148">
        <v>25</v>
      </c>
      <c r="T558" s="151" t="s">
        <v>15</v>
      </c>
      <c r="U558" s="65">
        <f>SUMIF('Avoided Costs 2012-2020_EGD'!$A:$A,'2012 Actuals_Auditor'!T558&amp;'2012 Actuals_Auditor'!S558,'Avoided Costs 2012-2020_EGD'!$E:$E)*J558</f>
        <v>502901.0430271696</v>
      </c>
      <c r="V558" s="65">
        <f>SUMIF('Avoided Costs 2012-2020_EGD'!$A:$A,'2012 Actuals_Auditor'!T558&amp;'2012 Actuals_Auditor'!S558,'Avoided Costs 2012-2020_EGD'!$K:$K)*N558</f>
        <v>-274675.33099956473</v>
      </c>
      <c r="W558" s="65">
        <f>SUMIF('Avoided Costs 2012-2020_EGD'!$A:$A,'2012 Actuals_Auditor'!T558&amp;'2012 Actuals_Auditor'!S558,'Avoided Costs 2012-2020_EGD'!$M:$M)*R558</f>
        <v>0</v>
      </c>
      <c r="X558" s="65">
        <f t="shared" si="234"/>
        <v>228225.71202760487</v>
      </c>
      <c r="Y558" s="146">
        <v>1450000</v>
      </c>
      <c r="Z558" s="66">
        <f t="shared" si="257"/>
        <v>1276000</v>
      </c>
      <c r="AA558" s="66"/>
      <c r="AB558" s="66"/>
      <c r="AC558" s="66"/>
      <c r="AD558" s="66">
        <f t="shared" si="258"/>
        <v>1276000</v>
      </c>
      <c r="AE558" s="66">
        <f t="shared" si="259"/>
        <v>-1047774.2879723951</v>
      </c>
      <c r="AF558" s="101">
        <f t="shared" si="260"/>
        <v>3661195.2200456499</v>
      </c>
      <c r="AG558" s="101">
        <f t="shared" si="261"/>
        <v>4160449.1136882389</v>
      </c>
    </row>
    <row r="559" spans="1:33" s="68" customFormat="1" x14ac:dyDescent="0.2">
      <c r="A559" s="147" t="s">
        <v>1082</v>
      </c>
      <c r="B559" s="147"/>
      <c r="C559" s="147"/>
      <c r="D559" s="148">
        <v>1</v>
      </c>
      <c r="E559" s="149"/>
      <c r="F559" s="150">
        <v>0.12</v>
      </c>
      <c r="G559" s="150"/>
      <c r="H559" s="67">
        <v>12217</v>
      </c>
      <c r="I559" s="67">
        <f>H559</f>
        <v>12217</v>
      </c>
      <c r="J559" s="67">
        <f t="shared" si="254"/>
        <v>10750.960000000001</v>
      </c>
      <c r="K559" s="63"/>
      <c r="L559" s="149">
        <v>0</v>
      </c>
      <c r="M559" s="63">
        <f>L559</f>
        <v>0</v>
      </c>
      <c r="N559" s="63">
        <f t="shared" si="255"/>
        <v>0</v>
      </c>
      <c r="O559" s="69"/>
      <c r="P559" s="149">
        <v>0</v>
      </c>
      <c r="Q559" s="63">
        <f>+P559</f>
        <v>0</v>
      </c>
      <c r="R559" s="64">
        <f t="shared" si="256"/>
        <v>0</v>
      </c>
      <c r="S559" s="148">
        <v>25</v>
      </c>
      <c r="T559" s="151" t="s">
        <v>15</v>
      </c>
      <c r="U559" s="65">
        <f>SUMIF('Avoided Costs 2012-2020_EGD'!$A:$A,'2012 Actuals_Auditor'!T559&amp;'2012 Actuals_Auditor'!S559,'Avoided Costs 2012-2020_EGD'!$E:$E)*J559</f>
        <v>36918.742873508709</v>
      </c>
      <c r="V559" s="65">
        <f>SUMIF('Avoided Costs 2012-2020_EGD'!$A:$A,'2012 Actuals_Auditor'!T559&amp;'2012 Actuals_Auditor'!S559,'Avoided Costs 2012-2020_EGD'!$K:$K)*N559</f>
        <v>0</v>
      </c>
      <c r="W559" s="65">
        <f>SUMIF('Avoided Costs 2012-2020_EGD'!$A:$A,'2012 Actuals_Auditor'!T559&amp;'2012 Actuals_Auditor'!S559,'Avoided Costs 2012-2020_EGD'!$M:$M)*R559</f>
        <v>0</v>
      </c>
      <c r="X559" s="65">
        <f t="shared" si="234"/>
        <v>36918.742873508709</v>
      </c>
      <c r="Y559" s="146">
        <v>7608.48</v>
      </c>
      <c r="Z559" s="66">
        <f t="shared" si="257"/>
        <v>6695.4623999999994</v>
      </c>
      <c r="AA559" s="66"/>
      <c r="AB559" s="66"/>
      <c r="AC559" s="66"/>
      <c r="AD559" s="66">
        <f t="shared" si="258"/>
        <v>6695.4623999999994</v>
      </c>
      <c r="AE559" s="66">
        <f t="shared" si="259"/>
        <v>30223.280473508708</v>
      </c>
      <c r="AF559" s="101">
        <f t="shared" si="260"/>
        <v>268774</v>
      </c>
      <c r="AG559" s="101">
        <f t="shared" si="261"/>
        <v>305425</v>
      </c>
    </row>
    <row r="560" spans="1:33" s="68" customFormat="1" x14ac:dyDescent="0.2">
      <c r="A560" s="147" t="s">
        <v>1083</v>
      </c>
      <c r="B560" s="147"/>
      <c r="C560" s="147"/>
      <c r="D560" s="148">
        <v>1</v>
      </c>
      <c r="E560" s="149"/>
      <c r="F560" s="150">
        <v>0.12</v>
      </c>
      <c r="G560" s="150"/>
      <c r="H560" s="67">
        <v>1484</v>
      </c>
      <c r="I560" s="67">
        <f>+$H$42*H560</f>
        <v>1418.5358785772028</v>
      </c>
      <c r="J560" s="67">
        <f t="shared" ref="J560:J566" si="264">I560*(1-F560)</f>
        <v>1248.3115731479384</v>
      </c>
      <c r="K560" s="63"/>
      <c r="L560" s="149">
        <v>0</v>
      </c>
      <c r="M560" s="63">
        <f t="shared" si="232"/>
        <v>0</v>
      </c>
      <c r="N560" s="63">
        <f t="shared" ref="N560:N566" si="265">M560*(1-F560)</f>
        <v>0</v>
      </c>
      <c r="O560" s="69"/>
      <c r="P560" s="149">
        <v>0</v>
      </c>
      <c r="Q560" s="63">
        <f>+P560*$P$42</f>
        <v>0</v>
      </c>
      <c r="R560" s="64">
        <f t="shared" ref="R560:R566" si="266">Q560*(1-F560)</f>
        <v>0</v>
      </c>
      <c r="S560" s="148">
        <v>5</v>
      </c>
      <c r="T560" s="151" t="s">
        <v>15</v>
      </c>
      <c r="U560" s="65">
        <f>SUMIF('Avoided Costs 2012-2020_EGD'!$A:$A,'2012 Actuals_Auditor'!T560&amp;'2012 Actuals_Auditor'!S560,'Avoided Costs 2012-2020_EGD'!$E:$E)*J560</f>
        <v>1040.5329531080263</v>
      </c>
      <c r="V560" s="65">
        <f>SUMIF('Avoided Costs 2012-2020_EGD'!$A:$A,'2012 Actuals_Auditor'!T560&amp;'2012 Actuals_Auditor'!S560,'Avoided Costs 2012-2020_EGD'!$K:$K)*N560</f>
        <v>0</v>
      </c>
      <c r="W560" s="65">
        <f>SUMIF('Avoided Costs 2012-2020_EGD'!$A:$A,'2012 Actuals_Auditor'!T560&amp;'2012 Actuals_Auditor'!S560,'Avoided Costs 2012-2020_EGD'!$M:$M)*R560</f>
        <v>0</v>
      </c>
      <c r="X560" s="65">
        <f t="shared" si="234"/>
        <v>1040.5329531080263</v>
      </c>
      <c r="Y560" s="146">
        <v>5000</v>
      </c>
      <c r="Z560" s="66">
        <f t="shared" ref="Z560:Z566" si="267">Y560*(1-F560)</f>
        <v>4400</v>
      </c>
      <c r="AA560" s="66"/>
      <c r="AB560" s="66"/>
      <c r="AC560" s="66"/>
      <c r="AD560" s="66">
        <f t="shared" ref="AD560:AD567" si="268">Z560+AB560</f>
        <v>4400</v>
      </c>
      <c r="AE560" s="66">
        <f t="shared" ref="AE560:AE591" si="269">X560-AD560</f>
        <v>-3359.467046891974</v>
      </c>
      <c r="AF560" s="101">
        <f t="shared" ref="AF560:AF566" si="270">J560*S560</f>
        <v>6241.5578657396918</v>
      </c>
      <c r="AG560" s="101">
        <f t="shared" ref="AG560:AG566" si="271">(I560*S560)</f>
        <v>7092.6793928860134</v>
      </c>
    </row>
    <row r="561" spans="1:33" s="68" customFormat="1" x14ac:dyDescent="0.2">
      <c r="A561" s="147" t="s">
        <v>1084</v>
      </c>
      <c r="B561" s="147"/>
      <c r="C561" s="147"/>
      <c r="D561" s="148">
        <v>1</v>
      </c>
      <c r="E561" s="149"/>
      <c r="F561" s="150">
        <v>0.12</v>
      </c>
      <c r="G561" s="150"/>
      <c r="H561" s="67">
        <v>48476</v>
      </c>
      <c r="I561" s="67">
        <f>H561</f>
        <v>48476</v>
      </c>
      <c r="J561" s="67">
        <f t="shared" si="264"/>
        <v>42658.879999999997</v>
      </c>
      <c r="K561" s="63"/>
      <c r="L561" s="149">
        <v>0</v>
      </c>
      <c r="M561" s="63">
        <f>L561</f>
        <v>0</v>
      </c>
      <c r="N561" s="63">
        <f t="shared" si="265"/>
        <v>0</v>
      </c>
      <c r="O561" s="69"/>
      <c r="P561" s="149">
        <v>0</v>
      </c>
      <c r="Q561" s="63">
        <f>+P561</f>
        <v>0</v>
      </c>
      <c r="R561" s="64">
        <f t="shared" si="266"/>
        <v>0</v>
      </c>
      <c r="S561" s="148">
        <v>25</v>
      </c>
      <c r="T561" s="151" t="s">
        <v>15</v>
      </c>
      <c r="U561" s="65">
        <f>SUMIF('Avoided Costs 2012-2020_EGD'!$A:$A,'2012 Actuals_Auditor'!T561&amp;'2012 Actuals_Auditor'!S561,'Avoided Costs 2012-2020_EGD'!$E:$E)*J561</f>
        <v>146490.38057920994</v>
      </c>
      <c r="V561" s="65">
        <f>SUMIF('Avoided Costs 2012-2020_EGD'!$A:$A,'2012 Actuals_Auditor'!T561&amp;'2012 Actuals_Auditor'!S561,'Avoided Costs 2012-2020_EGD'!$K:$K)*N561</f>
        <v>0</v>
      </c>
      <c r="W561" s="65">
        <f>SUMIF('Avoided Costs 2012-2020_EGD'!$A:$A,'2012 Actuals_Auditor'!T561&amp;'2012 Actuals_Auditor'!S561,'Avoided Costs 2012-2020_EGD'!$M:$M)*R561</f>
        <v>0</v>
      </c>
      <c r="X561" s="65">
        <f t="shared" si="234"/>
        <v>146490.38057920994</v>
      </c>
      <c r="Y561" s="146">
        <v>12733.6</v>
      </c>
      <c r="Z561" s="66">
        <f t="shared" si="267"/>
        <v>11205.568000000001</v>
      </c>
      <c r="AA561" s="66"/>
      <c r="AB561" s="66"/>
      <c r="AC561" s="66"/>
      <c r="AD561" s="66">
        <f t="shared" si="268"/>
        <v>11205.568000000001</v>
      </c>
      <c r="AE561" s="66">
        <f t="shared" si="269"/>
        <v>135284.81257920995</v>
      </c>
      <c r="AF561" s="101">
        <f t="shared" si="270"/>
        <v>1066472</v>
      </c>
      <c r="AG561" s="101">
        <f t="shared" si="271"/>
        <v>1211900</v>
      </c>
    </row>
    <row r="562" spans="1:33" s="68" customFormat="1" x14ac:dyDescent="0.2">
      <c r="A562" s="147" t="s">
        <v>1085</v>
      </c>
      <c r="B562" s="147"/>
      <c r="C562" s="147"/>
      <c r="D562" s="148">
        <v>1</v>
      </c>
      <c r="E562" s="149"/>
      <c r="F562" s="150">
        <v>0.12</v>
      </c>
      <c r="G562" s="150"/>
      <c r="H562" s="67">
        <v>22543</v>
      </c>
      <c r="I562" s="67">
        <f>+$H$42*H562</f>
        <v>21548.554117766769</v>
      </c>
      <c r="J562" s="67">
        <f t="shared" si="264"/>
        <v>18962.727623634757</v>
      </c>
      <c r="K562" s="63"/>
      <c r="L562" s="149">
        <v>0</v>
      </c>
      <c r="M562" s="63">
        <f t="shared" si="232"/>
        <v>0</v>
      </c>
      <c r="N562" s="63">
        <f t="shared" si="265"/>
        <v>0</v>
      </c>
      <c r="O562" s="69"/>
      <c r="P562" s="149">
        <v>0</v>
      </c>
      <c r="Q562" s="63">
        <f>+P562*$P$42</f>
        <v>0</v>
      </c>
      <c r="R562" s="64">
        <f t="shared" si="266"/>
        <v>0</v>
      </c>
      <c r="S562" s="148">
        <v>5</v>
      </c>
      <c r="T562" s="151" t="s">
        <v>15</v>
      </c>
      <c r="U562" s="65">
        <f>SUMIF('Avoided Costs 2012-2020_EGD'!$A:$A,'2012 Actuals_Auditor'!T562&amp;'2012 Actuals_Auditor'!S562,'Avoided Costs 2012-2020_EGD'!$E:$E)*J562</f>
        <v>15806.424772179409</v>
      </c>
      <c r="V562" s="65">
        <f>SUMIF('Avoided Costs 2012-2020_EGD'!$A:$A,'2012 Actuals_Auditor'!T562&amp;'2012 Actuals_Auditor'!S562,'Avoided Costs 2012-2020_EGD'!$K:$K)*N562</f>
        <v>0</v>
      </c>
      <c r="W562" s="65">
        <f>SUMIF('Avoided Costs 2012-2020_EGD'!$A:$A,'2012 Actuals_Auditor'!T562&amp;'2012 Actuals_Auditor'!S562,'Avoided Costs 2012-2020_EGD'!$M:$M)*R562</f>
        <v>0</v>
      </c>
      <c r="X562" s="65">
        <f t="shared" si="234"/>
        <v>15806.424772179409</v>
      </c>
      <c r="Y562" s="146">
        <v>2000</v>
      </c>
      <c r="Z562" s="66">
        <f t="shared" si="267"/>
        <v>1760</v>
      </c>
      <c r="AA562" s="66"/>
      <c r="AB562" s="66"/>
      <c r="AC562" s="66"/>
      <c r="AD562" s="66">
        <f t="shared" si="268"/>
        <v>1760</v>
      </c>
      <c r="AE562" s="66">
        <f t="shared" si="269"/>
        <v>14046.424772179409</v>
      </c>
      <c r="AF562" s="101">
        <f t="shared" si="270"/>
        <v>94813.638118173782</v>
      </c>
      <c r="AG562" s="101">
        <f t="shared" si="271"/>
        <v>107742.77058883384</v>
      </c>
    </row>
    <row r="563" spans="1:33" s="68" customFormat="1" x14ac:dyDescent="0.2">
      <c r="A563" s="147" t="s">
        <v>1086</v>
      </c>
      <c r="B563" s="147"/>
      <c r="C563" s="147"/>
      <c r="D563" s="148">
        <v>1</v>
      </c>
      <c r="E563" s="149"/>
      <c r="F563" s="150">
        <v>0.12</v>
      </c>
      <c r="G563" s="150"/>
      <c r="H563" s="67">
        <v>12217</v>
      </c>
      <c r="I563" s="67">
        <f>H563</f>
        <v>12217</v>
      </c>
      <c r="J563" s="67">
        <f t="shared" si="264"/>
        <v>10750.960000000001</v>
      </c>
      <c r="K563" s="63"/>
      <c r="L563" s="149">
        <v>0</v>
      </c>
      <c r="M563" s="63">
        <f>L563</f>
        <v>0</v>
      </c>
      <c r="N563" s="63">
        <f t="shared" si="265"/>
        <v>0</v>
      </c>
      <c r="O563" s="69"/>
      <c r="P563" s="149">
        <v>0</v>
      </c>
      <c r="Q563" s="63">
        <f>+P563</f>
        <v>0</v>
      </c>
      <c r="R563" s="64">
        <f t="shared" si="266"/>
        <v>0</v>
      </c>
      <c r="S563" s="148">
        <v>25</v>
      </c>
      <c r="T563" s="151" t="s">
        <v>15</v>
      </c>
      <c r="U563" s="65">
        <f>SUMIF('Avoided Costs 2012-2020_EGD'!$A:$A,'2012 Actuals_Auditor'!T563&amp;'2012 Actuals_Auditor'!S563,'Avoided Costs 2012-2020_EGD'!$E:$E)*J563</f>
        <v>36918.742873508709</v>
      </c>
      <c r="V563" s="65">
        <f>SUMIF('Avoided Costs 2012-2020_EGD'!$A:$A,'2012 Actuals_Auditor'!T563&amp;'2012 Actuals_Auditor'!S563,'Avoided Costs 2012-2020_EGD'!$K:$K)*N563</f>
        <v>0</v>
      </c>
      <c r="W563" s="65">
        <f>SUMIF('Avoided Costs 2012-2020_EGD'!$A:$A,'2012 Actuals_Auditor'!T563&amp;'2012 Actuals_Auditor'!S563,'Avoided Costs 2012-2020_EGD'!$M:$M)*R563</f>
        <v>0</v>
      </c>
      <c r="X563" s="65">
        <f t="shared" si="234"/>
        <v>36918.742873508709</v>
      </c>
      <c r="Y563" s="146">
        <v>7608.48</v>
      </c>
      <c r="Z563" s="66">
        <f t="shared" si="267"/>
        <v>6695.4623999999994</v>
      </c>
      <c r="AA563" s="66"/>
      <c r="AB563" s="66"/>
      <c r="AC563" s="66"/>
      <c r="AD563" s="66">
        <f t="shared" si="268"/>
        <v>6695.4623999999994</v>
      </c>
      <c r="AE563" s="66">
        <f t="shared" si="269"/>
        <v>30223.280473508708</v>
      </c>
      <c r="AF563" s="101">
        <f t="shared" si="270"/>
        <v>268774</v>
      </c>
      <c r="AG563" s="101">
        <f t="shared" si="271"/>
        <v>305425</v>
      </c>
    </row>
    <row r="564" spans="1:33" s="68" customFormat="1" x14ac:dyDescent="0.2">
      <c r="A564" s="147" t="s">
        <v>1087</v>
      </c>
      <c r="B564" s="147"/>
      <c r="C564" s="147"/>
      <c r="D564" s="148">
        <v>1</v>
      </c>
      <c r="E564" s="149"/>
      <c r="F564" s="150">
        <v>0.12</v>
      </c>
      <c r="G564" s="150"/>
      <c r="H564" s="67">
        <v>9825</v>
      </c>
      <c r="I564" s="67">
        <f>+$H$42*H564</f>
        <v>9391.5869319548638</v>
      </c>
      <c r="J564" s="67">
        <f t="shared" si="264"/>
        <v>8264.5965001202803</v>
      </c>
      <c r="K564" s="63"/>
      <c r="L564" s="149">
        <v>0</v>
      </c>
      <c r="M564" s="63">
        <f t="shared" si="232"/>
        <v>0</v>
      </c>
      <c r="N564" s="63">
        <f t="shared" si="265"/>
        <v>0</v>
      </c>
      <c r="O564" s="69"/>
      <c r="P564" s="149">
        <v>0</v>
      </c>
      <c r="Q564" s="63">
        <f>+P564*$P$42</f>
        <v>0</v>
      </c>
      <c r="R564" s="64">
        <f t="shared" si="266"/>
        <v>0</v>
      </c>
      <c r="S564" s="148">
        <v>5</v>
      </c>
      <c r="T564" s="151" t="s">
        <v>15</v>
      </c>
      <c r="U564" s="65">
        <f>SUMIF('Avoided Costs 2012-2020_EGD'!$A:$A,'2012 Actuals_Auditor'!T564&amp;'2012 Actuals_Auditor'!S564,'Avoided Costs 2012-2020_EGD'!$E:$E)*J564</f>
        <v>6888.9732239126415</v>
      </c>
      <c r="V564" s="65">
        <f>SUMIF('Avoided Costs 2012-2020_EGD'!$A:$A,'2012 Actuals_Auditor'!T564&amp;'2012 Actuals_Auditor'!S564,'Avoided Costs 2012-2020_EGD'!$K:$K)*N564</f>
        <v>0</v>
      </c>
      <c r="W564" s="65">
        <f>SUMIF('Avoided Costs 2012-2020_EGD'!$A:$A,'2012 Actuals_Auditor'!T564&amp;'2012 Actuals_Auditor'!S564,'Avoided Costs 2012-2020_EGD'!$M:$M)*R564</f>
        <v>0</v>
      </c>
      <c r="X564" s="65">
        <f t="shared" si="234"/>
        <v>6888.9732239126415</v>
      </c>
      <c r="Y564" s="146">
        <v>5000</v>
      </c>
      <c r="Z564" s="66">
        <f t="shared" si="267"/>
        <v>4400</v>
      </c>
      <c r="AA564" s="66"/>
      <c r="AB564" s="66"/>
      <c r="AC564" s="66"/>
      <c r="AD564" s="66">
        <f t="shared" si="268"/>
        <v>4400</v>
      </c>
      <c r="AE564" s="66">
        <f t="shared" si="269"/>
        <v>2488.9732239126415</v>
      </c>
      <c r="AF564" s="101">
        <f t="shared" si="270"/>
        <v>41322.9825006014</v>
      </c>
      <c r="AG564" s="101">
        <f t="shared" si="271"/>
        <v>46957.934659774321</v>
      </c>
    </row>
    <row r="565" spans="1:33" s="68" customFormat="1" x14ac:dyDescent="0.2">
      <c r="A565" s="147" t="s">
        <v>1088</v>
      </c>
      <c r="B565" s="147"/>
      <c r="C565" s="147"/>
      <c r="D565" s="148">
        <v>1</v>
      </c>
      <c r="E565" s="149"/>
      <c r="F565" s="150">
        <v>0.12</v>
      </c>
      <c r="G565" s="150"/>
      <c r="H565" s="67">
        <v>3933</v>
      </c>
      <c r="I565" s="67">
        <f>+$H$42*H565</f>
        <v>3759.50243291384</v>
      </c>
      <c r="J565" s="67">
        <f t="shared" si="264"/>
        <v>3308.3621409641792</v>
      </c>
      <c r="K565" s="63"/>
      <c r="L565" s="149">
        <v>0</v>
      </c>
      <c r="M565" s="63">
        <f t="shared" si="232"/>
        <v>0</v>
      </c>
      <c r="N565" s="63">
        <f t="shared" si="265"/>
        <v>0</v>
      </c>
      <c r="O565" s="69"/>
      <c r="P565" s="149">
        <v>0</v>
      </c>
      <c r="Q565" s="63">
        <f>+P565*$P$42</f>
        <v>0</v>
      </c>
      <c r="R565" s="64">
        <f t="shared" si="266"/>
        <v>0</v>
      </c>
      <c r="S565" s="148">
        <v>5</v>
      </c>
      <c r="T565" s="151" t="s">
        <v>15</v>
      </c>
      <c r="U565" s="65">
        <f>SUMIF('Avoided Costs 2012-2020_EGD'!$A:$A,'2012 Actuals_Auditor'!T565&amp;'2012 Actuals_Auditor'!S565,'Avoided Costs 2012-2020_EGD'!$E:$E)*J565</f>
        <v>2757.6927928395335</v>
      </c>
      <c r="V565" s="65">
        <f>SUMIF('Avoided Costs 2012-2020_EGD'!$A:$A,'2012 Actuals_Auditor'!T565&amp;'2012 Actuals_Auditor'!S565,'Avoided Costs 2012-2020_EGD'!$K:$K)*N565</f>
        <v>0</v>
      </c>
      <c r="W565" s="65">
        <f>SUMIF('Avoided Costs 2012-2020_EGD'!$A:$A,'2012 Actuals_Auditor'!T565&amp;'2012 Actuals_Auditor'!S565,'Avoided Costs 2012-2020_EGD'!$M:$M)*R565</f>
        <v>0</v>
      </c>
      <c r="X565" s="65">
        <f t="shared" si="234"/>
        <v>2757.6927928395335</v>
      </c>
      <c r="Y565" s="146">
        <v>0</v>
      </c>
      <c r="Z565" s="66">
        <f t="shared" si="267"/>
        <v>0</v>
      </c>
      <c r="AA565" s="66"/>
      <c r="AB565" s="66"/>
      <c r="AC565" s="66"/>
      <c r="AD565" s="66">
        <f t="shared" si="268"/>
        <v>0</v>
      </c>
      <c r="AE565" s="66">
        <f t="shared" si="269"/>
        <v>2757.6927928395335</v>
      </c>
      <c r="AF565" s="101">
        <f t="shared" si="270"/>
        <v>16541.810704820895</v>
      </c>
      <c r="AG565" s="101">
        <f t="shared" si="271"/>
        <v>18797.512164569202</v>
      </c>
    </row>
    <row r="566" spans="1:33" s="68" customFormat="1" x14ac:dyDescent="0.2">
      <c r="A566" s="147" t="s">
        <v>1089</v>
      </c>
      <c r="B566" s="147"/>
      <c r="C566" s="147"/>
      <c r="D566" s="148">
        <v>1</v>
      </c>
      <c r="E566" s="149"/>
      <c r="F566" s="150">
        <v>0.12</v>
      </c>
      <c r="G566" s="150"/>
      <c r="H566" s="67">
        <v>3496</v>
      </c>
      <c r="I566" s="67">
        <f>H566</f>
        <v>3496</v>
      </c>
      <c r="J566" s="67">
        <f t="shared" si="264"/>
        <v>3076.48</v>
      </c>
      <c r="K566" s="63"/>
      <c r="L566" s="149">
        <v>0</v>
      </c>
      <c r="M566" s="63">
        <f>L566</f>
        <v>0</v>
      </c>
      <c r="N566" s="63">
        <f t="shared" si="265"/>
        <v>0</v>
      </c>
      <c r="O566" s="69"/>
      <c r="P566" s="149">
        <v>0</v>
      </c>
      <c r="Q566" s="63">
        <f>+P566</f>
        <v>0</v>
      </c>
      <c r="R566" s="64">
        <f t="shared" si="266"/>
        <v>0</v>
      </c>
      <c r="S566" s="148">
        <v>25</v>
      </c>
      <c r="T566" s="151" t="s">
        <v>15</v>
      </c>
      <c r="U566" s="65">
        <f>SUMIF('Avoided Costs 2012-2020_EGD'!$A:$A,'2012 Actuals_Auditor'!T566&amp;'2012 Actuals_Auditor'!S566,'Avoided Costs 2012-2020_EGD'!$E:$E)*J566</f>
        <v>10564.616934254434</v>
      </c>
      <c r="V566" s="65">
        <f>SUMIF('Avoided Costs 2012-2020_EGD'!$A:$A,'2012 Actuals_Auditor'!T566&amp;'2012 Actuals_Auditor'!S566,'Avoided Costs 2012-2020_EGD'!$K:$K)*N566</f>
        <v>0</v>
      </c>
      <c r="W566" s="65">
        <f>SUMIF('Avoided Costs 2012-2020_EGD'!$A:$A,'2012 Actuals_Auditor'!T566&amp;'2012 Actuals_Auditor'!S566,'Avoided Costs 2012-2020_EGD'!$M:$M)*R566</f>
        <v>0</v>
      </c>
      <c r="X566" s="65">
        <f t="shared" si="234"/>
        <v>10564.616934254434</v>
      </c>
      <c r="Y566" s="146">
        <v>4500</v>
      </c>
      <c r="Z566" s="66">
        <f t="shared" si="267"/>
        <v>3960</v>
      </c>
      <c r="AA566" s="66"/>
      <c r="AB566" s="66"/>
      <c r="AC566" s="66"/>
      <c r="AD566" s="66">
        <f t="shared" si="268"/>
        <v>3960</v>
      </c>
      <c r="AE566" s="66">
        <f t="shared" si="269"/>
        <v>6604.6169342544345</v>
      </c>
      <c r="AF566" s="101">
        <f t="shared" si="270"/>
        <v>76912</v>
      </c>
      <c r="AG566" s="101">
        <f t="shared" si="271"/>
        <v>87400</v>
      </c>
    </row>
    <row r="567" spans="1:33" s="59" customFormat="1" x14ac:dyDescent="0.2">
      <c r="A567" s="152" t="s">
        <v>3</v>
      </c>
      <c r="B567" s="152" t="s">
        <v>985</v>
      </c>
      <c r="C567" s="155"/>
      <c r="D567" s="153">
        <f>SUM(D464:D566)</f>
        <v>103</v>
      </c>
      <c r="E567" s="67"/>
      <c r="F567" s="154"/>
      <c r="G567" s="228"/>
      <c r="H567" s="67">
        <f>SUM(H464:H566)</f>
        <v>1390642</v>
      </c>
      <c r="I567" s="67">
        <f>SUM(I464:I566)</f>
        <v>1354795.9380787923</v>
      </c>
      <c r="J567" s="67">
        <f>SUM(J464:J566)</f>
        <v>1192220.4255093376</v>
      </c>
      <c r="K567" s="64"/>
      <c r="L567" s="67">
        <f>SUM(L464:L566)</f>
        <v>346311</v>
      </c>
      <c r="M567" s="67">
        <f>SUM(M464:M566)</f>
        <v>346311</v>
      </c>
      <c r="N567" s="67">
        <f>SUM(N464:N566)</f>
        <v>304753.68</v>
      </c>
      <c r="O567" s="229"/>
      <c r="P567" s="67">
        <f>SUM(P464:P566)</f>
        <v>0</v>
      </c>
      <c r="Q567" s="67">
        <f>SUM(Q464:Q566)</f>
        <v>0</v>
      </c>
      <c r="R567" s="67">
        <f>SUM(R464:R566)</f>
        <v>0</v>
      </c>
      <c r="S567" s="153"/>
      <c r="T567" s="155"/>
      <c r="U567" s="66">
        <f>SUM(U464:U566)</f>
        <v>2883930.3391480017</v>
      </c>
      <c r="V567" s="66">
        <f>SUM(V464:V566)</f>
        <v>239991.80677773844</v>
      </c>
      <c r="W567" s="66">
        <f>SUM(W464:W566)</f>
        <v>0</v>
      </c>
      <c r="X567" s="66">
        <f>SUM(X464:X566)</f>
        <v>3123922.1459257393</v>
      </c>
      <c r="Y567" s="146"/>
      <c r="Z567" s="66">
        <f>SUM(Z464:Z566)</f>
        <v>2133431.3087999998</v>
      </c>
      <c r="AA567" s="66">
        <v>146686.85999999999</v>
      </c>
      <c r="AB567" s="66">
        <v>11298.92</v>
      </c>
      <c r="AC567" s="66">
        <f>AB567+AA567</f>
        <v>157985.78</v>
      </c>
      <c r="AD567" s="66">
        <f t="shared" si="268"/>
        <v>2144730.2287999997</v>
      </c>
      <c r="AE567" s="230">
        <f t="shared" si="269"/>
        <v>979191.91712573962</v>
      </c>
      <c r="AF567" s="101">
        <f>SUM(AF464:AF566)</f>
        <v>20247279.769612648</v>
      </c>
      <c r="AG567" s="101">
        <f>SUM(AG464:AG566)</f>
        <v>23008272.465468921</v>
      </c>
    </row>
    <row r="568" spans="1:33" x14ac:dyDescent="0.2">
      <c r="A568" s="140"/>
      <c r="F568" s="17"/>
      <c r="G568" s="17"/>
      <c r="M568" s="17"/>
      <c r="O568" s="17"/>
      <c r="P568" s="17"/>
      <c r="Q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</row>
    <row r="569" spans="1:33" x14ac:dyDescent="0.2">
      <c r="A569" s="140" t="s">
        <v>131</v>
      </c>
      <c r="B569" s="10" t="s">
        <v>47</v>
      </c>
      <c r="J569" s="13"/>
      <c r="K569" s="54"/>
      <c r="L569" s="54"/>
      <c r="O569" s="21"/>
      <c r="P569" s="22"/>
      <c r="R569" s="13"/>
      <c r="S569" s="13"/>
      <c r="Z569" s="57"/>
      <c r="AA569" s="57"/>
      <c r="AC569" s="57"/>
      <c r="AD569" s="57"/>
      <c r="AE569" s="57"/>
      <c r="AF569" s="100"/>
      <c r="AG569" s="100"/>
    </row>
    <row r="570" spans="1:33" s="68" customFormat="1" x14ac:dyDescent="0.2">
      <c r="A570" s="147" t="s">
        <v>116</v>
      </c>
      <c r="B570" s="147"/>
      <c r="C570" s="147"/>
      <c r="D570" s="148">
        <v>1</v>
      </c>
      <c r="E570" s="149"/>
      <c r="F570" s="150">
        <v>0.12</v>
      </c>
      <c r="G570" s="150"/>
      <c r="H570" s="67">
        <v>37449</v>
      </c>
      <c r="I570" s="67">
        <f>+$H$42*H570</f>
        <v>35797.001426440474</v>
      </c>
      <c r="J570" s="67">
        <f t="shared" ref="J570:J584" si="272">I570*(1-F570)</f>
        <v>31501.361255267617</v>
      </c>
      <c r="K570" s="63"/>
      <c r="L570" s="149">
        <v>0</v>
      </c>
      <c r="M570" s="63">
        <f t="shared" ref="M570:M584" si="273">+$L$42*L570</f>
        <v>0</v>
      </c>
      <c r="N570" s="63">
        <f t="shared" ref="N570:N584" si="274">M570*(1-F570)</f>
        <v>0</v>
      </c>
      <c r="O570" s="69"/>
      <c r="P570" s="149">
        <v>0</v>
      </c>
      <c r="Q570" s="63">
        <f>+P570*$P$42</f>
        <v>0</v>
      </c>
      <c r="R570" s="64">
        <f t="shared" ref="R570:R584" si="275">Q570*(1-F570)</f>
        <v>0</v>
      </c>
      <c r="S570" s="153">
        <v>5</v>
      </c>
      <c r="T570" s="155" t="s">
        <v>15</v>
      </c>
      <c r="U570" s="65">
        <f>SUMIF('Avoided Costs 2012-2020_EGD'!$A:$A,'2012 Actuals_Auditor'!T570&amp;'2012 Actuals_Auditor'!S570,'Avoided Costs 2012-2020_EGD'!$E:$E)*J570</f>
        <v>26258.031375298167</v>
      </c>
      <c r="V570" s="65">
        <f>SUMIF('Avoided Costs 2012-2020_EGD'!$A:$A,'2012 Actuals_Auditor'!T570&amp;'2012 Actuals_Auditor'!S570,'Avoided Costs 2012-2020_EGD'!$K:$K)*N570</f>
        <v>0</v>
      </c>
      <c r="W570" s="65">
        <f>SUMIF('Avoided Costs 2012-2020_EGD'!$A:$A,'2012 Actuals_Auditor'!T570&amp;'2012 Actuals_Auditor'!S570,'Avoided Costs 2012-2020_EGD'!$M:$M)*R570</f>
        <v>0</v>
      </c>
      <c r="X570" s="65">
        <f>SUM(U570:W570)</f>
        <v>26258.031375298167</v>
      </c>
      <c r="Y570" s="146">
        <v>1586.5</v>
      </c>
      <c r="Z570" s="66">
        <f t="shared" ref="Z570:Z584" si="276">Y570*(1-F570)</f>
        <v>1396.1200000000001</v>
      </c>
      <c r="AA570" s="66"/>
      <c r="AB570" s="66"/>
      <c r="AC570" s="66"/>
      <c r="AD570" s="66">
        <f t="shared" ref="AD570:AD585" si="277">Z570+AB570</f>
        <v>1396.1200000000001</v>
      </c>
      <c r="AE570" s="66">
        <f t="shared" ref="AE570:AE585" si="278">X570-AD570</f>
        <v>24861.911375298168</v>
      </c>
      <c r="AF570" s="101">
        <f t="shared" ref="AF570:AF584" si="279">J570*S570</f>
        <v>157506.80627633809</v>
      </c>
      <c r="AG570" s="101">
        <f t="shared" ref="AG570:AG584" si="280">(I570*S570)</f>
        <v>178985.00713220239</v>
      </c>
    </row>
    <row r="571" spans="1:33" s="68" customFormat="1" x14ac:dyDescent="0.2">
      <c r="A571" s="147" t="s">
        <v>117</v>
      </c>
      <c r="B571" s="147"/>
      <c r="C571" s="147"/>
      <c r="D571" s="148">
        <v>0</v>
      </c>
      <c r="E571" s="149"/>
      <c r="F571" s="150">
        <v>0.12</v>
      </c>
      <c r="G571" s="150"/>
      <c r="H571" s="67">
        <v>36668</v>
      </c>
      <c r="I571" s="67">
        <f>+$H$42*H571</f>
        <v>35050.453905437244</v>
      </c>
      <c r="J571" s="67">
        <f t="shared" si="272"/>
        <v>30844.399436784774</v>
      </c>
      <c r="K571" s="63"/>
      <c r="L571" s="149">
        <v>0</v>
      </c>
      <c r="M571" s="63">
        <f t="shared" si="273"/>
        <v>0</v>
      </c>
      <c r="N571" s="63">
        <f t="shared" si="274"/>
        <v>0</v>
      </c>
      <c r="O571" s="69"/>
      <c r="P571" s="149">
        <v>0</v>
      </c>
      <c r="Q571" s="63">
        <f>+P571*$P$42</f>
        <v>0</v>
      </c>
      <c r="R571" s="64">
        <f t="shared" si="275"/>
        <v>0</v>
      </c>
      <c r="S571" s="153">
        <v>25</v>
      </c>
      <c r="T571" s="155" t="s">
        <v>52</v>
      </c>
      <c r="U571" s="65">
        <f>SUMIF('Avoided Costs 2012-2020_EGD'!$A:$A,'2012 Actuals_Auditor'!T571&amp;'2012 Actuals_Auditor'!S571,'Avoided Costs 2012-2020_EGD'!$E:$E)*J571</f>
        <v>99528.449561826579</v>
      </c>
      <c r="V571" s="65">
        <f>SUMIF('Avoided Costs 2012-2020_EGD'!$A:$A,'2012 Actuals_Auditor'!T571&amp;'2012 Actuals_Auditor'!S571,'Avoided Costs 2012-2020_EGD'!$K:$K)*N571</f>
        <v>0</v>
      </c>
      <c r="W571" s="65">
        <f>SUMIF('Avoided Costs 2012-2020_EGD'!$A:$A,'2012 Actuals_Auditor'!T571&amp;'2012 Actuals_Auditor'!S571,'Avoided Costs 2012-2020_EGD'!$M:$M)*R571</f>
        <v>0</v>
      </c>
      <c r="X571" s="65">
        <f t="shared" ref="X571:X584" si="281">SUM(U571:W571)</f>
        <v>99528.449561826579</v>
      </c>
      <c r="Y571" s="146">
        <v>14821</v>
      </c>
      <c r="Z571" s="66">
        <f t="shared" si="276"/>
        <v>13042.48</v>
      </c>
      <c r="AA571" s="66"/>
      <c r="AB571" s="66"/>
      <c r="AC571" s="66"/>
      <c r="AD571" s="66">
        <f t="shared" si="277"/>
        <v>13042.48</v>
      </c>
      <c r="AE571" s="66">
        <f t="shared" si="278"/>
        <v>86485.969561826583</v>
      </c>
      <c r="AF571" s="101">
        <f t="shared" si="279"/>
        <v>771109.98591961933</v>
      </c>
      <c r="AG571" s="101">
        <f t="shared" si="280"/>
        <v>876261.3476359311</v>
      </c>
    </row>
    <row r="572" spans="1:33" s="68" customFormat="1" x14ac:dyDescent="0.2">
      <c r="A572" s="147" t="s">
        <v>118</v>
      </c>
      <c r="B572" s="147"/>
      <c r="C572" s="147"/>
      <c r="D572" s="148">
        <v>1</v>
      </c>
      <c r="E572" s="149"/>
      <c r="F572" s="150">
        <v>0.12</v>
      </c>
      <c r="G572" s="150"/>
      <c r="H572" s="67">
        <v>94510</v>
      </c>
      <c r="I572" s="67">
        <f>+$H$42*H572</f>
        <v>90340.853021786679</v>
      </c>
      <c r="J572" s="67">
        <f t="shared" si="272"/>
        <v>79499.950659172275</v>
      </c>
      <c r="K572" s="63"/>
      <c r="L572" s="149">
        <v>0</v>
      </c>
      <c r="M572" s="63">
        <f t="shared" si="273"/>
        <v>0</v>
      </c>
      <c r="N572" s="63">
        <f t="shared" si="274"/>
        <v>0</v>
      </c>
      <c r="O572" s="69"/>
      <c r="P572" s="149">
        <v>0</v>
      </c>
      <c r="Q572" s="63">
        <f>+P572*$P$42</f>
        <v>0</v>
      </c>
      <c r="R572" s="64">
        <f t="shared" si="275"/>
        <v>0</v>
      </c>
      <c r="S572" s="153">
        <v>25</v>
      </c>
      <c r="T572" s="155" t="s">
        <v>15</v>
      </c>
      <c r="U572" s="65">
        <f>SUMIF('Avoided Costs 2012-2020_EGD'!$A:$A,'2012 Actuals_Auditor'!T572&amp;'2012 Actuals_Auditor'!S572,'Avoided Costs 2012-2020_EGD'!$E:$E)*J572</f>
        <v>273002.43297739088</v>
      </c>
      <c r="V572" s="65">
        <f>SUMIF('Avoided Costs 2012-2020_EGD'!$A:$A,'2012 Actuals_Auditor'!T572&amp;'2012 Actuals_Auditor'!S572,'Avoided Costs 2012-2020_EGD'!$K:$K)*N572</f>
        <v>0</v>
      </c>
      <c r="W572" s="65">
        <f>SUMIF('Avoided Costs 2012-2020_EGD'!$A:$A,'2012 Actuals_Auditor'!T572&amp;'2012 Actuals_Auditor'!S572,'Avoided Costs 2012-2020_EGD'!$M:$M)*R572</f>
        <v>0</v>
      </c>
      <c r="X572" s="65">
        <f t="shared" si="281"/>
        <v>273002.43297739088</v>
      </c>
      <c r="Y572" s="146">
        <v>16488</v>
      </c>
      <c r="Z572" s="66">
        <f t="shared" si="276"/>
        <v>14509.44</v>
      </c>
      <c r="AA572" s="66"/>
      <c r="AB572" s="66"/>
      <c r="AC572" s="66"/>
      <c r="AD572" s="66">
        <f t="shared" si="277"/>
        <v>14509.44</v>
      </c>
      <c r="AE572" s="66">
        <f t="shared" si="278"/>
        <v>258492.99297739088</v>
      </c>
      <c r="AF572" s="101">
        <f t="shared" si="279"/>
        <v>1987498.7664793069</v>
      </c>
      <c r="AG572" s="101">
        <f t="shared" si="280"/>
        <v>2258521.325544667</v>
      </c>
    </row>
    <row r="573" spans="1:33" s="68" customFormat="1" x14ac:dyDescent="0.2">
      <c r="A573" s="147" t="s">
        <v>119</v>
      </c>
      <c r="B573" s="147"/>
      <c r="C573" s="147"/>
      <c r="D573" s="148">
        <v>1</v>
      </c>
      <c r="E573" s="149"/>
      <c r="F573" s="150">
        <v>0.12</v>
      </c>
      <c r="G573" s="150"/>
      <c r="H573" s="67">
        <v>19189</v>
      </c>
      <c r="I573" s="67">
        <f>H573</f>
        <v>19189</v>
      </c>
      <c r="J573" s="67">
        <f t="shared" si="272"/>
        <v>16886.32</v>
      </c>
      <c r="K573" s="63"/>
      <c r="L573" s="149">
        <v>0</v>
      </c>
      <c r="M573" s="63">
        <f>L573</f>
        <v>0</v>
      </c>
      <c r="N573" s="63">
        <f t="shared" si="274"/>
        <v>0</v>
      </c>
      <c r="O573" s="69"/>
      <c r="P573" s="149">
        <v>0</v>
      </c>
      <c r="Q573" s="63">
        <f>+P573</f>
        <v>0</v>
      </c>
      <c r="R573" s="64">
        <f t="shared" si="275"/>
        <v>0</v>
      </c>
      <c r="S573" s="153">
        <v>25</v>
      </c>
      <c r="T573" s="155" t="s">
        <v>15</v>
      </c>
      <c r="U573" s="65">
        <f>SUMIF('Avoided Costs 2012-2020_EGD'!$A:$A,'2012 Actuals_Auditor'!T573&amp;'2012 Actuals_Auditor'!S573,'Avoided Costs 2012-2020_EGD'!$E:$E)*J573</f>
        <v>57987.538430036715</v>
      </c>
      <c r="V573" s="65">
        <f>SUMIF('Avoided Costs 2012-2020_EGD'!$A:$A,'2012 Actuals_Auditor'!T573&amp;'2012 Actuals_Auditor'!S573,'Avoided Costs 2012-2020_EGD'!$K:$K)*N573</f>
        <v>0</v>
      </c>
      <c r="W573" s="65">
        <f>SUMIF('Avoided Costs 2012-2020_EGD'!$A:$A,'2012 Actuals_Auditor'!T573&amp;'2012 Actuals_Auditor'!S573,'Avoided Costs 2012-2020_EGD'!$M:$M)*R573</f>
        <v>0</v>
      </c>
      <c r="X573" s="65">
        <f t="shared" si="281"/>
        <v>57987.538430036715</v>
      </c>
      <c r="Y573" s="146">
        <v>7400</v>
      </c>
      <c r="Z573" s="66">
        <f t="shared" si="276"/>
        <v>6512</v>
      </c>
      <c r="AA573" s="66"/>
      <c r="AB573" s="66"/>
      <c r="AC573" s="66"/>
      <c r="AD573" s="66">
        <f t="shared" si="277"/>
        <v>6512</v>
      </c>
      <c r="AE573" s="66">
        <f t="shared" si="278"/>
        <v>51475.538430036715</v>
      </c>
      <c r="AF573" s="101">
        <f t="shared" si="279"/>
        <v>422158</v>
      </c>
      <c r="AG573" s="101">
        <f t="shared" si="280"/>
        <v>479725</v>
      </c>
    </row>
    <row r="574" spans="1:33" s="68" customFormat="1" x14ac:dyDescent="0.2">
      <c r="A574" s="147" t="s">
        <v>120</v>
      </c>
      <c r="B574" s="147"/>
      <c r="C574" s="147"/>
      <c r="D574" s="148">
        <v>1</v>
      </c>
      <c r="E574" s="149"/>
      <c r="F574" s="150">
        <v>0.12</v>
      </c>
      <c r="G574" s="150"/>
      <c r="H574" s="67">
        <v>281642</v>
      </c>
      <c r="I574" s="67">
        <f t="shared" ref="I574:I584" si="282">+$H$42*H574</f>
        <v>269217.8449556877</v>
      </c>
      <c r="J574" s="67">
        <f t="shared" si="272"/>
        <v>236911.70356100518</v>
      </c>
      <c r="K574" s="63"/>
      <c r="L574" s="149">
        <v>0</v>
      </c>
      <c r="M574" s="63">
        <f t="shared" si="273"/>
        <v>0</v>
      </c>
      <c r="N574" s="63">
        <f t="shared" si="274"/>
        <v>0</v>
      </c>
      <c r="O574" s="69"/>
      <c r="P574" s="149">
        <v>0</v>
      </c>
      <c r="Q574" s="63">
        <f t="shared" ref="Q574:Q584" si="283">+P574*$P$42</f>
        <v>0</v>
      </c>
      <c r="R574" s="64">
        <f t="shared" si="275"/>
        <v>0</v>
      </c>
      <c r="S574" s="153">
        <v>15</v>
      </c>
      <c r="T574" s="155" t="s">
        <v>15</v>
      </c>
      <c r="U574" s="65">
        <f>SUMIF('Avoided Costs 2012-2020_EGD'!$A:$A,'2012 Actuals_Auditor'!T574&amp;'2012 Actuals_Auditor'!S574,'Avoided Costs 2012-2020_EGD'!$E:$E)*J574</f>
        <v>575672.66683589958</v>
      </c>
      <c r="V574" s="65">
        <f>SUMIF('Avoided Costs 2012-2020_EGD'!$A:$A,'2012 Actuals_Auditor'!T574&amp;'2012 Actuals_Auditor'!S574,'Avoided Costs 2012-2020_EGD'!$K:$K)*N574</f>
        <v>0</v>
      </c>
      <c r="W574" s="65">
        <f>SUMIF('Avoided Costs 2012-2020_EGD'!$A:$A,'2012 Actuals_Auditor'!T574&amp;'2012 Actuals_Auditor'!S574,'Avoided Costs 2012-2020_EGD'!$M:$M)*R574</f>
        <v>0</v>
      </c>
      <c r="X574" s="65">
        <f t="shared" si="281"/>
        <v>575672.66683589958</v>
      </c>
      <c r="Y574" s="146">
        <v>345700</v>
      </c>
      <c r="Z574" s="66">
        <f t="shared" si="276"/>
        <v>304216</v>
      </c>
      <c r="AA574" s="66"/>
      <c r="AB574" s="66"/>
      <c r="AC574" s="66"/>
      <c r="AD574" s="66">
        <f t="shared" si="277"/>
        <v>304216</v>
      </c>
      <c r="AE574" s="66">
        <f t="shared" si="278"/>
        <v>271456.66683589958</v>
      </c>
      <c r="AF574" s="101">
        <f t="shared" si="279"/>
        <v>3553675.5534150777</v>
      </c>
      <c r="AG574" s="101">
        <f t="shared" si="280"/>
        <v>4038267.6743353154</v>
      </c>
    </row>
    <row r="575" spans="1:33" s="68" customFormat="1" x14ac:dyDescent="0.2">
      <c r="A575" s="147" t="s">
        <v>121</v>
      </c>
      <c r="B575" s="147"/>
      <c r="C575" s="147"/>
      <c r="D575" s="148">
        <v>1</v>
      </c>
      <c r="E575" s="149"/>
      <c r="F575" s="150">
        <v>0.12</v>
      </c>
      <c r="G575" s="150"/>
      <c r="H575" s="67">
        <v>751609</v>
      </c>
      <c r="I575" s="67">
        <f t="shared" si="282"/>
        <v>718453.05469105986</v>
      </c>
      <c r="J575" s="67">
        <f t="shared" si="272"/>
        <v>632238.68812813272</v>
      </c>
      <c r="K575" s="63"/>
      <c r="L575" s="149">
        <v>4145392</v>
      </c>
      <c r="M575" s="63">
        <v>4564728</v>
      </c>
      <c r="N575" s="63">
        <f t="shared" si="274"/>
        <v>4016960.64</v>
      </c>
      <c r="O575" s="69"/>
      <c r="P575" s="149">
        <v>0</v>
      </c>
      <c r="Q575" s="63">
        <f t="shared" si="283"/>
        <v>0</v>
      </c>
      <c r="R575" s="64">
        <f t="shared" si="275"/>
        <v>0</v>
      </c>
      <c r="S575" s="153">
        <v>15</v>
      </c>
      <c r="T575" s="155" t="s">
        <v>15</v>
      </c>
      <c r="U575" s="65">
        <f>SUMIF('Avoided Costs 2012-2020_EGD'!$A:$A,'2012 Actuals_Auditor'!T575&amp;'2012 Actuals_Auditor'!S575,'Avoided Costs 2012-2020_EGD'!$E:$E)*J575</f>
        <v>1536279.2390618718</v>
      </c>
      <c r="V575" s="65">
        <f>SUMIF('Avoided Costs 2012-2020_EGD'!$A:$A,'2012 Actuals_Auditor'!T575&amp;'2012 Actuals_Auditor'!S575,'Avoided Costs 2012-2020_EGD'!$K:$K)*N575</f>
        <v>4136599.4895391259</v>
      </c>
      <c r="W575" s="65">
        <f>SUMIF('Avoided Costs 2012-2020_EGD'!$A:$A,'2012 Actuals_Auditor'!T575&amp;'2012 Actuals_Auditor'!S575,'Avoided Costs 2012-2020_EGD'!$M:$M)*R575</f>
        <v>0</v>
      </c>
      <c r="X575" s="65">
        <f t="shared" si="281"/>
        <v>5672878.7286009975</v>
      </c>
      <c r="Y575" s="146">
        <v>517950</v>
      </c>
      <c r="Z575" s="66">
        <f t="shared" si="276"/>
        <v>455796</v>
      </c>
      <c r="AA575" s="66"/>
      <c r="AB575" s="66"/>
      <c r="AC575" s="66"/>
      <c r="AD575" s="66">
        <f t="shared" si="277"/>
        <v>455796</v>
      </c>
      <c r="AE575" s="66">
        <f t="shared" si="278"/>
        <v>5217082.7286009975</v>
      </c>
      <c r="AF575" s="101">
        <f t="shared" si="279"/>
        <v>9483580.3219219912</v>
      </c>
      <c r="AG575" s="101">
        <f t="shared" si="280"/>
        <v>10776795.820365898</v>
      </c>
    </row>
    <row r="576" spans="1:33" s="68" customFormat="1" x14ac:dyDescent="0.2">
      <c r="A576" s="147" t="s">
        <v>122</v>
      </c>
      <c r="B576" s="147"/>
      <c r="C576" s="147"/>
      <c r="D576" s="148">
        <v>1</v>
      </c>
      <c r="E576" s="149"/>
      <c r="F576" s="150">
        <v>0.12</v>
      </c>
      <c r="G576" s="150"/>
      <c r="H576" s="67">
        <v>17628</v>
      </c>
      <c r="I576" s="67">
        <f t="shared" si="282"/>
        <v>16850.370935012757</v>
      </c>
      <c r="J576" s="67">
        <f t="shared" si="272"/>
        <v>14828.326422811226</v>
      </c>
      <c r="K576" s="63"/>
      <c r="L576" s="149">
        <v>0</v>
      </c>
      <c r="M576" s="63">
        <f t="shared" si="273"/>
        <v>0</v>
      </c>
      <c r="N576" s="63">
        <f t="shared" si="274"/>
        <v>0</v>
      </c>
      <c r="O576" s="69"/>
      <c r="P576" s="149">
        <v>0</v>
      </c>
      <c r="Q576" s="63">
        <f t="shared" si="283"/>
        <v>0</v>
      </c>
      <c r="R576" s="64">
        <f t="shared" si="275"/>
        <v>0</v>
      </c>
      <c r="S576" s="153">
        <v>5</v>
      </c>
      <c r="T576" s="155" t="s">
        <v>15</v>
      </c>
      <c r="U576" s="65">
        <f>SUMIF('Avoided Costs 2012-2020_EGD'!$A:$A,'2012 Actuals_Auditor'!T576&amp;'2012 Actuals_Auditor'!S576,'Avoided Costs 2012-2020_EGD'!$E:$E)*J576</f>
        <v>12360.185240827688</v>
      </c>
      <c r="V576" s="65">
        <f>SUMIF('Avoided Costs 2012-2020_EGD'!$A:$A,'2012 Actuals_Auditor'!T576&amp;'2012 Actuals_Auditor'!S576,'Avoided Costs 2012-2020_EGD'!$K:$K)*N576</f>
        <v>0</v>
      </c>
      <c r="W576" s="65">
        <f>SUMIF('Avoided Costs 2012-2020_EGD'!$A:$A,'2012 Actuals_Auditor'!T576&amp;'2012 Actuals_Auditor'!S576,'Avoided Costs 2012-2020_EGD'!$M:$M)*R576</f>
        <v>0</v>
      </c>
      <c r="X576" s="65">
        <f t="shared" si="281"/>
        <v>12360.185240827688</v>
      </c>
      <c r="Y576" s="146">
        <v>2036.87</v>
      </c>
      <c r="Z576" s="66">
        <f t="shared" si="276"/>
        <v>1792.4456</v>
      </c>
      <c r="AA576" s="66"/>
      <c r="AB576" s="66"/>
      <c r="AC576" s="66"/>
      <c r="AD576" s="66">
        <f t="shared" si="277"/>
        <v>1792.4456</v>
      </c>
      <c r="AE576" s="66">
        <f t="shared" si="278"/>
        <v>10567.739640827687</v>
      </c>
      <c r="AF576" s="101">
        <f t="shared" si="279"/>
        <v>74141.632114056134</v>
      </c>
      <c r="AG576" s="101">
        <f t="shared" si="280"/>
        <v>84251.854675063791</v>
      </c>
    </row>
    <row r="577" spans="1:33" s="68" customFormat="1" x14ac:dyDescent="0.2">
      <c r="A577" s="147" t="s">
        <v>123</v>
      </c>
      <c r="B577" s="147"/>
      <c r="C577" s="147"/>
      <c r="D577" s="148">
        <v>1</v>
      </c>
      <c r="E577" s="149"/>
      <c r="F577" s="150">
        <v>0.12</v>
      </c>
      <c r="G577" s="150"/>
      <c r="H577" s="67">
        <v>279603</v>
      </c>
      <c r="I577" s="67">
        <f t="shared" si="282"/>
        <v>267268.79195271002</v>
      </c>
      <c r="J577" s="67">
        <f t="shared" si="272"/>
        <v>235196.53691838481</v>
      </c>
      <c r="K577" s="63"/>
      <c r="L577" s="149">
        <v>47513</v>
      </c>
      <c r="M577" s="63">
        <f t="shared" si="273"/>
        <v>47513</v>
      </c>
      <c r="N577" s="63">
        <f t="shared" si="274"/>
        <v>41811.440000000002</v>
      </c>
      <c r="O577" s="69"/>
      <c r="P577" s="149">
        <v>2423</v>
      </c>
      <c r="Q577" s="63">
        <f t="shared" si="283"/>
        <v>2423</v>
      </c>
      <c r="R577" s="64">
        <f t="shared" si="275"/>
        <v>2132.2400000000002</v>
      </c>
      <c r="S577" s="153">
        <v>25</v>
      </c>
      <c r="T577" s="155" t="s">
        <v>15</v>
      </c>
      <c r="U577" s="65">
        <f>SUMIF('Avoided Costs 2012-2020_EGD'!$A:$A,'2012 Actuals_Auditor'!T577&amp;'2012 Actuals_Auditor'!S577,'Avoided Costs 2012-2020_EGD'!$E:$E)*J577</f>
        <v>807663.73153928074</v>
      </c>
      <c r="V577" s="65">
        <f>SUMIF('Avoided Costs 2012-2020_EGD'!$A:$A,'2012 Actuals_Auditor'!T577&amp;'2012 Actuals_Auditor'!S577,'Avoided Costs 2012-2020_EGD'!$K:$K)*N577</f>
        <v>58886.708517537976</v>
      </c>
      <c r="W577" s="65">
        <f>SUMIF('Avoided Costs 2012-2020_EGD'!$A:$A,'2012 Actuals_Auditor'!T577&amp;'2012 Actuals_Auditor'!S577,'Avoided Costs 2012-2020_EGD'!$M:$M)*R577</f>
        <v>72267.359604340658</v>
      </c>
      <c r="X577" s="65">
        <f t="shared" si="281"/>
        <v>938817.7996611594</v>
      </c>
      <c r="Y577" s="146">
        <v>875469</v>
      </c>
      <c r="Z577" s="66">
        <f t="shared" si="276"/>
        <v>770412.72</v>
      </c>
      <c r="AA577" s="66"/>
      <c r="AB577" s="66"/>
      <c r="AC577" s="66"/>
      <c r="AD577" s="66">
        <f t="shared" si="277"/>
        <v>770412.72</v>
      </c>
      <c r="AE577" s="66">
        <f t="shared" si="278"/>
        <v>168405.07966115943</v>
      </c>
      <c r="AF577" s="101">
        <f t="shared" si="279"/>
        <v>5879913.4229596201</v>
      </c>
      <c r="AG577" s="101">
        <f t="shared" si="280"/>
        <v>6681719.7988177501</v>
      </c>
    </row>
    <row r="578" spans="1:33" s="68" customFormat="1" x14ac:dyDescent="0.2">
      <c r="A578" s="147" t="s">
        <v>124</v>
      </c>
      <c r="B578" s="147"/>
      <c r="C578" s="147"/>
      <c r="D578" s="148">
        <v>0</v>
      </c>
      <c r="E578" s="149"/>
      <c r="F578" s="150">
        <v>0.12</v>
      </c>
      <c r="G578" s="150"/>
      <c r="H578" s="67">
        <v>25476</v>
      </c>
      <c r="I578" s="67">
        <f t="shared" si="282"/>
        <v>24352.169840049071</v>
      </c>
      <c r="J578" s="67">
        <f t="shared" si="272"/>
        <v>21429.909459243183</v>
      </c>
      <c r="K578" s="63"/>
      <c r="L578" s="149">
        <v>0</v>
      </c>
      <c r="M578" s="63">
        <f t="shared" si="273"/>
        <v>0</v>
      </c>
      <c r="N578" s="63">
        <f t="shared" si="274"/>
        <v>0</v>
      </c>
      <c r="O578" s="69"/>
      <c r="P578" s="149">
        <v>0</v>
      </c>
      <c r="Q578" s="63">
        <f t="shared" si="283"/>
        <v>0</v>
      </c>
      <c r="R578" s="64">
        <f t="shared" si="275"/>
        <v>0</v>
      </c>
      <c r="S578" s="153">
        <v>25</v>
      </c>
      <c r="T578" s="155" t="s">
        <v>15</v>
      </c>
      <c r="U578" s="65">
        <f>SUMIF('Avoided Costs 2012-2020_EGD'!$A:$A,'2012 Actuals_Auditor'!T578&amp;'2012 Actuals_Auditor'!S578,'Avoided Costs 2012-2020_EGD'!$E:$E)*J578</f>
        <v>73590.201910189513</v>
      </c>
      <c r="V578" s="65">
        <f>SUMIF('Avoided Costs 2012-2020_EGD'!$A:$A,'2012 Actuals_Auditor'!T578&amp;'2012 Actuals_Auditor'!S578,'Avoided Costs 2012-2020_EGD'!$K:$K)*N578</f>
        <v>0</v>
      </c>
      <c r="W578" s="65">
        <f>SUMIF('Avoided Costs 2012-2020_EGD'!$A:$A,'2012 Actuals_Auditor'!T578&amp;'2012 Actuals_Auditor'!S578,'Avoided Costs 2012-2020_EGD'!$M:$M)*R578</f>
        <v>0</v>
      </c>
      <c r="X578" s="65">
        <f t="shared" si="281"/>
        <v>73590.201910189513</v>
      </c>
      <c r="Y578" s="146">
        <v>893485</v>
      </c>
      <c r="Z578" s="66">
        <f t="shared" si="276"/>
        <v>786266.8</v>
      </c>
      <c r="AA578" s="66"/>
      <c r="AB578" s="66"/>
      <c r="AC578" s="66"/>
      <c r="AD578" s="66">
        <f t="shared" si="277"/>
        <v>786266.8</v>
      </c>
      <c r="AE578" s="66">
        <f t="shared" si="278"/>
        <v>-712676.59808981058</v>
      </c>
      <c r="AF578" s="101">
        <f t="shared" si="279"/>
        <v>535747.7364810796</v>
      </c>
      <c r="AG578" s="101">
        <f t="shared" si="280"/>
        <v>608804.24600122683</v>
      </c>
    </row>
    <row r="579" spans="1:33" s="68" customFormat="1" x14ac:dyDescent="0.2">
      <c r="A579" s="147" t="s">
        <v>125</v>
      </c>
      <c r="B579" s="147"/>
      <c r="C579" s="147"/>
      <c r="D579" s="148">
        <v>0</v>
      </c>
      <c r="E579" s="149"/>
      <c r="F579" s="150">
        <v>0.12</v>
      </c>
      <c r="G579" s="150"/>
      <c r="H579" s="67">
        <v>811</v>
      </c>
      <c r="I579" s="67">
        <f t="shared" si="282"/>
        <v>775.22412232217755</v>
      </c>
      <c r="J579" s="67">
        <f t="shared" si="272"/>
        <v>682.19722764351627</v>
      </c>
      <c r="K579" s="63"/>
      <c r="L579" s="149">
        <v>0</v>
      </c>
      <c r="M579" s="63">
        <f t="shared" si="273"/>
        <v>0</v>
      </c>
      <c r="N579" s="63">
        <f t="shared" si="274"/>
        <v>0</v>
      </c>
      <c r="O579" s="69"/>
      <c r="P579" s="149">
        <v>0</v>
      </c>
      <c r="Q579" s="63">
        <f t="shared" si="283"/>
        <v>0</v>
      </c>
      <c r="R579" s="64">
        <f t="shared" si="275"/>
        <v>0</v>
      </c>
      <c r="S579" s="153">
        <v>15</v>
      </c>
      <c r="T579" s="155" t="s">
        <v>15</v>
      </c>
      <c r="U579" s="65">
        <f>SUMIF('Avoided Costs 2012-2020_EGD'!$A:$A,'2012 Actuals_Auditor'!T579&amp;'2012 Actuals_Auditor'!S579,'Avoided Costs 2012-2020_EGD'!$E:$E)*J579</f>
        <v>1657.6736878871568</v>
      </c>
      <c r="V579" s="65">
        <f>SUMIF('Avoided Costs 2012-2020_EGD'!$A:$A,'2012 Actuals_Auditor'!T579&amp;'2012 Actuals_Auditor'!S579,'Avoided Costs 2012-2020_EGD'!$K:$K)*N579</f>
        <v>0</v>
      </c>
      <c r="W579" s="65">
        <f>SUMIF('Avoided Costs 2012-2020_EGD'!$A:$A,'2012 Actuals_Auditor'!T579&amp;'2012 Actuals_Auditor'!S579,'Avoided Costs 2012-2020_EGD'!$M:$M)*R579</f>
        <v>0</v>
      </c>
      <c r="X579" s="65">
        <f t="shared" si="281"/>
        <v>1657.6736878871568</v>
      </c>
      <c r="Y579" s="146">
        <v>2394.02</v>
      </c>
      <c r="Z579" s="66">
        <f t="shared" si="276"/>
        <v>2106.7375999999999</v>
      </c>
      <c r="AA579" s="66"/>
      <c r="AB579" s="66"/>
      <c r="AC579" s="66"/>
      <c r="AD579" s="66">
        <f t="shared" si="277"/>
        <v>2106.7375999999999</v>
      </c>
      <c r="AE579" s="66">
        <f t="shared" si="278"/>
        <v>-449.06391211284313</v>
      </c>
      <c r="AF579" s="101">
        <f t="shared" si="279"/>
        <v>10232.958414652745</v>
      </c>
      <c r="AG579" s="101">
        <f t="shared" si="280"/>
        <v>11628.361834832664</v>
      </c>
    </row>
    <row r="580" spans="1:33" s="68" customFormat="1" x14ac:dyDescent="0.2">
      <c r="A580" s="147" t="s">
        <v>126</v>
      </c>
      <c r="B580" s="147"/>
      <c r="C580" s="147"/>
      <c r="D580" s="148">
        <v>1</v>
      </c>
      <c r="E580" s="149"/>
      <c r="F580" s="150">
        <v>0.12</v>
      </c>
      <c r="G580" s="150"/>
      <c r="H580" s="67">
        <v>931323</v>
      </c>
      <c r="I580" s="67">
        <f t="shared" si="282"/>
        <v>890239.27900549618</v>
      </c>
      <c r="J580" s="67">
        <f t="shared" si="272"/>
        <v>783410.56552483665</v>
      </c>
      <c r="K580" s="63"/>
      <c r="L580" s="149">
        <v>3207370</v>
      </c>
      <c r="M580" s="63">
        <f t="shared" si="273"/>
        <v>3207370</v>
      </c>
      <c r="N580" s="63">
        <f t="shared" si="274"/>
        <v>2822485.6</v>
      </c>
      <c r="O580" s="69"/>
      <c r="P580" s="149">
        <v>0</v>
      </c>
      <c r="Q580" s="63">
        <f t="shared" si="283"/>
        <v>0</v>
      </c>
      <c r="R580" s="64">
        <f t="shared" si="275"/>
        <v>0</v>
      </c>
      <c r="S580" s="153">
        <v>15</v>
      </c>
      <c r="T580" s="155" t="s">
        <v>15</v>
      </c>
      <c r="U580" s="65">
        <f>SUMIF('Avoided Costs 2012-2020_EGD'!$A:$A,'2012 Actuals_Auditor'!T580&amp;'2012 Actuals_Auditor'!S580,'Avoided Costs 2012-2020_EGD'!$E:$E)*J580</f>
        <v>1903612.3699434409</v>
      </c>
      <c r="V580" s="65">
        <f>SUMIF('Avoided Costs 2012-2020_EGD'!$A:$A,'2012 Actuals_Auditor'!T580&amp;'2012 Actuals_Auditor'!S580,'Avoided Costs 2012-2020_EGD'!$K:$K)*N580</f>
        <v>2906548.8907034779</v>
      </c>
      <c r="W580" s="65">
        <f>SUMIF('Avoided Costs 2012-2020_EGD'!$A:$A,'2012 Actuals_Auditor'!T580&amp;'2012 Actuals_Auditor'!S580,'Avoided Costs 2012-2020_EGD'!$M:$M)*R580</f>
        <v>0</v>
      </c>
      <c r="X580" s="65">
        <f t="shared" si="281"/>
        <v>4810161.2606469188</v>
      </c>
      <c r="Y580" s="146">
        <v>208505</v>
      </c>
      <c r="Z580" s="66">
        <f t="shared" si="276"/>
        <v>183484.4</v>
      </c>
      <c r="AA580" s="66"/>
      <c r="AB580" s="66"/>
      <c r="AC580" s="66"/>
      <c r="AD580" s="66">
        <f t="shared" si="277"/>
        <v>183484.4</v>
      </c>
      <c r="AE580" s="66">
        <f t="shared" si="278"/>
        <v>4626676.8606469184</v>
      </c>
      <c r="AF580" s="101">
        <f t="shared" si="279"/>
        <v>11751158.482872549</v>
      </c>
      <c r="AG580" s="101">
        <f t="shared" si="280"/>
        <v>13353589.185082443</v>
      </c>
    </row>
    <row r="581" spans="1:33" s="68" customFormat="1" x14ac:dyDescent="0.2">
      <c r="A581" s="147" t="s">
        <v>127</v>
      </c>
      <c r="B581" s="147"/>
      <c r="C581" s="147"/>
      <c r="D581" s="148">
        <v>1</v>
      </c>
      <c r="E581" s="149"/>
      <c r="F581" s="150">
        <v>0.12</v>
      </c>
      <c r="G581" s="150"/>
      <c r="H581" s="67">
        <v>14304</v>
      </c>
      <c r="I581" s="67">
        <f t="shared" si="282"/>
        <v>13673.003508873524</v>
      </c>
      <c r="J581" s="67">
        <f t="shared" si="272"/>
        <v>12032.243087808702</v>
      </c>
      <c r="K581" s="63"/>
      <c r="L581" s="149">
        <v>0</v>
      </c>
      <c r="M581" s="63">
        <f t="shared" si="273"/>
        <v>0</v>
      </c>
      <c r="N581" s="63">
        <f t="shared" si="274"/>
        <v>0</v>
      </c>
      <c r="O581" s="69"/>
      <c r="P581" s="149">
        <v>0</v>
      </c>
      <c r="Q581" s="63">
        <f t="shared" si="283"/>
        <v>0</v>
      </c>
      <c r="R581" s="64">
        <f t="shared" si="275"/>
        <v>0</v>
      </c>
      <c r="S581" s="153">
        <v>25</v>
      </c>
      <c r="T581" s="155" t="s">
        <v>15</v>
      </c>
      <c r="U581" s="65">
        <f>SUMIF('Avoided Costs 2012-2020_EGD'!$A:$A,'2012 Actuals_Auditor'!T581&amp;'2012 Actuals_Auditor'!S581,'Avoided Costs 2012-2020_EGD'!$E:$E)*J581</f>
        <v>41318.662589234998</v>
      </c>
      <c r="V581" s="65">
        <f>SUMIF('Avoided Costs 2012-2020_EGD'!$A:$A,'2012 Actuals_Auditor'!T581&amp;'2012 Actuals_Auditor'!S581,'Avoided Costs 2012-2020_EGD'!$K:$K)*N581</f>
        <v>0</v>
      </c>
      <c r="W581" s="65">
        <f>SUMIF('Avoided Costs 2012-2020_EGD'!$A:$A,'2012 Actuals_Auditor'!T581&amp;'2012 Actuals_Auditor'!S581,'Avoided Costs 2012-2020_EGD'!$M:$M)*R581</f>
        <v>0</v>
      </c>
      <c r="X581" s="65">
        <f t="shared" si="281"/>
        <v>41318.662589234998</v>
      </c>
      <c r="Y581" s="146">
        <v>28081</v>
      </c>
      <c r="Z581" s="66">
        <f t="shared" si="276"/>
        <v>24711.279999999999</v>
      </c>
      <c r="AA581" s="66"/>
      <c r="AB581" s="66"/>
      <c r="AC581" s="66"/>
      <c r="AD581" s="66">
        <f t="shared" si="277"/>
        <v>24711.279999999999</v>
      </c>
      <c r="AE581" s="66">
        <f t="shared" si="278"/>
        <v>16607.382589235</v>
      </c>
      <c r="AF581" s="101">
        <f t="shared" si="279"/>
        <v>300806.07719521754</v>
      </c>
      <c r="AG581" s="101">
        <f t="shared" si="280"/>
        <v>341825.08772183809</v>
      </c>
    </row>
    <row r="582" spans="1:33" s="68" customFormat="1" x14ac:dyDescent="0.2">
      <c r="A582" s="147" t="s">
        <v>128</v>
      </c>
      <c r="B582" s="147"/>
      <c r="C582" s="147"/>
      <c r="D582" s="148">
        <v>1</v>
      </c>
      <c r="E582" s="149"/>
      <c r="F582" s="150">
        <v>0.12</v>
      </c>
      <c r="G582" s="150"/>
      <c r="H582" s="67">
        <v>12001</v>
      </c>
      <c r="I582" s="67">
        <f t="shared" si="282"/>
        <v>11471.596414289092</v>
      </c>
      <c r="J582" s="67">
        <f t="shared" si="272"/>
        <v>10095.004844574401</v>
      </c>
      <c r="K582" s="63"/>
      <c r="L582" s="149">
        <v>0</v>
      </c>
      <c r="M582" s="63">
        <f t="shared" si="273"/>
        <v>0</v>
      </c>
      <c r="N582" s="63">
        <f t="shared" si="274"/>
        <v>0</v>
      </c>
      <c r="O582" s="69"/>
      <c r="P582" s="149">
        <v>0</v>
      </c>
      <c r="Q582" s="63">
        <f t="shared" si="283"/>
        <v>0</v>
      </c>
      <c r="R582" s="64">
        <f t="shared" si="275"/>
        <v>0</v>
      </c>
      <c r="S582" s="153">
        <v>15</v>
      </c>
      <c r="T582" s="155" t="s">
        <v>15</v>
      </c>
      <c r="U582" s="65">
        <f>SUMIF('Avoided Costs 2012-2020_EGD'!$A:$A,'2012 Actuals_Auditor'!T582&amp;'2012 Actuals_Auditor'!S582,'Avoided Costs 2012-2020_EGD'!$E:$E)*J582</f>
        <v>24529.891403617472</v>
      </c>
      <c r="V582" s="65">
        <f>SUMIF('Avoided Costs 2012-2020_EGD'!$A:$A,'2012 Actuals_Auditor'!T582&amp;'2012 Actuals_Auditor'!S582,'Avoided Costs 2012-2020_EGD'!$K:$K)*N582</f>
        <v>0</v>
      </c>
      <c r="W582" s="65">
        <f>SUMIF('Avoided Costs 2012-2020_EGD'!$A:$A,'2012 Actuals_Auditor'!T582&amp;'2012 Actuals_Auditor'!S582,'Avoided Costs 2012-2020_EGD'!$M:$M)*R582</f>
        <v>0</v>
      </c>
      <c r="X582" s="65">
        <f t="shared" si="281"/>
        <v>24529.891403617472</v>
      </c>
      <c r="Y582" s="146">
        <v>12085.5</v>
      </c>
      <c r="Z582" s="66">
        <f t="shared" si="276"/>
        <v>10635.24</v>
      </c>
      <c r="AA582" s="66"/>
      <c r="AB582" s="66"/>
      <c r="AC582" s="66"/>
      <c r="AD582" s="66">
        <f t="shared" si="277"/>
        <v>10635.24</v>
      </c>
      <c r="AE582" s="66">
        <f t="shared" si="278"/>
        <v>13894.651403617472</v>
      </c>
      <c r="AF582" s="101">
        <f t="shared" si="279"/>
        <v>151425.07266861602</v>
      </c>
      <c r="AG582" s="101">
        <f t="shared" si="280"/>
        <v>172073.94621433638</v>
      </c>
    </row>
    <row r="583" spans="1:33" s="68" customFormat="1" x14ac:dyDescent="0.2">
      <c r="A583" s="147" t="s">
        <v>129</v>
      </c>
      <c r="B583" s="147"/>
      <c r="C583" s="147"/>
      <c r="D583" s="148">
        <v>1</v>
      </c>
      <c r="E583" s="149"/>
      <c r="F583" s="150">
        <v>0.12</v>
      </c>
      <c r="G583" s="150"/>
      <c r="H583" s="67">
        <v>7055</v>
      </c>
      <c r="I583" s="67">
        <f t="shared" si="282"/>
        <v>6743.7807435055029</v>
      </c>
      <c r="J583" s="67">
        <f t="shared" si="272"/>
        <v>5934.527054284843</v>
      </c>
      <c r="K583" s="63"/>
      <c r="L583" s="149">
        <v>0</v>
      </c>
      <c r="M583" s="63">
        <f t="shared" si="273"/>
        <v>0</v>
      </c>
      <c r="N583" s="63">
        <f t="shared" si="274"/>
        <v>0</v>
      </c>
      <c r="O583" s="69"/>
      <c r="P583" s="149">
        <v>0</v>
      </c>
      <c r="Q583" s="63">
        <f t="shared" si="283"/>
        <v>0</v>
      </c>
      <c r="R583" s="64">
        <f t="shared" si="275"/>
        <v>0</v>
      </c>
      <c r="S583" s="153">
        <v>25</v>
      </c>
      <c r="T583" s="155" t="s">
        <v>15</v>
      </c>
      <c r="U583" s="65">
        <f>SUMIF('Avoided Costs 2012-2020_EGD'!$A:$A,'2012 Actuals_Auditor'!T583&amp;'2012 Actuals_Auditor'!S583,'Avoided Costs 2012-2020_EGD'!$E:$E)*J583</f>
        <v>20379.136225325288</v>
      </c>
      <c r="V583" s="65">
        <f>SUMIF('Avoided Costs 2012-2020_EGD'!$A:$A,'2012 Actuals_Auditor'!T583&amp;'2012 Actuals_Auditor'!S583,'Avoided Costs 2012-2020_EGD'!$K:$K)*N583</f>
        <v>0</v>
      </c>
      <c r="W583" s="65">
        <f>SUMIF('Avoided Costs 2012-2020_EGD'!$A:$A,'2012 Actuals_Auditor'!T583&amp;'2012 Actuals_Auditor'!S583,'Avoided Costs 2012-2020_EGD'!$M:$M)*R583</f>
        <v>0</v>
      </c>
      <c r="X583" s="65">
        <f t="shared" si="281"/>
        <v>20379.136225325288</v>
      </c>
      <c r="Y583" s="146">
        <v>6924</v>
      </c>
      <c r="Z583" s="66">
        <f t="shared" si="276"/>
        <v>6093.12</v>
      </c>
      <c r="AA583" s="66"/>
      <c r="AB583" s="66"/>
      <c r="AC583" s="66"/>
      <c r="AD583" s="66">
        <f t="shared" si="277"/>
        <v>6093.12</v>
      </c>
      <c r="AE583" s="66">
        <f t="shared" si="278"/>
        <v>14286.016225325289</v>
      </c>
      <c r="AF583" s="101">
        <f t="shared" si="279"/>
        <v>148363.17635712106</v>
      </c>
      <c r="AG583" s="101">
        <f t="shared" si="280"/>
        <v>168594.51858763758</v>
      </c>
    </row>
    <row r="584" spans="1:33" s="68" customFormat="1" x14ac:dyDescent="0.2">
      <c r="A584" s="141" t="s">
        <v>130</v>
      </c>
      <c r="B584" s="141"/>
      <c r="C584" s="141"/>
      <c r="D584" s="142">
        <v>1</v>
      </c>
      <c r="E584" s="143"/>
      <c r="F584" s="144">
        <v>0.12</v>
      </c>
      <c r="G584" s="144"/>
      <c r="H584" s="67">
        <v>95879</v>
      </c>
      <c r="I584" s="67">
        <f t="shared" si="282"/>
        <v>91649.461928641264</v>
      </c>
      <c r="J584" s="67">
        <f t="shared" si="272"/>
        <v>80651.526497204308</v>
      </c>
      <c r="K584" s="143"/>
      <c r="L584" s="143">
        <v>47651</v>
      </c>
      <c r="M584" s="63">
        <f t="shared" si="273"/>
        <v>47651</v>
      </c>
      <c r="N584" s="63">
        <f t="shared" si="274"/>
        <v>41932.879999999997</v>
      </c>
      <c r="O584" s="143"/>
      <c r="P584" s="143">
        <v>0</v>
      </c>
      <c r="Q584" s="63">
        <f t="shared" si="283"/>
        <v>0</v>
      </c>
      <c r="R584" s="64">
        <f t="shared" si="275"/>
        <v>0</v>
      </c>
      <c r="S584" s="153">
        <v>15</v>
      </c>
      <c r="T584" s="155" t="s">
        <v>15</v>
      </c>
      <c r="U584" s="65">
        <f>SUMIF('Avoided Costs 2012-2020_EGD'!$A:$A,'2012 Actuals_Auditor'!T584&amp;'2012 Actuals_Auditor'!S584,'Avoided Costs 2012-2020_EGD'!$E:$E)*J584</f>
        <v>195975.45686921416</v>
      </c>
      <c r="V584" s="65">
        <f>SUMIF('Avoided Costs 2012-2020_EGD'!$A:$A,'2012 Actuals_Auditor'!T584&amp;'2012 Actuals_Auditor'!S584,'Avoided Costs 2012-2020_EGD'!$K:$K)*N584</f>
        <v>43181.784823987073</v>
      </c>
      <c r="W584" s="65">
        <f>SUMIF('Avoided Costs 2012-2020_EGD'!$A:$A,'2012 Actuals_Auditor'!T584&amp;'2012 Actuals_Auditor'!S584,'Avoided Costs 2012-2020_EGD'!$M:$M)*R584</f>
        <v>0</v>
      </c>
      <c r="X584" s="65">
        <f t="shared" si="281"/>
        <v>239157.24169320124</v>
      </c>
      <c r="Y584" s="146">
        <v>37868</v>
      </c>
      <c r="Z584" s="66">
        <f t="shared" si="276"/>
        <v>33323.840000000004</v>
      </c>
      <c r="AA584" s="66"/>
      <c r="AB584" s="66"/>
      <c r="AC584" s="66"/>
      <c r="AD584" s="66">
        <f t="shared" si="277"/>
        <v>33323.840000000004</v>
      </c>
      <c r="AE584" s="66">
        <f t="shared" si="278"/>
        <v>205833.40169320125</v>
      </c>
      <c r="AF584" s="101">
        <f t="shared" si="279"/>
        <v>1209772.8974580646</v>
      </c>
      <c r="AG584" s="101">
        <f t="shared" si="280"/>
        <v>1374741.928929619</v>
      </c>
    </row>
    <row r="585" spans="1:33" s="59" customFormat="1" x14ac:dyDescent="0.2">
      <c r="A585" s="152" t="s">
        <v>3</v>
      </c>
      <c r="B585" s="152" t="s">
        <v>185</v>
      </c>
      <c r="C585" s="155"/>
      <c r="D585" s="153">
        <f>SUM(D570:D584)</f>
        <v>12</v>
      </c>
      <c r="E585" s="67"/>
      <c r="F585" s="154"/>
      <c r="G585" s="228"/>
      <c r="H585" s="67">
        <f>SUM(H570:H584)</f>
        <v>2605147</v>
      </c>
      <c r="I585" s="67">
        <f>SUM(I570:I584)</f>
        <v>2491071.8864513119</v>
      </c>
      <c r="J585" s="67">
        <f>SUM(J570:J584)</f>
        <v>2192143.2600771538</v>
      </c>
      <c r="K585" s="64"/>
      <c r="L585" s="67">
        <f>SUM(L570:L584)</f>
        <v>7447926</v>
      </c>
      <c r="M585" s="67">
        <f>SUM(M570:M584)</f>
        <v>7867262</v>
      </c>
      <c r="N585" s="67">
        <f>SUM(N570:N584)</f>
        <v>6923190.5599999996</v>
      </c>
      <c r="O585" s="229"/>
      <c r="P585" s="67">
        <f>SUM(P570:P584)</f>
        <v>2423</v>
      </c>
      <c r="Q585" s="67">
        <f>SUM(Q570:Q584)</f>
        <v>2423</v>
      </c>
      <c r="R585" s="67">
        <f>SUM(R570:R584)</f>
        <v>2132.2400000000002</v>
      </c>
      <c r="S585" s="153"/>
      <c r="T585" s="155"/>
      <c r="U585" s="66">
        <f>SUM(U570:U584)</f>
        <v>5649815.6676513404</v>
      </c>
      <c r="V585" s="66">
        <f>SUM(V570:V584)</f>
        <v>7145216.8735841289</v>
      </c>
      <c r="W585" s="66">
        <f>SUM(W570:W584)</f>
        <v>72267.359604340658</v>
      </c>
      <c r="X585" s="66">
        <f>SUM(X570:X584)</f>
        <v>12867299.900839811</v>
      </c>
      <c r="Y585" s="146"/>
      <c r="Z585" s="66">
        <f>SUM(Z570:Z584)</f>
        <v>2614298.6231999998</v>
      </c>
      <c r="AA585" s="66">
        <v>318552.68</v>
      </c>
      <c r="AB585" s="66">
        <v>6232</v>
      </c>
      <c r="AC585" s="66">
        <f>AB585+AA585</f>
        <v>324784.68</v>
      </c>
      <c r="AD585" s="66">
        <f t="shared" si="277"/>
        <v>2620530.6231999998</v>
      </c>
      <c r="AE585" s="230">
        <f t="shared" si="278"/>
        <v>10246769.277639812</v>
      </c>
      <c r="AF585" s="101">
        <f>SUM(AF570:AF584)</f>
        <v>36437090.890533313</v>
      </c>
      <c r="AG585" s="101">
        <f>SUM(AG570:AG584)</f>
        <v>41405785.102878749</v>
      </c>
    </row>
    <row r="586" spans="1:33" x14ac:dyDescent="0.2">
      <c r="A586" s="140"/>
      <c r="F586" s="17"/>
      <c r="G586" s="17"/>
      <c r="M586" s="17"/>
      <c r="O586" s="17"/>
      <c r="P586" s="17"/>
      <c r="Q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</row>
    <row r="587" spans="1:33" x14ac:dyDescent="0.2">
      <c r="A587" s="140" t="s">
        <v>752</v>
      </c>
      <c r="B587" s="10" t="s">
        <v>753</v>
      </c>
      <c r="J587" s="13"/>
      <c r="K587" s="54"/>
      <c r="L587" s="54"/>
      <c r="O587" s="21"/>
      <c r="P587" s="22"/>
      <c r="R587" s="13"/>
      <c r="S587" s="13"/>
      <c r="Z587" s="57"/>
      <c r="AA587" s="57">
        <v>848565.42</v>
      </c>
      <c r="AC587" s="57"/>
      <c r="AD587" s="57"/>
      <c r="AE587" s="57"/>
      <c r="AF587" s="100"/>
      <c r="AG587" s="100"/>
    </row>
    <row r="588" spans="1:33" s="59" customFormat="1" x14ac:dyDescent="0.2">
      <c r="A588" s="152" t="s">
        <v>3</v>
      </c>
      <c r="B588" s="147" t="s">
        <v>754</v>
      </c>
      <c r="C588" s="155"/>
      <c r="D588" s="153"/>
      <c r="E588" s="67"/>
      <c r="F588" s="154"/>
      <c r="G588" s="228"/>
      <c r="H588" s="67"/>
      <c r="I588" s="67"/>
      <c r="J588" s="67"/>
      <c r="K588" s="64"/>
      <c r="L588" s="67"/>
      <c r="M588" s="67"/>
      <c r="N588" s="67"/>
      <c r="O588" s="229"/>
      <c r="P588" s="67"/>
      <c r="Q588" s="67"/>
      <c r="R588" s="67"/>
      <c r="S588" s="153"/>
      <c r="T588" s="155"/>
      <c r="U588" s="66"/>
      <c r="V588" s="66"/>
      <c r="W588" s="66"/>
      <c r="X588" s="66"/>
      <c r="Y588" s="146"/>
      <c r="Z588" s="66"/>
      <c r="AA588" s="66">
        <v>848565.42</v>
      </c>
      <c r="AB588" s="66">
        <v>195675.12</v>
      </c>
      <c r="AC588" s="66">
        <f>AB588+AA588</f>
        <v>1044240.54</v>
      </c>
      <c r="AD588" s="66">
        <f>Z588+AB588</f>
        <v>195675.12</v>
      </c>
      <c r="AE588" s="230">
        <f>X588-AD588</f>
        <v>-195675.12</v>
      </c>
      <c r="AF588" s="101">
        <f>J588*S588</f>
        <v>0</v>
      </c>
      <c r="AG588" s="101">
        <f>(I588*S588)</f>
        <v>0</v>
      </c>
    </row>
    <row r="589" spans="1:33" s="59" customFormat="1" x14ac:dyDescent="0.2">
      <c r="A589" s="234"/>
      <c r="B589" s="234"/>
      <c r="C589" s="135"/>
      <c r="D589" s="235"/>
      <c r="E589" s="236"/>
      <c r="F589" s="237"/>
      <c r="G589" s="238"/>
      <c r="H589" s="236"/>
      <c r="I589" s="236"/>
      <c r="J589" s="236"/>
      <c r="K589" s="239"/>
      <c r="L589" s="236"/>
      <c r="M589" s="236"/>
      <c r="N589" s="236"/>
      <c r="O589" s="240"/>
      <c r="P589" s="236"/>
      <c r="Q589" s="236"/>
      <c r="R589" s="236"/>
      <c r="S589" s="235"/>
      <c r="T589" s="135"/>
      <c r="U589" s="241"/>
      <c r="V589" s="241"/>
      <c r="W589" s="241"/>
      <c r="X589" s="241"/>
      <c r="Y589" s="242"/>
      <c r="Z589" s="241"/>
      <c r="AA589" s="241"/>
      <c r="AB589" s="241"/>
      <c r="AC589" s="241"/>
      <c r="AD589" s="241"/>
      <c r="AE589" s="241"/>
      <c r="AF589" s="243"/>
      <c r="AG589" s="243"/>
    </row>
    <row r="590" spans="1:33" x14ac:dyDescent="0.2">
      <c r="A590" s="234" t="s">
        <v>81</v>
      </c>
      <c r="B590" s="224"/>
      <c r="C590" s="135"/>
      <c r="D590" s="131">
        <f>D585+D567+D461+D439+D385+D353+D331+D309+D132+D57</f>
        <v>490</v>
      </c>
      <c r="E590" s="131"/>
      <c r="F590" s="132"/>
      <c r="G590" s="133"/>
      <c r="H590" s="131">
        <f>H585+H567+H461+H439+H385+H353+H331+H309+H132+H57</f>
        <v>18796883</v>
      </c>
      <c r="I590" s="131">
        <f>I585+I567+I461+I439+I385+I353+I331+I309+I132+I57</f>
        <v>18024024.919597827</v>
      </c>
      <c r="J590" s="131">
        <f>J585+J567+J461+J439+J385+J353+J331+J309+J132+J57</f>
        <v>15861141.929246085</v>
      </c>
      <c r="K590" s="131"/>
      <c r="L590" s="131">
        <f>L585+L567+L461+L439+L385+L353+L331+L309+L132+L57</f>
        <v>19613336</v>
      </c>
      <c r="M590" s="131">
        <f>M585+M567+M461+M439+M385+M353+M331+M309+M132+M57</f>
        <v>20032672</v>
      </c>
      <c r="N590" s="131">
        <f>N585+N567+N461+N439+N385+N353+N331+N309+N132+N57</f>
        <v>17628751.360000003</v>
      </c>
      <c r="O590" s="134"/>
      <c r="P590" s="131">
        <f>P585+P567+P461+P439+P385+P353+P331+P309+P132+P57</f>
        <v>4215</v>
      </c>
      <c r="Q590" s="131">
        <f>Q585+Q567+Q461+Q439+Q385+Q353+Q331+Q309+Q132+Q57</f>
        <v>4215</v>
      </c>
      <c r="R590" s="131">
        <f>R585+R567+R461+R439+R385+R353+R331+R309+R132+R57</f>
        <v>3709.2000000000003</v>
      </c>
      <c r="S590" s="131"/>
      <c r="T590" s="135"/>
      <c r="U590" s="225">
        <f>U585+U567+U461+U439+U385+U353+U331+U309+U132+U57</f>
        <v>38532609.733853742</v>
      </c>
      <c r="V590" s="225">
        <f>V585+V567+V461+V439+V385+V353+V331+V309+V132+V57</f>
        <v>17910410.531359829</v>
      </c>
      <c r="W590" s="225">
        <f>W585+W567+W461+W439+W385+W353+W331+W309+W132+W57</f>
        <v>101269.86678732959</v>
      </c>
      <c r="X590" s="225">
        <f>X585+X567+X461+X439+X385+X353+X331+X309+X132+X57</f>
        <v>56544290.132000893</v>
      </c>
      <c r="Y590" s="136"/>
      <c r="Z590" s="225">
        <f>Z585+Z567+Z461+Z439+Z385+Z353+Z331+Z309+Z132+Z57</f>
        <v>15460195.396800002</v>
      </c>
      <c r="AA590" s="225">
        <f>AA585+AA567+AA461+AA439+AA385+AA353+AA331+AA309+AA132+AA57+AA588</f>
        <v>3708404.1100000003</v>
      </c>
      <c r="AB590" s="225">
        <f t="shared" ref="AB590:AG590" si="284">AB585+AB567+AB461+AB439+AB385+AB353+AB331+AB309+AB132+AB57+AB588</f>
        <v>1022895.4199999999</v>
      </c>
      <c r="AC590" s="225">
        <f t="shared" si="284"/>
        <v>4731299.5300000012</v>
      </c>
      <c r="AD590" s="225">
        <f t="shared" si="284"/>
        <v>16483090.8168</v>
      </c>
      <c r="AE590" s="225">
        <f t="shared" si="284"/>
        <v>40061199.315200895</v>
      </c>
      <c r="AF590" s="244">
        <f t="shared" si="284"/>
        <v>251714331.77065432</v>
      </c>
      <c r="AG590" s="244">
        <f t="shared" si="284"/>
        <v>286039013.37574351</v>
      </c>
    </row>
    <row r="591" spans="1:33" x14ac:dyDescent="0.2">
      <c r="A591" s="140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  <c r="AB591" s="131"/>
      <c r="AC591" s="131"/>
      <c r="AD591" s="131"/>
      <c r="AE591" s="131"/>
      <c r="AF591" s="131"/>
      <c r="AG591" s="131"/>
    </row>
    <row r="592" spans="1:33" s="59" customFormat="1" x14ac:dyDescent="0.2">
      <c r="A592" s="60"/>
      <c r="B592" s="59" t="s">
        <v>29</v>
      </c>
      <c r="C592" s="56"/>
      <c r="D592" s="13"/>
      <c r="E592" s="13" t="s">
        <v>53</v>
      </c>
      <c r="F592" s="14"/>
      <c r="G592" s="15"/>
      <c r="H592" s="13"/>
      <c r="I592" s="13"/>
      <c r="J592" s="13"/>
      <c r="K592" s="13"/>
      <c r="L592" s="13"/>
      <c r="M592" s="16"/>
      <c r="N592" s="13"/>
      <c r="O592" s="21"/>
      <c r="P592" s="22"/>
      <c r="Q592" s="16"/>
      <c r="R592" s="13"/>
      <c r="S592" s="13"/>
      <c r="T592" s="56"/>
      <c r="U592" s="57"/>
      <c r="V592" s="57"/>
      <c r="W592" s="57"/>
      <c r="X592" s="57"/>
      <c r="Y592" s="95"/>
      <c r="Z592" s="57"/>
      <c r="AA592" s="57"/>
      <c r="AB592" s="57"/>
      <c r="AC592" s="57"/>
      <c r="AD592" s="57"/>
      <c r="AE592" s="57"/>
      <c r="AF592" s="100"/>
      <c r="AG592" s="100"/>
    </row>
    <row r="593" spans="1:33" x14ac:dyDescent="0.2">
      <c r="A593" s="140" t="s">
        <v>647</v>
      </c>
      <c r="B593" s="10" t="s">
        <v>44</v>
      </c>
      <c r="H593" s="17">
        <v>0</v>
      </c>
      <c r="K593" s="227"/>
      <c r="L593" s="227">
        <v>0</v>
      </c>
      <c r="M593" s="227"/>
      <c r="O593" s="21"/>
      <c r="P593" s="227">
        <v>0</v>
      </c>
      <c r="Q593" s="227"/>
      <c r="R593" s="13"/>
      <c r="S593" s="13"/>
      <c r="Z593" s="57"/>
      <c r="AA593" s="57"/>
      <c r="AC593" s="57"/>
      <c r="AD593" s="57"/>
      <c r="AE593" s="57"/>
      <c r="AF593" s="100"/>
      <c r="AG593" s="100"/>
    </row>
    <row r="594" spans="1:33" s="68" customFormat="1" x14ac:dyDescent="0.2">
      <c r="A594" s="147" t="s">
        <v>274</v>
      </c>
      <c r="B594" s="147"/>
      <c r="C594" s="147"/>
      <c r="D594" s="148">
        <v>0</v>
      </c>
      <c r="E594" s="149"/>
      <c r="F594" s="150">
        <v>0.2</v>
      </c>
      <c r="G594" s="150"/>
      <c r="H594" s="67">
        <v>20694</v>
      </c>
      <c r="I594" s="67">
        <f t="shared" ref="I594:I630" si="285">+$H$42*H594</f>
        <v>19781.119589809052</v>
      </c>
      <c r="J594" s="67">
        <f t="shared" ref="J594:J657" si="286">I594*(1-F594)</f>
        <v>15824.895671847242</v>
      </c>
      <c r="K594" s="63"/>
      <c r="L594" s="149">
        <v>0</v>
      </c>
      <c r="M594" s="63">
        <f t="shared" ref="M594:M661" si="287">+$L$42*L594</f>
        <v>0</v>
      </c>
      <c r="N594" s="63">
        <f t="shared" ref="N594:N657" si="288">M594*(1-F594)</f>
        <v>0</v>
      </c>
      <c r="O594" s="69"/>
      <c r="P594" s="149">
        <v>0</v>
      </c>
      <c r="Q594" s="63">
        <f t="shared" ref="Q594:Q630" si="289">+P594*$P$42</f>
        <v>0</v>
      </c>
      <c r="R594" s="64">
        <f t="shared" ref="R594:R657" si="290">Q594*(1-F594)</f>
        <v>0</v>
      </c>
      <c r="S594" s="148">
        <v>25</v>
      </c>
      <c r="T594" s="151" t="s">
        <v>52</v>
      </c>
      <c r="U594" s="65">
        <f>SUMIF('Avoided Costs 2012-2020_EGD'!$A:$A,'2012 Actuals_Auditor'!T594&amp;'2012 Actuals_Auditor'!S594,'Avoided Costs 2012-2020_EGD'!$E:$E)*J594</f>
        <v>51063.64070808432</v>
      </c>
      <c r="V594" s="65">
        <f>SUMIF('Avoided Costs 2012-2020_EGD'!$A:$A,'2012 Actuals_Auditor'!T594&amp;'2012 Actuals_Auditor'!S594,'Avoided Costs 2012-2020_EGD'!$K:$K)*N594</f>
        <v>0</v>
      </c>
      <c r="W594" s="65">
        <f>SUMIF('Avoided Costs 2012-2020_EGD'!$A:$A,'2012 Actuals_Auditor'!T594&amp;'2012 Actuals_Auditor'!S594,'Avoided Costs 2012-2020_EGD'!$M:$M)*R594</f>
        <v>0</v>
      </c>
      <c r="X594" s="65">
        <f t="shared" ref="X594:X658" si="291">SUM(U594:W594)</f>
        <v>51063.64070808432</v>
      </c>
      <c r="Y594" s="146">
        <v>20570</v>
      </c>
      <c r="Z594" s="66">
        <f t="shared" ref="Z594:Z657" si="292">Y594*(1-F594)</f>
        <v>16456</v>
      </c>
      <c r="AA594" s="66">
        <v>4835</v>
      </c>
      <c r="AB594" s="66"/>
      <c r="AC594" s="66"/>
      <c r="AD594" s="66">
        <f t="shared" ref="AD594:AD657" si="293">Z594+AB594</f>
        <v>16456</v>
      </c>
      <c r="AE594" s="66">
        <f t="shared" ref="AE594:AE657" si="294">X594-AD594</f>
        <v>34607.64070808432</v>
      </c>
      <c r="AF594" s="101">
        <f t="shared" ref="AF594:AF657" si="295">J594*S594</f>
        <v>395622.39179618104</v>
      </c>
      <c r="AG594" s="101">
        <f t="shared" ref="AG594:AG657" si="296">(I594*S594)</f>
        <v>494527.98974522628</v>
      </c>
    </row>
    <row r="595" spans="1:33" s="68" customFormat="1" x14ac:dyDescent="0.2">
      <c r="A595" s="147" t="s">
        <v>275</v>
      </c>
      <c r="B595" s="147"/>
      <c r="C595" s="147"/>
      <c r="D595" s="148">
        <v>1</v>
      </c>
      <c r="E595" s="149"/>
      <c r="F595" s="150">
        <v>0.2</v>
      </c>
      <c r="G595" s="150"/>
      <c r="H595" s="67">
        <v>27058</v>
      </c>
      <c r="I595" s="67">
        <f t="shared" si="285"/>
        <v>25864.382616268162</v>
      </c>
      <c r="J595" s="67">
        <f t="shared" si="286"/>
        <v>20691.50609301453</v>
      </c>
      <c r="K595" s="63"/>
      <c r="L595" s="149">
        <v>0</v>
      </c>
      <c r="M595" s="63">
        <f t="shared" si="287"/>
        <v>0</v>
      </c>
      <c r="N595" s="63">
        <f t="shared" si="288"/>
        <v>0</v>
      </c>
      <c r="O595" s="69"/>
      <c r="P595" s="149">
        <v>0</v>
      </c>
      <c r="Q595" s="63">
        <f t="shared" si="289"/>
        <v>0</v>
      </c>
      <c r="R595" s="64">
        <f t="shared" si="290"/>
        <v>0</v>
      </c>
      <c r="S595" s="148">
        <v>25</v>
      </c>
      <c r="T595" s="151" t="s">
        <v>15</v>
      </c>
      <c r="U595" s="65">
        <f>SUMIF('Avoided Costs 2012-2020_EGD'!$A:$A,'2012 Actuals_Auditor'!T595&amp;'2012 Actuals_Auditor'!S595,'Avoided Costs 2012-2020_EGD'!$E:$E)*J595</f>
        <v>71054.528443380143</v>
      </c>
      <c r="V595" s="65">
        <f>SUMIF('Avoided Costs 2012-2020_EGD'!$A:$A,'2012 Actuals_Auditor'!T595&amp;'2012 Actuals_Auditor'!S595,'Avoided Costs 2012-2020_EGD'!$K:$K)*N595</f>
        <v>0</v>
      </c>
      <c r="W595" s="65">
        <f>SUMIF('Avoided Costs 2012-2020_EGD'!$A:$A,'2012 Actuals_Auditor'!T595&amp;'2012 Actuals_Auditor'!S595,'Avoided Costs 2012-2020_EGD'!$M:$M)*R595</f>
        <v>0</v>
      </c>
      <c r="X595" s="65">
        <f t="shared" si="291"/>
        <v>71054.528443380143</v>
      </c>
      <c r="Y595" s="146">
        <v>68850</v>
      </c>
      <c r="Z595" s="66">
        <f t="shared" si="292"/>
        <v>55080</v>
      </c>
      <c r="AA595" s="66">
        <v>5624</v>
      </c>
      <c r="AB595" s="66"/>
      <c r="AC595" s="66"/>
      <c r="AD595" s="66">
        <f t="shared" si="293"/>
        <v>55080</v>
      </c>
      <c r="AE595" s="66">
        <f t="shared" si="294"/>
        <v>15974.528443380143</v>
      </c>
      <c r="AF595" s="101">
        <f t="shared" si="295"/>
        <v>517287.65232536325</v>
      </c>
      <c r="AG595" s="101">
        <f t="shared" si="296"/>
        <v>646609.56540670409</v>
      </c>
    </row>
    <row r="596" spans="1:33" s="68" customFormat="1" x14ac:dyDescent="0.2">
      <c r="A596" s="147" t="s">
        <v>276</v>
      </c>
      <c r="B596" s="147"/>
      <c r="C596" s="147"/>
      <c r="D596" s="148">
        <v>1</v>
      </c>
      <c r="E596" s="149"/>
      <c r="F596" s="150">
        <v>0.2</v>
      </c>
      <c r="G596" s="150"/>
      <c r="H596" s="67">
        <v>7317</v>
      </c>
      <c r="I596" s="67">
        <f t="shared" si="285"/>
        <v>6994.2230616909656</v>
      </c>
      <c r="J596" s="67">
        <f t="shared" si="286"/>
        <v>5595.3784493527728</v>
      </c>
      <c r="K596" s="63"/>
      <c r="L596" s="149">
        <v>0</v>
      </c>
      <c r="M596" s="63">
        <f t="shared" si="287"/>
        <v>0</v>
      </c>
      <c r="N596" s="63">
        <f t="shared" si="288"/>
        <v>0</v>
      </c>
      <c r="O596" s="69"/>
      <c r="P596" s="149">
        <v>0</v>
      </c>
      <c r="Q596" s="63">
        <f t="shared" si="289"/>
        <v>0</v>
      </c>
      <c r="R596" s="64">
        <f t="shared" si="290"/>
        <v>0</v>
      </c>
      <c r="S596" s="148">
        <v>15</v>
      </c>
      <c r="T596" s="151" t="s">
        <v>15</v>
      </c>
      <c r="U596" s="65">
        <f>SUMIF('Avoided Costs 2012-2020_EGD'!$A:$A,'2012 Actuals_Auditor'!T596&amp;'2012 Actuals_Auditor'!S596,'Avoided Costs 2012-2020_EGD'!$E:$E)*J596</f>
        <v>13596.231783735373</v>
      </c>
      <c r="V596" s="65">
        <f>SUMIF('Avoided Costs 2012-2020_EGD'!$A:$A,'2012 Actuals_Auditor'!T596&amp;'2012 Actuals_Auditor'!S596,'Avoided Costs 2012-2020_EGD'!$K:$K)*N596</f>
        <v>0</v>
      </c>
      <c r="W596" s="65">
        <f>SUMIF('Avoided Costs 2012-2020_EGD'!$A:$A,'2012 Actuals_Auditor'!T596&amp;'2012 Actuals_Auditor'!S596,'Avoided Costs 2012-2020_EGD'!$M:$M)*R596</f>
        <v>0</v>
      </c>
      <c r="X596" s="65">
        <f t="shared" si="291"/>
        <v>13596.231783735373</v>
      </c>
      <c r="Y596" s="146">
        <v>1127</v>
      </c>
      <c r="Z596" s="66">
        <f t="shared" si="292"/>
        <v>901.6</v>
      </c>
      <c r="AA596" s="66">
        <v>0</v>
      </c>
      <c r="AB596" s="66"/>
      <c r="AC596" s="66"/>
      <c r="AD596" s="66">
        <f t="shared" si="293"/>
        <v>901.6</v>
      </c>
      <c r="AE596" s="66">
        <f t="shared" si="294"/>
        <v>12694.631783735373</v>
      </c>
      <c r="AF596" s="101">
        <f t="shared" si="295"/>
        <v>83930.676740291587</v>
      </c>
      <c r="AG596" s="101">
        <f t="shared" si="296"/>
        <v>104913.34592536448</v>
      </c>
    </row>
    <row r="597" spans="1:33" s="68" customFormat="1" x14ac:dyDescent="0.2">
      <c r="A597" s="147" t="s">
        <v>277</v>
      </c>
      <c r="B597" s="147"/>
      <c r="C597" s="147"/>
      <c r="D597" s="148">
        <v>1</v>
      </c>
      <c r="E597" s="149"/>
      <c r="F597" s="150">
        <v>0.2</v>
      </c>
      <c r="G597" s="150"/>
      <c r="H597" s="67">
        <v>8496</v>
      </c>
      <c r="I597" s="67">
        <f t="shared" si="285"/>
        <v>8121.213493525549</v>
      </c>
      <c r="J597" s="67">
        <f t="shared" si="286"/>
        <v>6496.9707948204396</v>
      </c>
      <c r="K597" s="63"/>
      <c r="L597" s="149">
        <v>0</v>
      </c>
      <c r="M597" s="63">
        <f t="shared" si="287"/>
        <v>0</v>
      </c>
      <c r="N597" s="63">
        <f t="shared" si="288"/>
        <v>0</v>
      </c>
      <c r="O597" s="69"/>
      <c r="P597" s="149">
        <v>0</v>
      </c>
      <c r="Q597" s="63">
        <f t="shared" si="289"/>
        <v>0</v>
      </c>
      <c r="R597" s="64">
        <f t="shared" si="290"/>
        <v>0</v>
      </c>
      <c r="S597" s="148">
        <v>15</v>
      </c>
      <c r="T597" s="151" t="s">
        <v>15</v>
      </c>
      <c r="U597" s="65">
        <f>SUMIF('Avoided Costs 2012-2020_EGD'!$A:$A,'2012 Actuals_Auditor'!T597&amp;'2012 Actuals_Auditor'!S597,'Avoided Costs 2012-2020_EGD'!$E:$E)*J597</f>
        <v>15787.014518876003</v>
      </c>
      <c r="V597" s="65">
        <f>SUMIF('Avoided Costs 2012-2020_EGD'!$A:$A,'2012 Actuals_Auditor'!T597&amp;'2012 Actuals_Auditor'!S597,'Avoided Costs 2012-2020_EGD'!$K:$K)*N597</f>
        <v>0</v>
      </c>
      <c r="W597" s="65">
        <f>SUMIF('Avoided Costs 2012-2020_EGD'!$A:$A,'2012 Actuals_Auditor'!T597&amp;'2012 Actuals_Auditor'!S597,'Avoided Costs 2012-2020_EGD'!$M:$M)*R597</f>
        <v>0</v>
      </c>
      <c r="X597" s="65">
        <f t="shared" si="291"/>
        <v>15787.014518876003</v>
      </c>
      <c r="Y597" s="146">
        <v>1127</v>
      </c>
      <c r="Z597" s="66">
        <f t="shared" si="292"/>
        <v>901.6</v>
      </c>
      <c r="AA597" s="66">
        <v>0</v>
      </c>
      <c r="AB597" s="66"/>
      <c r="AC597" s="66"/>
      <c r="AD597" s="66">
        <f t="shared" si="293"/>
        <v>901.6</v>
      </c>
      <c r="AE597" s="66">
        <f t="shared" si="294"/>
        <v>14885.414518876003</v>
      </c>
      <c r="AF597" s="101">
        <f t="shared" si="295"/>
        <v>97454.561922306588</v>
      </c>
      <c r="AG597" s="101">
        <f t="shared" si="296"/>
        <v>121818.20240288324</v>
      </c>
    </row>
    <row r="598" spans="1:33" s="68" customFormat="1" x14ac:dyDescent="0.2">
      <c r="A598" s="147" t="s">
        <v>278</v>
      </c>
      <c r="B598" s="147"/>
      <c r="C598" s="147"/>
      <c r="D598" s="148">
        <v>1</v>
      </c>
      <c r="E598" s="149"/>
      <c r="F598" s="150">
        <v>0.2</v>
      </c>
      <c r="G598" s="150"/>
      <c r="H598" s="67">
        <v>7040</v>
      </c>
      <c r="I598" s="67">
        <f t="shared" si="285"/>
        <v>6729.4424428460297</v>
      </c>
      <c r="J598" s="67">
        <f t="shared" si="286"/>
        <v>5383.5539542768238</v>
      </c>
      <c r="K598" s="63"/>
      <c r="L598" s="149">
        <v>0</v>
      </c>
      <c r="M598" s="63">
        <f t="shared" si="287"/>
        <v>0</v>
      </c>
      <c r="N598" s="63">
        <f t="shared" si="288"/>
        <v>0</v>
      </c>
      <c r="O598" s="69"/>
      <c r="P598" s="149">
        <v>0</v>
      </c>
      <c r="Q598" s="63">
        <f t="shared" si="289"/>
        <v>0</v>
      </c>
      <c r="R598" s="64">
        <f t="shared" si="290"/>
        <v>0</v>
      </c>
      <c r="S598" s="148">
        <v>15</v>
      </c>
      <c r="T598" s="151" t="s">
        <v>15</v>
      </c>
      <c r="U598" s="65">
        <f>SUMIF('Avoided Costs 2012-2020_EGD'!$A:$A,'2012 Actuals_Auditor'!T598&amp;'2012 Actuals_Auditor'!S598,'Avoided Costs 2012-2020_EGD'!$E:$E)*J598</f>
        <v>13081.518622044146</v>
      </c>
      <c r="V598" s="65">
        <f>SUMIF('Avoided Costs 2012-2020_EGD'!$A:$A,'2012 Actuals_Auditor'!T598&amp;'2012 Actuals_Auditor'!S598,'Avoided Costs 2012-2020_EGD'!$K:$K)*N598</f>
        <v>0</v>
      </c>
      <c r="W598" s="65">
        <f>SUMIF('Avoided Costs 2012-2020_EGD'!$A:$A,'2012 Actuals_Auditor'!T598&amp;'2012 Actuals_Auditor'!S598,'Avoided Costs 2012-2020_EGD'!$M:$M)*R598</f>
        <v>0</v>
      </c>
      <c r="X598" s="65">
        <f t="shared" si="291"/>
        <v>13081.518622044146</v>
      </c>
      <c r="Y598" s="146">
        <v>1126.67</v>
      </c>
      <c r="Z598" s="66">
        <f t="shared" si="292"/>
        <v>901.33600000000013</v>
      </c>
      <c r="AA598" s="66">
        <v>0</v>
      </c>
      <c r="AB598" s="66"/>
      <c r="AC598" s="66"/>
      <c r="AD598" s="66">
        <f t="shared" si="293"/>
        <v>901.33600000000013</v>
      </c>
      <c r="AE598" s="66">
        <f t="shared" si="294"/>
        <v>12180.182622044147</v>
      </c>
      <c r="AF598" s="101">
        <f t="shared" si="295"/>
        <v>80753.309314152357</v>
      </c>
      <c r="AG598" s="101">
        <f t="shared" si="296"/>
        <v>100941.63664269044</v>
      </c>
    </row>
    <row r="599" spans="1:33" s="68" customFormat="1" x14ac:dyDescent="0.2">
      <c r="A599" s="147" t="s">
        <v>279</v>
      </c>
      <c r="B599" s="147"/>
      <c r="C599" s="147"/>
      <c r="D599" s="148">
        <v>1</v>
      </c>
      <c r="E599" s="149"/>
      <c r="F599" s="150">
        <v>0.2</v>
      </c>
      <c r="G599" s="150"/>
      <c r="H599" s="67">
        <v>7611</v>
      </c>
      <c r="I599" s="67">
        <f t="shared" si="285"/>
        <v>7275.2537546166377</v>
      </c>
      <c r="J599" s="67">
        <f t="shared" si="286"/>
        <v>5820.2030036933102</v>
      </c>
      <c r="K599" s="63"/>
      <c r="L599" s="149">
        <v>0</v>
      </c>
      <c r="M599" s="63">
        <f t="shared" si="287"/>
        <v>0</v>
      </c>
      <c r="N599" s="63">
        <f t="shared" si="288"/>
        <v>0</v>
      </c>
      <c r="O599" s="69"/>
      <c r="P599" s="149">
        <v>0</v>
      </c>
      <c r="Q599" s="63">
        <f t="shared" si="289"/>
        <v>0</v>
      </c>
      <c r="R599" s="64">
        <f t="shared" si="290"/>
        <v>0</v>
      </c>
      <c r="S599" s="148">
        <v>15</v>
      </c>
      <c r="T599" s="151" t="s">
        <v>15</v>
      </c>
      <c r="U599" s="65">
        <f>SUMIF('Avoided Costs 2012-2020_EGD'!$A:$A,'2012 Actuals_Auditor'!T599&amp;'2012 Actuals_Auditor'!S599,'Avoided Costs 2012-2020_EGD'!$E:$E)*J599</f>
        <v>14142.533839826419</v>
      </c>
      <c r="V599" s="65">
        <f>SUMIF('Avoided Costs 2012-2020_EGD'!$A:$A,'2012 Actuals_Auditor'!T599&amp;'2012 Actuals_Auditor'!S599,'Avoided Costs 2012-2020_EGD'!$K:$K)*N599</f>
        <v>0</v>
      </c>
      <c r="W599" s="65">
        <f>SUMIF('Avoided Costs 2012-2020_EGD'!$A:$A,'2012 Actuals_Auditor'!T599&amp;'2012 Actuals_Auditor'!S599,'Avoided Costs 2012-2020_EGD'!$M:$M)*R599</f>
        <v>0</v>
      </c>
      <c r="X599" s="65">
        <f t="shared" si="291"/>
        <v>14142.533839826419</v>
      </c>
      <c r="Y599" s="146">
        <v>1126.67</v>
      </c>
      <c r="Z599" s="66">
        <f t="shared" si="292"/>
        <v>901.33600000000013</v>
      </c>
      <c r="AA599" s="66">
        <v>0</v>
      </c>
      <c r="AB599" s="66"/>
      <c r="AC599" s="66"/>
      <c r="AD599" s="66">
        <f t="shared" si="293"/>
        <v>901.33600000000013</v>
      </c>
      <c r="AE599" s="66">
        <f t="shared" si="294"/>
        <v>13241.19783982642</v>
      </c>
      <c r="AF599" s="101">
        <f t="shared" si="295"/>
        <v>87303.045055399649</v>
      </c>
      <c r="AG599" s="101">
        <f t="shared" si="296"/>
        <v>109128.80631924956</v>
      </c>
    </row>
    <row r="600" spans="1:33" s="68" customFormat="1" x14ac:dyDescent="0.2">
      <c r="A600" s="147" t="s">
        <v>280</v>
      </c>
      <c r="B600" s="147"/>
      <c r="C600" s="147"/>
      <c r="D600" s="148">
        <v>1</v>
      </c>
      <c r="E600" s="149"/>
      <c r="F600" s="150">
        <v>0.2</v>
      </c>
      <c r="G600" s="150"/>
      <c r="H600" s="67">
        <v>7883</v>
      </c>
      <c r="I600" s="67">
        <f t="shared" si="285"/>
        <v>7535.2549399084164</v>
      </c>
      <c r="J600" s="67">
        <f t="shared" si="286"/>
        <v>6028.2039519267337</v>
      </c>
      <c r="K600" s="63"/>
      <c r="L600" s="149">
        <v>0</v>
      </c>
      <c r="M600" s="63">
        <f t="shared" si="287"/>
        <v>0</v>
      </c>
      <c r="N600" s="63">
        <f t="shared" si="288"/>
        <v>0</v>
      </c>
      <c r="O600" s="69"/>
      <c r="P600" s="149">
        <v>0</v>
      </c>
      <c r="Q600" s="63">
        <f t="shared" si="289"/>
        <v>0</v>
      </c>
      <c r="R600" s="64">
        <f t="shared" si="290"/>
        <v>0</v>
      </c>
      <c r="S600" s="148">
        <v>15</v>
      </c>
      <c r="T600" s="151" t="s">
        <v>15</v>
      </c>
      <c r="U600" s="65">
        <f>SUMIF('Avoided Costs 2012-2020_EGD'!$A:$A,'2012 Actuals_Auditor'!T600&amp;'2012 Actuals_Auditor'!S600,'Avoided Costs 2012-2020_EGD'!$E:$E)*J600</f>
        <v>14647.956150223581</v>
      </c>
      <c r="V600" s="65">
        <f>SUMIF('Avoided Costs 2012-2020_EGD'!$A:$A,'2012 Actuals_Auditor'!T600&amp;'2012 Actuals_Auditor'!S600,'Avoided Costs 2012-2020_EGD'!$K:$K)*N600</f>
        <v>0</v>
      </c>
      <c r="W600" s="65">
        <f>SUMIF('Avoided Costs 2012-2020_EGD'!$A:$A,'2012 Actuals_Auditor'!T600&amp;'2012 Actuals_Auditor'!S600,'Avoided Costs 2012-2020_EGD'!$M:$M)*R600</f>
        <v>0</v>
      </c>
      <c r="X600" s="65">
        <f t="shared" si="291"/>
        <v>14647.956150223581</v>
      </c>
      <c r="Y600" s="146">
        <v>1127</v>
      </c>
      <c r="Z600" s="66">
        <f t="shared" si="292"/>
        <v>901.6</v>
      </c>
      <c r="AA600" s="66">
        <v>0</v>
      </c>
      <c r="AB600" s="66"/>
      <c r="AC600" s="66"/>
      <c r="AD600" s="66">
        <f t="shared" si="293"/>
        <v>901.6</v>
      </c>
      <c r="AE600" s="66">
        <f t="shared" si="294"/>
        <v>13746.356150223581</v>
      </c>
      <c r="AF600" s="101">
        <f t="shared" si="295"/>
        <v>90423.059278901012</v>
      </c>
      <c r="AG600" s="101">
        <f t="shared" si="296"/>
        <v>113028.82409862624</v>
      </c>
    </row>
    <row r="601" spans="1:33" s="68" customFormat="1" x14ac:dyDescent="0.2">
      <c r="A601" s="147" t="s">
        <v>281</v>
      </c>
      <c r="B601" s="147"/>
      <c r="C601" s="147"/>
      <c r="D601" s="148">
        <v>1</v>
      </c>
      <c r="E601" s="149"/>
      <c r="F601" s="150">
        <v>0.2</v>
      </c>
      <c r="G601" s="150"/>
      <c r="H601" s="67">
        <v>55705</v>
      </c>
      <c r="I601" s="67">
        <f t="shared" si="285"/>
        <v>53247.669215729838</v>
      </c>
      <c r="J601" s="67">
        <f t="shared" si="286"/>
        <v>42598.135372583871</v>
      </c>
      <c r="K601" s="63"/>
      <c r="L601" s="149">
        <v>0</v>
      </c>
      <c r="M601" s="63">
        <f t="shared" si="287"/>
        <v>0</v>
      </c>
      <c r="N601" s="63">
        <f t="shared" si="288"/>
        <v>0</v>
      </c>
      <c r="O601" s="69"/>
      <c r="P601" s="149">
        <v>0</v>
      </c>
      <c r="Q601" s="63">
        <f t="shared" si="289"/>
        <v>0</v>
      </c>
      <c r="R601" s="64">
        <f t="shared" si="290"/>
        <v>0</v>
      </c>
      <c r="S601" s="148">
        <v>15</v>
      </c>
      <c r="T601" s="151" t="s">
        <v>15</v>
      </c>
      <c r="U601" s="65">
        <f>SUMIF('Avoided Costs 2012-2020_EGD'!$A:$A,'2012 Actuals_Auditor'!T601&amp;'2012 Actuals_Auditor'!S601,'Avoided Costs 2012-2020_EGD'!$E:$E)*J601</f>
        <v>103509.37426718311</v>
      </c>
      <c r="V601" s="65">
        <f>SUMIF('Avoided Costs 2012-2020_EGD'!$A:$A,'2012 Actuals_Auditor'!T601&amp;'2012 Actuals_Auditor'!S601,'Avoided Costs 2012-2020_EGD'!$K:$K)*N601</f>
        <v>0</v>
      </c>
      <c r="W601" s="65">
        <f>SUMIF('Avoided Costs 2012-2020_EGD'!$A:$A,'2012 Actuals_Auditor'!T601&amp;'2012 Actuals_Auditor'!S601,'Avoided Costs 2012-2020_EGD'!$M:$M)*R601</f>
        <v>0</v>
      </c>
      <c r="X601" s="65">
        <f t="shared" si="291"/>
        <v>103509.37426718311</v>
      </c>
      <c r="Y601" s="146">
        <v>20951</v>
      </c>
      <c r="Z601" s="66">
        <f t="shared" si="292"/>
        <v>16760.8</v>
      </c>
      <c r="AA601" s="66">
        <v>0</v>
      </c>
      <c r="AB601" s="66"/>
      <c r="AC601" s="66"/>
      <c r="AD601" s="66">
        <f t="shared" si="293"/>
        <v>16760.8</v>
      </c>
      <c r="AE601" s="66">
        <f t="shared" si="294"/>
        <v>86748.57426718311</v>
      </c>
      <c r="AF601" s="101">
        <f t="shared" si="295"/>
        <v>638972.03058875806</v>
      </c>
      <c r="AG601" s="101">
        <f t="shared" si="296"/>
        <v>798715.03823594761</v>
      </c>
    </row>
    <row r="602" spans="1:33" s="68" customFormat="1" x14ac:dyDescent="0.2">
      <c r="A602" s="147" t="s">
        <v>282</v>
      </c>
      <c r="B602" s="147"/>
      <c r="C602" s="147"/>
      <c r="D602" s="148">
        <v>1</v>
      </c>
      <c r="E602" s="149"/>
      <c r="F602" s="150">
        <v>0.2</v>
      </c>
      <c r="G602" s="150"/>
      <c r="H602" s="67">
        <v>11312</v>
      </c>
      <c r="I602" s="67">
        <f t="shared" si="285"/>
        <v>10812.990470663961</v>
      </c>
      <c r="J602" s="67">
        <f t="shared" si="286"/>
        <v>8650.3923765311683</v>
      </c>
      <c r="K602" s="63"/>
      <c r="L602" s="149">
        <v>0</v>
      </c>
      <c r="M602" s="63">
        <f t="shared" si="287"/>
        <v>0</v>
      </c>
      <c r="N602" s="63">
        <f t="shared" si="288"/>
        <v>0</v>
      </c>
      <c r="O602" s="69"/>
      <c r="P602" s="149">
        <v>0</v>
      </c>
      <c r="Q602" s="63">
        <f t="shared" si="289"/>
        <v>0</v>
      </c>
      <c r="R602" s="64">
        <f t="shared" si="290"/>
        <v>0</v>
      </c>
      <c r="S602" s="148">
        <v>25</v>
      </c>
      <c r="T602" s="151" t="s">
        <v>52</v>
      </c>
      <c r="U602" s="65">
        <f>SUMIF('Avoided Costs 2012-2020_EGD'!$A:$A,'2012 Actuals_Auditor'!T602&amp;'2012 Actuals_Auditor'!S602,'Avoided Costs 2012-2020_EGD'!$E:$E)*J602</f>
        <v>27913.013612150855</v>
      </c>
      <c r="V602" s="65">
        <f>SUMIF('Avoided Costs 2012-2020_EGD'!$A:$A,'2012 Actuals_Auditor'!T602&amp;'2012 Actuals_Auditor'!S602,'Avoided Costs 2012-2020_EGD'!$K:$K)*N602</f>
        <v>0</v>
      </c>
      <c r="W602" s="65">
        <f>SUMIF('Avoided Costs 2012-2020_EGD'!$A:$A,'2012 Actuals_Auditor'!T602&amp;'2012 Actuals_Auditor'!S602,'Avoided Costs 2012-2020_EGD'!$M:$M)*R602</f>
        <v>0</v>
      </c>
      <c r="X602" s="65">
        <f t="shared" si="291"/>
        <v>27913.013612150855</v>
      </c>
      <c r="Y602" s="146">
        <v>16796</v>
      </c>
      <c r="Z602" s="66">
        <f t="shared" si="292"/>
        <v>13436.800000000001</v>
      </c>
      <c r="AA602" s="66">
        <v>2426</v>
      </c>
      <c r="AB602" s="66"/>
      <c r="AC602" s="66"/>
      <c r="AD602" s="66">
        <f t="shared" si="293"/>
        <v>13436.800000000001</v>
      </c>
      <c r="AE602" s="66">
        <f t="shared" si="294"/>
        <v>14476.213612150854</v>
      </c>
      <c r="AF602" s="101">
        <f t="shared" si="295"/>
        <v>216259.8094132792</v>
      </c>
      <c r="AG602" s="101">
        <f t="shared" si="296"/>
        <v>270324.76176659903</v>
      </c>
    </row>
    <row r="603" spans="1:33" s="68" customFormat="1" x14ac:dyDescent="0.2">
      <c r="A603" s="147" t="s">
        <v>283</v>
      </c>
      <c r="B603" s="147"/>
      <c r="C603" s="147"/>
      <c r="D603" s="148">
        <v>1</v>
      </c>
      <c r="E603" s="149"/>
      <c r="F603" s="150">
        <v>0.2</v>
      </c>
      <c r="G603" s="150"/>
      <c r="H603" s="67">
        <v>48124</v>
      </c>
      <c r="I603" s="67">
        <f t="shared" si="285"/>
        <v>46001.092062432152</v>
      </c>
      <c r="J603" s="67">
        <f t="shared" si="286"/>
        <v>36800.873649945723</v>
      </c>
      <c r="K603" s="63"/>
      <c r="L603" s="149">
        <v>0</v>
      </c>
      <c r="M603" s="63">
        <f t="shared" si="287"/>
        <v>0</v>
      </c>
      <c r="N603" s="63">
        <f t="shared" si="288"/>
        <v>0</v>
      </c>
      <c r="O603" s="69"/>
      <c r="P603" s="149">
        <v>0</v>
      </c>
      <c r="Q603" s="63">
        <f t="shared" si="289"/>
        <v>0</v>
      </c>
      <c r="R603" s="64">
        <f t="shared" si="290"/>
        <v>0</v>
      </c>
      <c r="S603" s="148">
        <v>25</v>
      </c>
      <c r="T603" s="151" t="s">
        <v>15</v>
      </c>
      <c r="U603" s="65">
        <f>SUMIF('Avoided Costs 2012-2020_EGD'!$A:$A,'2012 Actuals_Auditor'!T603&amp;'2012 Actuals_Auditor'!S603,'Avoided Costs 2012-2020_EGD'!$E:$E)*J603</f>
        <v>126374.01606952569</v>
      </c>
      <c r="V603" s="65">
        <f>SUMIF('Avoided Costs 2012-2020_EGD'!$A:$A,'2012 Actuals_Auditor'!T603&amp;'2012 Actuals_Auditor'!S603,'Avoided Costs 2012-2020_EGD'!$K:$K)*N603</f>
        <v>0</v>
      </c>
      <c r="W603" s="65">
        <f>SUMIF('Avoided Costs 2012-2020_EGD'!$A:$A,'2012 Actuals_Auditor'!T603&amp;'2012 Actuals_Auditor'!S603,'Avoided Costs 2012-2020_EGD'!$M:$M)*R603</f>
        <v>0</v>
      </c>
      <c r="X603" s="65">
        <f t="shared" si="291"/>
        <v>126374.01606952569</v>
      </c>
      <c r="Y603" s="146">
        <v>30762</v>
      </c>
      <c r="Z603" s="66">
        <f t="shared" si="292"/>
        <v>24609.600000000002</v>
      </c>
      <c r="AA603" s="66">
        <v>10327</v>
      </c>
      <c r="AB603" s="66"/>
      <c r="AC603" s="66"/>
      <c r="AD603" s="66">
        <f t="shared" si="293"/>
        <v>24609.600000000002</v>
      </c>
      <c r="AE603" s="66">
        <f t="shared" si="294"/>
        <v>101764.41606952569</v>
      </c>
      <c r="AF603" s="101">
        <f t="shared" si="295"/>
        <v>920021.84124864312</v>
      </c>
      <c r="AG603" s="101">
        <f t="shared" si="296"/>
        <v>1150027.3015608038</v>
      </c>
    </row>
    <row r="604" spans="1:33" s="68" customFormat="1" x14ac:dyDescent="0.2">
      <c r="A604" s="147" t="s">
        <v>284</v>
      </c>
      <c r="B604" s="147"/>
      <c r="C604" s="147"/>
      <c r="D604" s="148">
        <v>1</v>
      </c>
      <c r="E604" s="149"/>
      <c r="F604" s="150">
        <v>0.2</v>
      </c>
      <c r="G604" s="150"/>
      <c r="H604" s="67">
        <v>49758</v>
      </c>
      <c r="I604" s="67">
        <f t="shared" si="285"/>
        <v>47563.010947604082</v>
      </c>
      <c r="J604" s="67">
        <f t="shared" si="286"/>
        <v>38050.408758083264</v>
      </c>
      <c r="K604" s="63"/>
      <c r="L604" s="149">
        <v>0</v>
      </c>
      <c r="M604" s="63">
        <f t="shared" si="287"/>
        <v>0</v>
      </c>
      <c r="N604" s="63">
        <f t="shared" si="288"/>
        <v>0</v>
      </c>
      <c r="O604" s="69"/>
      <c r="P604" s="149">
        <v>0</v>
      </c>
      <c r="Q604" s="63">
        <f t="shared" si="289"/>
        <v>0</v>
      </c>
      <c r="R604" s="64">
        <f t="shared" si="290"/>
        <v>0</v>
      </c>
      <c r="S604" s="148">
        <v>25</v>
      </c>
      <c r="T604" s="151" t="s">
        <v>15</v>
      </c>
      <c r="U604" s="65">
        <f>SUMIF('Avoided Costs 2012-2020_EGD'!$A:$A,'2012 Actuals_Auditor'!T604&amp;'2012 Actuals_Auditor'!S604,'Avoided Costs 2012-2020_EGD'!$E:$E)*J604</f>
        <v>130664.91338183563</v>
      </c>
      <c r="V604" s="65">
        <f>SUMIF('Avoided Costs 2012-2020_EGD'!$A:$A,'2012 Actuals_Auditor'!T604&amp;'2012 Actuals_Auditor'!S604,'Avoided Costs 2012-2020_EGD'!$K:$K)*N604</f>
        <v>0</v>
      </c>
      <c r="W604" s="65">
        <f>SUMIF('Avoided Costs 2012-2020_EGD'!$A:$A,'2012 Actuals_Auditor'!T604&amp;'2012 Actuals_Auditor'!S604,'Avoided Costs 2012-2020_EGD'!$M:$M)*R604</f>
        <v>0</v>
      </c>
      <c r="X604" s="65">
        <f t="shared" si="291"/>
        <v>130664.91338183563</v>
      </c>
      <c r="Y604" s="146">
        <v>30762</v>
      </c>
      <c r="Z604" s="66">
        <f t="shared" si="292"/>
        <v>24609.600000000002</v>
      </c>
      <c r="AA604" s="66">
        <v>10783</v>
      </c>
      <c r="AB604" s="66"/>
      <c r="AC604" s="66"/>
      <c r="AD604" s="66">
        <f t="shared" si="293"/>
        <v>24609.600000000002</v>
      </c>
      <c r="AE604" s="66">
        <f t="shared" si="294"/>
        <v>106055.31338183563</v>
      </c>
      <c r="AF604" s="101">
        <f t="shared" si="295"/>
        <v>951260.21895208163</v>
      </c>
      <c r="AG604" s="101">
        <f t="shared" si="296"/>
        <v>1189075.2736901022</v>
      </c>
    </row>
    <row r="605" spans="1:33" s="68" customFormat="1" x14ac:dyDescent="0.2">
      <c r="A605" s="147" t="s">
        <v>285</v>
      </c>
      <c r="B605" s="147"/>
      <c r="C605" s="147"/>
      <c r="D605" s="148">
        <v>1</v>
      </c>
      <c r="E605" s="149"/>
      <c r="F605" s="150">
        <v>0.2</v>
      </c>
      <c r="G605" s="150"/>
      <c r="H605" s="67">
        <v>18576</v>
      </c>
      <c r="I605" s="67">
        <f t="shared" si="285"/>
        <v>17756.551536691455</v>
      </c>
      <c r="J605" s="67">
        <f t="shared" si="286"/>
        <v>14205.241229353165</v>
      </c>
      <c r="K605" s="63"/>
      <c r="L605" s="149">
        <v>0</v>
      </c>
      <c r="M605" s="63">
        <f t="shared" si="287"/>
        <v>0</v>
      </c>
      <c r="N605" s="63">
        <f t="shared" si="288"/>
        <v>0</v>
      </c>
      <c r="O605" s="69"/>
      <c r="P605" s="149">
        <v>0</v>
      </c>
      <c r="Q605" s="63">
        <f t="shared" si="289"/>
        <v>0</v>
      </c>
      <c r="R605" s="64">
        <f t="shared" si="290"/>
        <v>0</v>
      </c>
      <c r="S605" s="148">
        <v>25</v>
      </c>
      <c r="T605" s="151" t="s">
        <v>15</v>
      </c>
      <c r="U605" s="65">
        <f>SUMIF('Avoided Costs 2012-2020_EGD'!$A:$A,'2012 Actuals_Auditor'!T605&amp;'2012 Actuals_Auditor'!S605,'Avoided Costs 2012-2020_EGD'!$E:$E)*J605</f>
        <v>48780.727339944919</v>
      </c>
      <c r="V605" s="65">
        <f>SUMIF('Avoided Costs 2012-2020_EGD'!$A:$A,'2012 Actuals_Auditor'!T605&amp;'2012 Actuals_Auditor'!S605,'Avoided Costs 2012-2020_EGD'!$K:$K)*N605</f>
        <v>0</v>
      </c>
      <c r="W605" s="65">
        <f>SUMIF('Avoided Costs 2012-2020_EGD'!$A:$A,'2012 Actuals_Auditor'!T605&amp;'2012 Actuals_Auditor'!S605,'Avoided Costs 2012-2020_EGD'!$M:$M)*R605</f>
        <v>0</v>
      </c>
      <c r="X605" s="65">
        <f>SUM(U605:W605)</f>
        <v>48780.727339944919</v>
      </c>
      <c r="Y605" s="146">
        <v>11184</v>
      </c>
      <c r="Z605" s="66">
        <f t="shared" si="292"/>
        <v>8947.2000000000007</v>
      </c>
      <c r="AA605" s="66">
        <v>3928</v>
      </c>
      <c r="AB605" s="66"/>
      <c r="AC605" s="66"/>
      <c r="AD605" s="66">
        <f t="shared" si="293"/>
        <v>8947.2000000000007</v>
      </c>
      <c r="AE605" s="66">
        <f t="shared" si="294"/>
        <v>39833.527339944922</v>
      </c>
      <c r="AF605" s="101">
        <f t="shared" si="295"/>
        <v>355131.03073382913</v>
      </c>
      <c r="AG605" s="101">
        <f t="shared" si="296"/>
        <v>443913.78841728636</v>
      </c>
    </row>
    <row r="606" spans="1:33" s="68" customFormat="1" x14ac:dyDescent="0.2">
      <c r="A606" s="147" t="s">
        <v>286</v>
      </c>
      <c r="B606" s="147"/>
      <c r="C606" s="147"/>
      <c r="D606" s="148">
        <v>1</v>
      </c>
      <c r="E606" s="149"/>
      <c r="F606" s="150">
        <v>0.2</v>
      </c>
      <c r="G606" s="150"/>
      <c r="H606" s="67">
        <v>13011</v>
      </c>
      <c r="I606" s="67">
        <f t="shared" si="285"/>
        <v>12437.041992026945</v>
      </c>
      <c r="J606" s="67">
        <f t="shared" si="286"/>
        <v>9949.6335936215564</v>
      </c>
      <c r="K606" s="63"/>
      <c r="L606" s="149">
        <v>15930</v>
      </c>
      <c r="M606" s="63">
        <f t="shared" si="287"/>
        <v>15930</v>
      </c>
      <c r="N606" s="63">
        <f t="shared" si="288"/>
        <v>12744</v>
      </c>
      <c r="O606" s="69"/>
      <c r="P606" s="149">
        <v>0</v>
      </c>
      <c r="Q606" s="63">
        <f t="shared" si="289"/>
        <v>0</v>
      </c>
      <c r="R606" s="64">
        <f t="shared" si="290"/>
        <v>0</v>
      </c>
      <c r="S606" s="148">
        <v>15</v>
      </c>
      <c r="T606" s="151" t="s">
        <v>15</v>
      </c>
      <c r="U606" s="65">
        <f>SUMIF('Avoided Costs 2012-2020_EGD'!$A:$A,'2012 Actuals_Auditor'!T606&amp;'2012 Actuals_Auditor'!S606,'Avoided Costs 2012-2020_EGD'!$E:$E)*J606</f>
        <v>24176.6532374171</v>
      </c>
      <c r="V606" s="65">
        <f>SUMIF('Avoided Costs 2012-2020_EGD'!$A:$A,'2012 Actuals_Auditor'!T606&amp;'2012 Actuals_Auditor'!S606,'Avoided Costs 2012-2020_EGD'!$K:$K)*N606</f>
        <v>13123.559979588603</v>
      </c>
      <c r="W606" s="65">
        <f>SUMIF('Avoided Costs 2012-2020_EGD'!$A:$A,'2012 Actuals_Auditor'!T606&amp;'2012 Actuals_Auditor'!S606,'Avoided Costs 2012-2020_EGD'!$M:$M)*R606</f>
        <v>0</v>
      </c>
      <c r="X606" s="65">
        <f>SUM(U606:W606)</f>
        <v>37300.213217005701</v>
      </c>
      <c r="Y606" s="146">
        <v>5500</v>
      </c>
      <c r="Z606" s="66">
        <f t="shared" si="292"/>
        <v>4400</v>
      </c>
      <c r="AA606" s="66">
        <v>1301</v>
      </c>
      <c r="AB606" s="66"/>
      <c r="AC606" s="66"/>
      <c r="AD606" s="66">
        <f t="shared" si="293"/>
        <v>4400</v>
      </c>
      <c r="AE606" s="66">
        <f t="shared" si="294"/>
        <v>32900.213217005701</v>
      </c>
      <c r="AF606" s="101">
        <f t="shared" si="295"/>
        <v>149244.50390432336</v>
      </c>
      <c r="AG606" s="101">
        <f t="shared" si="296"/>
        <v>186555.62988040419</v>
      </c>
    </row>
    <row r="607" spans="1:33" s="68" customFormat="1" x14ac:dyDescent="0.2">
      <c r="A607" s="147" t="s">
        <v>287</v>
      </c>
      <c r="B607" s="147"/>
      <c r="C607" s="147"/>
      <c r="D607" s="148">
        <v>1</v>
      </c>
      <c r="E607" s="149"/>
      <c r="F607" s="150">
        <v>0.2</v>
      </c>
      <c r="G607" s="150"/>
      <c r="H607" s="67">
        <v>91604</v>
      </c>
      <c r="I607" s="67">
        <f t="shared" si="285"/>
        <v>87563.04624069143</v>
      </c>
      <c r="J607" s="67">
        <f t="shared" si="286"/>
        <v>70050.43699255315</v>
      </c>
      <c r="K607" s="63"/>
      <c r="L607" s="149">
        <v>96383</v>
      </c>
      <c r="M607" s="63">
        <f t="shared" si="287"/>
        <v>96383</v>
      </c>
      <c r="N607" s="63">
        <f t="shared" si="288"/>
        <v>77106.400000000009</v>
      </c>
      <c r="O607" s="69"/>
      <c r="P607" s="149">
        <v>0</v>
      </c>
      <c r="Q607" s="63">
        <f t="shared" si="289"/>
        <v>0</v>
      </c>
      <c r="R607" s="64">
        <f t="shared" si="290"/>
        <v>0</v>
      </c>
      <c r="S607" s="148">
        <v>15</v>
      </c>
      <c r="T607" s="151" t="s">
        <v>15</v>
      </c>
      <c r="U607" s="65">
        <f>SUMIF('Avoided Costs 2012-2020_EGD'!$A:$A,'2012 Actuals_Auditor'!T607&amp;'2012 Actuals_Auditor'!S607,'Avoided Costs 2012-2020_EGD'!$E:$E)*J607</f>
        <v>170215.8283883142</v>
      </c>
      <c r="V607" s="65">
        <f>SUMIF('Avoided Costs 2012-2020_EGD'!$A:$A,'2012 Actuals_Auditor'!T607&amp;'2012 Actuals_Auditor'!S607,'Avoided Costs 2012-2020_EGD'!$K:$K)*N607</f>
        <v>79402.8927503257</v>
      </c>
      <c r="W607" s="65">
        <f>SUMIF('Avoided Costs 2012-2020_EGD'!$A:$A,'2012 Actuals_Auditor'!T607&amp;'2012 Actuals_Auditor'!S607,'Avoided Costs 2012-2020_EGD'!$M:$M)*R607</f>
        <v>0</v>
      </c>
      <c r="X607" s="65">
        <f>SUM(U607:W607)</f>
        <v>249618.7211386399</v>
      </c>
      <c r="Y607" s="146">
        <v>7350</v>
      </c>
      <c r="Z607" s="66">
        <f t="shared" si="292"/>
        <v>5880</v>
      </c>
      <c r="AA607" s="66">
        <v>3675</v>
      </c>
      <c r="AB607" s="66"/>
      <c r="AC607" s="66"/>
      <c r="AD607" s="66">
        <f t="shared" si="293"/>
        <v>5880</v>
      </c>
      <c r="AE607" s="66">
        <f t="shared" si="294"/>
        <v>243738.7211386399</v>
      </c>
      <c r="AF607" s="101">
        <f t="shared" si="295"/>
        <v>1050756.5548882973</v>
      </c>
      <c r="AG607" s="101">
        <f t="shared" si="296"/>
        <v>1313445.6936103716</v>
      </c>
    </row>
    <row r="608" spans="1:33" s="68" customFormat="1" x14ac:dyDescent="0.2">
      <c r="A608" s="147" t="s">
        <v>288</v>
      </c>
      <c r="B608" s="147"/>
      <c r="C608" s="147"/>
      <c r="D608" s="148">
        <v>0</v>
      </c>
      <c r="E608" s="149"/>
      <c r="F608" s="150">
        <v>0.2</v>
      </c>
      <c r="G608" s="150"/>
      <c r="H608" s="67">
        <v>35621</v>
      </c>
      <c r="I608" s="67">
        <f t="shared" si="285"/>
        <v>34049.640519406028</v>
      </c>
      <c r="J608" s="67">
        <f t="shared" si="286"/>
        <v>27239.712415524824</v>
      </c>
      <c r="K608" s="63"/>
      <c r="L608" s="149">
        <v>38500</v>
      </c>
      <c r="M608" s="63">
        <f t="shared" si="287"/>
        <v>38500</v>
      </c>
      <c r="N608" s="63">
        <f t="shared" si="288"/>
        <v>30800</v>
      </c>
      <c r="O608" s="69"/>
      <c r="P608" s="149">
        <v>0</v>
      </c>
      <c r="Q608" s="63">
        <f t="shared" si="289"/>
        <v>0</v>
      </c>
      <c r="R608" s="64">
        <f t="shared" si="290"/>
        <v>0</v>
      </c>
      <c r="S608" s="148">
        <v>15</v>
      </c>
      <c r="T608" s="151" t="s">
        <v>15</v>
      </c>
      <c r="U608" s="65">
        <f>SUMIF('Avoided Costs 2012-2020_EGD'!$A:$A,'2012 Actuals_Auditor'!T608&amp;'2012 Actuals_Auditor'!S608,'Avoided Costs 2012-2020_EGD'!$E:$E)*J608</f>
        <v>66189.882789181051</v>
      </c>
      <c r="V608" s="65">
        <f>SUMIF('Avoided Costs 2012-2020_EGD'!$A:$A,'2012 Actuals_Auditor'!T608&amp;'2012 Actuals_Auditor'!S608,'Avoided Costs 2012-2020_EGD'!$K:$K)*N608</f>
        <v>31717.329517524242</v>
      </c>
      <c r="W608" s="65">
        <f>SUMIF('Avoided Costs 2012-2020_EGD'!$A:$A,'2012 Actuals_Auditor'!T608&amp;'2012 Actuals_Auditor'!S608,'Avoided Costs 2012-2020_EGD'!$M:$M)*R608</f>
        <v>0</v>
      </c>
      <c r="X608" s="65">
        <f t="shared" si="291"/>
        <v>97907.212306705289</v>
      </c>
      <c r="Y608" s="146">
        <v>100000</v>
      </c>
      <c r="Z608" s="66">
        <f t="shared" si="292"/>
        <v>80000</v>
      </c>
      <c r="AA608" s="66">
        <v>3562</v>
      </c>
      <c r="AB608" s="66"/>
      <c r="AC608" s="66"/>
      <c r="AD608" s="66">
        <f t="shared" si="293"/>
        <v>80000</v>
      </c>
      <c r="AE608" s="66">
        <f t="shared" si="294"/>
        <v>17907.212306705289</v>
      </c>
      <c r="AF608" s="101">
        <f t="shared" si="295"/>
        <v>408595.68623287237</v>
      </c>
      <c r="AG608" s="101">
        <f t="shared" si="296"/>
        <v>510744.60779109044</v>
      </c>
    </row>
    <row r="609" spans="1:33" s="68" customFormat="1" x14ac:dyDescent="0.2">
      <c r="A609" s="147" t="s">
        <v>289</v>
      </c>
      <c r="B609" s="147"/>
      <c r="C609" s="147"/>
      <c r="D609" s="148">
        <v>1</v>
      </c>
      <c r="E609" s="149"/>
      <c r="F609" s="150">
        <v>0.2</v>
      </c>
      <c r="G609" s="150"/>
      <c r="H609" s="67">
        <v>130677</v>
      </c>
      <c r="I609" s="67">
        <f t="shared" si="285"/>
        <v>124912.40768519753</v>
      </c>
      <c r="J609" s="67">
        <f t="shared" si="286"/>
        <v>99929.926148158032</v>
      </c>
      <c r="K609" s="63"/>
      <c r="L609" s="149">
        <v>0</v>
      </c>
      <c r="M609" s="63">
        <f t="shared" si="287"/>
        <v>0</v>
      </c>
      <c r="N609" s="63">
        <f t="shared" si="288"/>
        <v>0</v>
      </c>
      <c r="O609" s="69"/>
      <c r="P609" s="149">
        <v>0</v>
      </c>
      <c r="Q609" s="63">
        <f t="shared" si="289"/>
        <v>0</v>
      </c>
      <c r="R609" s="64">
        <f t="shared" si="290"/>
        <v>0</v>
      </c>
      <c r="S609" s="148">
        <v>25</v>
      </c>
      <c r="T609" s="151" t="s">
        <v>15</v>
      </c>
      <c r="U609" s="65">
        <f>SUMIF('Avoided Costs 2012-2020_EGD'!$A:$A,'2012 Actuals_Auditor'!T609&amp;'2012 Actuals_Auditor'!S609,'Avoided Costs 2012-2020_EGD'!$E:$E)*J609</f>
        <v>343158.86663447361</v>
      </c>
      <c r="V609" s="65">
        <f>SUMIF('Avoided Costs 2012-2020_EGD'!$A:$A,'2012 Actuals_Auditor'!T609&amp;'2012 Actuals_Auditor'!S609,'Avoided Costs 2012-2020_EGD'!$K:$K)*N609</f>
        <v>0</v>
      </c>
      <c r="W609" s="65">
        <f>SUMIF('Avoided Costs 2012-2020_EGD'!$A:$A,'2012 Actuals_Auditor'!T609&amp;'2012 Actuals_Auditor'!S609,'Avoided Costs 2012-2020_EGD'!$M:$M)*R609</f>
        <v>0</v>
      </c>
      <c r="X609" s="65">
        <f t="shared" si="291"/>
        <v>343158.86663447361</v>
      </c>
      <c r="Y609" s="146">
        <v>46340</v>
      </c>
      <c r="Z609" s="66">
        <f t="shared" si="292"/>
        <v>37072</v>
      </c>
      <c r="AA609" s="66">
        <v>23842</v>
      </c>
      <c r="AB609" s="66"/>
      <c r="AC609" s="66"/>
      <c r="AD609" s="66">
        <f t="shared" si="293"/>
        <v>37072</v>
      </c>
      <c r="AE609" s="66">
        <f t="shared" si="294"/>
        <v>306086.86663447361</v>
      </c>
      <c r="AF609" s="101">
        <f t="shared" si="295"/>
        <v>2498248.1537039508</v>
      </c>
      <c r="AG609" s="101">
        <f t="shared" si="296"/>
        <v>3122810.1921299379</v>
      </c>
    </row>
    <row r="610" spans="1:33" s="68" customFormat="1" x14ac:dyDescent="0.2">
      <c r="A610" s="147" t="s">
        <v>290</v>
      </c>
      <c r="B610" s="147"/>
      <c r="C610" s="147"/>
      <c r="D610" s="148">
        <v>1</v>
      </c>
      <c r="E610" s="149"/>
      <c r="F610" s="150">
        <v>0.2</v>
      </c>
      <c r="G610" s="150"/>
      <c r="H610" s="67">
        <v>21586</v>
      </c>
      <c r="I610" s="67">
        <f t="shared" si="285"/>
        <v>20633.770535692387</v>
      </c>
      <c r="J610" s="67">
        <f t="shared" si="286"/>
        <v>16507.01642855391</v>
      </c>
      <c r="K610" s="63"/>
      <c r="L610" s="149">
        <v>35108</v>
      </c>
      <c r="M610" s="63">
        <f t="shared" si="287"/>
        <v>35108</v>
      </c>
      <c r="N610" s="63">
        <f t="shared" si="288"/>
        <v>28086.400000000001</v>
      </c>
      <c r="O610" s="69"/>
      <c r="P610" s="149">
        <v>0</v>
      </c>
      <c r="Q610" s="63">
        <f t="shared" si="289"/>
        <v>0</v>
      </c>
      <c r="R610" s="64">
        <f t="shared" si="290"/>
        <v>0</v>
      </c>
      <c r="S610" s="148">
        <v>15</v>
      </c>
      <c r="T610" s="151" t="s">
        <v>15</v>
      </c>
      <c r="U610" s="65">
        <f>SUMIF('Avoided Costs 2012-2020_EGD'!$A:$A,'2012 Actuals_Auditor'!T610&amp;'2012 Actuals_Auditor'!S610,'Avoided Costs 2012-2020_EGD'!$E:$E)*J610</f>
        <v>40110.46320673934</v>
      </c>
      <c r="V610" s="65">
        <f>SUMIF('Avoided Costs 2012-2020_EGD'!$A:$A,'2012 Actuals_Auditor'!T610&amp;'2012 Actuals_Auditor'!S610,'Avoided Costs 2012-2020_EGD'!$K:$K)*N610</f>
        <v>28922.909213019251</v>
      </c>
      <c r="W610" s="65">
        <f>SUMIF('Avoided Costs 2012-2020_EGD'!$A:$A,'2012 Actuals_Auditor'!T610&amp;'2012 Actuals_Auditor'!S610,'Avoided Costs 2012-2020_EGD'!$M:$M)*R610</f>
        <v>0</v>
      </c>
      <c r="X610" s="65">
        <f t="shared" si="291"/>
        <v>69033.372419758583</v>
      </c>
      <c r="Y610" s="146">
        <v>6950</v>
      </c>
      <c r="Z610" s="66">
        <f t="shared" si="292"/>
        <v>5560</v>
      </c>
      <c r="AA610" s="66">
        <v>2159</v>
      </c>
      <c r="AB610" s="66"/>
      <c r="AC610" s="66"/>
      <c r="AD610" s="66">
        <f t="shared" si="293"/>
        <v>5560</v>
      </c>
      <c r="AE610" s="66">
        <f t="shared" si="294"/>
        <v>63473.372419758583</v>
      </c>
      <c r="AF610" s="101">
        <f t="shared" si="295"/>
        <v>247605.24642830866</v>
      </c>
      <c r="AG610" s="101">
        <f t="shared" si="296"/>
        <v>309506.55803538579</v>
      </c>
    </row>
    <row r="611" spans="1:33" s="68" customFormat="1" x14ac:dyDescent="0.2">
      <c r="A611" s="147" t="s">
        <v>291</v>
      </c>
      <c r="B611" s="147"/>
      <c r="C611" s="147"/>
      <c r="D611" s="148">
        <v>1</v>
      </c>
      <c r="E611" s="149"/>
      <c r="F611" s="150">
        <v>0.2</v>
      </c>
      <c r="G611" s="150"/>
      <c r="H611" s="67">
        <v>7507</v>
      </c>
      <c r="I611" s="67">
        <f t="shared" si="285"/>
        <v>7175.8415367109583</v>
      </c>
      <c r="J611" s="67">
        <f t="shared" si="286"/>
        <v>5740.6732293687674</v>
      </c>
      <c r="K611" s="63"/>
      <c r="L611" s="149">
        <v>0</v>
      </c>
      <c r="M611" s="63">
        <f t="shared" si="287"/>
        <v>0</v>
      </c>
      <c r="N611" s="63">
        <f t="shared" si="288"/>
        <v>0</v>
      </c>
      <c r="O611" s="69"/>
      <c r="P611" s="149">
        <v>0</v>
      </c>
      <c r="Q611" s="63">
        <f t="shared" si="289"/>
        <v>0</v>
      </c>
      <c r="R611" s="64">
        <f t="shared" si="290"/>
        <v>0</v>
      </c>
      <c r="S611" s="148">
        <v>25</v>
      </c>
      <c r="T611" s="151" t="s">
        <v>15</v>
      </c>
      <c r="U611" s="65">
        <f>SUMIF('Avoided Costs 2012-2020_EGD'!$A:$A,'2012 Actuals_Auditor'!T611&amp;'2012 Actuals_Auditor'!S611,'Avoided Costs 2012-2020_EGD'!$E:$E)*J611</f>
        <v>19713.443160043418</v>
      </c>
      <c r="V611" s="65">
        <f>SUMIF('Avoided Costs 2012-2020_EGD'!$A:$A,'2012 Actuals_Auditor'!T611&amp;'2012 Actuals_Auditor'!S611,'Avoided Costs 2012-2020_EGD'!$K:$K)*N611</f>
        <v>0</v>
      </c>
      <c r="W611" s="65">
        <f>SUMIF('Avoided Costs 2012-2020_EGD'!$A:$A,'2012 Actuals_Auditor'!T611&amp;'2012 Actuals_Auditor'!S611,'Avoided Costs 2012-2020_EGD'!$M:$M)*R611</f>
        <v>0</v>
      </c>
      <c r="X611" s="65">
        <f t="shared" si="291"/>
        <v>19713.443160043418</v>
      </c>
      <c r="Y611" s="146">
        <v>13786</v>
      </c>
      <c r="Z611" s="66">
        <f t="shared" si="292"/>
        <v>11028.800000000001</v>
      </c>
      <c r="AA611" s="66">
        <v>1615</v>
      </c>
      <c r="AB611" s="66"/>
      <c r="AC611" s="66"/>
      <c r="AD611" s="66">
        <f t="shared" si="293"/>
        <v>11028.800000000001</v>
      </c>
      <c r="AE611" s="66">
        <f t="shared" si="294"/>
        <v>8684.6431600434171</v>
      </c>
      <c r="AF611" s="101">
        <f t="shared" si="295"/>
        <v>143516.83073421917</v>
      </c>
      <c r="AG611" s="101">
        <f t="shared" si="296"/>
        <v>179396.03841777396</v>
      </c>
    </row>
    <row r="612" spans="1:33" s="68" customFormat="1" x14ac:dyDescent="0.2">
      <c r="A612" s="147" t="s">
        <v>292</v>
      </c>
      <c r="B612" s="147"/>
      <c r="C612" s="147"/>
      <c r="D612" s="148">
        <v>0</v>
      </c>
      <c r="E612" s="149"/>
      <c r="F612" s="150">
        <v>0.2</v>
      </c>
      <c r="G612" s="150"/>
      <c r="H612" s="67">
        <v>2835</v>
      </c>
      <c r="I612" s="67">
        <f t="shared" si="285"/>
        <v>2709.938824640411</v>
      </c>
      <c r="J612" s="67">
        <f t="shared" si="286"/>
        <v>2167.951059712329</v>
      </c>
      <c r="K612" s="63"/>
      <c r="L612" s="149">
        <v>0</v>
      </c>
      <c r="M612" s="63">
        <f t="shared" si="287"/>
        <v>0</v>
      </c>
      <c r="N612" s="63">
        <f t="shared" si="288"/>
        <v>0</v>
      </c>
      <c r="O612" s="69"/>
      <c r="P612" s="149">
        <v>0</v>
      </c>
      <c r="Q612" s="63">
        <f t="shared" si="289"/>
        <v>0</v>
      </c>
      <c r="R612" s="64">
        <f t="shared" si="290"/>
        <v>0</v>
      </c>
      <c r="S612" s="148">
        <v>15</v>
      </c>
      <c r="T612" s="151" t="s">
        <v>15</v>
      </c>
      <c r="U612" s="65">
        <f>SUMIF('Avoided Costs 2012-2020_EGD'!$A:$A,'2012 Actuals_Auditor'!T612&amp;'2012 Actuals_Auditor'!S612,'Avoided Costs 2012-2020_EGD'!$E:$E)*J612</f>
        <v>5267.9126837351077</v>
      </c>
      <c r="V612" s="65">
        <f>SUMIF('Avoided Costs 2012-2020_EGD'!$A:$A,'2012 Actuals_Auditor'!T612&amp;'2012 Actuals_Auditor'!S612,'Avoided Costs 2012-2020_EGD'!$K:$K)*N612</f>
        <v>0</v>
      </c>
      <c r="W612" s="65">
        <f>SUMIF('Avoided Costs 2012-2020_EGD'!$A:$A,'2012 Actuals_Auditor'!T612&amp;'2012 Actuals_Auditor'!S612,'Avoided Costs 2012-2020_EGD'!$M:$M)*R612</f>
        <v>0</v>
      </c>
      <c r="X612" s="65">
        <f t="shared" si="291"/>
        <v>5267.9126837351077</v>
      </c>
      <c r="Y612" s="146">
        <v>1000</v>
      </c>
      <c r="Z612" s="66">
        <f t="shared" si="292"/>
        <v>800</v>
      </c>
      <c r="AA612" s="66">
        <v>284</v>
      </c>
      <c r="AB612" s="66"/>
      <c r="AC612" s="66"/>
      <c r="AD612" s="66">
        <f t="shared" si="293"/>
        <v>800</v>
      </c>
      <c r="AE612" s="66">
        <f t="shared" si="294"/>
        <v>4467.9126837351077</v>
      </c>
      <c r="AF612" s="101">
        <f t="shared" si="295"/>
        <v>32519.265895684934</v>
      </c>
      <c r="AG612" s="101">
        <f t="shared" si="296"/>
        <v>40649.082369606163</v>
      </c>
    </row>
    <row r="613" spans="1:33" s="68" customFormat="1" x14ac:dyDescent="0.2">
      <c r="A613" s="147" t="s">
        <v>293</v>
      </c>
      <c r="B613" s="147"/>
      <c r="C613" s="147"/>
      <c r="D613" s="148">
        <v>1</v>
      </c>
      <c r="E613" s="149"/>
      <c r="F613" s="150">
        <v>0.2</v>
      </c>
      <c r="G613" s="150"/>
      <c r="H613" s="67">
        <v>114531</v>
      </c>
      <c r="I613" s="67">
        <f t="shared" si="285"/>
        <v>109478.66085534071</v>
      </c>
      <c r="J613" s="67">
        <f t="shared" si="286"/>
        <v>87582.928684272571</v>
      </c>
      <c r="K613" s="63"/>
      <c r="L613" s="149">
        <v>0</v>
      </c>
      <c r="M613" s="63">
        <f t="shared" si="287"/>
        <v>0</v>
      </c>
      <c r="N613" s="63">
        <f t="shared" si="288"/>
        <v>0</v>
      </c>
      <c r="O613" s="69"/>
      <c r="P613" s="149">
        <v>0</v>
      </c>
      <c r="Q613" s="63">
        <f t="shared" si="289"/>
        <v>0</v>
      </c>
      <c r="R613" s="64">
        <f t="shared" si="290"/>
        <v>0</v>
      </c>
      <c r="S613" s="148">
        <v>25</v>
      </c>
      <c r="T613" s="151" t="s">
        <v>15</v>
      </c>
      <c r="U613" s="65">
        <f>SUMIF('Avoided Costs 2012-2020_EGD'!$A:$A,'2012 Actuals_Auditor'!T613&amp;'2012 Actuals_Auditor'!S613,'Avoided Costs 2012-2020_EGD'!$E:$E)*J613</f>
        <v>300759.33909190516</v>
      </c>
      <c r="V613" s="65">
        <f>SUMIF('Avoided Costs 2012-2020_EGD'!$A:$A,'2012 Actuals_Auditor'!T613&amp;'2012 Actuals_Auditor'!S613,'Avoided Costs 2012-2020_EGD'!$K:$K)*N613</f>
        <v>0</v>
      </c>
      <c r="W613" s="65">
        <f>SUMIF('Avoided Costs 2012-2020_EGD'!$A:$A,'2012 Actuals_Auditor'!T613&amp;'2012 Actuals_Auditor'!S613,'Avoided Costs 2012-2020_EGD'!$M:$M)*R613</f>
        <v>0</v>
      </c>
      <c r="X613" s="65">
        <f t="shared" si="291"/>
        <v>300759.33909190516</v>
      </c>
      <c r="Y613" s="146">
        <v>35044</v>
      </c>
      <c r="Z613" s="66">
        <f t="shared" si="292"/>
        <v>28035.200000000001</v>
      </c>
      <c r="AA613" s="66">
        <v>16163</v>
      </c>
      <c r="AB613" s="66"/>
      <c r="AC613" s="66"/>
      <c r="AD613" s="66">
        <f t="shared" si="293"/>
        <v>28035.200000000001</v>
      </c>
      <c r="AE613" s="66">
        <f t="shared" si="294"/>
        <v>272724.13909190515</v>
      </c>
      <c r="AF613" s="101">
        <f t="shared" si="295"/>
        <v>2189573.2171068145</v>
      </c>
      <c r="AG613" s="101">
        <f t="shared" si="296"/>
        <v>2736966.5213835179</v>
      </c>
    </row>
    <row r="614" spans="1:33" s="68" customFormat="1" x14ac:dyDescent="0.2">
      <c r="A614" s="147" t="s">
        <v>294</v>
      </c>
      <c r="B614" s="147"/>
      <c r="C614" s="147"/>
      <c r="D614" s="148">
        <v>1</v>
      </c>
      <c r="E614" s="149"/>
      <c r="F614" s="150">
        <v>0.2</v>
      </c>
      <c r="G614" s="150"/>
      <c r="H614" s="67">
        <v>6593</v>
      </c>
      <c r="I614" s="67">
        <f t="shared" si="285"/>
        <v>6302.1610831937323</v>
      </c>
      <c r="J614" s="67">
        <f t="shared" si="286"/>
        <v>5041.7288665549859</v>
      </c>
      <c r="K614" s="63"/>
      <c r="L614" s="149">
        <v>0</v>
      </c>
      <c r="M614" s="63">
        <f t="shared" si="287"/>
        <v>0</v>
      </c>
      <c r="N614" s="63">
        <f t="shared" si="288"/>
        <v>0</v>
      </c>
      <c r="O614" s="69"/>
      <c r="P614" s="149">
        <v>0</v>
      </c>
      <c r="Q614" s="63">
        <f t="shared" si="289"/>
        <v>0</v>
      </c>
      <c r="R614" s="64">
        <f t="shared" si="290"/>
        <v>0</v>
      </c>
      <c r="S614" s="148">
        <v>25</v>
      </c>
      <c r="T614" s="151" t="s">
        <v>15</v>
      </c>
      <c r="U614" s="65">
        <f>SUMIF('Avoided Costs 2012-2020_EGD'!$A:$A,'2012 Actuals_Auditor'!T614&amp;'2012 Actuals_Auditor'!S614,'Avoided Costs 2012-2020_EGD'!$E:$E)*J614</f>
        <v>17313.271713622784</v>
      </c>
      <c r="V614" s="65">
        <f>SUMIF('Avoided Costs 2012-2020_EGD'!$A:$A,'2012 Actuals_Auditor'!T614&amp;'2012 Actuals_Auditor'!S614,'Avoided Costs 2012-2020_EGD'!$K:$K)*N614</f>
        <v>0</v>
      </c>
      <c r="W614" s="65">
        <f>SUMIF('Avoided Costs 2012-2020_EGD'!$A:$A,'2012 Actuals_Auditor'!T614&amp;'2012 Actuals_Auditor'!S614,'Avoided Costs 2012-2020_EGD'!$M:$M)*R614</f>
        <v>0</v>
      </c>
      <c r="X614" s="65">
        <f t="shared" si="291"/>
        <v>17313.271713622784</v>
      </c>
      <c r="Y614" s="146">
        <v>7151</v>
      </c>
      <c r="Z614" s="66">
        <f t="shared" si="292"/>
        <v>5720.8</v>
      </c>
      <c r="AA614" s="66">
        <v>1425</v>
      </c>
      <c r="AB614" s="66"/>
      <c r="AC614" s="66"/>
      <c r="AD614" s="66">
        <f t="shared" si="293"/>
        <v>5720.8</v>
      </c>
      <c r="AE614" s="66">
        <f t="shared" si="294"/>
        <v>11592.471713622785</v>
      </c>
      <c r="AF614" s="101">
        <f t="shared" si="295"/>
        <v>126043.22166387465</v>
      </c>
      <c r="AG614" s="101">
        <f t="shared" si="296"/>
        <v>157554.0270798433</v>
      </c>
    </row>
    <row r="615" spans="1:33" s="68" customFormat="1" x14ac:dyDescent="0.2">
      <c r="A615" s="147" t="s">
        <v>295</v>
      </c>
      <c r="B615" s="147"/>
      <c r="C615" s="147"/>
      <c r="D615" s="148">
        <v>0</v>
      </c>
      <c r="E615" s="149"/>
      <c r="F615" s="150">
        <v>0.2</v>
      </c>
      <c r="G615" s="150"/>
      <c r="H615" s="67">
        <v>4507</v>
      </c>
      <c r="I615" s="67">
        <f t="shared" si="285"/>
        <v>4308.1814048163433</v>
      </c>
      <c r="J615" s="67">
        <f t="shared" si="286"/>
        <v>3446.545123853075</v>
      </c>
      <c r="K615" s="63"/>
      <c r="L615" s="149">
        <v>0</v>
      </c>
      <c r="M615" s="63">
        <f t="shared" si="287"/>
        <v>0</v>
      </c>
      <c r="N615" s="63">
        <f t="shared" si="288"/>
        <v>0</v>
      </c>
      <c r="O615" s="69"/>
      <c r="P615" s="149">
        <v>0</v>
      </c>
      <c r="Q615" s="63">
        <f t="shared" si="289"/>
        <v>0</v>
      </c>
      <c r="R615" s="64">
        <f t="shared" si="290"/>
        <v>0</v>
      </c>
      <c r="S615" s="148">
        <v>15</v>
      </c>
      <c r="T615" s="151" t="s">
        <v>52</v>
      </c>
      <c r="U615" s="65">
        <f>SUMIF('Avoided Costs 2012-2020_EGD'!$A:$A,'2012 Actuals_Auditor'!T615&amp;'2012 Actuals_Auditor'!S615,'Avoided Costs 2012-2020_EGD'!$E:$E)*J615</f>
        <v>7875.3496624718946</v>
      </c>
      <c r="V615" s="65">
        <f>SUMIF('Avoided Costs 2012-2020_EGD'!$A:$A,'2012 Actuals_Auditor'!T615&amp;'2012 Actuals_Auditor'!S615,'Avoided Costs 2012-2020_EGD'!$K:$K)*N615</f>
        <v>0</v>
      </c>
      <c r="W615" s="65">
        <f>SUMIF('Avoided Costs 2012-2020_EGD'!$A:$A,'2012 Actuals_Auditor'!T615&amp;'2012 Actuals_Auditor'!S615,'Avoided Costs 2012-2020_EGD'!$M:$M)*R615</f>
        <v>0</v>
      </c>
      <c r="X615" s="65">
        <f t="shared" si="291"/>
        <v>7875.3496624718946</v>
      </c>
      <c r="Y615" s="146">
        <v>3995</v>
      </c>
      <c r="Z615" s="66">
        <f t="shared" si="292"/>
        <v>3196</v>
      </c>
      <c r="AA615" s="66">
        <v>452</v>
      </c>
      <c r="AB615" s="66"/>
      <c r="AC615" s="66"/>
      <c r="AD615" s="66">
        <f t="shared" si="293"/>
        <v>3196</v>
      </c>
      <c r="AE615" s="66">
        <f t="shared" si="294"/>
        <v>4679.3496624718946</v>
      </c>
      <c r="AF615" s="101">
        <f t="shared" si="295"/>
        <v>51698.176857796127</v>
      </c>
      <c r="AG615" s="101">
        <f t="shared" si="296"/>
        <v>64622.721072245149</v>
      </c>
    </row>
    <row r="616" spans="1:33" s="68" customFormat="1" x14ac:dyDescent="0.2">
      <c r="A616" s="147" t="s">
        <v>296</v>
      </c>
      <c r="B616" s="147"/>
      <c r="C616" s="147"/>
      <c r="D616" s="148">
        <v>0</v>
      </c>
      <c r="E616" s="149"/>
      <c r="F616" s="150">
        <v>0.2</v>
      </c>
      <c r="G616" s="150"/>
      <c r="H616" s="67">
        <v>42193</v>
      </c>
      <c r="I616" s="67">
        <f t="shared" si="285"/>
        <v>40331.727981676493</v>
      </c>
      <c r="J616" s="67">
        <f t="shared" si="286"/>
        <v>32265.382385341196</v>
      </c>
      <c r="K616" s="63"/>
      <c r="L616" s="149">
        <v>21271</v>
      </c>
      <c r="M616" s="63">
        <f t="shared" si="287"/>
        <v>21271</v>
      </c>
      <c r="N616" s="63">
        <f t="shared" si="288"/>
        <v>17016.8</v>
      </c>
      <c r="O616" s="69"/>
      <c r="P616" s="149">
        <v>0</v>
      </c>
      <c r="Q616" s="63">
        <f t="shared" si="289"/>
        <v>0</v>
      </c>
      <c r="R616" s="64">
        <f t="shared" si="290"/>
        <v>0</v>
      </c>
      <c r="S616" s="148">
        <v>15</v>
      </c>
      <c r="T616" s="151" t="s">
        <v>15</v>
      </c>
      <c r="U616" s="65">
        <f>SUMIF('Avoided Costs 2012-2020_EGD'!$A:$A,'2012 Actuals_Auditor'!T616&amp;'2012 Actuals_Auditor'!S616,'Avoided Costs 2012-2020_EGD'!$E:$E)*J616</f>
        <v>78401.777730100657</v>
      </c>
      <c r="V616" s="65">
        <f>SUMIF('Avoided Costs 2012-2020_EGD'!$A:$A,'2012 Actuals_Auditor'!T616&amp;'2012 Actuals_Auditor'!S616,'Avoided Costs 2012-2020_EGD'!$K:$K)*N616</f>
        <v>17523.618601746966</v>
      </c>
      <c r="W616" s="65">
        <f>SUMIF('Avoided Costs 2012-2020_EGD'!$A:$A,'2012 Actuals_Auditor'!T616&amp;'2012 Actuals_Auditor'!S616,'Avoided Costs 2012-2020_EGD'!$M:$M)*R616</f>
        <v>0</v>
      </c>
      <c r="X616" s="65">
        <f t="shared" si="291"/>
        <v>95925.396331847616</v>
      </c>
      <c r="Y616" s="146">
        <v>10985</v>
      </c>
      <c r="Z616" s="66">
        <f t="shared" si="292"/>
        <v>8788</v>
      </c>
      <c r="AA616" s="66">
        <v>4249</v>
      </c>
      <c r="AB616" s="66"/>
      <c r="AC616" s="66"/>
      <c r="AD616" s="66">
        <f t="shared" si="293"/>
        <v>8788</v>
      </c>
      <c r="AE616" s="66">
        <f t="shared" si="294"/>
        <v>87137.396331847616</v>
      </c>
      <c r="AF616" s="101">
        <f t="shared" si="295"/>
        <v>483980.73578011792</v>
      </c>
      <c r="AG616" s="101">
        <f t="shared" si="296"/>
        <v>604975.91972514743</v>
      </c>
    </row>
    <row r="617" spans="1:33" s="68" customFormat="1" x14ac:dyDescent="0.2">
      <c r="A617" s="147" t="s">
        <v>297</v>
      </c>
      <c r="B617" s="147"/>
      <c r="C617" s="147"/>
      <c r="D617" s="148">
        <v>1</v>
      </c>
      <c r="E617" s="149"/>
      <c r="F617" s="150">
        <v>0.2</v>
      </c>
      <c r="G617" s="150"/>
      <c r="H617" s="67">
        <v>18894</v>
      </c>
      <c r="I617" s="67">
        <f t="shared" si="285"/>
        <v>18060.523510672283</v>
      </c>
      <c r="J617" s="67">
        <f t="shared" si="286"/>
        <v>14448.418808537826</v>
      </c>
      <c r="K617" s="63"/>
      <c r="L617" s="149">
        <v>0</v>
      </c>
      <c r="M617" s="63">
        <f t="shared" si="287"/>
        <v>0</v>
      </c>
      <c r="N617" s="63">
        <f t="shared" si="288"/>
        <v>0</v>
      </c>
      <c r="O617" s="69"/>
      <c r="P617" s="149">
        <v>0</v>
      </c>
      <c r="Q617" s="63">
        <f t="shared" si="289"/>
        <v>0</v>
      </c>
      <c r="R617" s="64">
        <f t="shared" si="290"/>
        <v>0</v>
      </c>
      <c r="S617" s="148">
        <v>15</v>
      </c>
      <c r="T617" s="151" t="s">
        <v>15</v>
      </c>
      <c r="U617" s="65">
        <f>SUMIF('Avoided Costs 2012-2020_EGD'!$A:$A,'2012 Actuals_Auditor'!T617&amp;'2012 Actuals_Auditor'!S617,'Avoided Costs 2012-2020_EGD'!$E:$E)*J617</f>
        <v>35108.268870014501</v>
      </c>
      <c r="V617" s="65">
        <f>SUMIF('Avoided Costs 2012-2020_EGD'!$A:$A,'2012 Actuals_Auditor'!T617&amp;'2012 Actuals_Auditor'!S617,'Avoided Costs 2012-2020_EGD'!$K:$K)*N617</f>
        <v>0</v>
      </c>
      <c r="W617" s="65">
        <f>SUMIF('Avoided Costs 2012-2020_EGD'!$A:$A,'2012 Actuals_Auditor'!T617&amp;'2012 Actuals_Auditor'!S617,'Avoided Costs 2012-2020_EGD'!$M:$M)*R617</f>
        <v>0</v>
      </c>
      <c r="X617" s="65">
        <f t="shared" si="291"/>
        <v>35108.268870014501</v>
      </c>
      <c r="Y617" s="146">
        <v>4995</v>
      </c>
      <c r="Z617" s="66">
        <f t="shared" si="292"/>
        <v>3996</v>
      </c>
      <c r="AA617" s="66">
        <v>1890</v>
      </c>
      <c r="AB617" s="66"/>
      <c r="AC617" s="66"/>
      <c r="AD617" s="66">
        <f t="shared" si="293"/>
        <v>3996</v>
      </c>
      <c r="AE617" s="66">
        <f t="shared" si="294"/>
        <v>31112.268870014501</v>
      </c>
      <c r="AF617" s="101">
        <f t="shared" si="295"/>
        <v>216726.2821280674</v>
      </c>
      <c r="AG617" s="101">
        <f t="shared" si="296"/>
        <v>270907.85266008426</v>
      </c>
    </row>
    <row r="618" spans="1:33" s="68" customFormat="1" x14ac:dyDescent="0.2">
      <c r="A618" s="147" t="s">
        <v>298</v>
      </c>
      <c r="B618" s="147"/>
      <c r="C618" s="147"/>
      <c r="D618" s="148">
        <v>1</v>
      </c>
      <c r="E618" s="149"/>
      <c r="F618" s="150">
        <v>0.2</v>
      </c>
      <c r="G618" s="150"/>
      <c r="H618" s="67">
        <v>8688</v>
      </c>
      <c r="I618" s="67">
        <f t="shared" si="285"/>
        <v>8304.743741966804</v>
      </c>
      <c r="J618" s="67">
        <f t="shared" si="286"/>
        <v>6643.7949935734432</v>
      </c>
      <c r="K618" s="63"/>
      <c r="L618" s="149">
        <v>0</v>
      </c>
      <c r="M618" s="63">
        <f t="shared" si="287"/>
        <v>0</v>
      </c>
      <c r="N618" s="63">
        <f t="shared" si="288"/>
        <v>0</v>
      </c>
      <c r="O618" s="69"/>
      <c r="P618" s="149">
        <v>0</v>
      </c>
      <c r="Q618" s="63">
        <f t="shared" si="289"/>
        <v>0</v>
      </c>
      <c r="R618" s="64">
        <f t="shared" si="290"/>
        <v>0</v>
      </c>
      <c r="S618" s="148">
        <v>25</v>
      </c>
      <c r="T618" s="151" t="s">
        <v>52</v>
      </c>
      <c r="U618" s="65">
        <f>SUMIF('Avoided Costs 2012-2020_EGD'!$A:$A,'2012 Actuals_Auditor'!T618&amp;'2012 Actuals_Auditor'!S618,'Avoided Costs 2012-2020_EGD'!$E:$E)*J618</f>
        <v>21438.14199631954</v>
      </c>
      <c r="V618" s="65">
        <f>SUMIF('Avoided Costs 2012-2020_EGD'!$A:$A,'2012 Actuals_Auditor'!T618&amp;'2012 Actuals_Auditor'!S618,'Avoided Costs 2012-2020_EGD'!$K:$K)*N618</f>
        <v>0</v>
      </c>
      <c r="W618" s="65">
        <f>SUMIF('Avoided Costs 2012-2020_EGD'!$A:$A,'2012 Actuals_Auditor'!T618&amp;'2012 Actuals_Auditor'!S618,'Avoided Costs 2012-2020_EGD'!$M:$M)*R618</f>
        <v>0</v>
      </c>
      <c r="X618" s="65">
        <f t="shared" si="291"/>
        <v>21438.14199631954</v>
      </c>
      <c r="Y618" s="146">
        <v>12429</v>
      </c>
      <c r="Z618" s="66">
        <f t="shared" si="292"/>
        <v>9943.2000000000007</v>
      </c>
      <c r="AA618" s="66">
        <v>2265</v>
      </c>
      <c r="AB618" s="66"/>
      <c r="AC618" s="66"/>
      <c r="AD618" s="66">
        <f t="shared" si="293"/>
        <v>9943.2000000000007</v>
      </c>
      <c r="AE618" s="66">
        <f t="shared" si="294"/>
        <v>11494.94199631954</v>
      </c>
      <c r="AF618" s="101">
        <f t="shared" si="295"/>
        <v>166094.87483933609</v>
      </c>
      <c r="AG618" s="101">
        <f t="shared" si="296"/>
        <v>207618.59354917009</v>
      </c>
    </row>
    <row r="619" spans="1:33" s="68" customFormat="1" x14ac:dyDescent="0.2">
      <c r="A619" s="147" t="s">
        <v>299</v>
      </c>
      <c r="B619" s="147"/>
      <c r="C619" s="147"/>
      <c r="D619" s="148">
        <v>0</v>
      </c>
      <c r="E619" s="149"/>
      <c r="F619" s="150">
        <v>0.2</v>
      </c>
      <c r="G619" s="150"/>
      <c r="H619" s="67">
        <v>7516</v>
      </c>
      <c r="I619" s="67">
        <f t="shared" si="285"/>
        <v>7184.4445171066418</v>
      </c>
      <c r="J619" s="67">
        <f t="shared" si="286"/>
        <v>5747.5556136853138</v>
      </c>
      <c r="K619" s="63"/>
      <c r="L619" s="149">
        <v>0</v>
      </c>
      <c r="M619" s="63">
        <f t="shared" si="287"/>
        <v>0</v>
      </c>
      <c r="N619" s="63">
        <f t="shared" si="288"/>
        <v>0</v>
      </c>
      <c r="O619" s="69"/>
      <c r="P619" s="149">
        <v>0</v>
      </c>
      <c r="Q619" s="63">
        <f t="shared" si="289"/>
        <v>0</v>
      </c>
      <c r="R619" s="64">
        <f t="shared" si="290"/>
        <v>0</v>
      </c>
      <c r="S619" s="148">
        <v>25</v>
      </c>
      <c r="T619" s="151" t="s">
        <v>52</v>
      </c>
      <c r="U619" s="65">
        <f>SUMIF('Avoided Costs 2012-2020_EGD'!$A:$A,'2012 Actuals_Auditor'!T619&amp;'2012 Actuals_Auditor'!S619,'Avoided Costs 2012-2020_EGD'!$E:$E)*J619</f>
        <v>18546.164277663178</v>
      </c>
      <c r="V619" s="65">
        <f>SUMIF('Avoided Costs 2012-2020_EGD'!$A:$A,'2012 Actuals_Auditor'!T619&amp;'2012 Actuals_Auditor'!S619,'Avoided Costs 2012-2020_EGD'!$K:$K)*N619</f>
        <v>0</v>
      </c>
      <c r="W619" s="65">
        <f>SUMIF('Avoided Costs 2012-2020_EGD'!$A:$A,'2012 Actuals_Auditor'!T619&amp;'2012 Actuals_Auditor'!S619,'Avoided Costs 2012-2020_EGD'!$M:$M)*R619</f>
        <v>0</v>
      </c>
      <c r="X619" s="65">
        <f t="shared" si="291"/>
        <v>18546.164277663178</v>
      </c>
      <c r="Y619" s="146">
        <v>17312</v>
      </c>
      <c r="Z619" s="66">
        <f t="shared" si="292"/>
        <v>13849.6</v>
      </c>
      <c r="AA619" s="66">
        <v>1327</v>
      </c>
      <c r="AB619" s="66"/>
      <c r="AC619" s="66"/>
      <c r="AD619" s="66">
        <f t="shared" si="293"/>
        <v>13849.6</v>
      </c>
      <c r="AE619" s="66">
        <f t="shared" si="294"/>
        <v>4696.5642776631776</v>
      </c>
      <c r="AF619" s="101">
        <f t="shared" si="295"/>
        <v>143688.89034213286</v>
      </c>
      <c r="AG619" s="101">
        <f t="shared" si="296"/>
        <v>179611.11292766605</v>
      </c>
    </row>
    <row r="620" spans="1:33" s="68" customFormat="1" x14ac:dyDescent="0.2">
      <c r="A620" s="147" t="s">
        <v>300</v>
      </c>
      <c r="B620" s="147"/>
      <c r="C620" s="147"/>
      <c r="D620" s="148">
        <v>1</v>
      </c>
      <c r="E620" s="149"/>
      <c r="F620" s="150">
        <v>0.2</v>
      </c>
      <c r="G620" s="150"/>
      <c r="H620" s="67">
        <v>52659</v>
      </c>
      <c r="I620" s="67">
        <f t="shared" si="285"/>
        <v>50336.038295146172</v>
      </c>
      <c r="J620" s="67">
        <f t="shared" si="286"/>
        <v>40268.830636116938</v>
      </c>
      <c r="K620" s="63"/>
      <c r="L620" s="149">
        <v>0</v>
      </c>
      <c r="M620" s="63">
        <f t="shared" si="287"/>
        <v>0</v>
      </c>
      <c r="N620" s="63">
        <f t="shared" si="288"/>
        <v>0</v>
      </c>
      <c r="O620" s="69"/>
      <c r="P620" s="149">
        <v>0</v>
      </c>
      <c r="Q620" s="63">
        <f t="shared" si="289"/>
        <v>0</v>
      </c>
      <c r="R620" s="64">
        <f t="shared" si="290"/>
        <v>0</v>
      </c>
      <c r="S620" s="148">
        <v>25</v>
      </c>
      <c r="T620" s="151" t="s">
        <v>15</v>
      </c>
      <c r="U620" s="65">
        <f>SUMIF('Avoided Costs 2012-2020_EGD'!$A:$A,'2012 Actuals_Auditor'!T620&amp;'2012 Actuals_Auditor'!S620,'Avoided Costs 2012-2020_EGD'!$E:$E)*J620</f>
        <v>138282.96301648143</v>
      </c>
      <c r="V620" s="65">
        <f>SUMIF('Avoided Costs 2012-2020_EGD'!$A:$A,'2012 Actuals_Auditor'!T620&amp;'2012 Actuals_Auditor'!S620,'Avoided Costs 2012-2020_EGD'!$K:$K)*N620</f>
        <v>0</v>
      </c>
      <c r="W620" s="65">
        <f>SUMIF('Avoided Costs 2012-2020_EGD'!$A:$A,'2012 Actuals_Auditor'!T620&amp;'2012 Actuals_Auditor'!S620,'Avoided Costs 2012-2020_EGD'!$M:$M)*R620</f>
        <v>0</v>
      </c>
      <c r="X620" s="65">
        <f t="shared" si="291"/>
        <v>138282.96301648143</v>
      </c>
      <c r="Y620" s="146">
        <v>4362</v>
      </c>
      <c r="Z620" s="66">
        <f t="shared" si="292"/>
        <v>3489.6000000000004</v>
      </c>
      <c r="AA620" s="66">
        <v>7654</v>
      </c>
      <c r="AB620" s="66"/>
      <c r="AC620" s="66"/>
      <c r="AD620" s="66">
        <f t="shared" si="293"/>
        <v>3489.6000000000004</v>
      </c>
      <c r="AE620" s="66">
        <f t="shared" si="294"/>
        <v>134793.36301648142</v>
      </c>
      <c r="AF620" s="101">
        <f t="shared" si="295"/>
        <v>1006720.7659029234</v>
      </c>
      <c r="AG620" s="101">
        <f t="shared" si="296"/>
        <v>1258400.9573786543</v>
      </c>
    </row>
    <row r="621" spans="1:33" s="68" customFormat="1" x14ac:dyDescent="0.2">
      <c r="A621" s="147" t="s">
        <v>301</v>
      </c>
      <c r="B621" s="147"/>
      <c r="C621" s="147"/>
      <c r="D621" s="148">
        <v>1</v>
      </c>
      <c r="E621" s="149"/>
      <c r="F621" s="150">
        <v>0.2</v>
      </c>
      <c r="G621" s="150"/>
      <c r="H621" s="67">
        <v>3953</v>
      </c>
      <c r="I621" s="67">
        <f t="shared" si="285"/>
        <v>3778.6201671264707</v>
      </c>
      <c r="J621" s="67">
        <f t="shared" si="286"/>
        <v>3022.896133701177</v>
      </c>
      <c r="K621" s="63"/>
      <c r="L621" s="149">
        <v>0</v>
      </c>
      <c r="M621" s="63">
        <f t="shared" si="287"/>
        <v>0</v>
      </c>
      <c r="N621" s="63">
        <f t="shared" si="288"/>
        <v>0</v>
      </c>
      <c r="O621" s="69"/>
      <c r="P621" s="149">
        <v>0</v>
      </c>
      <c r="Q621" s="63">
        <f t="shared" si="289"/>
        <v>0</v>
      </c>
      <c r="R621" s="64">
        <f t="shared" si="290"/>
        <v>0</v>
      </c>
      <c r="S621" s="148">
        <v>25</v>
      </c>
      <c r="T621" s="151" t="s">
        <v>52</v>
      </c>
      <c r="U621" s="65">
        <f>SUMIF('Avoided Costs 2012-2020_EGD'!$A:$A,'2012 Actuals_Auditor'!T621&amp;'2012 Actuals_Auditor'!S621,'Avoided Costs 2012-2020_EGD'!$E:$E)*J621</f>
        <v>9754.2559060141757</v>
      </c>
      <c r="V621" s="65">
        <f>SUMIF('Avoided Costs 2012-2020_EGD'!$A:$A,'2012 Actuals_Auditor'!T621&amp;'2012 Actuals_Auditor'!S621,'Avoided Costs 2012-2020_EGD'!$K:$K)*N621</f>
        <v>0</v>
      </c>
      <c r="W621" s="65">
        <f>SUMIF('Avoided Costs 2012-2020_EGD'!$A:$A,'2012 Actuals_Auditor'!T621&amp;'2012 Actuals_Auditor'!S621,'Avoided Costs 2012-2020_EGD'!$M:$M)*R621</f>
        <v>0</v>
      </c>
      <c r="X621" s="65">
        <f t="shared" si="291"/>
        <v>9754.2559060141757</v>
      </c>
      <c r="Y621" s="146">
        <v>7281</v>
      </c>
      <c r="Z621" s="66">
        <f t="shared" si="292"/>
        <v>5824.8</v>
      </c>
      <c r="AA621" s="66">
        <v>1000</v>
      </c>
      <c r="AB621" s="66"/>
      <c r="AC621" s="66"/>
      <c r="AD621" s="66">
        <f t="shared" si="293"/>
        <v>5824.8</v>
      </c>
      <c r="AE621" s="66">
        <f t="shared" si="294"/>
        <v>3929.4559060141755</v>
      </c>
      <c r="AF621" s="101">
        <f t="shared" si="295"/>
        <v>75572.403342529418</v>
      </c>
      <c r="AG621" s="101">
        <f t="shared" si="296"/>
        <v>94465.504178161762</v>
      </c>
    </row>
    <row r="622" spans="1:33" s="68" customFormat="1" x14ac:dyDescent="0.2">
      <c r="A622" s="147" t="s">
        <v>302</v>
      </c>
      <c r="B622" s="147"/>
      <c r="C622" s="147"/>
      <c r="D622" s="148">
        <v>0</v>
      </c>
      <c r="E622" s="149"/>
      <c r="F622" s="150">
        <v>0.2</v>
      </c>
      <c r="G622" s="150"/>
      <c r="H622" s="67">
        <v>73103</v>
      </c>
      <c r="I622" s="67">
        <f t="shared" si="285"/>
        <v>69878.186207297345</v>
      </c>
      <c r="J622" s="67">
        <f t="shared" si="286"/>
        <v>55902.548965837879</v>
      </c>
      <c r="K622" s="63"/>
      <c r="L622" s="149">
        <v>63812</v>
      </c>
      <c r="M622" s="63">
        <f t="shared" si="287"/>
        <v>63812</v>
      </c>
      <c r="N622" s="63">
        <f t="shared" si="288"/>
        <v>51049.600000000006</v>
      </c>
      <c r="O622" s="69"/>
      <c r="P622" s="149">
        <v>0</v>
      </c>
      <c r="Q622" s="63">
        <f t="shared" si="289"/>
        <v>0</v>
      </c>
      <c r="R622" s="64">
        <f t="shared" si="290"/>
        <v>0</v>
      </c>
      <c r="S622" s="148">
        <v>15</v>
      </c>
      <c r="T622" s="151" t="s">
        <v>15</v>
      </c>
      <c r="U622" s="65">
        <f>SUMIF('Avoided Costs 2012-2020_EGD'!$A:$A,'2012 Actuals_Auditor'!T622&amp;'2012 Actuals_Auditor'!S622,'Avoided Costs 2012-2020_EGD'!$E:$E)*J622</f>
        <v>135837.82043001326</v>
      </c>
      <c r="V622" s="65">
        <f>SUMIF('Avoided Costs 2012-2020_EGD'!$A:$A,'2012 Actuals_Auditor'!T622&amp;'2012 Actuals_Auditor'!S622,'Avoided Costs 2012-2020_EGD'!$K:$K)*N622</f>
        <v>52570.031978500185</v>
      </c>
      <c r="W622" s="65">
        <f>SUMIF('Avoided Costs 2012-2020_EGD'!$A:$A,'2012 Actuals_Auditor'!T622&amp;'2012 Actuals_Auditor'!S622,'Avoided Costs 2012-2020_EGD'!$M:$M)*R622</f>
        <v>0</v>
      </c>
      <c r="X622" s="65">
        <f t="shared" si="291"/>
        <v>188407.85240851346</v>
      </c>
      <c r="Y622" s="146">
        <v>4770</v>
      </c>
      <c r="Z622" s="66">
        <f t="shared" si="292"/>
        <v>3816</v>
      </c>
      <c r="AA622" s="66">
        <v>2385</v>
      </c>
      <c r="AB622" s="66"/>
      <c r="AC622" s="66"/>
      <c r="AD622" s="66">
        <f t="shared" si="293"/>
        <v>3816</v>
      </c>
      <c r="AE622" s="66">
        <f t="shared" si="294"/>
        <v>184591.85240851346</v>
      </c>
      <c r="AF622" s="101">
        <f t="shared" si="295"/>
        <v>838538.23448756814</v>
      </c>
      <c r="AG622" s="101">
        <f t="shared" si="296"/>
        <v>1048172.7931094602</v>
      </c>
    </row>
    <row r="623" spans="1:33" s="68" customFormat="1" x14ac:dyDescent="0.2">
      <c r="A623" s="147" t="s">
        <v>303</v>
      </c>
      <c r="B623" s="147"/>
      <c r="C623" s="147"/>
      <c r="D623" s="148">
        <v>1</v>
      </c>
      <c r="E623" s="149"/>
      <c r="F623" s="150">
        <v>0.2</v>
      </c>
      <c r="G623" s="150"/>
      <c r="H623" s="67">
        <v>734</v>
      </c>
      <c r="I623" s="67">
        <f t="shared" si="285"/>
        <v>701.62084560354913</v>
      </c>
      <c r="J623" s="67">
        <f t="shared" si="286"/>
        <v>561.2966764828393</v>
      </c>
      <c r="K623" s="63"/>
      <c r="L623" s="149">
        <v>0</v>
      </c>
      <c r="M623" s="63">
        <f t="shared" si="287"/>
        <v>0</v>
      </c>
      <c r="N623" s="63">
        <f t="shared" si="288"/>
        <v>0</v>
      </c>
      <c r="O623" s="69"/>
      <c r="P623" s="149">
        <v>0</v>
      </c>
      <c r="Q623" s="63">
        <f t="shared" si="289"/>
        <v>0</v>
      </c>
      <c r="R623" s="64">
        <f t="shared" si="290"/>
        <v>0</v>
      </c>
      <c r="S623" s="148">
        <v>15</v>
      </c>
      <c r="T623" s="151" t="s">
        <v>52</v>
      </c>
      <c r="U623" s="65">
        <f>SUMIF('Avoided Costs 2012-2020_EGD'!$A:$A,'2012 Actuals_Auditor'!T623&amp;'2012 Actuals_Auditor'!S623,'Avoided Costs 2012-2020_EGD'!$E:$E)*J623</f>
        <v>1282.5619374871021</v>
      </c>
      <c r="V623" s="65">
        <f>SUMIF('Avoided Costs 2012-2020_EGD'!$A:$A,'2012 Actuals_Auditor'!T623&amp;'2012 Actuals_Auditor'!S623,'Avoided Costs 2012-2020_EGD'!$K:$K)*N623</f>
        <v>0</v>
      </c>
      <c r="W623" s="65">
        <f>SUMIF('Avoided Costs 2012-2020_EGD'!$A:$A,'2012 Actuals_Auditor'!T623&amp;'2012 Actuals_Auditor'!S623,'Avoided Costs 2012-2020_EGD'!$M:$M)*R623</f>
        <v>0</v>
      </c>
      <c r="X623" s="65">
        <f t="shared" si="291"/>
        <v>1282.5619374871021</v>
      </c>
      <c r="Y623" s="146">
        <v>3500</v>
      </c>
      <c r="Z623" s="66">
        <f t="shared" si="292"/>
        <v>2800</v>
      </c>
      <c r="AA623" s="66">
        <v>1750</v>
      </c>
      <c r="AB623" s="66"/>
      <c r="AC623" s="66"/>
      <c r="AD623" s="66">
        <f t="shared" si="293"/>
        <v>2800</v>
      </c>
      <c r="AE623" s="66">
        <f t="shared" si="294"/>
        <v>-1517.4380625128979</v>
      </c>
      <c r="AF623" s="101">
        <f t="shared" si="295"/>
        <v>8419.4501472425891</v>
      </c>
      <c r="AG623" s="101">
        <f t="shared" si="296"/>
        <v>10524.312684053237</v>
      </c>
    </row>
    <row r="624" spans="1:33" s="68" customFormat="1" x14ac:dyDescent="0.2">
      <c r="A624" s="147" t="s">
        <v>304</v>
      </c>
      <c r="B624" s="147"/>
      <c r="C624" s="147"/>
      <c r="D624" s="148">
        <v>0</v>
      </c>
      <c r="E624" s="149"/>
      <c r="F624" s="150">
        <v>0.2</v>
      </c>
      <c r="G624" s="150"/>
      <c r="H624" s="67">
        <v>21607</v>
      </c>
      <c r="I624" s="67">
        <f t="shared" si="285"/>
        <v>20653.844156615647</v>
      </c>
      <c r="J624" s="67">
        <f t="shared" si="286"/>
        <v>16523.075325292517</v>
      </c>
      <c r="K624" s="63"/>
      <c r="L624" s="149">
        <v>-12071</v>
      </c>
      <c r="M624" s="63">
        <f t="shared" si="287"/>
        <v>-12071</v>
      </c>
      <c r="N624" s="63">
        <f t="shared" si="288"/>
        <v>-9656.8000000000011</v>
      </c>
      <c r="O624" s="69"/>
      <c r="P624" s="149">
        <v>0</v>
      </c>
      <c r="Q624" s="63">
        <f t="shared" si="289"/>
        <v>0</v>
      </c>
      <c r="R624" s="64">
        <f t="shared" si="290"/>
        <v>0</v>
      </c>
      <c r="S624" s="148">
        <v>15</v>
      </c>
      <c r="T624" s="151" t="s">
        <v>15</v>
      </c>
      <c r="U624" s="65">
        <f>SUMIF('Avoided Costs 2012-2020_EGD'!$A:$A,'2012 Actuals_Auditor'!T624&amp;'2012 Actuals_Auditor'!S624,'Avoided Costs 2012-2020_EGD'!$E:$E)*J624</f>
        <v>40149.484782174412</v>
      </c>
      <c r="V624" s="65">
        <f>SUMIF('Avoided Costs 2012-2020_EGD'!$A:$A,'2012 Actuals_Auditor'!T624&amp;'2012 Actuals_Auditor'!S624,'Avoided Costs 2012-2020_EGD'!$K:$K)*N624</f>
        <v>-9944.4125871697452</v>
      </c>
      <c r="W624" s="65">
        <f>SUMIF('Avoided Costs 2012-2020_EGD'!$A:$A,'2012 Actuals_Auditor'!T624&amp;'2012 Actuals_Auditor'!S624,'Avoided Costs 2012-2020_EGD'!$M:$M)*R624</f>
        <v>0</v>
      </c>
      <c r="X624" s="65">
        <f t="shared" si="291"/>
        <v>30205.072195004665</v>
      </c>
      <c r="Y624" s="146">
        <v>0</v>
      </c>
      <c r="Z624" s="66">
        <f t="shared" si="292"/>
        <v>0</v>
      </c>
      <c r="AA624" s="66">
        <v>2160</v>
      </c>
      <c r="AB624" s="66"/>
      <c r="AC624" s="66"/>
      <c r="AD624" s="66">
        <f t="shared" si="293"/>
        <v>0</v>
      </c>
      <c r="AE624" s="66">
        <f t="shared" si="294"/>
        <v>30205.072195004665</v>
      </c>
      <c r="AF624" s="101">
        <f t="shared" si="295"/>
        <v>247846.12987938776</v>
      </c>
      <c r="AG624" s="101">
        <f t="shared" si="296"/>
        <v>309807.66234923468</v>
      </c>
    </row>
    <row r="625" spans="1:33" s="68" customFormat="1" x14ac:dyDescent="0.2">
      <c r="A625" s="147" t="s">
        <v>305</v>
      </c>
      <c r="B625" s="147"/>
      <c r="C625" s="147"/>
      <c r="D625" s="148">
        <v>1</v>
      </c>
      <c r="E625" s="149"/>
      <c r="F625" s="150">
        <v>0.2</v>
      </c>
      <c r="G625" s="150"/>
      <c r="H625" s="67">
        <v>31477</v>
      </c>
      <c r="I625" s="67">
        <f t="shared" si="285"/>
        <v>30088.445990548931</v>
      </c>
      <c r="J625" s="67">
        <f t="shared" si="286"/>
        <v>24070.756792439148</v>
      </c>
      <c r="K625" s="63"/>
      <c r="L625" s="149">
        <v>0</v>
      </c>
      <c r="M625" s="63">
        <f t="shared" si="287"/>
        <v>0</v>
      </c>
      <c r="N625" s="63">
        <f t="shared" si="288"/>
        <v>0</v>
      </c>
      <c r="O625" s="69"/>
      <c r="P625" s="149">
        <v>0</v>
      </c>
      <c r="Q625" s="63">
        <f t="shared" si="289"/>
        <v>0</v>
      </c>
      <c r="R625" s="64">
        <f t="shared" si="290"/>
        <v>0</v>
      </c>
      <c r="S625" s="148">
        <v>20</v>
      </c>
      <c r="T625" s="151" t="s">
        <v>15</v>
      </c>
      <c r="U625" s="65">
        <f>SUMIF('Avoided Costs 2012-2020_EGD'!$A:$A,'2012 Actuals_Auditor'!T625&amp;'2012 Actuals_Auditor'!S625,'Avoided Costs 2012-2020_EGD'!$E:$E)*J625</f>
        <v>72013.186990521819</v>
      </c>
      <c r="V625" s="65">
        <f>SUMIF('Avoided Costs 2012-2020_EGD'!$A:$A,'2012 Actuals_Auditor'!T625&amp;'2012 Actuals_Auditor'!S625,'Avoided Costs 2012-2020_EGD'!$K:$K)*N625</f>
        <v>0</v>
      </c>
      <c r="W625" s="65">
        <f>SUMIF('Avoided Costs 2012-2020_EGD'!$A:$A,'2012 Actuals_Auditor'!T625&amp;'2012 Actuals_Auditor'!S625,'Avoided Costs 2012-2020_EGD'!$M:$M)*R625</f>
        <v>0</v>
      </c>
      <c r="X625" s="65">
        <f t="shared" si="291"/>
        <v>72013.186990521819</v>
      </c>
      <c r="Y625" s="146">
        <v>75000</v>
      </c>
      <c r="Z625" s="66">
        <f t="shared" si="292"/>
        <v>60000</v>
      </c>
      <c r="AA625" s="66">
        <v>5692</v>
      </c>
      <c r="AB625" s="66"/>
      <c r="AC625" s="66"/>
      <c r="AD625" s="66">
        <f t="shared" si="293"/>
        <v>60000</v>
      </c>
      <c r="AE625" s="66">
        <f t="shared" si="294"/>
        <v>12013.186990521819</v>
      </c>
      <c r="AF625" s="101">
        <f t="shared" si="295"/>
        <v>481415.13584878296</v>
      </c>
      <c r="AG625" s="101">
        <f t="shared" si="296"/>
        <v>601768.91981097858</v>
      </c>
    </row>
    <row r="626" spans="1:33" s="68" customFormat="1" x14ac:dyDescent="0.2">
      <c r="A626" s="147" t="s">
        <v>306</v>
      </c>
      <c r="B626" s="147"/>
      <c r="C626" s="147"/>
      <c r="D626" s="148">
        <v>1</v>
      </c>
      <c r="E626" s="149"/>
      <c r="F626" s="150">
        <v>0.2</v>
      </c>
      <c r="G626" s="150"/>
      <c r="H626" s="67">
        <v>130511</v>
      </c>
      <c r="I626" s="67">
        <f t="shared" si="285"/>
        <v>124753.73049123269</v>
      </c>
      <c r="J626" s="67">
        <f t="shared" si="286"/>
        <v>99802.984392986167</v>
      </c>
      <c r="K626" s="63"/>
      <c r="L626" s="149">
        <v>0</v>
      </c>
      <c r="M626" s="63">
        <f t="shared" si="287"/>
        <v>0</v>
      </c>
      <c r="N626" s="63">
        <f t="shared" si="288"/>
        <v>0</v>
      </c>
      <c r="O626" s="69"/>
      <c r="P626" s="149">
        <v>0</v>
      </c>
      <c r="Q626" s="63">
        <f t="shared" si="289"/>
        <v>0</v>
      </c>
      <c r="R626" s="64">
        <f t="shared" si="290"/>
        <v>0</v>
      </c>
      <c r="S626" s="148">
        <v>25</v>
      </c>
      <c r="T626" s="151" t="s">
        <v>15</v>
      </c>
      <c r="U626" s="65">
        <f>SUMIF('Avoided Costs 2012-2020_EGD'!$A:$A,'2012 Actuals_Auditor'!T626&amp;'2012 Actuals_Auditor'!S626,'Avoided Costs 2012-2020_EGD'!$E:$E)*J626</f>
        <v>342722.94928206026</v>
      </c>
      <c r="V626" s="65">
        <f>SUMIF('Avoided Costs 2012-2020_EGD'!$A:$A,'2012 Actuals_Auditor'!T626&amp;'2012 Actuals_Auditor'!S626,'Avoided Costs 2012-2020_EGD'!$K:$K)*N626</f>
        <v>0</v>
      </c>
      <c r="W626" s="65">
        <f>SUMIF('Avoided Costs 2012-2020_EGD'!$A:$A,'2012 Actuals_Auditor'!T626&amp;'2012 Actuals_Auditor'!S626,'Avoided Costs 2012-2020_EGD'!$M:$M)*R626</f>
        <v>0</v>
      </c>
      <c r="X626" s="65">
        <f t="shared" si="291"/>
        <v>342722.94928206026</v>
      </c>
      <c r="Y626" s="146">
        <v>5376</v>
      </c>
      <c r="Z626" s="66">
        <f t="shared" si="292"/>
        <v>4300.8</v>
      </c>
      <c r="AA626" s="66">
        <v>17321</v>
      </c>
      <c r="AB626" s="66"/>
      <c r="AC626" s="66"/>
      <c r="AD626" s="66">
        <f t="shared" si="293"/>
        <v>4300.8</v>
      </c>
      <c r="AE626" s="66">
        <f t="shared" si="294"/>
        <v>338422.14928206027</v>
      </c>
      <c r="AF626" s="101">
        <f t="shared" si="295"/>
        <v>2495074.6098246542</v>
      </c>
      <c r="AG626" s="101">
        <f t="shared" si="296"/>
        <v>3118843.2622808171</v>
      </c>
    </row>
    <row r="627" spans="1:33" s="68" customFormat="1" x14ac:dyDescent="0.2">
      <c r="A627" s="147" t="s">
        <v>307</v>
      </c>
      <c r="B627" s="147"/>
      <c r="C627" s="147"/>
      <c r="D627" s="148">
        <v>1</v>
      </c>
      <c r="E627" s="149"/>
      <c r="F627" s="150">
        <v>0.2</v>
      </c>
      <c r="G627" s="150"/>
      <c r="H627" s="67">
        <v>183611</v>
      </c>
      <c r="I627" s="67">
        <f t="shared" si="285"/>
        <v>175511.31482576739</v>
      </c>
      <c r="J627" s="67">
        <f t="shared" si="286"/>
        <v>140409.05186061392</v>
      </c>
      <c r="K627" s="63"/>
      <c r="L627" s="149">
        <v>0</v>
      </c>
      <c r="M627" s="63">
        <f t="shared" si="287"/>
        <v>0</v>
      </c>
      <c r="N627" s="63">
        <f t="shared" si="288"/>
        <v>0</v>
      </c>
      <c r="O627" s="69"/>
      <c r="P627" s="149">
        <v>0</v>
      </c>
      <c r="Q627" s="63">
        <f t="shared" si="289"/>
        <v>0</v>
      </c>
      <c r="R627" s="64">
        <f t="shared" si="290"/>
        <v>0</v>
      </c>
      <c r="S627" s="148">
        <v>25</v>
      </c>
      <c r="T627" s="151" t="s">
        <v>15</v>
      </c>
      <c r="U627" s="65">
        <f>SUMIF('Avoided Costs 2012-2020_EGD'!$A:$A,'2012 Actuals_Auditor'!T627&amp;'2012 Actuals_Auditor'!S627,'Avoided Costs 2012-2020_EGD'!$E:$E)*J627</f>
        <v>482163.98189139896</v>
      </c>
      <c r="V627" s="65">
        <f>SUMIF('Avoided Costs 2012-2020_EGD'!$A:$A,'2012 Actuals_Auditor'!T627&amp;'2012 Actuals_Auditor'!S627,'Avoided Costs 2012-2020_EGD'!$K:$K)*N627</f>
        <v>0</v>
      </c>
      <c r="W627" s="65">
        <f>SUMIF('Avoided Costs 2012-2020_EGD'!$A:$A,'2012 Actuals_Auditor'!T627&amp;'2012 Actuals_Auditor'!S627,'Avoided Costs 2012-2020_EGD'!$M:$M)*R627</f>
        <v>0</v>
      </c>
      <c r="X627" s="65">
        <f t="shared" si="291"/>
        <v>482163.98189139896</v>
      </c>
      <c r="Y627" s="146">
        <v>28261</v>
      </c>
      <c r="Z627" s="66">
        <f t="shared" si="292"/>
        <v>22608.800000000003</v>
      </c>
      <c r="AA627" s="66">
        <v>28094</v>
      </c>
      <c r="AB627" s="66"/>
      <c r="AC627" s="66"/>
      <c r="AD627" s="66">
        <f t="shared" si="293"/>
        <v>22608.800000000003</v>
      </c>
      <c r="AE627" s="66">
        <f t="shared" si="294"/>
        <v>459555.18189139897</v>
      </c>
      <c r="AF627" s="101">
        <f t="shared" si="295"/>
        <v>3510226.2965153479</v>
      </c>
      <c r="AG627" s="101">
        <f t="shared" si="296"/>
        <v>4387782.8706441848</v>
      </c>
    </row>
    <row r="628" spans="1:33" s="68" customFormat="1" x14ac:dyDescent="0.2">
      <c r="A628" s="147" t="s">
        <v>308</v>
      </c>
      <c r="B628" s="147"/>
      <c r="C628" s="147"/>
      <c r="D628" s="148">
        <v>1</v>
      </c>
      <c r="E628" s="149"/>
      <c r="F628" s="150">
        <v>0.2</v>
      </c>
      <c r="G628" s="150"/>
      <c r="H628" s="67">
        <v>131020</v>
      </c>
      <c r="I628" s="67">
        <f t="shared" si="285"/>
        <v>125240.27682694414</v>
      </c>
      <c r="J628" s="67">
        <f t="shared" si="286"/>
        <v>100192.22146155532</v>
      </c>
      <c r="K628" s="63"/>
      <c r="L628" s="149">
        <v>0</v>
      </c>
      <c r="M628" s="63">
        <f t="shared" si="287"/>
        <v>0</v>
      </c>
      <c r="N628" s="63">
        <f t="shared" si="288"/>
        <v>0</v>
      </c>
      <c r="O628" s="69"/>
      <c r="P628" s="149">
        <v>0</v>
      </c>
      <c r="Q628" s="63">
        <f t="shared" si="289"/>
        <v>0</v>
      </c>
      <c r="R628" s="64">
        <f t="shared" si="290"/>
        <v>0</v>
      </c>
      <c r="S628" s="148">
        <v>25</v>
      </c>
      <c r="T628" s="151" t="s">
        <v>15</v>
      </c>
      <c r="U628" s="65">
        <f>SUMIF('Avoided Costs 2012-2020_EGD'!$A:$A,'2012 Actuals_Auditor'!T628&amp;'2012 Actuals_Auditor'!S628,'Avoided Costs 2012-2020_EGD'!$E:$E)*J628</f>
        <v>344059.58742891811</v>
      </c>
      <c r="V628" s="65">
        <f>SUMIF('Avoided Costs 2012-2020_EGD'!$A:$A,'2012 Actuals_Auditor'!T628&amp;'2012 Actuals_Auditor'!S628,'Avoided Costs 2012-2020_EGD'!$K:$K)*N628</f>
        <v>0</v>
      </c>
      <c r="W628" s="65">
        <f>SUMIF('Avoided Costs 2012-2020_EGD'!$A:$A,'2012 Actuals_Auditor'!T628&amp;'2012 Actuals_Auditor'!S628,'Avoided Costs 2012-2020_EGD'!$M:$M)*R628</f>
        <v>0</v>
      </c>
      <c r="X628" s="65">
        <f t="shared" si="291"/>
        <v>344059.58742891811</v>
      </c>
      <c r="Y628" s="146">
        <v>8682</v>
      </c>
      <c r="Z628" s="66">
        <f t="shared" si="292"/>
        <v>6945.6</v>
      </c>
      <c r="AA628" s="66">
        <v>29115</v>
      </c>
      <c r="AB628" s="66"/>
      <c r="AC628" s="66"/>
      <c r="AD628" s="66">
        <f t="shared" si="293"/>
        <v>6945.6</v>
      </c>
      <c r="AE628" s="66">
        <f t="shared" si="294"/>
        <v>337113.98742891813</v>
      </c>
      <c r="AF628" s="101">
        <f t="shared" si="295"/>
        <v>2504805.5365388831</v>
      </c>
      <c r="AG628" s="101">
        <f t="shared" si="296"/>
        <v>3131006.9206736037</v>
      </c>
    </row>
    <row r="629" spans="1:33" s="68" customFormat="1" x14ac:dyDescent="0.2">
      <c r="A629" s="147" t="s">
        <v>309</v>
      </c>
      <c r="B629" s="147"/>
      <c r="C629" s="147"/>
      <c r="D629" s="148">
        <v>0</v>
      </c>
      <c r="E629" s="149"/>
      <c r="F629" s="150">
        <v>0.2</v>
      </c>
      <c r="G629" s="150"/>
      <c r="H629" s="67">
        <v>82139</v>
      </c>
      <c r="I629" s="67">
        <f t="shared" si="285"/>
        <v>78515.578524563927</v>
      </c>
      <c r="J629" s="67">
        <f t="shared" si="286"/>
        <v>62812.462819651148</v>
      </c>
      <c r="K629" s="63"/>
      <c r="L629" s="149">
        <v>85216</v>
      </c>
      <c r="M629" s="63">
        <f t="shared" si="287"/>
        <v>85216</v>
      </c>
      <c r="N629" s="63">
        <f t="shared" si="288"/>
        <v>68172.800000000003</v>
      </c>
      <c r="O629" s="69"/>
      <c r="P629" s="149">
        <v>0</v>
      </c>
      <c r="Q629" s="63">
        <f t="shared" si="289"/>
        <v>0</v>
      </c>
      <c r="R629" s="64">
        <f t="shared" si="290"/>
        <v>0</v>
      </c>
      <c r="S629" s="148">
        <v>15</v>
      </c>
      <c r="T629" s="151" t="s">
        <v>15</v>
      </c>
      <c r="U629" s="65">
        <f>SUMIF('Avoided Costs 2012-2020_EGD'!$A:$A,'2012 Actuals_Auditor'!T629&amp;'2012 Actuals_Auditor'!S629,'Avoided Costs 2012-2020_EGD'!$E:$E)*J629</f>
        <v>152628.24688864834</v>
      </c>
      <c r="V629" s="65">
        <f>SUMIF('Avoided Costs 2012-2020_EGD'!$A:$A,'2012 Actuals_Auditor'!T629&amp;'2012 Actuals_Auditor'!S629,'Avoided Costs 2012-2020_EGD'!$K:$K)*N629</f>
        <v>70203.219536762233</v>
      </c>
      <c r="W629" s="65">
        <f>SUMIF('Avoided Costs 2012-2020_EGD'!$A:$A,'2012 Actuals_Auditor'!T629&amp;'2012 Actuals_Auditor'!S629,'Avoided Costs 2012-2020_EGD'!$M:$M)*R629</f>
        <v>0</v>
      </c>
      <c r="X629" s="65">
        <f t="shared" si="291"/>
        <v>222831.46642541059</v>
      </c>
      <c r="Y629" s="146">
        <v>14475</v>
      </c>
      <c r="Z629" s="66">
        <f t="shared" si="292"/>
        <v>11580</v>
      </c>
      <c r="AA629" s="66">
        <v>8215</v>
      </c>
      <c r="AB629" s="66"/>
      <c r="AC629" s="66"/>
      <c r="AD629" s="66">
        <f t="shared" si="293"/>
        <v>11580</v>
      </c>
      <c r="AE629" s="66">
        <f t="shared" si="294"/>
        <v>211251.46642541059</v>
      </c>
      <c r="AF629" s="101">
        <f t="shared" si="295"/>
        <v>942186.94229476724</v>
      </c>
      <c r="AG629" s="101">
        <f t="shared" si="296"/>
        <v>1177733.6778684589</v>
      </c>
    </row>
    <row r="630" spans="1:33" s="68" customFormat="1" x14ac:dyDescent="0.2">
      <c r="A630" s="147" t="s">
        <v>310</v>
      </c>
      <c r="B630" s="147"/>
      <c r="C630" s="147"/>
      <c r="D630" s="148">
        <v>1</v>
      </c>
      <c r="E630" s="149"/>
      <c r="F630" s="150">
        <v>0.2</v>
      </c>
      <c r="G630" s="150"/>
      <c r="H630" s="67">
        <v>11559</v>
      </c>
      <c r="I630" s="67">
        <f t="shared" si="285"/>
        <v>11049.09448818995</v>
      </c>
      <c r="J630" s="67">
        <f t="shared" si="286"/>
        <v>8839.2755905519607</v>
      </c>
      <c r="K630" s="63"/>
      <c r="L630" s="149">
        <v>0</v>
      </c>
      <c r="M630" s="63">
        <f t="shared" si="287"/>
        <v>0</v>
      </c>
      <c r="N630" s="63">
        <f t="shared" si="288"/>
        <v>0</v>
      </c>
      <c r="O630" s="69"/>
      <c r="P630" s="149">
        <v>0</v>
      </c>
      <c r="Q630" s="63">
        <f t="shared" si="289"/>
        <v>0</v>
      </c>
      <c r="R630" s="64">
        <f t="shared" si="290"/>
        <v>0</v>
      </c>
      <c r="S630" s="148">
        <v>15</v>
      </c>
      <c r="T630" s="151" t="s">
        <v>15</v>
      </c>
      <c r="U630" s="65">
        <f>SUMIF('Avoided Costs 2012-2020_EGD'!$A:$A,'2012 Actuals_Auditor'!T630&amp;'2012 Actuals_Auditor'!S630,'Avoided Costs 2012-2020_EGD'!$E:$E)*J630</f>
        <v>21478.590021620494</v>
      </c>
      <c r="V630" s="65">
        <f>SUMIF('Avoided Costs 2012-2020_EGD'!$A:$A,'2012 Actuals_Auditor'!T630&amp;'2012 Actuals_Auditor'!S630,'Avoided Costs 2012-2020_EGD'!$K:$K)*N630</f>
        <v>0</v>
      </c>
      <c r="W630" s="65">
        <f>SUMIF('Avoided Costs 2012-2020_EGD'!$A:$A,'2012 Actuals_Auditor'!T630&amp;'2012 Actuals_Auditor'!S630,'Avoided Costs 2012-2020_EGD'!$M:$M)*R630</f>
        <v>0</v>
      </c>
      <c r="X630" s="65">
        <f t="shared" si="291"/>
        <v>21478.590021620494</v>
      </c>
      <c r="Y630" s="146">
        <v>43220</v>
      </c>
      <c r="Z630" s="66">
        <f t="shared" si="292"/>
        <v>34576</v>
      </c>
      <c r="AA630" s="66">
        <v>1155</v>
      </c>
      <c r="AB630" s="66"/>
      <c r="AC630" s="66"/>
      <c r="AD630" s="66">
        <f t="shared" si="293"/>
        <v>34576</v>
      </c>
      <c r="AE630" s="66">
        <f t="shared" si="294"/>
        <v>-13097.409978379506</v>
      </c>
      <c r="AF630" s="101">
        <f t="shared" si="295"/>
        <v>132589.13385827941</v>
      </c>
      <c r="AG630" s="101">
        <f t="shared" si="296"/>
        <v>165736.41732284924</v>
      </c>
    </row>
    <row r="631" spans="1:33" s="68" customFormat="1" x14ac:dyDescent="0.2">
      <c r="A631" s="147" t="s">
        <v>311</v>
      </c>
      <c r="B631" s="147"/>
      <c r="C631" s="147"/>
      <c r="D631" s="148">
        <v>0</v>
      </c>
      <c r="E631" s="149"/>
      <c r="F631" s="150">
        <v>0.2</v>
      </c>
      <c r="G631" s="150"/>
      <c r="H631" s="67">
        <v>7475</v>
      </c>
      <c r="I631" s="67">
        <f>H631</f>
        <v>7475</v>
      </c>
      <c r="J631" s="67">
        <f t="shared" si="286"/>
        <v>5980</v>
      </c>
      <c r="K631" s="63"/>
      <c r="L631" s="149">
        <v>0</v>
      </c>
      <c r="M631" s="63">
        <f>L631</f>
        <v>0</v>
      </c>
      <c r="N631" s="63">
        <f t="shared" si="288"/>
        <v>0</v>
      </c>
      <c r="O631" s="69"/>
      <c r="P631" s="149">
        <v>0</v>
      </c>
      <c r="Q631" s="63">
        <f>+P631</f>
        <v>0</v>
      </c>
      <c r="R631" s="64">
        <f t="shared" si="290"/>
        <v>0</v>
      </c>
      <c r="S631" s="148">
        <v>25</v>
      </c>
      <c r="T631" s="151" t="s">
        <v>52</v>
      </c>
      <c r="U631" s="65">
        <f>SUMIF('Avoided Costs 2012-2020_EGD'!$A:$A,'2012 Actuals_Auditor'!T631&amp;'2012 Actuals_Auditor'!S631,'Avoided Costs 2012-2020_EGD'!$E:$E)*J631</f>
        <v>19296.213875051693</v>
      </c>
      <c r="V631" s="65">
        <f>SUMIF('Avoided Costs 2012-2020_EGD'!$A:$A,'2012 Actuals_Auditor'!T631&amp;'2012 Actuals_Auditor'!S631,'Avoided Costs 2012-2020_EGD'!$K:$K)*N631</f>
        <v>0</v>
      </c>
      <c r="W631" s="65">
        <f>SUMIF('Avoided Costs 2012-2020_EGD'!$A:$A,'2012 Actuals_Auditor'!T631&amp;'2012 Actuals_Auditor'!S631,'Avoided Costs 2012-2020_EGD'!$M:$M)*R631</f>
        <v>0</v>
      </c>
      <c r="X631" s="65">
        <f t="shared" si="291"/>
        <v>19296.213875051693</v>
      </c>
      <c r="Y631" s="146">
        <v>7400</v>
      </c>
      <c r="Z631" s="66">
        <f t="shared" si="292"/>
        <v>5920</v>
      </c>
      <c r="AA631" s="66">
        <v>1400</v>
      </c>
      <c r="AB631" s="66"/>
      <c r="AC631" s="66"/>
      <c r="AD631" s="66">
        <f t="shared" si="293"/>
        <v>5920</v>
      </c>
      <c r="AE631" s="66">
        <f t="shared" si="294"/>
        <v>13376.213875051693</v>
      </c>
      <c r="AF631" s="101">
        <f t="shared" si="295"/>
        <v>149500</v>
      </c>
      <c r="AG631" s="101">
        <f t="shared" si="296"/>
        <v>186875</v>
      </c>
    </row>
    <row r="632" spans="1:33" s="68" customFormat="1" x14ac:dyDescent="0.2">
      <c r="A632" s="147" t="s">
        <v>312</v>
      </c>
      <c r="B632" s="147"/>
      <c r="C632" s="147"/>
      <c r="D632" s="148">
        <v>0</v>
      </c>
      <c r="E632" s="149"/>
      <c r="F632" s="150">
        <v>0.2</v>
      </c>
      <c r="G632" s="150"/>
      <c r="H632" s="67">
        <v>3076</v>
      </c>
      <c r="I632" s="67">
        <f>H632</f>
        <v>3076</v>
      </c>
      <c r="J632" s="67">
        <f t="shared" si="286"/>
        <v>2460.8000000000002</v>
      </c>
      <c r="K632" s="63"/>
      <c r="L632" s="149">
        <v>0</v>
      </c>
      <c r="M632" s="63">
        <f>L632</f>
        <v>0</v>
      </c>
      <c r="N632" s="63">
        <f t="shared" si="288"/>
        <v>0</v>
      </c>
      <c r="O632" s="69"/>
      <c r="P632" s="149">
        <v>0</v>
      </c>
      <c r="Q632" s="63">
        <f>+P632</f>
        <v>0</v>
      </c>
      <c r="R632" s="64">
        <f t="shared" si="290"/>
        <v>0</v>
      </c>
      <c r="S632" s="148">
        <v>25</v>
      </c>
      <c r="T632" s="151" t="s">
        <v>52</v>
      </c>
      <c r="U632" s="65">
        <f>SUMIF('Avoided Costs 2012-2020_EGD'!$A:$A,'2012 Actuals_Auditor'!T632&amp;'2012 Actuals_Auditor'!S632,'Avoided Costs 2012-2020_EGD'!$E:$E)*J632</f>
        <v>7940.4888133323093</v>
      </c>
      <c r="V632" s="65">
        <f>SUMIF('Avoided Costs 2012-2020_EGD'!$A:$A,'2012 Actuals_Auditor'!T632&amp;'2012 Actuals_Auditor'!S632,'Avoided Costs 2012-2020_EGD'!$K:$K)*N632</f>
        <v>0</v>
      </c>
      <c r="W632" s="65">
        <f>SUMIF('Avoided Costs 2012-2020_EGD'!$A:$A,'2012 Actuals_Auditor'!T632&amp;'2012 Actuals_Auditor'!S632,'Avoided Costs 2012-2020_EGD'!$M:$M)*R632</f>
        <v>0</v>
      </c>
      <c r="X632" s="65">
        <f t="shared" si="291"/>
        <v>7940.4888133323093</v>
      </c>
      <c r="Y632" s="146">
        <v>6000</v>
      </c>
      <c r="Z632" s="66">
        <f t="shared" si="292"/>
        <v>4800</v>
      </c>
      <c r="AA632" s="66">
        <v>850</v>
      </c>
      <c r="AB632" s="66"/>
      <c r="AC632" s="66"/>
      <c r="AD632" s="66">
        <f t="shared" si="293"/>
        <v>4800</v>
      </c>
      <c r="AE632" s="66">
        <f t="shared" si="294"/>
        <v>3140.4888133323093</v>
      </c>
      <c r="AF632" s="101">
        <f t="shared" si="295"/>
        <v>61520.000000000007</v>
      </c>
      <c r="AG632" s="101">
        <f t="shared" si="296"/>
        <v>76900</v>
      </c>
    </row>
    <row r="633" spans="1:33" s="68" customFormat="1" x14ac:dyDescent="0.2">
      <c r="A633" s="147" t="s">
        <v>313</v>
      </c>
      <c r="B633" s="147"/>
      <c r="C633" s="147"/>
      <c r="D633" s="148">
        <v>0</v>
      </c>
      <c r="E633" s="149"/>
      <c r="F633" s="150">
        <v>0.2</v>
      </c>
      <c r="G633" s="150"/>
      <c r="H633" s="67">
        <v>12141</v>
      </c>
      <c r="I633" s="67">
        <f>H633</f>
        <v>12141</v>
      </c>
      <c r="J633" s="67">
        <f t="shared" si="286"/>
        <v>9712.8000000000011</v>
      </c>
      <c r="K633" s="63"/>
      <c r="L633" s="149">
        <v>0</v>
      </c>
      <c r="M633" s="63">
        <f>L633</f>
        <v>0</v>
      </c>
      <c r="N633" s="63">
        <f t="shared" si="288"/>
        <v>0</v>
      </c>
      <c r="O633" s="69"/>
      <c r="P633" s="149">
        <v>0</v>
      </c>
      <c r="Q633" s="63">
        <f>+P633</f>
        <v>0</v>
      </c>
      <c r="R633" s="64">
        <f t="shared" si="290"/>
        <v>0</v>
      </c>
      <c r="S633" s="148">
        <v>25</v>
      </c>
      <c r="T633" s="151" t="s">
        <v>15</v>
      </c>
      <c r="U633" s="65">
        <f>SUMIF('Avoided Costs 2012-2020_EGD'!$A:$A,'2012 Actuals_Auditor'!T633&amp;'2012 Actuals_Auditor'!S633,'Avoided Costs 2012-2020_EGD'!$E:$E)*J633</f>
        <v>33353.70662543767</v>
      </c>
      <c r="V633" s="65">
        <f>SUMIF('Avoided Costs 2012-2020_EGD'!$A:$A,'2012 Actuals_Auditor'!T633&amp;'2012 Actuals_Auditor'!S633,'Avoided Costs 2012-2020_EGD'!$K:$K)*N633</f>
        <v>0</v>
      </c>
      <c r="W633" s="65">
        <f>SUMIF('Avoided Costs 2012-2020_EGD'!$A:$A,'2012 Actuals_Auditor'!T633&amp;'2012 Actuals_Auditor'!S633,'Avoided Costs 2012-2020_EGD'!$M:$M)*R633</f>
        <v>0</v>
      </c>
      <c r="X633" s="65">
        <f t="shared" si="291"/>
        <v>33353.70662543767</v>
      </c>
      <c r="Y633" s="146">
        <v>10300</v>
      </c>
      <c r="Z633" s="66">
        <f t="shared" si="292"/>
        <v>8240</v>
      </c>
      <c r="AA633" s="66">
        <v>1400</v>
      </c>
      <c r="AB633" s="66"/>
      <c r="AC633" s="66"/>
      <c r="AD633" s="66">
        <f t="shared" si="293"/>
        <v>8240</v>
      </c>
      <c r="AE633" s="66">
        <f t="shared" si="294"/>
        <v>25113.70662543767</v>
      </c>
      <c r="AF633" s="101">
        <f t="shared" si="295"/>
        <v>242820.00000000003</v>
      </c>
      <c r="AG633" s="101">
        <f t="shared" si="296"/>
        <v>303525</v>
      </c>
    </row>
    <row r="634" spans="1:33" s="68" customFormat="1" x14ac:dyDescent="0.2">
      <c r="A634" s="147" t="s">
        <v>314</v>
      </c>
      <c r="B634" s="147"/>
      <c r="C634" s="147"/>
      <c r="D634" s="148">
        <v>1</v>
      </c>
      <c r="E634" s="149"/>
      <c r="F634" s="150">
        <v>0.2</v>
      </c>
      <c r="G634" s="150"/>
      <c r="H634" s="67">
        <v>38379</v>
      </c>
      <c r="I634" s="67">
        <f>H634</f>
        <v>38379</v>
      </c>
      <c r="J634" s="67">
        <f t="shared" si="286"/>
        <v>30703.200000000001</v>
      </c>
      <c r="K634" s="63"/>
      <c r="L634" s="149">
        <v>0</v>
      </c>
      <c r="M634" s="63">
        <f>L634</f>
        <v>0</v>
      </c>
      <c r="N634" s="63">
        <f t="shared" si="288"/>
        <v>0</v>
      </c>
      <c r="O634" s="69"/>
      <c r="P634" s="149">
        <v>0</v>
      </c>
      <c r="Q634" s="63">
        <f>+P634</f>
        <v>0</v>
      </c>
      <c r="R634" s="64">
        <f t="shared" si="290"/>
        <v>0</v>
      </c>
      <c r="S634" s="148">
        <v>25</v>
      </c>
      <c r="T634" s="151" t="s">
        <v>15</v>
      </c>
      <c r="U634" s="65">
        <f>SUMIF('Avoided Costs 2012-2020_EGD'!$A:$A,'2012 Actuals_Auditor'!T634&amp;'2012 Actuals_Auditor'!S634,'Avoided Costs 2012-2020_EGD'!$E:$E)*J634</f>
        <v>105434.63525061133</v>
      </c>
      <c r="V634" s="65">
        <f>SUMIF('Avoided Costs 2012-2020_EGD'!$A:$A,'2012 Actuals_Auditor'!T634&amp;'2012 Actuals_Auditor'!S634,'Avoided Costs 2012-2020_EGD'!$K:$K)*N634</f>
        <v>0</v>
      </c>
      <c r="W634" s="65">
        <f>SUMIF('Avoided Costs 2012-2020_EGD'!$A:$A,'2012 Actuals_Auditor'!T634&amp;'2012 Actuals_Auditor'!S634,'Avoided Costs 2012-2020_EGD'!$M:$M)*R634</f>
        <v>0</v>
      </c>
      <c r="X634" s="65">
        <f t="shared" si="291"/>
        <v>105434.63525061133</v>
      </c>
      <c r="Y634" s="146">
        <v>14800</v>
      </c>
      <c r="Z634" s="66">
        <f t="shared" si="292"/>
        <v>11840</v>
      </c>
      <c r="AA634" s="66">
        <v>4400</v>
      </c>
      <c r="AB634" s="66"/>
      <c r="AC634" s="66"/>
      <c r="AD634" s="66">
        <f t="shared" si="293"/>
        <v>11840</v>
      </c>
      <c r="AE634" s="66">
        <f t="shared" si="294"/>
        <v>93594.635250611333</v>
      </c>
      <c r="AF634" s="101">
        <f t="shared" si="295"/>
        <v>767580</v>
      </c>
      <c r="AG634" s="101">
        <f t="shared" si="296"/>
        <v>959475</v>
      </c>
    </row>
    <row r="635" spans="1:33" s="68" customFormat="1" x14ac:dyDescent="0.2">
      <c r="A635" s="147" t="s">
        <v>315</v>
      </c>
      <c r="B635" s="147"/>
      <c r="C635" s="147"/>
      <c r="D635" s="148">
        <v>0</v>
      </c>
      <c r="E635" s="149"/>
      <c r="F635" s="150">
        <v>0.2</v>
      </c>
      <c r="G635" s="150"/>
      <c r="H635" s="67">
        <v>18691</v>
      </c>
      <c r="I635" s="67">
        <f t="shared" ref="I635:I669" si="297">+$H$42*H635</f>
        <v>17866.478508414082</v>
      </c>
      <c r="J635" s="67">
        <f t="shared" si="286"/>
        <v>14293.182806731267</v>
      </c>
      <c r="K635" s="63"/>
      <c r="L635" s="149">
        <v>23387</v>
      </c>
      <c r="M635" s="63">
        <f t="shared" si="287"/>
        <v>23387</v>
      </c>
      <c r="N635" s="63">
        <f t="shared" si="288"/>
        <v>18709.600000000002</v>
      </c>
      <c r="O635" s="69"/>
      <c r="P635" s="149">
        <v>0</v>
      </c>
      <c r="Q635" s="63">
        <f t="shared" ref="Q635:Q669" si="298">+P635*$P$42</f>
        <v>0</v>
      </c>
      <c r="R635" s="64">
        <f t="shared" si="290"/>
        <v>0</v>
      </c>
      <c r="S635" s="148">
        <v>15</v>
      </c>
      <c r="T635" s="151" t="s">
        <v>15</v>
      </c>
      <c r="U635" s="65">
        <f>SUMIF('Avoided Costs 2012-2020_EGD'!$A:$A,'2012 Actuals_Auditor'!T635&amp;'2012 Actuals_Auditor'!S635,'Avoided Costs 2012-2020_EGD'!$E:$E)*J635</f>
        <v>34731.060307475447</v>
      </c>
      <c r="V635" s="65">
        <f>SUMIF('Avoided Costs 2012-2020_EGD'!$A:$A,'2012 Actuals_Auditor'!T635&amp;'2012 Actuals_Auditor'!S635,'Avoided Costs 2012-2020_EGD'!$K:$K)*N635</f>
        <v>19266.835985099729</v>
      </c>
      <c r="W635" s="65">
        <f>SUMIF('Avoided Costs 2012-2020_EGD'!$A:$A,'2012 Actuals_Auditor'!T635&amp;'2012 Actuals_Auditor'!S635,'Avoided Costs 2012-2020_EGD'!$M:$M)*R635</f>
        <v>0</v>
      </c>
      <c r="X635" s="65">
        <f t="shared" si="291"/>
        <v>53997.896292575177</v>
      </c>
      <c r="Y635" s="146">
        <v>39760</v>
      </c>
      <c r="Z635" s="66">
        <f t="shared" si="292"/>
        <v>31808</v>
      </c>
      <c r="AA635" s="66">
        <v>1869</v>
      </c>
      <c r="AB635" s="66"/>
      <c r="AC635" s="66"/>
      <c r="AD635" s="66">
        <f t="shared" si="293"/>
        <v>31808</v>
      </c>
      <c r="AE635" s="66">
        <f t="shared" si="294"/>
        <v>22189.896292575177</v>
      </c>
      <c r="AF635" s="101">
        <f t="shared" si="295"/>
        <v>214397.74210096902</v>
      </c>
      <c r="AG635" s="101">
        <f t="shared" si="296"/>
        <v>267997.17762621125</v>
      </c>
    </row>
    <row r="636" spans="1:33" s="68" customFormat="1" x14ac:dyDescent="0.2">
      <c r="A636" s="147" t="s">
        <v>316</v>
      </c>
      <c r="B636" s="147"/>
      <c r="C636" s="147"/>
      <c r="D636" s="148">
        <v>1</v>
      </c>
      <c r="E636" s="149"/>
      <c r="F636" s="150">
        <v>0.2</v>
      </c>
      <c r="G636" s="150"/>
      <c r="H636" s="67">
        <v>28407</v>
      </c>
      <c r="I636" s="67">
        <f t="shared" si="297"/>
        <v>27153.873788910107</v>
      </c>
      <c r="J636" s="67">
        <f t="shared" si="286"/>
        <v>21723.099031128088</v>
      </c>
      <c r="K636" s="63"/>
      <c r="L636" s="149">
        <v>0</v>
      </c>
      <c r="M636" s="63">
        <f t="shared" si="287"/>
        <v>0</v>
      </c>
      <c r="N636" s="63">
        <f t="shared" si="288"/>
        <v>0</v>
      </c>
      <c r="O636" s="69"/>
      <c r="P636" s="149">
        <v>0</v>
      </c>
      <c r="Q636" s="63">
        <f t="shared" si="298"/>
        <v>0</v>
      </c>
      <c r="R636" s="64">
        <f t="shared" si="290"/>
        <v>0</v>
      </c>
      <c r="S636" s="148">
        <v>25</v>
      </c>
      <c r="T636" s="151" t="s">
        <v>15</v>
      </c>
      <c r="U636" s="65">
        <f>SUMIF('Avoided Costs 2012-2020_EGD'!$A:$A,'2012 Actuals_Auditor'!T636&amp;'2012 Actuals_Auditor'!S636,'Avoided Costs 2012-2020_EGD'!$E:$E)*J636</f>
        <v>74597.013433775574</v>
      </c>
      <c r="V636" s="65">
        <f>SUMIF('Avoided Costs 2012-2020_EGD'!$A:$A,'2012 Actuals_Auditor'!T636&amp;'2012 Actuals_Auditor'!S636,'Avoided Costs 2012-2020_EGD'!$K:$K)*N636</f>
        <v>0</v>
      </c>
      <c r="W636" s="65">
        <f>SUMIF('Avoided Costs 2012-2020_EGD'!$A:$A,'2012 Actuals_Auditor'!T636&amp;'2012 Actuals_Auditor'!S636,'Avoided Costs 2012-2020_EGD'!$M:$M)*R636</f>
        <v>0</v>
      </c>
      <c r="X636" s="65">
        <f t="shared" si="291"/>
        <v>74597.013433775574</v>
      </c>
      <c r="Y636" s="146">
        <v>21630</v>
      </c>
      <c r="Z636" s="66">
        <f t="shared" si="292"/>
        <v>17304</v>
      </c>
      <c r="AA636" s="66">
        <v>5528</v>
      </c>
      <c r="AB636" s="66"/>
      <c r="AC636" s="66"/>
      <c r="AD636" s="66">
        <f t="shared" si="293"/>
        <v>17304</v>
      </c>
      <c r="AE636" s="66">
        <f t="shared" si="294"/>
        <v>57293.013433775574</v>
      </c>
      <c r="AF636" s="101">
        <f t="shared" si="295"/>
        <v>543077.47577820218</v>
      </c>
      <c r="AG636" s="101">
        <f t="shared" si="296"/>
        <v>678846.84472275269</v>
      </c>
    </row>
    <row r="637" spans="1:33" s="68" customFormat="1" x14ac:dyDescent="0.2">
      <c r="A637" s="147" t="s">
        <v>317</v>
      </c>
      <c r="B637" s="147"/>
      <c r="C637" s="147"/>
      <c r="D637" s="148">
        <v>1</v>
      </c>
      <c r="E637" s="149"/>
      <c r="F637" s="150">
        <v>0.2</v>
      </c>
      <c r="G637" s="150"/>
      <c r="H637" s="67">
        <v>77274</v>
      </c>
      <c r="I637" s="67">
        <f t="shared" si="297"/>
        <v>73865.189677341492</v>
      </c>
      <c r="J637" s="67">
        <f t="shared" si="286"/>
        <v>59092.151741873196</v>
      </c>
      <c r="K637" s="63"/>
      <c r="L637" s="149">
        <v>0</v>
      </c>
      <c r="M637" s="63">
        <f t="shared" si="287"/>
        <v>0</v>
      </c>
      <c r="N637" s="63">
        <f t="shared" si="288"/>
        <v>0</v>
      </c>
      <c r="O637" s="69"/>
      <c r="P637" s="149">
        <v>0</v>
      </c>
      <c r="Q637" s="63">
        <f t="shared" si="298"/>
        <v>0</v>
      </c>
      <c r="R637" s="64">
        <f t="shared" si="290"/>
        <v>0</v>
      </c>
      <c r="S637" s="148">
        <v>25</v>
      </c>
      <c r="T637" s="151" t="s">
        <v>15</v>
      </c>
      <c r="U637" s="65">
        <f>SUMIF('Avoided Costs 2012-2020_EGD'!$A:$A,'2012 Actuals_Auditor'!T637&amp;'2012 Actuals_Auditor'!S637,'Avoided Costs 2012-2020_EGD'!$E:$E)*J637</f>
        <v>202922.15355657318</v>
      </c>
      <c r="V637" s="65">
        <f>SUMIF('Avoided Costs 2012-2020_EGD'!$A:$A,'2012 Actuals_Auditor'!T637&amp;'2012 Actuals_Auditor'!S637,'Avoided Costs 2012-2020_EGD'!$K:$K)*N637</f>
        <v>0</v>
      </c>
      <c r="W637" s="65">
        <f>SUMIF('Avoided Costs 2012-2020_EGD'!$A:$A,'2012 Actuals_Auditor'!T637&amp;'2012 Actuals_Auditor'!S637,'Avoided Costs 2012-2020_EGD'!$M:$M)*R637</f>
        <v>0</v>
      </c>
      <c r="X637" s="65">
        <f t="shared" si="291"/>
        <v>202922.15355657318</v>
      </c>
      <c r="Y637" s="146">
        <v>391</v>
      </c>
      <c r="Z637" s="66">
        <f t="shared" si="292"/>
        <v>312.8</v>
      </c>
      <c r="AA637" s="66">
        <v>11400</v>
      </c>
      <c r="AB637" s="66"/>
      <c r="AC637" s="66"/>
      <c r="AD637" s="66">
        <f t="shared" si="293"/>
        <v>312.8</v>
      </c>
      <c r="AE637" s="66">
        <f t="shared" si="294"/>
        <v>202609.35355657319</v>
      </c>
      <c r="AF637" s="101">
        <f t="shared" si="295"/>
        <v>1477303.7935468298</v>
      </c>
      <c r="AG637" s="101">
        <f t="shared" si="296"/>
        <v>1846629.7419335372</v>
      </c>
    </row>
    <row r="638" spans="1:33" s="68" customFormat="1" x14ac:dyDescent="0.2">
      <c r="A638" s="147" t="s">
        <v>318</v>
      </c>
      <c r="B638" s="147"/>
      <c r="C638" s="147"/>
      <c r="D638" s="148">
        <v>1</v>
      </c>
      <c r="E638" s="149"/>
      <c r="F638" s="150">
        <v>0.2</v>
      </c>
      <c r="G638" s="150"/>
      <c r="H638" s="67">
        <v>54476</v>
      </c>
      <c r="I638" s="67">
        <f t="shared" si="297"/>
        <v>52072.884448363679</v>
      </c>
      <c r="J638" s="67">
        <f t="shared" si="286"/>
        <v>41658.307558690947</v>
      </c>
      <c r="K638" s="63"/>
      <c r="L638" s="149">
        <v>58335</v>
      </c>
      <c r="M638" s="63">
        <f t="shared" si="287"/>
        <v>58335</v>
      </c>
      <c r="N638" s="63">
        <f t="shared" si="288"/>
        <v>46668</v>
      </c>
      <c r="O638" s="69"/>
      <c r="P638" s="149">
        <v>0</v>
      </c>
      <c r="Q638" s="63">
        <f t="shared" si="298"/>
        <v>0</v>
      </c>
      <c r="R638" s="64">
        <f t="shared" si="290"/>
        <v>0</v>
      </c>
      <c r="S638" s="148">
        <v>15</v>
      </c>
      <c r="T638" s="151" t="s">
        <v>15</v>
      </c>
      <c r="U638" s="65">
        <f>SUMIF('Avoided Costs 2012-2020_EGD'!$A:$A,'2012 Actuals_Auditor'!T638&amp;'2012 Actuals_Auditor'!S638,'Avoided Costs 2012-2020_EGD'!$E:$E)*J638</f>
        <v>101225.68301910184</v>
      </c>
      <c r="V638" s="65">
        <f>SUMIF('Avoided Costs 2012-2020_EGD'!$A:$A,'2012 Actuals_Auditor'!T638&amp;'2012 Actuals_Auditor'!S638,'Avoided Costs 2012-2020_EGD'!$K:$K)*N638</f>
        <v>48057.932919604587</v>
      </c>
      <c r="W638" s="65">
        <f>SUMIF('Avoided Costs 2012-2020_EGD'!$A:$A,'2012 Actuals_Auditor'!T638&amp;'2012 Actuals_Auditor'!S638,'Avoided Costs 2012-2020_EGD'!$M:$M)*R638</f>
        <v>0</v>
      </c>
      <c r="X638" s="65">
        <f t="shared" si="291"/>
        <v>149283.61593870644</v>
      </c>
      <c r="Y638" s="146">
        <v>13862</v>
      </c>
      <c r="Z638" s="66">
        <f t="shared" si="292"/>
        <v>11089.6</v>
      </c>
      <c r="AA638" s="66">
        <v>5448</v>
      </c>
      <c r="AB638" s="66"/>
      <c r="AC638" s="66"/>
      <c r="AD638" s="66">
        <f t="shared" si="293"/>
        <v>11089.6</v>
      </c>
      <c r="AE638" s="66">
        <f t="shared" si="294"/>
        <v>138194.01593870643</v>
      </c>
      <c r="AF638" s="101">
        <f t="shared" si="295"/>
        <v>624874.61338036426</v>
      </c>
      <c r="AG638" s="101">
        <f t="shared" si="296"/>
        <v>781093.26672545518</v>
      </c>
    </row>
    <row r="639" spans="1:33" s="68" customFormat="1" x14ac:dyDescent="0.2">
      <c r="A639" s="147" t="s">
        <v>319</v>
      </c>
      <c r="B639" s="147"/>
      <c r="C639" s="147"/>
      <c r="D639" s="148">
        <v>1</v>
      </c>
      <c r="E639" s="149"/>
      <c r="F639" s="150">
        <v>0.2</v>
      </c>
      <c r="G639" s="150"/>
      <c r="H639" s="67">
        <v>20444</v>
      </c>
      <c r="I639" s="67">
        <f t="shared" si="297"/>
        <v>19542.147912151169</v>
      </c>
      <c r="J639" s="67">
        <f t="shared" si="286"/>
        <v>15633.718329720936</v>
      </c>
      <c r="K639" s="63"/>
      <c r="L639" s="149">
        <v>0</v>
      </c>
      <c r="M639" s="63">
        <f t="shared" si="287"/>
        <v>0</v>
      </c>
      <c r="N639" s="63">
        <f t="shared" si="288"/>
        <v>0</v>
      </c>
      <c r="O639" s="69"/>
      <c r="P639" s="149">
        <v>0</v>
      </c>
      <c r="Q639" s="63">
        <f t="shared" si="298"/>
        <v>0</v>
      </c>
      <c r="R639" s="64">
        <f t="shared" si="290"/>
        <v>0</v>
      </c>
      <c r="S639" s="148">
        <v>15</v>
      </c>
      <c r="T639" s="151" t="s">
        <v>15</v>
      </c>
      <c r="U639" s="65">
        <f>SUMIF('Avoided Costs 2012-2020_EGD'!$A:$A,'2012 Actuals_Auditor'!T639&amp;'2012 Actuals_Auditor'!S639,'Avoided Costs 2012-2020_EGD'!$E:$E)*J639</f>
        <v>37988.43277117479</v>
      </c>
      <c r="V639" s="65">
        <f>SUMIF('Avoided Costs 2012-2020_EGD'!$A:$A,'2012 Actuals_Auditor'!T639&amp;'2012 Actuals_Auditor'!S639,'Avoided Costs 2012-2020_EGD'!$K:$K)*N639</f>
        <v>0</v>
      </c>
      <c r="W639" s="65">
        <f>SUMIF('Avoided Costs 2012-2020_EGD'!$A:$A,'2012 Actuals_Auditor'!T639&amp;'2012 Actuals_Auditor'!S639,'Avoided Costs 2012-2020_EGD'!$M:$M)*R639</f>
        <v>0</v>
      </c>
      <c r="X639" s="65">
        <f t="shared" si="291"/>
        <v>37988.43277117479</v>
      </c>
      <c r="Y639" s="146">
        <v>18750.2</v>
      </c>
      <c r="Z639" s="66">
        <f t="shared" si="292"/>
        <v>15000.160000000002</v>
      </c>
      <c r="AA639" s="66">
        <v>2044</v>
      </c>
      <c r="AB639" s="66"/>
      <c r="AC639" s="66"/>
      <c r="AD639" s="66">
        <f t="shared" si="293"/>
        <v>15000.160000000002</v>
      </c>
      <c r="AE639" s="66">
        <f t="shared" si="294"/>
        <v>22988.272771174787</v>
      </c>
      <c r="AF639" s="101">
        <f t="shared" si="295"/>
        <v>234505.77494581405</v>
      </c>
      <c r="AG639" s="101">
        <f t="shared" si="296"/>
        <v>293132.21868226753</v>
      </c>
    </row>
    <row r="640" spans="1:33" s="68" customFormat="1" x14ac:dyDescent="0.2">
      <c r="A640" s="147" t="s">
        <v>320</v>
      </c>
      <c r="B640" s="147"/>
      <c r="C640" s="147"/>
      <c r="D640" s="148">
        <v>1</v>
      </c>
      <c r="E640" s="149"/>
      <c r="F640" s="150">
        <v>0.2</v>
      </c>
      <c r="G640" s="150"/>
      <c r="H640" s="67">
        <v>81118</v>
      </c>
      <c r="I640" s="67">
        <f t="shared" si="297"/>
        <v>77539.618193009126</v>
      </c>
      <c r="J640" s="67">
        <f t="shared" si="286"/>
        <v>62031.694554407302</v>
      </c>
      <c r="K640" s="63"/>
      <c r="L640" s="149">
        <v>0</v>
      </c>
      <c r="M640" s="63">
        <f t="shared" si="287"/>
        <v>0</v>
      </c>
      <c r="N640" s="63">
        <f t="shared" si="288"/>
        <v>0</v>
      </c>
      <c r="O640" s="69"/>
      <c r="P640" s="149">
        <v>0</v>
      </c>
      <c r="Q640" s="63">
        <f t="shared" si="298"/>
        <v>0</v>
      </c>
      <c r="R640" s="64">
        <f t="shared" si="290"/>
        <v>0</v>
      </c>
      <c r="S640" s="148">
        <v>25</v>
      </c>
      <c r="T640" s="151" t="s">
        <v>15</v>
      </c>
      <c r="U640" s="65">
        <f>SUMIF('Avoided Costs 2012-2020_EGD'!$A:$A,'2012 Actuals_Auditor'!T640&amp;'2012 Actuals_Auditor'!S640,'Avoided Costs 2012-2020_EGD'!$E:$E)*J640</f>
        <v>213016.52887390458</v>
      </c>
      <c r="V640" s="65">
        <f>SUMIF('Avoided Costs 2012-2020_EGD'!$A:$A,'2012 Actuals_Auditor'!T640&amp;'2012 Actuals_Auditor'!S640,'Avoided Costs 2012-2020_EGD'!$K:$K)*N640</f>
        <v>0</v>
      </c>
      <c r="W640" s="65">
        <f>SUMIF('Avoided Costs 2012-2020_EGD'!$A:$A,'2012 Actuals_Auditor'!T640&amp;'2012 Actuals_Auditor'!S640,'Avoided Costs 2012-2020_EGD'!$M:$M)*R640</f>
        <v>0</v>
      </c>
      <c r="X640" s="65">
        <f t="shared" si="291"/>
        <v>213016.52887390458</v>
      </c>
      <c r="Y640" s="146">
        <v>3604</v>
      </c>
      <c r="Z640" s="66">
        <f t="shared" si="292"/>
        <v>2883.2000000000003</v>
      </c>
      <c r="AA640" s="66">
        <v>9707</v>
      </c>
      <c r="AB640" s="66"/>
      <c r="AC640" s="66"/>
      <c r="AD640" s="66">
        <f t="shared" si="293"/>
        <v>2883.2000000000003</v>
      </c>
      <c r="AE640" s="66">
        <f t="shared" si="294"/>
        <v>210133.32887390457</v>
      </c>
      <c r="AF640" s="101">
        <f t="shared" si="295"/>
        <v>1550792.3638601825</v>
      </c>
      <c r="AG640" s="101">
        <f t="shared" si="296"/>
        <v>1938490.4548252281</v>
      </c>
    </row>
    <row r="641" spans="1:33" s="68" customFormat="1" x14ac:dyDescent="0.2">
      <c r="A641" s="147" t="s">
        <v>321</v>
      </c>
      <c r="B641" s="147"/>
      <c r="C641" s="147"/>
      <c r="D641" s="148">
        <v>0</v>
      </c>
      <c r="E641" s="149"/>
      <c r="F641" s="150">
        <v>0.2</v>
      </c>
      <c r="G641" s="150"/>
      <c r="H641" s="67">
        <v>77175</v>
      </c>
      <c r="I641" s="67">
        <f t="shared" si="297"/>
        <v>73770.556892988971</v>
      </c>
      <c r="J641" s="67">
        <f t="shared" si="286"/>
        <v>59016.445514391176</v>
      </c>
      <c r="K641" s="63"/>
      <c r="L641" s="149">
        <v>195478</v>
      </c>
      <c r="M641" s="63">
        <f t="shared" si="287"/>
        <v>195478</v>
      </c>
      <c r="N641" s="63">
        <f t="shared" si="288"/>
        <v>156382.39999999999</v>
      </c>
      <c r="O641" s="69"/>
      <c r="P641" s="149">
        <v>0</v>
      </c>
      <c r="Q641" s="63">
        <f t="shared" si="298"/>
        <v>0</v>
      </c>
      <c r="R641" s="64">
        <f t="shared" si="290"/>
        <v>0</v>
      </c>
      <c r="S641" s="148">
        <v>15</v>
      </c>
      <c r="T641" s="151" t="s">
        <v>15</v>
      </c>
      <c r="U641" s="65">
        <f>SUMIF('Avoided Costs 2012-2020_EGD'!$A:$A,'2012 Actuals_Auditor'!T641&amp;'2012 Actuals_Auditor'!S641,'Avoided Costs 2012-2020_EGD'!$E:$E)*J641</f>
        <v>143404.28972390015</v>
      </c>
      <c r="V641" s="65">
        <f>SUMIF('Avoided Costs 2012-2020_EGD'!$A:$A,'2012 Actuals_Auditor'!T641&amp;'2012 Actuals_Auditor'!S641,'Avoided Costs 2012-2020_EGD'!$K:$K)*N641</f>
        <v>161040.00362147021</v>
      </c>
      <c r="W641" s="65">
        <f>SUMIF('Avoided Costs 2012-2020_EGD'!$A:$A,'2012 Actuals_Auditor'!T641&amp;'2012 Actuals_Auditor'!S641,'Avoided Costs 2012-2020_EGD'!$M:$M)*R641</f>
        <v>0</v>
      </c>
      <c r="X641" s="65">
        <f t="shared" si="291"/>
        <v>304444.29334537033</v>
      </c>
      <c r="Y641" s="146">
        <v>23100</v>
      </c>
      <c r="Z641" s="66">
        <f t="shared" si="292"/>
        <v>18480</v>
      </c>
      <c r="AA641" s="66">
        <v>7718</v>
      </c>
      <c r="AB641" s="66"/>
      <c r="AC641" s="66"/>
      <c r="AD641" s="66">
        <f t="shared" si="293"/>
        <v>18480</v>
      </c>
      <c r="AE641" s="66">
        <f t="shared" si="294"/>
        <v>285964.29334537033</v>
      </c>
      <c r="AF641" s="101">
        <f t="shared" si="295"/>
        <v>885246.68271586765</v>
      </c>
      <c r="AG641" s="101">
        <f t="shared" si="296"/>
        <v>1106558.3533948346</v>
      </c>
    </row>
    <row r="642" spans="1:33" s="68" customFormat="1" x14ac:dyDescent="0.2">
      <c r="A642" s="147" t="s">
        <v>322</v>
      </c>
      <c r="B642" s="147"/>
      <c r="C642" s="147"/>
      <c r="D642" s="148">
        <v>1</v>
      </c>
      <c r="E642" s="149"/>
      <c r="F642" s="150">
        <v>0.2</v>
      </c>
      <c r="G642" s="150"/>
      <c r="H642" s="67">
        <v>35139</v>
      </c>
      <c r="I642" s="67">
        <f t="shared" si="297"/>
        <v>33588.903124881625</v>
      </c>
      <c r="J642" s="67">
        <f t="shared" si="286"/>
        <v>26871.122499905301</v>
      </c>
      <c r="K642" s="63"/>
      <c r="L642" s="149">
        <v>0</v>
      </c>
      <c r="M642" s="63">
        <f t="shared" si="287"/>
        <v>0</v>
      </c>
      <c r="N642" s="63">
        <f t="shared" si="288"/>
        <v>0</v>
      </c>
      <c r="O642" s="69"/>
      <c r="P642" s="149">
        <v>0</v>
      </c>
      <c r="Q642" s="63">
        <f t="shared" si="298"/>
        <v>0</v>
      </c>
      <c r="R642" s="64">
        <f t="shared" si="290"/>
        <v>0</v>
      </c>
      <c r="S642" s="148">
        <v>15</v>
      </c>
      <c r="T642" s="151" t="s">
        <v>15</v>
      </c>
      <c r="U642" s="65">
        <f>SUMIF('Avoided Costs 2012-2020_EGD'!$A:$A,'2012 Actuals_Auditor'!T642&amp;'2012 Actuals_Auditor'!S642,'Avoided Costs 2012-2020_EGD'!$E:$E)*J642</f>
        <v>65294.244724433134</v>
      </c>
      <c r="V642" s="65">
        <f>SUMIF('Avoided Costs 2012-2020_EGD'!$A:$A,'2012 Actuals_Auditor'!T642&amp;'2012 Actuals_Auditor'!S642,'Avoided Costs 2012-2020_EGD'!$K:$K)*N642</f>
        <v>0</v>
      </c>
      <c r="W642" s="65">
        <f>SUMIF('Avoided Costs 2012-2020_EGD'!$A:$A,'2012 Actuals_Auditor'!T642&amp;'2012 Actuals_Auditor'!S642,'Avoided Costs 2012-2020_EGD'!$M:$M)*R642</f>
        <v>0</v>
      </c>
      <c r="X642" s="65">
        <f t="shared" si="291"/>
        <v>65294.244724433134</v>
      </c>
      <c r="Y642" s="146">
        <v>45000</v>
      </c>
      <c r="Z642" s="66">
        <f t="shared" si="292"/>
        <v>36000</v>
      </c>
      <c r="AA642" s="66">
        <v>3513</v>
      </c>
      <c r="AB642" s="66"/>
      <c r="AC642" s="66"/>
      <c r="AD642" s="66">
        <f t="shared" si="293"/>
        <v>36000</v>
      </c>
      <c r="AE642" s="66">
        <f t="shared" si="294"/>
        <v>29294.244724433134</v>
      </c>
      <c r="AF642" s="101">
        <f t="shared" si="295"/>
        <v>403066.83749857952</v>
      </c>
      <c r="AG642" s="101">
        <f t="shared" si="296"/>
        <v>503833.54687322438</v>
      </c>
    </row>
    <row r="643" spans="1:33" s="68" customFormat="1" x14ac:dyDescent="0.2">
      <c r="A643" s="147" t="s">
        <v>323</v>
      </c>
      <c r="B643" s="147"/>
      <c r="C643" s="147"/>
      <c r="D643" s="148">
        <v>0</v>
      </c>
      <c r="E643" s="149"/>
      <c r="F643" s="150">
        <v>0.2</v>
      </c>
      <c r="G643" s="150"/>
      <c r="H643" s="67">
        <v>2911</v>
      </c>
      <c r="I643" s="67">
        <f t="shared" si="297"/>
        <v>2782.5862146484078</v>
      </c>
      <c r="J643" s="67">
        <f t="shared" si="286"/>
        <v>2226.0689717187265</v>
      </c>
      <c r="K643" s="63"/>
      <c r="L643" s="149">
        <v>0</v>
      </c>
      <c r="M643" s="63">
        <f t="shared" si="287"/>
        <v>0</v>
      </c>
      <c r="N643" s="63">
        <f t="shared" si="288"/>
        <v>0</v>
      </c>
      <c r="O643" s="69"/>
      <c r="P643" s="149">
        <v>0</v>
      </c>
      <c r="Q643" s="63">
        <f t="shared" si="298"/>
        <v>0</v>
      </c>
      <c r="R643" s="64">
        <f t="shared" si="290"/>
        <v>0</v>
      </c>
      <c r="S643" s="148">
        <v>15</v>
      </c>
      <c r="T643" s="151" t="s">
        <v>52</v>
      </c>
      <c r="U643" s="65">
        <f>SUMIF('Avoided Costs 2012-2020_EGD'!$A:$A,'2012 Actuals_Auditor'!T643&amp;'2012 Actuals_Auditor'!S643,'Avoided Costs 2012-2020_EGD'!$E:$E)*J643</f>
        <v>5086.5637602519819</v>
      </c>
      <c r="V643" s="65">
        <f>SUMIF('Avoided Costs 2012-2020_EGD'!$A:$A,'2012 Actuals_Auditor'!T643&amp;'2012 Actuals_Auditor'!S643,'Avoided Costs 2012-2020_EGD'!$K:$K)*N643</f>
        <v>0</v>
      </c>
      <c r="W643" s="65">
        <f>SUMIF('Avoided Costs 2012-2020_EGD'!$A:$A,'2012 Actuals_Auditor'!T643&amp;'2012 Actuals_Auditor'!S643,'Avoided Costs 2012-2020_EGD'!$M:$M)*R643</f>
        <v>0</v>
      </c>
      <c r="X643" s="65">
        <f t="shared" si="291"/>
        <v>5086.5637602519819</v>
      </c>
      <c r="Y643" s="146">
        <v>2995</v>
      </c>
      <c r="Z643" s="66">
        <f t="shared" si="292"/>
        <v>2396</v>
      </c>
      <c r="AA643" s="66">
        <v>291</v>
      </c>
      <c r="AB643" s="66"/>
      <c r="AC643" s="66"/>
      <c r="AD643" s="66">
        <f t="shared" si="293"/>
        <v>2396</v>
      </c>
      <c r="AE643" s="66">
        <f t="shared" si="294"/>
        <v>2690.5637602519819</v>
      </c>
      <c r="AF643" s="101">
        <f t="shared" si="295"/>
        <v>33391.034575780897</v>
      </c>
      <c r="AG643" s="101">
        <f t="shared" si="296"/>
        <v>41738.793219726118</v>
      </c>
    </row>
    <row r="644" spans="1:33" s="68" customFormat="1" x14ac:dyDescent="0.2">
      <c r="A644" s="147" t="s">
        <v>324</v>
      </c>
      <c r="B644" s="147"/>
      <c r="C644" s="147"/>
      <c r="D644" s="148">
        <v>0</v>
      </c>
      <c r="E644" s="149"/>
      <c r="F644" s="150">
        <v>0.2</v>
      </c>
      <c r="G644" s="150"/>
      <c r="H644" s="67">
        <v>38201</v>
      </c>
      <c r="I644" s="67">
        <f t="shared" si="297"/>
        <v>36515.828232835396</v>
      </c>
      <c r="J644" s="67">
        <f t="shared" si="286"/>
        <v>29212.662586268318</v>
      </c>
      <c r="K644" s="63"/>
      <c r="L644" s="149">
        <v>67812</v>
      </c>
      <c r="M644" s="63">
        <f t="shared" si="287"/>
        <v>67812</v>
      </c>
      <c r="N644" s="63">
        <f t="shared" si="288"/>
        <v>54249.600000000006</v>
      </c>
      <c r="O644" s="69"/>
      <c r="P644" s="149">
        <v>0</v>
      </c>
      <c r="Q644" s="63">
        <f t="shared" si="298"/>
        <v>0</v>
      </c>
      <c r="R644" s="64">
        <f t="shared" si="290"/>
        <v>0</v>
      </c>
      <c r="S644" s="148">
        <v>15</v>
      </c>
      <c r="T644" s="151" t="s">
        <v>15</v>
      </c>
      <c r="U644" s="65">
        <f>SUMIF('Avoided Costs 2012-2020_EGD'!$A:$A,'2012 Actuals_Auditor'!T644&amp;'2012 Actuals_Auditor'!S644,'Avoided Costs 2012-2020_EGD'!$E:$E)*J644</f>
        <v>70983.962056918812</v>
      </c>
      <c r="V644" s="65">
        <f>SUMIF('Avoided Costs 2012-2020_EGD'!$A:$A,'2012 Actuals_Auditor'!T644&amp;'2012 Actuals_Auditor'!S644,'Avoided Costs 2012-2020_EGD'!$K:$K)*N644</f>
        <v>55865.338941359849</v>
      </c>
      <c r="W644" s="65">
        <f>SUMIF('Avoided Costs 2012-2020_EGD'!$A:$A,'2012 Actuals_Auditor'!T644&amp;'2012 Actuals_Auditor'!S644,'Avoided Costs 2012-2020_EGD'!$M:$M)*R644</f>
        <v>0</v>
      </c>
      <c r="X644" s="65">
        <f t="shared" si="291"/>
        <v>126849.30099827866</v>
      </c>
      <c r="Y644" s="146">
        <v>7995</v>
      </c>
      <c r="Z644" s="66">
        <f t="shared" si="292"/>
        <v>6396</v>
      </c>
      <c r="AA644" s="66">
        <v>3820</v>
      </c>
      <c r="AB644" s="66"/>
      <c r="AC644" s="66"/>
      <c r="AD644" s="66">
        <f t="shared" si="293"/>
        <v>6396</v>
      </c>
      <c r="AE644" s="66">
        <f t="shared" si="294"/>
        <v>120453.30099827866</v>
      </c>
      <c r="AF644" s="101">
        <f t="shared" si="295"/>
        <v>438189.93879402475</v>
      </c>
      <c r="AG644" s="101">
        <f t="shared" si="296"/>
        <v>547737.42349253094</v>
      </c>
    </row>
    <row r="645" spans="1:33" s="68" customFormat="1" x14ac:dyDescent="0.2">
      <c r="A645" s="147" t="s">
        <v>325</v>
      </c>
      <c r="B645" s="147"/>
      <c r="C645" s="147"/>
      <c r="D645" s="148">
        <v>1</v>
      </c>
      <c r="E645" s="149"/>
      <c r="F645" s="150">
        <v>0.2</v>
      </c>
      <c r="G645" s="150"/>
      <c r="H645" s="67">
        <v>9430</v>
      </c>
      <c r="I645" s="67">
        <f t="shared" si="297"/>
        <v>9014.0116812554061</v>
      </c>
      <c r="J645" s="67">
        <f t="shared" si="286"/>
        <v>7211.2093450043249</v>
      </c>
      <c r="K645" s="63"/>
      <c r="L645" s="149">
        <v>0</v>
      </c>
      <c r="M645" s="63">
        <f t="shared" si="287"/>
        <v>0</v>
      </c>
      <c r="N645" s="63">
        <f t="shared" si="288"/>
        <v>0</v>
      </c>
      <c r="O645" s="69"/>
      <c r="P645" s="149">
        <v>0</v>
      </c>
      <c r="Q645" s="63">
        <f t="shared" si="298"/>
        <v>0</v>
      </c>
      <c r="R645" s="64">
        <f t="shared" si="290"/>
        <v>0</v>
      </c>
      <c r="S645" s="148">
        <v>15</v>
      </c>
      <c r="T645" s="151" t="s">
        <v>15</v>
      </c>
      <c r="U645" s="65">
        <f>SUMIF('Avoided Costs 2012-2020_EGD'!$A:$A,'2012 Actuals_Auditor'!T645&amp;'2012 Actuals_Auditor'!S645,'Avoided Costs 2012-2020_EGD'!$E:$E)*J645</f>
        <v>17522.545540607429</v>
      </c>
      <c r="V645" s="65">
        <f>SUMIF('Avoided Costs 2012-2020_EGD'!$A:$A,'2012 Actuals_Auditor'!T645&amp;'2012 Actuals_Auditor'!S645,'Avoided Costs 2012-2020_EGD'!$K:$K)*N645</f>
        <v>0</v>
      </c>
      <c r="W645" s="65">
        <f>SUMIF('Avoided Costs 2012-2020_EGD'!$A:$A,'2012 Actuals_Auditor'!T645&amp;'2012 Actuals_Auditor'!S645,'Avoided Costs 2012-2020_EGD'!$M:$M)*R645</f>
        <v>0</v>
      </c>
      <c r="X645" s="65">
        <f t="shared" si="291"/>
        <v>17522.545540607429</v>
      </c>
      <c r="Y645" s="146">
        <v>4995</v>
      </c>
      <c r="Z645" s="66">
        <f t="shared" si="292"/>
        <v>3996</v>
      </c>
      <c r="AA645" s="66">
        <v>943</v>
      </c>
      <c r="AB645" s="66"/>
      <c r="AC645" s="66"/>
      <c r="AD645" s="66">
        <f t="shared" si="293"/>
        <v>3996</v>
      </c>
      <c r="AE645" s="66">
        <f t="shared" si="294"/>
        <v>13526.545540607429</v>
      </c>
      <c r="AF645" s="101">
        <f t="shared" si="295"/>
        <v>108168.14017506488</v>
      </c>
      <c r="AG645" s="101">
        <f t="shared" si="296"/>
        <v>135210.17521883108</v>
      </c>
    </row>
    <row r="646" spans="1:33" s="68" customFormat="1" x14ac:dyDescent="0.2">
      <c r="A646" s="147" t="s">
        <v>326</v>
      </c>
      <c r="B646" s="147"/>
      <c r="C646" s="147"/>
      <c r="D646" s="148">
        <v>1</v>
      </c>
      <c r="E646" s="149"/>
      <c r="F646" s="150">
        <v>0.2</v>
      </c>
      <c r="G646" s="150"/>
      <c r="H646" s="67">
        <v>35046</v>
      </c>
      <c r="I646" s="67">
        <f t="shared" si="297"/>
        <v>33500.005660792893</v>
      </c>
      <c r="J646" s="67">
        <f t="shared" si="286"/>
        <v>26800.004528634316</v>
      </c>
      <c r="K646" s="63"/>
      <c r="L646" s="149">
        <v>0</v>
      </c>
      <c r="M646" s="63">
        <f t="shared" si="287"/>
        <v>0</v>
      </c>
      <c r="N646" s="63">
        <f t="shared" si="288"/>
        <v>0</v>
      </c>
      <c r="O646" s="69"/>
      <c r="P646" s="149">
        <v>0</v>
      </c>
      <c r="Q646" s="63">
        <f t="shared" si="298"/>
        <v>0</v>
      </c>
      <c r="R646" s="64">
        <f t="shared" si="290"/>
        <v>0</v>
      </c>
      <c r="S646" s="148">
        <v>15</v>
      </c>
      <c r="T646" s="151" t="s">
        <v>15</v>
      </c>
      <c r="U646" s="65">
        <f>SUMIF('Avoided Costs 2012-2020_EGD'!$A:$A,'2012 Actuals_Auditor'!T646&amp;'2012 Actuals_Auditor'!S646,'Avoided Costs 2012-2020_EGD'!$E:$E)*J646</f>
        <v>65121.434890363518</v>
      </c>
      <c r="V646" s="65">
        <f>SUMIF('Avoided Costs 2012-2020_EGD'!$A:$A,'2012 Actuals_Auditor'!T646&amp;'2012 Actuals_Auditor'!S646,'Avoided Costs 2012-2020_EGD'!$K:$K)*N646</f>
        <v>0</v>
      </c>
      <c r="W646" s="65">
        <f>SUMIF('Avoided Costs 2012-2020_EGD'!$A:$A,'2012 Actuals_Auditor'!T646&amp;'2012 Actuals_Auditor'!S646,'Avoided Costs 2012-2020_EGD'!$M:$M)*R646</f>
        <v>0</v>
      </c>
      <c r="X646" s="65">
        <f t="shared" si="291"/>
        <v>65121.434890363518</v>
      </c>
      <c r="Y646" s="146">
        <v>31924</v>
      </c>
      <c r="Z646" s="66">
        <f t="shared" si="292"/>
        <v>25539.200000000001</v>
      </c>
      <c r="AA646" s="66">
        <v>3505</v>
      </c>
      <c r="AB646" s="66"/>
      <c r="AC646" s="66"/>
      <c r="AD646" s="66">
        <f t="shared" si="293"/>
        <v>25539.200000000001</v>
      </c>
      <c r="AE646" s="66">
        <f t="shared" si="294"/>
        <v>39582.234890363514</v>
      </c>
      <c r="AF646" s="101">
        <f t="shared" si="295"/>
        <v>402000.06792951474</v>
      </c>
      <c r="AG646" s="101">
        <f t="shared" si="296"/>
        <v>502500.08491189341</v>
      </c>
    </row>
    <row r="647" spans="1:33" s="68" customFormat="1" x14ac:dyDescent="0.2">
      <c r="A647" s="147" t="s">
        <v>327</v>
      </c>
      <c r="B647" s="147"/>
      <c r="C647" s="147"/>
      <c r="D647" s="148">
        <v>1</v>
      </c>
      <c r="E647" s="149"/>
      <c r="F647" s="150">
        <v>0.2</v>
      </c>
      <c r="G647" s="150"/>
      <c r="H647" s="67">
        <v>25830</v>
      </c>
      <c r="I647" s="67">
        <f t="shared" si="297"/>
        <v>24690.553735612633</v>
      </c>
      <c r="J647" s="67">
        <f t="shared" si="286"/>
        <v>19752.442988490107</v>
      </c>
      <c r="K647" s="63"/>
      <c r="L647" s="149">
        <v>0</v>
      </c>
      <c r="M647" s="63">
        <f t="shared" si="287"/>
        <v>0</v>
      </c>
      <c r="N647" s="63">
        <f t="shared" si="288"/>
        <v>0</v>
      </c>
      <c r="O647" s="69"/>
      <c r="P647" s="149">
        <v>0</v>
      </c>
      <c r="Q647" s="63">
        <f t="shared" si="298"/>
        <v>0</v>
      </c>
      <c r="R647" s="64">
        <f t="shared" si="290"/>
        <v>0</v>
      </c>
      <c r="S647" s="148">
        <v>15</v>
      </c>
      <c r="T647" s="151" t="s">
        <v>15</v>
      </c>
      <c r="U647" s="65">
        <f>SUMIF('Avoided Costs 2012-2020_EGD'!$A:$A,'2012 Actuals_Auditor'!T647&amp;'2012 Actuals_Auditor'!S647,'Avoided Costs 2012-2020_EGD'!$E:$E)*J647</f>
        <v>47996.537785142085</v>
      </c>
      <c r="V647" s="65">
        <f>SUMIF('Avoided Costs 2012-2020_EGD'!$A:$A,'2012 Actuals_Auditor'!T647&amp;'2012 Actuals_Auditor'!S647,'Avoided Costs 2012-2020_EGD'!$K:$K)*N647</f>
        <v>0</v>
      </c>
      <c r="W647" s="65">
        <f>SUMIF('Avoided Costs 2012-2020_EGD'!$A:$A,'2012 Actuals_Auditor'!T647&amp;'2012 Actuals_Auditor'!S647,'Avoided Costs 2012-2020_EGD'!$M:$M)*R647</f>
        <v>0</v>
      </c>
      <c r="X647" s="65">
        <f t="shared" si="291"/>
        <v>47996.537785142085</v>
      </c>
      <c r="Y647" s="146">
        <v>15843</v>
      </c>
      <c r="Z647" s="66">
        <f t="shared" si="292"/>
        <v>12674.400000000001</v>
      </c>
      <c r="AA647" s="66">
        <v>2583</v>
      </c>
      <c r="AB647" s="66"/>
      <c r="AC647" s="66"/>
      <c r="AD647" s="66">
        <f t="shared" si="293"/>
        <v>12674.400000000001</v>
      </c>
      <c r="AE647" s="66">
        <f t="shared" si="294"/>
        <v>35322.137785142084</v>
      </c>
      <c r="AF647" s="101">
        <f t="shared" si="295"/>
        <v>296286.64482735161</v>
      </c>
      <c r="AG647" s="101">
        <f t="shared" si="296"/>
        <v>370358.30603418947</v>
      </c>
    </row>
    <row r="648" spans="1:33" s="68" customFormat="1" x14ac:dyDescent="0.2">
      <c r="A648" s="147" t="s">
        <v>328</v>
      </c>
      <c r="B648" s="147"/>
      <c r="C648" s="147"/>
      <c r="D648" s="148">
        <v>1</v>
      </c>
      <c r="E648" s="149"/>
      <c r="F648" s="150">
        <v>0.2</v>
      </c>
      <c r="G648" s="150"/>
      <c r="H648" s="67">
        <v>18408</v>
      </c>
      <c r="I648" s="67">
        <f t="shared" si="297"/>
        <v>17595.962569305357</v>
      </c>
      <c r="J648" s="67">
        <f t="shared" si="286"/>
        <v>14076.770055444285</v>
      </c>
      <c r="K648" s="63"/>
      <c r="L648" s="149">
        <v>0</v>
      </c>
      <c r="M648" s="63">
        <f t="shared" si="287"/>
        <v>0</v>
      </c>
      <c r="N648" s="63">
        <f t="shared" si="288"/>
        <v>0</v>
      </c>
      <c r="O648" s="69"/>
      <c r="P648" s="149">
        <v>0</v>
      </c>
      <c r="Q648" s="63">
        <f t="shared" si="298"/>
        <v>0</v>
      </c>
      <c r="R648" s="64">
        <f t="shared" si="290"/>
        <v>0</v>
      </c>
      <c r="S648" s="148">
        <v>15</v>
      </c>
      <c r="T648" s="151" t="s">
        <v>15</v>
      </c>
      <c r="U648" s="65">
        <f>SUMIF('Avoided Costs 2012-2020_EGD'!$A:$A,'2012 Actuals_Auditor'!T648&amp;'2012 Actuals_Auditor'!S648,'Avoided Costs 2012-2020_EGD'!$E:$E)*J648</f>
        <v>34205.198124231341</v>
      </c>
      <c r="V648" s="65">
        <f>SUMIF('Avoided Costs 2012-2020_EGD'!$A:$A,'2012 Actuals_Auditor'!T648&amp;'2012 Actuals_Auditor'!S648,'Avoided Costs 2012-2020_EGD'!$K:$K)*N648</f>
        <v>0</v>
      </c>
      <c r="W648" s="65">
        <f>SUMIF('Avoided Costs 2012-2020_EGD'!$A:$A,'2012 Actuals_Auditor'!T648&amp;'2012 Actuals_Auditor'!S648,'Avoided Costs 2012-2020_EGD'!$M:$M)*R648</f>
        <v>0</v>
      </c>
      <c r="X648" s="65">
        <f t="shared" si="291"/>
        <v>34205.198124231341</v>
      </c>
      <c r="Y648" s="146">
        <v>16184</v>
      </c>
      <c r="Z648" s="66">
        <f t="shared" si="292"/>
        <v>12947.2</v>
      </c>
      <c r="AA648" s="66">
        <v>1841</v>
      </c>
      <c r="AB648" s="66"/>
      <c r="AC648" s="66"/>
      <c r="AD648" s="66">
        <f t="shared" si="293"/>
        <v>12947.2</v>
      </c>
      <c r="AE648" s="66">
        <f t="shared" si="294"/>
        <v>21257.998124231341</v>
      </c>
      <c r="AF648" s="101">
        <f t="shared" si="295"/>
        <v>211151.5508316643</v>
      </c>
      <c r="AG648" s="101">
        <f t="shared" si="296"/>
        <v>263939.43853958033</v>
      </c>
    </row>
    <row r="649" spans="1:33" s="68" customFormat="1" x14ac:dyDescent="0.2">
      <c r="A649" s="147" t="s">
        <v>329</v>
      </c>
      <c r="B649" s="147"/>
      <c r="C649" s="147"/>
      <c r="D649" s="148">
        <v>1</v>
      </c>
      <c r="E649" s="149"/>
      <c r="F649" s="150">
        <v>0.2</v>
      </c>
      <c r="G649" s="150"/>
      <c r="H649" s="67">
        <v>10605</v>
      </c>
      <c r="I649" s="67">
        <f t="shared" si="297"/>
        <v>10137.178566247463</v>
      </c>
      <c r="J649" s="67">
        <f t="shared" si="286"/>
        <v>8109.7428529979707</v>
      </c>
      <c r="K649" s="63"/>
      <c r="L649" s="149">
        <v>0</v>
      </c>
      <c r="M649" s="63">
        <f t="shared" si="287"/>
        <v>0</v>
      </c>
      <c r="N649" s="63">
        <f t="shared" si="288"/>
        <v>0</v>
      </c>
      <c r="O649" s="69"/>
      <c r="P649" s="149">
        <v>0</v>
      </c>
      <c r="Q649" s="63">
        <f t="shared" si="298"/>
        <v>0</v>
      </c>
      <c r="R649" s="64">
        <f t="shared" si="290"/>
        <v>0</v>
      </c>
      <c r="S649" s="148">
        <v>25</v>
      </c>
      <c r="T649" s="151" t="s">
        <v>52</v>
      </c>
      <c r="U649" s="65">
        <f>SUMIF('Avoided Costs 2012-2020_EGD'!$A:$A,'2012 Actuals_Auditor'!T649&amp;'2012 Actuals_Auditor'!S649,'Avoided Costs 2012-2020_EGD'!$E:$E)*J649</f>
        <v>26168.45026139143</v>
      </c>
      <c r="V649" s="65">
        <f>SUMIF('Avoided Costs 2012-2020_EGD'!$A:$A,'2012 Actuals_Auditor'!T649&amp;'2012 Actuals_Auditor'!S649,'Avoided Costs 2012-2020_EGD'!$K:$K)*N649</f>
        <v>0</v>
      </c>
      <c r="W649" s="65">
        <f>SUMIF('Avoided Costs 2012-2020_EGD'!$A:$A,'2012 Actuals_Auditor'!T649&amp;'2012 Actuals_Auditor'!S649,'Avoided Costs 2012-2020_EGD'!$M:$M)*R649</f>
        <v>0</v>
      </c>
      <c r="X649" s="65">
        <f t="shared" si="291"/>
        <v>26168.45026139143</v>
      </c>
      <c r="Y649" s="146">
        <v>9988</v>
      </c>
      <c r="Z649" s="66">
        <f t="shared" si="292"/>
        <v>7990.4000000000005</v>
      </c>
      <c r="AA649" s="66">
        <v>1820</v>
      </c>
      <c r="AB649" s="66"/>
      <c r="AC649" s="66"/>
      <c r="AD649" s="66">
        <f t="shared" si="293"/>
        <v>7990.4000000000005</v>
      </c>
      <c r="AE649" s="66">
        <f t="shared" si="294"/>
        <v>18178.050261391429</v>
      </c>
      <c r="AF649" s="101">
        <f t="shared" si="295"/>
        <v>202743.57132494927</v>
      </c>
      <c r="AG649" s="101">
        <f t="shared" si="296"/>
        <v>253429.46415618659</v>
      </c>
    </row>
    <row r="650" spans="1:33" s="68" customFormat="1" x14ac:dyDescent="0.2">
      <c r="A650" s="147" t="s">
        <v>330</v>
      </c>
      <c r="B650" s="147"/>
      <c r="C650" s="147"/>
      <c r="D650" s="148">
        <v>1</v>
      </c>
      <c r="E650" s="149"/>
      <c r="F650" s="150">
        <v>0.2</v>
      </c>
      <c r="G650" s="150"/>
      <c r="H650" s="67">
        <v>41897</v>
      </c>
      <c r="I650" s="67">
        <f t="shared" si="297"/>
        <v>40048.78551532956</v>
      </c>
      <c r="J650" s="67">
        <f t="shared" si="286"/>
        <v>32039.028412263651</v>
      </c>
      <c r="K650" s="63"/>
      <c r="L650" s="149">
        <v>28807</v>
      </c>
      <c r="M650" s="63">
        <f t="shared" si="287"/>
        <v>28807</v>
      </c>
      <c r="N650" s="63">
        <f t="shared" si="288"/>
        <v>23045.600000000002</v>
      </c>
      <c r="O650" s="69"/>
      <c r="P650" s="149">
        <v>0</v>
      </c>
      <c r="Q650" s="63">
        <f t="shared" si="298"/>
        <v>0</v>
      </c>
      <c r="R650" s="64">
        <f t="shared" si="290"/>
        <v>0</v>
      </c>
      <c r="S650" s="148">
        <v>15</v>
      </c>
      <c r="T650" s="151" t="s">
        <v>15</v>
      </c>
      <c r="U650" s="65">
        <f>SUMIF('Avoided Costs 2012-2020_EGD'!$A:$A,'2012 Actuals_Auditor'!T650&amp;'2012 Actuals_Auditor'!S650,'Avoided Costs 2012-2020_EGD'!$E:$E)*J650</f>
        <v>77851.759333491995</v>
      </c>
      <c r="V650" s="65">
        <f>SUMIF('Avoided Costs 2012-2020_EGD'!$A:$A,'2012 Actuals_Auditor'!T650&amp;'2012 Actuals_Auditor'!S650,'Avoided Costs 2012-2020_EGD'!$K:$K)*N650</f>
        <v>23731.97691977457</v>
      </c>
      <c r="W650" s="65">
        <f>SUMIF('Avoided Costs 2012-2020_EGD'!$A:$A,'2012 Actuals_Auditor'!T650&amp;'2012 Actuals_Auditor'!S650,'Avoided Costs 2012-2020_EGD'!$M:$M)*R650</f>
        <v>0</v>
      </c>
      <c r="X650" s="65">
        <f t="shared" si="291"/>
        <v>101583.73625326657</v>
      </c>
      <c r="Y650" s="146">
        <v>14586</v>
      </c>
      <c r="Z650" s="66">
        <f t="shared" si="292"/>
        <v>11668.800000000001</v>
      </c>
      <c r="AA650" s="66">
        <v>4190</v>
      </c>
      <c r="AB650" s="66"/>
      <c r="AC650" s="66"/>
      <c r="AD650" s="66">
        <f t="shared" si="293"/>
        <v>11668.800000000001</v>
      </c>
      <c r="AE650" s="66">
        <f t="shared" si="294"/>
        <v>89914.936253266569</v>
      </c>
      <c r="AF650" s="101">
        <f t="shared" si="295"/>
        <v>480585.42618395475</v>
      </c>
      <c r="AG650" s="101">
        <f t="shared" si="296"/>
        <v>600731.7827299434</v>
      </c>
    </row>
    <row r="651" spans="1:33" s="68" customFormat="1" x14ac:dyDescent="0.2">
      <c r="A651" s="147" t="s">
        <v>331</v>
      </c>
      <c r="B651" s="147"/>
      <c r="C651" s="147"/>
      <c r="D651" s="148">
        <v>1</v>
      </c>
      <c r="E651" s="149"/>
      <c r="F651" s="150">
        <v>0.2</v>
      </c>
      <c r="G651" s="150"/>
      <c r="H651" s="67">
        <v>64427</v>
      </c>
      <c r="I651" s="67">
        <f t="shared" si="297"/>
        <v>61584.913105858119</v>
      </c>
      <c r="J651" s="67">
        <f t="shared" si="286"/>
        <v>49267.930484686498</v>
      </c>
      <c r="K651" s="63"/>
      <c r="L651" s="149">
        <v>0</v>
      </c>
      <c r="M651" s="63">
        <f t="shared" si="287"/>
        <v>0</v>
      </c>
      <c r="N651" s="63">
        <f t="shared" si="288"/>
        <v>0</v>
      </c>
      <c r="O651" s="69"/>
      <c r="P651" s="149">
        <v>0</v>
      </c>
      <c r="Q651" s="63">
        <f t="shared" si="298"/>
        <v>0</v>
      </c>
      <c r="R651" s="64">
        <f t="shared" si="290"/>
        <v>0</v>
      </c>
      <c r="S651" s="148">
        <v>15</v>
      </c>
      <c r="T651" s="151" t="s">
        <v>15</v>
      </c>
      <c r="U651" s="65">
        <f>SUMIF('Avoided Costs 2012-2020_EGD'!$A:$A,'2012 Actuals_Auditor'!T651&amp;'2012 Actuals_Auditor'!S651,'Avoided Costs 2012-2020_EGD'!$E:$E)*J651</f>
        <v>119716.33526455089</v>
      </c>
      <c r="V651" s="65">
        <f>SUMIF('Avoided Costs 2012-2020_EGD'!$A:$A,'2012 Actuals_Auditor'!T651&amp;'2012 Actuals_Auditor'!S651,'Avoided Costs 2012-2020_EGD'!$K:$K)*N651</f>
        <v>0</v>
      </c>
      <c r="W651" s="65">
        <f>SUMIF('Avoided Costs 2012-2020_EGD'!$A:$A,'2012 Actuals_Auditor'!T651&amp;'2012 Actuals_Auditor'!S651,'Avoided Costs 2012-2020_EGD'!$M:$M)*R651</f>
        <v>0</v>
      </c>
      <c r="X651" s="65">
        <f t="shared" si="291"/>
        <v>119716.33526455089</v>
      </c>
      <c r="Y651" s="146">
        <v>70689.45</v>
      </c>
      <c r="Z651" s="66">
        <f t="shared" si="292"/>
        <v>56551.56</v>
      </c>
      <c r="AA651" s="66">
        <v>6443</v>
      </c>
      <c r="AB651" s="66"/>
      <c r="AC651" s="66"/>
      <c r="AD651" s="66">
        <f t="shared" si="293"/>
        <v>56551.56</v>
      </c>
      <c r="AE651" s="66">
        <f t="shared" si="294"/>
        <v>63164.775264550888</v>
      </c>
      <c r="AF651" s="101">
        <f t="shared" si="295"/>
        <v>739018.95727029745</v>
      </c>
      <c r="AG651" s="101">
        <f t="shared" si="296"/>
        <v>923773.69658787176</v>
      </c>
    </row>
    <row r="652" spans="1:33" s="68" customFormat="1" x14ac:dyDescent="0.2">
      <c r="A652" s="147" t="s">
        <v>332</v>
      </c>
      <c r="B652" s="147"/>
      <c r="C652" s="147"/>
      <c r="D652" s="148">
        <v>1</v>
      </c>
      <c r="E652" s="149"/>
      <c r="F652" s="150">
        <v>0.2</v>
      </c>
      <c r="G652" s="150"/>
      <c r="H652" s="67">
        <v>5567</v>
      </c>
      <c r="I652" s="67">
        <f t="shared" si="297"/>
        <v>5321.4213180857732</v>
      </c>
      <c r="J652" s="67">
        <f t="shared" si="286"/>
        <v>4257.1370544686188</v>
      </c>
      <c r="K652" s="63"/>
      <c r="L652" s="149">
        <v>0</v>
      </c>
      <c r="M652" s="63">
        <f t="shared" si="287"/>
        <v>0</v>
      </c>
      <c r="N652" s="63">
        <f t="shared" si="288"/>
        <v>0</v>
      </c>
      <c r="O652" s="69"/>
      <c r="P652" s="149">
        <v>0</v>
      </c>
      <c r="Q652" s="63">
        <f t="shared" si="298"/>
        <v>0</v>
      </c>
      <c r="R652" s="64">
        <f t="shared" si="290"/>
        <v>0</v>
      </c>
      <c r="S652" s="148">
        <v>25</v>
      </c>
      <c r="T652" s="151" t="s">
        <v>15</v>
      </c>
      <c r="U652" s="65">
        <f>SUMIF('Avoided Costs 2012-2020_EGD'!$A:$A,'2012 Actuals_Auditor'!T652&amp;'2012 Actuals_Auditor'!S652,'Avoided Costs 2012-2020_EGD'!$E:$E)*J652</f>
        <v>14618.987354730476</v>
      </c>
      <c r="V652" s="65">
        <f>SUMIF('Avoided Costs 2012-2020_EGD'!$A:$A,'2012 Actuals_Auditor'!T652&amp;'2012 Actuals_Auditor'!S652,'Avoided Costs 2012-2020_EGD'!$K:$K)*N652</f>
        <v>0</v>
      </c>
      <c r="W652" s="65">
        <f>SUMIF('Avoided Costs 2012-2020_EGD'!$A:$A,'2012 Actuals_Auditor'!T652&amp;'2012 Actuals_Auditor'!S652,'Avoided Costs 2012-2020_EGD'!$M:$M)*R652</f>
        <v>0</v>
      </c>
      <c r="X652" s="65">
        <f t="shared" si="291"/>
        <v>14618.987354730476</v>
      </c>
      <c r="Y652" s="146">
        <v>7283</v>
      </c>
      <c r="Z652" s="66">
        <f t="shared" si="292"/>
        <v>5826.4000000000005</v>
      </c>
      <c r="AA652" s="66">
        <v>1168</v>
      </c>
      <c r="AB652" s="66"/>
      <c r="AC652" s="66"/>
      <c r="AD652" s="66">
        <f t="shared" si="293"/>
        <v>5826.4000000000005</v>
      </c>
      <c r="AE652" s="66">
        <f t="shared" si="294"/>
        <v>8792.5873547304764</v>
      </c>
      <c r="AF652" s="101">
        <f t="shared" si="295"/>
        <v>106428.42636171546</v>
      </c>
      <c r="AG652" s="101">
        <f t="shared" si="296"/>
        <v>133035.53295214433</v>
      </c>
    </row>
    <row r="653" spans="1:33" s="68" customFormat="1" x14ac:dyDescent="0.2">
      <c r="A653" s="147" t="s">
        <v>333</v>
      </c>
      <c r="B653" s="147"/>
      <c r="C653" s="147"/>
      <c r="D653" s="148">
        <v>1</v>
      </c>
      <c r="E653" s="149"/>
      <c r="F653" s="150">
        <v>0.2</v>
      </c>
      <c r="G653" s="150"/>
      <c r="H653" s="67">
        <v>30992</v>
      </c>
      <c r="I653" s="67">
        <f t="shared" si="297"/>
        <v>29624.840935892636</v>
      </c>
      <c r="J653" s="67">
        <f t="shared" si="286"/>
        <v>23699.872748714111</v>
      </c>
      <c r="K653" s="63"/>
      <c r="L653" s="149">
        <v>0</v>
      </c>
      <c r="M653" s="63">
        <f t="shared" si="287"/>
        <v>0</v>
      </c>
      <c r="N653" s="63">
        <f t="shared" si="288"/>
        <v>0</v>
      </c>
      <c r="O653" s="69"/>
      <c r="P653" s="149">
        <v>0</v>
      </c>
      <c r="Q653" s="63">
        <f t="shared" si="298"/>
        <v>0</v>
      </c>
      <c r="R653" s="64">
        <f t="shared" si="290"/>
        <v>0</v>
      </c>
      <c r="S653" s="148">
        <v>15</v>
      </c>
      <c r="T653" s="151" t="s">
        <v>15</v>
      </c>
      <c r="U653" s="65">
        <f>SUMIF('Avoided Costs 2012-2020_EGD'!$A:$A,'2012 Actuals_Auditor'!T653&amp;'2012 Actuals_Auditor'!S653,'Avoided Costs 2012-2020_EGD'!$E:$E)*J653</f>
        <v>57588.412661135262</v>
      </c>
      <c r="V653" s="65">
        <f>SUMIF('Avoided Costs 2012-2020_EGD'!$A:$A,'2012 Actuals_Auditor'!T653&amp;'2012 Actuals_Auditor'!S653,'Avoided Costs 2012-2020_EGD'!$K:$K)*N653</f>
        <v>0</v>
      </c>
      <c r="W653" s="65">
        <f>SUMIF('Avoided Costs 2012-2020_EGD'!$A:$A,'2012 Actuals_Auditor'!T653&amp;'2012 Actuals_Auditor'!S653,'Avoided Costs 2012-2020_EGD'!$M:$M)*R653</f>
        <v>0</v>
      </c>
      <c r="X653" s="65">
        <f t="shared" si="291"/>
        <v>57588.412661135262</v>
      </c>
      <c r="Y653" s="146">
        <v>33873.300000000003</v>
      </c>
      <c r="Z653" s="66">
        <f t="shared" si="292"/>
        <v>27098.640000000003</v>
      </c>
      <c r="AA653" s="66">
        <v>3099</v>
      </c>
      <c r="AB653" s="66"/>
      <c r="AC653" s="66"/>
      <c r="AD653" s="66">
        <f t="shared" si="293"/>
        <v>27098.640000000003</v>
      </c>
      <c r="AE653" s="66">
        <f t="shared" si="294"/>
        <v>30489.772661135259</v>
      </c>
      <c r="AF653" s="101">
        <f t="shared" si="295"/>
        <v>355498.09123071167</v>
      </c>
      <c r="AG653" s="101">
        <f t="shared" si="296"/>
        <v>444372.61403838953</v>
      </c>
    </row>
    <row r="654" spans="1:33" s="68" customFormat="1" x14ac:dyDescent="0.2">
      <c r="A654" s="147" t="s">
        <v>334</v>
      </c>
      <c r="B654" s="147"/>
      <c r="C654" s="147"/>
      <c r="D654" s="148">
        <v>1</v>
      </c>
      <c r="E654" s="149"/>
      <c r="F654" s="150">
        <v>0.2</v>
      </c>
      <c r="G654" s="150"/>
      <c r="H654" s="67">
        <v>29175</v>
      </c>
      <c r="I654" s="67">
        <f t="shared" si="297"/>
        <v>27887.99478267513</v>
      </c>
      <c r="J654" s="67">
        <f t="shared" si="286"/>
        <v>22310.395826140106</v>
      </c>
      <c r="K654" s="63"/>
      <c r="L654" s="149">
        <v>0</v>
      </c>
      <c r="M654" s="63">
        <f t="shared" si="287"/>
        <v>0</v>
      </c>
      <c r="N654" s="63">
        <f t="shared" si="288"/>
        <v>0</v>
      </c>
      <c r="O654" s="69"/>
      <c r="P654" s="149">
        <v>0</v>
      </c>
      <c r="Q654" s="63">
        <f t="shared" si="298"/>
        <v>0</v>
      </c>
      <c r="R654" s="64">
        <f t="shared" si="290"/>
        <v>0</v>
      </c>
      <c r="S654" s="148">
        <v>15</v>
      </c>
      <c r="T654" s="151" t="s">
        <v>15</v>
      </c>
      <c r="U654" s="65">
        <f>SUMIF('Avoided Costs 2012-2020_EGD'!$A:$A,'2012 Actuals_Auditor'!T654&amp;'2012 Actuals_Auditor'!S654,'Avoided Costs 2012-2020_EGD'!$E:$E)*J654</f>
        <v>54212.117300871876</v>
      </c>
      <c r="V654" s="65">
        <f>SUMIF('Avoided Costs 2012-2020_EGD'!$A:$A,'2012 Actuals_Auditor'!T654&amp;'2012 Actuals_Auditor'!S654,'Avoided Costs 2012-2020_EGD'!$K:$K)*N654</f>
        <v>0</v>
      </c>
      <c r="W654" s="65">
        <f>SUMIF('Avoided Costs 2012-2020_EGD'!$A:$A,'2012 Actuals_Auditor'!T654&amp;'2012 Actuals_Auditor'!S654,'Avoided Costs 2012-2020_EGD'!$M:$M)*R654</f>
        <v>0</v>
      </c>
      <c r="X654" s="65">
        <f t="shared" si="291"/>
        <v>54212.117300871876</v>
      </c>
      <c r="Y654" s="146">
        <v>34959.25</v>
      </c>
      <c r="Z654" s="66">
        <f t="shared" si="292"/>
        <v>27967.4</v>
      </c>
      <c r="AA654" s="66">
        <v>2918</v>
      </c>
      <c r="AB654" s="66"/>
      <c r="AC654" s="66"/>
      <c r="AD654" s="66">
        <f t="shared" si="293"/>
        <v>27967.4</v>
      </c>
      <c r="AE654" s="66">
        <f t="shared" si="294"/>
        <v>26244.717300871875</v>
      </c>
      <c r="AF654" s="101">
        <f t="shared" si="295"/>
        <v>334655.93739210156</v>
      </c>
      <c r="AG654" s="101">
        <f t="shared" si="296"/>
        <v>418319.92174012697</v>
      </c>
    </row>
    <row r="655" spans="1:33" s="68" customFormat="1" x14ac:dyDescent="0.2">
      <c r="A655" s="147" t="s">
        <v>335</v>
      </c>
      <c r="B655" s="147"/>
      <c r="C655" s="147"/>
      <c r="D655" s="148">
        <v>1</v>
      </c>
      <c r="E655" s="149"/>
      <c r="F655" s="150">
        <v>0.2</v>
      </c>
      <c r="G655" s="150"/>
      <c r="H655" s="67">
        <v>34765</v>
      </c>
      <c r="I655" s="67">
        <f t="shared" si="297"/>
        <v>33231.401495105427</v>
      </c>
      <c r="J655" s="67">
        <f t="shared" si="286"/>
        <v>26585.121196084343</v>
      </c>
      <c r="K655" s="63"/>
      <c r="L655" s="149">
        <v>0</v>
      </c>
      <c r="M655" s="63">
        <f t="shared" si="287"/>
        <v>0</v>
      </c>
      <c r="N655" s="63">
        <f t="shared" si="288"/>
        <v>0</v>
      </c>
      <c r="O655" s="69"/>
      <c r="P655" s="149">
        <v>0</v>
      </c>
      <c r="Q655" s="63">
        <f t="shared" si="298"/>
        <v>0</v>
      </c>
      <c r="R655" s="64">
        <f t="shared" si="290"/>
        <v>0</v>
      </c>
      <c r="S655" s="148">
        <v>25</v>
      </c>
      <c r="T655" s="151" t="s">
        <v>15</v>
      </c>
      <c r="U655" s="65">
        <f>SUMIF('Avoided Costs 2012-2020_EGD'!$A:$A,'2012 Actuals_Auditor'!T655&amp;'2012 Actuals_Auditor'!S655,'Avoided Costs 2012-2020_EGD'!$E:$E)*J655</f>
        <v>91293.17323283726</v>
      </c>
      <c r="V655" s="65">
        <f>SUMIF('Avoided Costs 2012-2020_EGD'!$A:$A,'2012 Actuals_Auditor'!T655&amp;'2012 Actuals_Auditor'!S655,'Avoided Costs 2012-2020_EGD'!$K:$K)*N655</f>
        <v>0</v>
      </c>
      <c r="W655" s="65">
        <f>SUMIF('Avoided Costs 2012-2020_EGD'!$A:$A,'2012 Actuals_Auditor'!T655&amp;'2012 Actuals_Auditor'!S655,'Avoided Costs 2012-2020_EGD'!$M:$M)*R655</f>
        <v>0</v>
      </c>
      <c r="X655" s="65">
        <f t="shared" si="291"/>
        <v>91293.17323283726</v>
      </c>
      <c r="Y655" s="146">
        <v>18800</v>
      </c>
      <c r="Z655" s="66">
        <f t="shared" si="292"/>
        <v>15040</v>
      </c>
      <c r="AA655" s="66">
        <v>4698</v>
      </c>
      <c r="AB655" s="66"/>
      <c r="AC655" s="66"/>
      <c r="AD655" s="66">
        <f t="shared" si="293"/>
        <v>15040</v>
      </c>
      <c r="AE655" s="66">
        <f t="shared" si="294"/>
        <v>76253.17323283726</v>
      </c>
      <c r="AF655" s="101">
        <f t="shared" si="295"/>
        <v>664628.0299021086</v>
      </c>
      <c r="AG655" s="101">
        <f t="shared" si="296"/>
        <v>830785.03737763572</v>
      </c>
    </row>
    <row r="656" spans="1:33" s="68" customFormat="1" x14ac:dyDescent="0.2">
      <c r="A656" s="141" t="s">
        <v>336</v>
      </c>
      <c r="B656" s="141"/>
      <c r="C656" s="141"/>
      <c r="D656" s="142">
        <v>1</v>
      </c>
      <c r="E656" s="143"/>
      <c r="F656" s="144">
        <v>0.2</v>
      </c>
      <c r="G656" s="144"/>
      <c r="H656" s="67">
        <v>26526</v>
      </c>
      <c r="I656" s="67">
        <f t="shared" si="297"/>
        <v>25355.850886212185</v>
      </c>
      <c r="J656" s="67">
        <f t="shared" si="286"/>
        <v>20284.68070896975</v>
      </c>
      <c r="K656" s="143"/>
      <c r="L656" s="143">
        <v>0</v>
      </c>
      <c r="M656" s="63">
        <f t="shared" si="287"/>
        <v>0</v>
      </c>
      <c r="N656" s="63">
        <f t="shared" si="288"/>
        <v>0</v>
      </c>
      <c r="O656" s="143"/>
      <c r="P656" s="143">
        <v>0</v>
      </c>
      <c r="Q656" s="63">
        <f t="shared" si="298"/>
        <v>0</v>
      </c>
      <c r="R656" s="64">
        <f t="shared" si="290"/>
        <v>0</v>
      </c>
      <c r="S656" s="142">
        <v>25</v>
      </c>
      <c r="T656" s="145" t="s">
        <v>15</v>
      </c>
      <c r="U656" s="65">
        <f>SUMIF('Avoided Costs 2012-2020_EGD'!$A:$A,'2012 Actuals_Auditor'!T656&amp;'2012 Actuals_Auditor'!S656,'Avoided Costs 2012-2020_EGD'!$E:$E)*J656</f>
        <v>69657.492109139697</v>
      </c>
      <c r="V656" s="65">
        <f>SUMIF('Avoided Costs 2012-2020_EGD'!$A:$A,'2012 Actuals_Auditor'!T656&amp;'2012 Actuals_Auditor'!S656,'Avoided Costs 2012-2020_EGD'!$K:$K)*N656</f>
        <v>0</v>
      </c>
      <c r="W656" s="65">
        <f>SUMIF('Avoided Costs 2012-2020_EGD'!$A:$A,'2012 Actuals_Auditor'!T656&amp;'2012 Actuals_Auditor'!S656,'Avoided Costs 2012-2020_EGD'!$M:$M)*R656</f>
        <v>0</v>
      </c>
      <c r="X656" s="65">
        <f t="shared" si="291"/>
        <v>69657.492109139697</v>
      </c>
      <c r="Y656" s="146">
        <v>24206</v>
      </c>
      <c r="Z656" s="66">
        <f t="shared" si="292"/>
        <v>19364.8</v>
      </c>
      <c r="AA656" s="66">
        <v>5241</v>
      </c>
      <c r="AB656" s="66"/>
      <c r="AC656" s="66"/>
      <c r="AD656" s="66">
        <f t="shared" si="293"/>
        <v>19364.8</v>
      </c>
      <c r="AE656" s="66">
        <f t="shared" si="294"/>
        <v>50292.692109139694</v>
      </c>
      <c r="AF656" s="101">
        <f t="shared" si="295"/>
        <v>507117.01772424375</v>
      </c>
      <c r="AG656" s="101">
        <f t="shared" si="296"/>
        <v>633896.27215530467</v>
      </c>
    </row>
    <row r="657" spans="1:33" s="68" customFormat="1" x14ac:dyDescent="0.2">
      <c r="A657" s="141" t="s">
        <v>337</v>
      </c>
      <c r="B657" s="141"/>
      <c r="C657" s="141"/>
      <c r="D657" s="142">
        <v>1</v>
      </c>
      <c r="E657" s="143"/>
      <c r="F657" s="144">
        <v>0.2</v>
      </c>
      <c r="G657" s="144"/>
      <c r="H657" s="67">
        <v>28620</v>
      </c>
      <c r="I657" s="67">
        <f t="shared" si="297"/>
        <v>27357.477658274627</v>
      </c>
      <c r="J657" s="67">
        <f t="shared" si="286"/>
        <v>21885.982126619703</v>
      </c>
      <c r="K657" s="143"/>
      <c r="L657" s="143">
        <v>61420</v>
      </c>
      <c r="M657" s="63">
        <f t="shared" si="287"/>
        <v>61420</v>
      </c>
      <c r="N657" s="63">
        <f t="shared" si="288"/>
        <v>49136</v>
      </c>
      <c r="O657" s="143"/>
      <c r="P657" s="143">
        <v>0</v>
      </c>
      <c r="Q657" s="63">
        <f t="shared" si="298"/>
        <v>0</v>
      </c>
      <c r="R657" s="64">
        <f t="shared" si="290"/>
        <v>0</v>
      </c>
      <c r="S657" s="142">
        <v>15</v>
      </c>
      <c r="T657" s="145" t="s">
        <v>15</v>
      </c>
      <c r="U657" s="65">
        <f>SUMIF('Avoided Costs 2012-2020_EGD'!$A:$A,'2012 Actuals_Auditor'!T657&amp;'2012 Actuals_Auditor'!S657,'Avoided Costs 2012-2020_EGD'!$E:$E)*J657</f>
        <v>53180.83280723061</v>
      </c>
      <c r="V657" s="65">
        <f>SUMIF('Avoided Costs 2012-2020_EGD'!$A:$A,'2012 Actuals_Auditor'!T657&amp;'2012 Actuals_Auditor'!S657,'Avoided Costs 2012-2020_EGD'!$K:$K)*N657</f>
        <v>50599.438414710101</v>
      </c>
      <c r="W657" s="65">
        <f>SUMIF('Avoided Costs 2012-2020_EGD'!$A:$A,'2012 Actuals_Auditor'!T657&amp;'2012 Actuals_Auditor'!S657,'Avoided Costs 2012-2020_EGD'!$M:$M)*R657</f>
        <v>0</v>
      </c>
      <c r="X657" s="65">
        <f t="shared" si="291"/>
        <v>103780.27122194071</v>
      </c>
      <c r="Y657" s="146">
        <v>14995</v>
      </c>
      <c r="Z657" s="66">
        <f t="shared" si="292"/>
        <v>11996</v>
      </c>
      <c r="AA657" s="66">
        <v>2862</v>
      </c>
      <c r="AB657" s="66"/>
      <c r="AC657" s="66"/>
      <c r="AD657" s="66">
        <f t="shared" si="293"/>
        <v>11996</v>
      </c>
      <c r="AE657" s="66">
        <f t="shared" si="294"/>
        <v>91784.271221940711</v>
      </c>
      <c r="AF657" s="101">
        <f t="shared" si="295"/>
        <v>328289.73189929553</v>
      </c>
      <c r="AG657" s="101">
        <f t="shared" si="296"/>
        <v>410362.16487411939</v>
      </c>
    </row>
    <row r="658" spans="1:33" s="68" customFormat="1" x14ac:dyDescent="0.2">
      <c r="A658" s="141" t="s">
        <v>338</v>
      </c>
      <c r="B658" s="141"/>
      <c r="C658" s="141"/>
      <c r="D658" s="142">
        <v>1</v>
      </c>
      <c r="E658" s="143"/>
      <c r="F658" s="144">
        <v>0.2</v>
      </c>
      <c r="G658" s="144"/>
      <c r="H658" s="67">
        <v>16248</v>
      </c>
      <c r="I658" s="67">
        <f t="shared" si="297"/>
        <v>15531.247274341235</v>
      </c>
      <c r="J658" s="67">
        <f t="shared" ref="J658:J721" si="299">I658*(1-F658)</f>
        <v>12424.997819472988</v>
      </c>
      <c r="K658" s="143"/>
      <c r="L658" s="143">
        <v>0</v>
      </c>
      <c r="M658" s="63">
        <f t="shared" si="287"/>
        <v>0</v>
      </c>
      <c r="N658" s="63">
        <f t="shared" ref="N658:N721" si="300">M658*(1-F658)</f>
        <v>0</v>
      </c>
      <c r="O658" s="143"/>
      <c r="P658" s="143">
        <v>0</v>
      </c>
      <c r="Q658" s="63">
        <f t="shared" si="298"/>
        <v>0</v>
      </c>
      <c r="R658" s="64">
        <f t="shared" ref="R658:R721" si="301">Q658*(1-F658)</f>
        <v>0</v>
      </c>
      <c r="S658" s="142">
        <v>25</v>
      </c>
      <c r="T658" s="145" t="s">
        <v>15</v>
      </c>
      <c r="U658" s="65">
        <f>SUMIF('Avoided Costs 2012-2020_EGD'!$A:$A,'2012 Actuals_Auditor'!T658&amp;'2012 Actuals_Auditor'!S658,'Avoided Costs 2012-2020_EGD'!$E:$E)*J658</f>
        <v>42667.380373569387</v>
      </c>
      <c r="V658" s="65">
        <f>SUMIF('Avoided Costs 2012-2020_EGD'!$A:$A,'2012 Actuals_Auditor'!T658&amp;'2012 Actuals_Auditor'!S658,'Avoided Costs 2012-2020_EGD'!$K:$K)*N658</f>
        <v>0</v>
      </c>
      <c r="W658" s="65">
        <f>SUMIF('Avoided Costs 2012-2020_EGD'!$A:$A,'2012 Actuals_Auditor'!T658&amp;'2012 Actuals_Auditor'!S658,'Avoided Costs 2012-2020_EGD'!$M:$M)*R658</f>
        <v>0</v>
      </c>
      <c r="X658" s="65">
        <f t="shared" si="291"/>
        <v>42667.380373569387</v>
      </c>
      <c r="Y658" s="146">
        <v>-3329</v>
      </c>
      <c r="Z658" s="66">
        <f t="shared" ref="Z658:Z721" si="302">Y658*(1-F658)</f>
        <v>-2663.2000000000003</v>
      </c>
      <c r="AA658" s="66">
        <v>3417</v>
      </c>
      <c r="AB658" s="66"/>
      <c r="AC658" s="66"/>
      <c r="AD658" s="66">
        <f t="shared" ref="AD658:AD721" si="303">Z658+AB658</f>
        <v>-2663.2000000000003</v>
      </c>
      <c r="AE658" s="66">
        <f t="shared" ref="AE658:AE721" si="304">X658-AD658</f>
        <v>45330.580373569384</v>
      </c>
      <c r="AF658" s="101">
        <f t="shared" ref="AF658:AF721" si="305">J658*S658</f>
        <v>310624.94548682473</v>
      </c>
      <c r="AG658" s="101">
        <f t="shared" ref="AG658:AG721" si="306">(I658*S658)</f>
        <v>388281.18185853085</v>
      </c>
    </row>
    <row r="659" spans="1:33" s="68" customFormat="1" x14ac:dyDescent="0.2">
      <c r="A659" s="147" t="s">
        <v>339</v>
      </c>
      <c r="B659" s="147"/>
      <c r="C659" s="147"/>
      <c r="D659" s="148">
        <v>1</v>
      </c>
      <c r="E659" s="149"/>
      <c r="F659" s="150">
        <v>0.2</v>
      </c>
      <c r="G659" s="150"/>
      <c r="H659" s="67">
        <v>11637</v>
      </c>
      <c r="I659" s="67">
        <f t="shared" si="297"/>
        <v>11123.653651619212</v>
      </c>
      <c r="J659" s="67">
        <f t="shared" si="299"/>
        <v>8898.9229212953705</v>
      </c>
      <c r="K659" s="63"/>
      <c r="L659" s="149">
        <v>6381</v>
      </c>
      <c r="M659" s="63">
        <f t="shared" si="287"/>
        <v>6381</v>
      </c>
      <c r="N659" s="63">
        <f t="shared" si="300"/>
        <v>5104.8</v>
      </c>
      <c r="O659" s="69"/>
      <c r="P659" s="149">
        <v>0</v>
      </c>
      <c r="Q659" s="63">
        <f t="shared" si="298"/>
        <v>0</v>
      </c>
      <c r="R659" s="64">
        <f t="shared" si="301"/>
        <v>0</v>
      </c>
      <c r="S659" s="148">
        <v>15</v>
      </c>
      <c r="T659" s="151" t="s">
        <v>15</v>
      </c>
      <c r="U659" s="65">
        <f>SUMIF('Avoided Costs 2012-2020_EGD'!$A:$A,'2012 Actuals_Auditor'!T659&amp;'2012 Actuals_Auditor'!S659,'Avoided Costs 2012-2020_EGD'!$E:$E)*J659</f>
        <v>21623.527301807921</v>
      </c>
      <c r="V659" s="65">
        <f>SUMIF('Avoided Costs 2012-2020_EGD'!$A:$A,'2012 Actuals_Auditor'!T659&amp;'2012 Actuals_Auditor'!S659,'Avoided Costs 2012-2020_EGD'!$K:$K)*N659</f>
        <v>5256.8384325018751</v>
      </c>
      <c r="W659" s="65">
        <f>SUMIF('Avoided Costs 2012-2020_EGD'!$A:$A,'2012 Actuals_Auditor'!T659&amp;'2012 Actuals_Auditor'!S659,'Avoided Costs 2012-2020_EGD'!$M:$M)*R659</f>
        <v>0</v>
      </c>
      <c r="X659" s="65">
        <f t="shared" ref="X659:X721" si="307">SUM(U659:W659)</f>
        <v>26880.365734309795</v>
      </c>
      <c r="Y659" s="146">
        <v>4995</v>
      </c>
      <c r="Z659" s="66">
        <f t="shared" si="302"/>
        <v>3996</v>
      </c>
      <c r="AA659" s="66">
        <v>1164</v>
      </c>
      <c r="AB659" s="66"/>
      <c r="AC659" s="66"/>
      <c r="AD659" s="66">
        <f t="shared" si="303"/>
        <v>3996</v>
      </c>
      <c r="AE659" s="66">
        <f t="shared" si="304"/>
        <v>22884.365734309795</v>
      </c>
      <c r="AF659" s="101">
        <f t="shared" si="305"/>
        <v>133483.84381943056</v>
      </c>
      <c r="AG659" s="101">
        <f t="shared" si="306"/>
        <v>166854.80477428818</v>
      </c>
    </row>
    <row r="660" spans="1:33" s="68" customFormat="1" x14ac:dyDescent="0.2">
      <c r="A660" s="141" t="s">
        <v>340</v>
      </c>
      <c r="B660" s="141"/>
      <c r="C660" s="141"/>
      <c r="D660" s="142">
        <v>1</v>
      </c>
      <c r="E660" s="143"/>
      <c r="F660" s="144">
        <v>0.2</v>
      </c>
      <c r="G660" s="144"/>
      <c r="H660" s="67">
        <v>35299</v>
      </c>
      <c r="I660" s="67">
        <f t="shared" si="297"/>
        <v>33741.844998582674</v>
      </c>
      <c r="J660" s="67">
        <f t="shared" si="299"/>
        <v>26993.475998866139</v>
      </c>
      <c r="K660" s="143"/>
      <c r="L660" s="143">
        <v>0</v>
      </c>
      <c r="M660" s="63">
        <f t="shared" si="287"/>
        <v>0</v>
      </c>
      <c r="N660" s="63">
        <f t="shared" si="300"/>
        <v>0</v>
      </c>
      <c r="O660" s="143"/>
      <c r="P660" s="143">
        <v>0</v>
      </c>
      <c r="Q660" s="63">
        <f t="shared" si="298"/>
        <v>0</v>
      </c>
      <c r="R660" s="64">
        <f t="shared" si="301"/>
        <v>0</v>
      </c>
      <c r="S660" s="142">
        <v>25</v>
      </c>
      <c r="T660" s="145" t="s">
        <v>15</v>
      </c>
      <c r="U660" s="65">
        <f>SUMIF('Avoided Costs 2012-2020_EGD'!$A:$A,'2012 Actuals_Auditor'!T660&amp;'2012 Actuals_Auditor'!S660,'Avoided Costs 2012-2020_EGD'!$E:$E)*J660</f>
        <v>92695.461583371856</v>
      </c>
      <c r="V660" s="65">
        <f>SUMIF('Avoided Costs 2012-2020_EGD'!$A:$A,'2012 Actuals_Auditor'!T660&amp;'2012 Actuals_Auditor'!S660,'Avoided Costs 2012-2020_EGD'!$K:$K)*N660</f>
        <v>0</v>
      </c>
      <c r="W660" s="65">
        <f>SUMIF('Avoided Costs 2012-2020_EGD'!$A:$A,'2012 Actuals_Auditor'!T660&amp;'2012 Actuals_Auditor'!S660,'Avoided Costs 2012-2020_EGD'!$M:$M)*R660</f>
        <v>0</v>
      </c>
      <c r="X660" s="65">
        <f t="shared" si="307"/>
        <v>92695.461583371856</v>
      </c>
      <c r="Y660" s="146">
        <v>6290</v>
      </c>
      <c r="Z660" s="66">
        <f t="shared" si="302"/>
        <v>5032</v>
      </c>
      <c r="AA660" s="66">
        <v>7750</v>
      </c>
      <c r="AB660" s="66"/>
      <c r="AC660" s="66"/>
      <c r="AD660" s="66">
        <f t="shared" si="303"/>
        <v>5032</v>
      </c>
      <c r="AE660" s="66">
        <f t="shared" si="304"/>
        <v>87663.461583371856</v>
      </c>
      <c r="AF660" s="101">
        <f t="shared" si="305"/>
        <v>674836.89997165347</v>
      </c>
      <c r="AG660" s="101">
        <f t="shared" si="306"/>
        <v>843546.1249645669</v>
      </c>
    </row>
    <row r="661" spans="1:33" s="68" customFormat="1" x14ac:dyDescent="0.2">
      <c r="A661" s="147" t="s">
        <v>341</v>
      </c>
      <c r="B661" s="147"/>
      <c r="C661" s="147"/>
      <c r="D661" s="148">
        <v>1</v>
      </c>
      <c r="E661" s="149"/>
      <c r="F661" s="150">
        <v>0.2</v>
      </c>
      <c r="G661" s="150"/>
      <c r="H661" s="67">
        <v>119427</v>
      </c>
      <c r="I661" s="67">
        <f t="shared" si="297"/>
        <v>114158.68219059272</v>
      </c>
      <c r="J661" s="67">
        <f t="shared" si="299"/>
        <v>91326.945752474188</v>
      </c>
      <c r="K661" s="63"/>
      <c r="L661" s="149">
        <v>0</v>
      </c>
      <c r="M661" s="63">
        <f t="shared" si="287"/>
        <v>0</v>
      </c>
      <c r="N661" s="63">
        <f t="shared" si="300"/>
        <v>0</v>
      </c>
      <c r="O661" s="69"/>
      <c r="P661" s="149">
        <v>0</v>
      </c>
      <c r="Q661" s="63">
        <f t="shared" si="298"/>
        <v>0</v>
      </c>
      <c r="R661" s="64">
        <f t="shared" si="301"/>
        <v>0</v>
      </c>
      <c r="S661" s="148">
        <v>25</v>
      </c>
      <c r="T661" s="151" t="s">
        <v>15</v>
      </c>
      <c r="U661" s="65">
        <f>SUMIF('Avoided Costs 2012-2020_EGD'!$A:$A,'2012 Actuals_Auditor'!T661&amp;'2012 Actuals_Auditor'!S661,'Avoided Costs 2012-2020_EGD'!$E:$E)*J661</f>
        <v>313616.27497995272</v>
      </c>
      <c r="V661" s="65">
        <f>SUMIF('Avoided Costs 2012-2020_EGD'!$A:$A,'2012 Actuals_Auditor'!T661&amp;'2012 Actuals_Auditor'!S661,'Avoided Costs 2012-2020_EGD'!$K:$K)*N661</f>
        <v>0</v>
      </c>
      <c r="W661" s="65">
        <f>SUMIF('Avoided Costs 2012-2020_EGD'!$A:$A,'2012 Actuals_Auditor'!T661&amp;'2012 Actuals_Auditor'!S661,'Avoided Costs 2012-2020_EGD'!$M:$M)*R661</f>
        <v>0</v>
      </c>
      <c r="X661" s="65">
        <f t="shared" si="307"/>
        <v>313616.27497995272</v>
      </c>
      <c r="Y661" s="146">
        <v>158346</v>
      </c>
      <c r="Z661" s="66">
        <f t="shared" si="302"/>
        <v>126676.8</v>
      </c>
      <c r="AA661" s="66">
        <v>13558</v>
      </c>
      <c r="AB661" s="66"/>
      <c r="AC661" s="66"/>
      <c r="AD661" s="66">
        <f t="shared" si="303"/>
        <v>126676.8</v>
      </c>
      <c r="AE661" s="66">
        <f t="shared" si="304"/>
        <v>186939.47497995273</v>
      </c>
      <c r="AF661" s="101">
        <f t="shared" si="305"/>
        <v>2283173.6438118545</v>
      </c>
      <c r="AG661" s="101">
        <f t="shared" si="306"/>
        <v>2853967.0547648179</v>
      </c>
    </row>
    <row r="662" spans="1:33" s="68" customFormat="1" x14ac:dyDescent="0.2">
      <c r="A662" s="147" t="s">
        <v>342</v>
      </c>
      <c r="B662" s="147"/>
      <c r="C662" s="147"/>
      <c r="D662" s="148">
        <v>0</v>
      </c>
      <c r="E662" s="149"/>
      <c r="F662" s="150">
        <v>0.2</v>
      </c>
      <c r="G662" s="150"/>
      <c r="H662" s="67">
        <v>5754</v>
      </c>
      <c r="I662" s="67">
        <f t="shared" si="297"/>
        <v>5500.1721329738712</v>
      </c>
      <c r="J662" s="67">
        <f t="shared" si="299"/>
        <v>4400.1377063790969</v>
      </c>
      <c r="K662" s="63"/>
      <c r="L662" s="149">
        <v>0</v>
      </c>
      <c r="M662" s="63">
        <f t="shared" ref="M662:M725" si="308">+$L$42*L662</f>
        <v>0</v>
      </c>
      <c r="N662" s="63">
        <f t="shared" si="300"/>
        <v>0</v>
      </c>
      <c r="O662" s="69"/>
      <c r="P662" s="149">
        <v>0</v>
      </c>
      <c r="Q662" s="63">
        <f t="shared" si="298"/>
        <v>0</v>
      </c>
      <c r="R662" s="64">
        <f t="shared" si="301"/>
        <v>0</v>
      </c>
      <c r="S662" s="148">
        <v>15</v>
      </c>
      <c r="T662" s="151" t="s">
        <v>52</v>
      </c>
      <c r="U662" s="65">
        <f>SUMIF('Avoided Costs 2012-2020_EGD'!$A:$A,'2012 Actuals_Auditor'!T662&amp;'2012 Actuals_Auditor'!S662,'Avoided Costs 2012-2020_EGD'!$E:$E)*J662</f>
        <v>10054.307068529681</v>
      </c>
      <c r="V662" s="65">
        <f>SUMIF('Avoided Costs 2012-2020_EGD'!$A:$A,'2012 Actuals_Auditor'!T662&amp;'2012 Actuals_Auditor'!S662,'Avoided Costs 2012-2020_EGD'!$K:$K)*N662</f>
        <v>0</v>
      </c>
      <c r="W662" s="65">
        <f>SUMIF('Avoided Costs 2012-2020_EGD'!$A:$A,'2012 Actuals_Auditor'!T662&amp;'2012 Actuals_Auditor'!S662,'Avoided Costs 2012-2020_EGD'!$M:$M)*R662</f>
        <v>0</v>
      </c>
      <c r="X662" s="65">
        <f t="shared" si="307"/>
        <v>10054.307068529681</v>
      </c>
      <c r="Y662" s="146">
        <v>3995</v>
      </c>
      <c r="Z662" s="66">
        <f t="shared" si="302"/>
        <v>3196</v>
      </c>
      <c r="AA662" s="66">
        <v>575.4</v>
      </c>
      <c r="AB662" s="66"/>
      <c r="AC662" s="66"/>
      <c r="AD662" s="66">
        <f t="shared" si="303"/>
        <v>3196</v>
      </c>
      <c r="AE662" s="66">
        <f t="shared" si="304"/>
        <v>6858.3070685296807</v>
      </c>
      <c r="AF662" s="101">
        <f t="shared" si="305"/>
        <v>66002.06559568645</v>
      </c>
      <c r="AG662" s="101">
        <f t="shared" si="306"/>
        <v>82502.581994608074</v>
      </c>
    </row>
    <row r="663" spans="1:33" s="68" customFormat="1" x14ac:dyDescent="0.2">
      <c r="A663" s="141" t="s">
        <v>343</v>
      </c>
      <c r="B663" s="141"/>
      <c r="C663" s="141"/>
      <c r="D663" s="142">
        <v>0</v>
      </c>
      <c r="E663" s="143"/>
      <c r="F663" s="144">
        <v>0.2</v>
      </c>
      <c r="G663" s="144"/>
      <c r="H663" s="67">
        <v>34985</v>
      </c>
      <c r="I663" s="67">
        <f t="shared" si="297"/>
        <v>33441.696571444365</v>
      </c>
      <c r="J663" s="67">
        <f t="shared" si="299"/>
        <v>26753.357257155494</v>
      </c>
      <c r="K663" s="143"/>
      <c r="L663" s="143">
        <v>42541</v>
      </c>
      <c r="M663" s="63">
        <f t="shared" si="308"/>
        <v>42541</v>
      </c>
      <c r="N663" s="63">
        <f t="shared" si="300"/>
        <v>34032.800000000003</v>
      </c>
      <c r="O663" s="143"/>
      <c r="P663" s="143">
        <v>0</v>
      </c>
      <c r="Q663" s="63">
        <f t="shared" si="298"/>
        <v>0</v>
      </c>
      <c r="R663" s="64">
        <f t="shared" si="301"/>
        <v>0</v>
      </c>
      <c r="S663" s="142">
        <v>15</v>
      </c>
      <c r="T663" s="145" t="s">
        <v>15</v>
      </c>
      <c r="U663" s="65">
        <f>SUMIF('Avoided Costs 2012-2020_EGD'!$A:$A,'2012 Actuals_Auditor'!T663&amp;'2012 Actuals_Auditor'!S663,'Avoided Costs 2012-2020_EGD'!$E:$E)*J663</f>
        <v>65008.08650457592</v>
      </c>
      <c r="V663" s="65">
        <f>SUMIF('Avoided Costs 2012-2020_EGD'!$A:$A,'2012 Actuals_Auditor'!T663&amp;'2012 Actuals_Auditor'!S663,'Avoided Costs 2012-2020_EGD'!$K:$K)*N663</f>
        <v>35046.413376753218</v>
      </c>
      <c r="W663" s="65">
        <f>SUMIF('Avoided Costs 2012-2020_EGD'!$A:$A,'2012 Actuals_Auditor'!T663&amp;'2012 Actuals_Auditor'!S663,'Avoided Costs 2012-2020_EGD'!$M:$M)*R663</f>
        <v>0</v>
      </c>
      <c r="X663" s="65">
        <f t="shared" si="307"/>
        <v>100054.49988132913</v>
      </c>
      <c r="Y663" s="146">
        <v>12995</v>
      </c>
      <c r="Z663" s="66">
        <f t="shared" si="302"/>
        <v>10396</v>
      </c>
      <c r="AA663" s="66">
        <v>3498.7</v>
      </c>
      <c r="AB663" s="66"/>
      <c r="AC663" s="66"/>
      <c r="AD663" s="66">
        <f t="shared" si="303"/>
        <v>10396</v>
      </c>
      <c r="AE663" s="66">
        <f t="shared" si="304"/>
        <v>89658.499881329131</v>
      </c>
      <c r="AF663" s="101">
        <f t="shared" si="305"/>
        <v>401300.35885733244</v>
      </c>
      <c r="AG663" s="101">
        <f t="shared" si="306"/>
        <v>501625.44857166545</v>
      </c>
    </row>
    <row r="664" spans="1:33" s="68" customFormat="1" x14ac:dyDescent="0.2">
      <c r="A664" s="141" t="s">
        <v>344</v>
      </c>
      <c r="B664" s="141"/>
      <c r="C664" s="141"/>
      <c r="D664" s="142">
        <v>1</v>
      </c>
      <c r="E664" s="143"/>
      <c r="F664" s="144">
        <v>0.2</v>
      </c>
      <c r="G664" s="144"/>
      <c r="H664" s="67">
        <v>18079</v>
      </c>
      <c r="I664" s="67">
        <f t="shared" si="297"/>
        <v>17281.475841507581</v>
      </c>
      <c r="J664" s="67">
        <f t="shared" si="299"/>
        <v>13825.180673206065</v>
      </c>
      <c r="K664" s="143"/>
      <c r="L664" s="143">
        <v>0</v>
      </c>
      <c r="M664" s="63">
        <f t="shared" si="308"/>
        <v>0</v>
      </c>
      <c r="N664" s="63">
        <f t="shared" si="300"/>
        <v>0</v>
      </c>
      <c r="O664" s="143"/>
      <c r="P664" s="143">
        <v>0</v>
      </c>
      <c r="Q664" s="63">
        <f t="shared" si="298"/>
        <v>0</v>
      </c>
      <c r="R664" s="64">
        <f t="shared" si="301"/>
        <v>0</v>
      </c>
      <c r="S664" s="142">
        <v>15</v>
      </c>
      <c r="T664" s="145" t="s">
        <v>15</v>
      </c>
      <c r="U664" s="65">
        <f>SUMIF('Avoided Costs 2012-2020_EGD'!$A:$A,'2012 Actuals_Auditor'!T664&amp;'2012 Actuals_Auditor'!S664,'Avoided Costs 2012-2020_EGD'!$E:$E)*J664</f>
        <v>33593.860109081834</v>
      </c>
      <c r="V664" s="65">
        <f>SUMIF('Avoided Costs 2012-2020_EGD'!$A:$A,'2012 Actuals_Auditor'!T664&amp;'2012 Actuals_Auditor'!S664,'Avoided Costs 2012-2020_EGD'!$K:$K)*N664</f>
        <v>0</v>
      </c>
      <c r="W664" s="65">
        <f>SUMIF('Avoided Costs 2012-2020_EGD'!$A:$A,'2012 Actuals_Auditor'!T664&amp;'2012 Actuals_Auditor'!S664,'Avoided Costs 2012-2020_EGD'!$M:$M)*R664</f>
        <v>0</v>
      </c>
      <c r="X664" s="65">
        <f t="shared" si="307"/>
        <v>33593.860109081834</v>
      </c>
      <c r="Y664" s="146">
        <v>4795</v>
      </c>
      <c r="Z664" s="66">
        <f t="shared" si="302"/>
        <v>3836</v>
      </c>
      <c r="AA664" s="66">
        <v>1807.9</v>
      </c>
      <c r="AB664" s="66"/>
      <c r="AC664" s="66"/>
      <c r="AD664" s="66">
        <f t="shared" si="303"/>
        <v>3836</v>
      </c>
      <c r="AE664" s="66">
        <f t="shared" si="304"/>
        <v>29757.860109081834</v>
      </c>
      <c r="AF664" s="101">
        <f t="shared" si="305"/>
        <v>207377.71009809099</v>
      </c>
      <c r="AG664" s="101">
        <f t="shared" si="306"/>
        <v>259222.13762261372</v>
      </c>
    </row>
    <row r="665" spans="1:33" s="68" customFormat="1" x14ac:dyDescent="0.2">
      <c r="A665" s="141" t="s">
        <v>345</v>
      </c>
      <c r="B665" s="141"/>
      <c r="C665" s="141"/>
      <c r="D665" s="142">
        <v>1</v>
      </c>
      <c r="E665" s="143"/>
      <c r="F665" s="144">
        <v>0.2</v>
      </c>
      <c r="G665" s="144"/>
      <c r="H665" s="67">
        <v>17552</v>
      </c>
      <c r="I665" s="67">
        <f t="shared" si="297"/>
        <v>16777.723545004759</v>
      </c>
      <c r="J665" s="67">
        <f t="shared" si="299"/>
        <v>13422.178836003808</v>
      </c>
      <c r="K665" s="143"/>
      <c r="L665" s="143">
        <v>0</v>
      </c>
      <c r="M665" s="63">
        <f t="shared" si="308"/>
        <v>0</v>
      </c>
      <c r="N665" s="63">
        <f t="shared" si="300"/>
        <v>0</v>
      </c>
      <c r="O665" s="143"/>
      <c r="P665" s="143">
        <v>0</v>
      </c>
      <c r="Q665" s="63">
        <f t="shared" si="298"/>
        <v>0</v>
      </c>
      <c r="R665" s="64">
        <f t="shared" si="301"/>
        <v>0</v>
      </c>
      <c r="S665" s="142">
        <v>25</v>
      </c>
      <c r="T665" s="145" t="s">
        <v>52</v>
      </c>
      <c r="U665" s="65">
        <f>SUMIF('Avoided Costs 2012-2020_EGD'!$A:$A,'2012 Actuals_Auditor'!T665&amp;'2012 Actuals_Auditor'!S665,'Avoided Costs 2012-2020_EGD'!$E:$E)*J665</f>
        <v>43310.574161993623</v>
      </c>
      <c r="V665" s="65">
        <f>SUMIF('Avoided Costs 2012-2020_EGD'!$A:$A,'2012 Actuals_Auditor'!T665&amp;'2012 Actuals_Auditor'!S665,'Avoided Costs 2012-2020_EGD'!$K:$K)*N665</f>
        <v>0</v>
      </c>
      <c r="W665" s="65">
        <f>SUMIF('Avoided Costs 2012-2020_EGD'!$A:$A,'2012 Actuals_Auditor'!T665&amp;'2012 Actuals_Auditor'!S665,'Avoided Costs 2012-2020_EGD'!$M:$M)*R665</f>
        <v>0</v>
      </c>
      <c r="X665" s="65">
        <f t="shared" si="307"/>
        <v>43310.574161993623</v>
      </c>
      <c r="Y665" s="146">
        <v>11030</v>
      </c>
      <c r="Z665" s="66">
        <f t="shared" si="302"/>
        <v>8824</v>
      </c>
      <c r="AA665" s="66">
        <v>3027</v>
      </c>
      <c r="AB665" s="66"/>
      <c r="AC665" s="66"/>
      <c r="AD665" s="66">
        <f t="shared" si="303"/>
        <v>8824</v>
      </c>
      <c r="AE665" s="66">
        <f t="shared" si="304"/>
        <v>34486.574161993623</v>
      </c>
      <c r="AF665" s="101">
        <f t="shared" si="305"/>
        <v>335554.47090009518</v>
      </c>
      <c r="AG665" s="101">
        <f t="shared" si="306"/>
        <v>419443.08862511895</v>
      </c>
    </row>
    <row r="666" spans="1:33" s="68" customFormat="1" x14ac:dyDescent="0.2">
      <c r="A666" s="141" t="s">
        <v>346</v>
      </c>
      <c r="B666" s="141"/>
      <c r="C666" s="141"/>
      <c r="D666" s="142">
        <v>1</v>
      </c>
      <c r="E666" s="143"/>
      <c r="F666" s="144">
        <v>0.2</v>
      </c>
      <c r="G666" s="144"/>
      <c r="H666" s="67">
        <v>23785</v>
      </c>
      <c r="I666" s="67">
        <f t="shared" si="297"/>
        <v>22735.76541237114</v>
      </c>
      <c r="J666" s="67">
        <f t="shared" si="299"/>
        <v>18188.612329896914</v>
      </c>
      <c r="K666" s="143"/>
      <c r="L666" s="143">
        <v>0</v>
      </c>
      <c r="M666" s="63">
        <f t="shared" si="308"/>
        <v>0</v>
      </c>
      <c r="N666" s="63">
        <f t="shared" si="300"/>
        <v>0</v>
      </c>
      <c r="O666" s="143"/>
      <c r="P666" s="143">
        <v>0</v>
      </c>
      <c r="Q666" s="63">
        <f t="shared" si="298"/>
        <v>0</v>
      </c>
      <c r="R666" s="64">
        <f t="shared" si="301"/>
        <v>0</v>
      </c>
      <c r="S666" s="142">
        <v>25</v>
      </c>
      <c r="T666" s="145" t="s">
        <v>52</v>
      </c>
      <c r="U666" s="65">
        <f>SUMIF('Avoided Costs 2012-2020_EGD'!$A:$A,'2012 Actuals_Auditor'!T666&amp;'2012 Actuals_Auditor'!S666,'Avoided Costs 2012-2020_EGD'!$E:$E)*J666</f>
        <v>58690.861807373432</v>
      </c>
      <c r="V666" s="65">
        <f>SUMIF('Avoided Costs 2012-2020_EGD'!$A:$A,'2012 Actuals_Auditor'!T666&amp;'2012 Actuals_Auditor'!S666,'Avoided Costs 2012-2020_EGD'!$K:$K)*N666</f>
        <v>0</v>
      </c>
      <c r="W666" s="65">
        <f>SUMIF('Avoided Costs 2012-2020_EGD'!$A:$A,'2012 Actuals_Auditor'!T666&amp;'2012 Actuals_Auditor'!S666,'Avoided Costs 2012-2020_EGD'!$M:$M)*R666</f>
        <v>0</v>
      </c>
      <c r="X666" s="65">
        <f t="shared" si="307"/>
        <v>58690.861807373432</v>
      </c>
      <c r="Y666" s="146">
        <v>11006</v>
      </c>
      <c r="Z666" s="66">
        <f t="shared" si="302"/>
        <v>8804.8000000000011</v>
      </c>
      <c r="AA666" s="66">
        <v>3815</v>
      </c>
      <c r="AB666" s="66"/>
      <c r="AC666" s="66"/>
      <c r="AD666" s="66">
        <f t="shared" si="303"/>
        <v>8804.8000000000011</v>
      </c>
      <c r="AE666" s="66">
        <f t="shared" si="304"/>
        <v>49886.061807373429</v>
      </c>
      <c r="AF666" s="101">
        <f t="shared" si="305"/>
        <v>454715.30824742286</v>
      </c>
      <c r="AG666" s="101">
        <f t="shared" si="306"/>
        <v>568394.1353092785</v>
      </c>
    </row>
    <row r="667" spans="1:33" s="68" customFormat="1" x14ac:dyDescent="0.2">
      <c r="A667" s="147" t="s">
        <v>347</v>
      </c>
      <c r="B667" s="147"/>
      <c r="C667" s="147"/>
      <c r="D667" s="148">
        <v>1</v>
      </c>
      <c r="E667" s="149"/>
      <c r="F667" s="150">
        <v>0.2</v>
      </c>
      <c r="G667" s="150"/>
      <c r="H667" s="67">
        <v>36498</v>
      </c>
      <c r="I667" s="67">
        <f t="shared" si="297"/>
        <v>34887.953164629886</v>
      </c>
      <c r="J667" s="67">
        <f t="shared" si="299"/>
        <v>27910.362531703911</v>
      </c>
      <c r="K667" s="63"/>
      <c r="L667" s="149">
        <v>0</v>
      </c>
      <c r="M667" s="63">
        <f t="shared" si="308"/>
        <v>0</v>
      </c>
      <c r="N667" s="63">
        <f t="shared" si="300"/>
        <v>0</v>
      </c>
      <c r="O667" s="69"/>
      <c r="P667" s="149">
        <v>0</v>
      </c>
      <c r="Q667" s="63">
        <f t="shared" si="298"/>
        <v>0</v>
      </c>
      <c r="R667" s="64">
        <f t="shared" si="301"/>
        <v>0</v>
      </c>
      <c r="S667" s="148">
        <v>25</v>
      </c>
      <c r="T667" s="151" t="s">
        <v>52</v>
      </c>
      <c r="U667" s="65">
        <f>SUMIF('Avoided Costs 2012-2020_EGD'!$A:$A,'2012 Actuals_Auditor'!T667&amp;'2012 Actuals_Auditor'!S667,'Avoided Costs 2012-2020_EGD'!$E:$E)*J667</f>
        <v>90060.923869897641</v>
      </c>
      <c r="V667" s="65">
        <f>SUMIF('Avoided Costs 2012-2020_EGD'!$A:$A,'2012 Actuals_Auditor'!T667&amp;'2012 Actuals_Auditor'!S667,'Avoided Costs 2012-2020_EGD'!$K:$K)*N667</f>
        <v>0</v>
      </c>
      <c r="W667" s="65">
        <f>SUMIF('Avoided Costs 2012-2020_EGD'!$A:$A,'2012 Actuals_Auditor'!T667&amp;'2012 Actuals_Auditor'!S667,'Avoided Costs 2012-2020_EGD'!$M:$M)*R667</f>
        <v>0</v>
      </c>
      <c r="X667" s="65">
        <f t="shared" si="307"/>
        <v>90060.923869897641</v>
      </c>
      <c r="Y667" s="146">
        <v>16003</v>
      </c>
      <c r="Z667" s="66">
        <f t="shared" si="302"/>
        <v>12802.400000000001</v>
      </c>
      <c r="AA667" s="66">
        <v>8397</v>
      </c>
      <c r="AB667" s="66"/>
      <c r="AC667" s="66"/>
      <c r="AD667" s="66">
        <f t="shared" si="303"/>
        <v>12802.400000000001</v>
      </c>
      <c r="AE667" s="66">
        <f t="shared" si="304"/>
        <v>77258.523869897646</v>
      </c>
      <c r="AF667" s="101">
        <f t="shared" si="305"/>
        <v>697759.06329259777</v>
      </c>
      <c r="AG667" s="101">
        <f t="shared" si="306"/>
        <v>872198.82911574712</v>
      </c>
    </row>
    <row r="668" spans="1:33" s="68" customFormat="1" x14ac:dyDescent="0.2">
      <c r="A668" s="147" t="s">
        <v>348</v>
      </c>
      <c r="B668" s="147"/>
      <c r="C668" s="147"/>
      <c r="D668" s="148">
        <v>1</v>
      </c>
      <c r="E668" s="149"/>
      <c r="F668" s="150">
        <v>0.2</v>
      </c>
      <c r="G668" s="150"/>
      <c r="H668" s="67">
        <v>203244</v>
      </c>
      <c r="I668" s="67">
        <f t="shared" si="297"/>
        <v>194278.23861559638</v>
      </c>
      <c r="J668" s="67">
        <f t="shared" si="299"/>
        <v>155422.59089247711</v>
      </c>
      <c r="K668" s="63"/>
      <c r="L668" s="149">
        <v>0</v>
      </c>
      <c r="M668" s="63">
        <f t="shared" si="308"/>
        <v>0</v>
      </c>
      <c r="N668" s="63">
        <f t="shared" si="300"/>
        <v>0</v>
      </c>
      <c r="O668" s="69"/>
      <c r="P668" s="149">
        <v>0</v>
      </c>
      <c r="Q668" s="63">
        <f t="shared" si="298"/>
        <v>0</v>
      </c>
      <c r="R668" s="64">
        <f t="shared" si="301"/>
        <v>0</v>
      </c>
      <c r="S668" s="148">
        <v>25</v>
      </c>
      <c r="T668" s="151" t="s">
        <v>15</v>
      </c>
      <c r="U668" s="65">
        <f>SUMIF('Avoided Costs 2012-2020_EGD'!$A:$A,'2012 Actuals_Auditor'!T668&amp;'2012 Actuals_Auditor'!S668,'Avoided Costs 2012-2020_EGD'!$E:$E)*J668</f>
        <v>533720.39984279522</v>
      </c>
      <c r="V668" s="65">
        <f>SUMIF('Avoided Costs 2012-2020_EGD'!$A:$A,'2012 Actuals_Auditor'!T668&amp;'2012 Actuals_Auditor'!S668,'Avoided Costs 2012-2020_EGD'!$K:$K)*N668</f>
        <v>0</v>
      </c>
      <c r="W668" s="65">
        <f>SUMIF('Avoided Costs 2012-2020_EGD'!$A:$A,'2012 Actuals_Auditor'!T668&amp;'2012 Actuals_Auditor'!S668,'Avoided Costs 2012-2020_EGD'!$M:$M)*R668</f>
        <v>0</v>
      </c>
      <c r="X668" s="65">
        <f t="shared" si="307"/>
        <v>533720.39984279522</v>
      </c>
      <c r="Y668" s="146">
        <v>11446</v>
      </c>
      <c r="Z668" s="66">
        <f t="shared" si="302"/>
        <v>9156.8000000000011</v>
      </c>
      <c r="AA668" s="66">
        <v>34665</v>
      </c>
      <c r="AB668" s="66"/>
      <c r="AC668" s="66"/>
      <c r="AD668" s="66">
        <f t="shared" si="303"/>
        <v>9156.8000000000011</v>
      </c>
      <c r="AE668" s="66">
        <f t="shared" si="304"/>
        <v>524563.59984279517</v>
      </c>
      <c r="AF668" s="101">
        <f t="shared" si="305"/>
        <v>3885564.7723119278</v>
      </c>
      <c r="AG668" s="101">
        <f t="shared" si="306"/>
        <v>4856955.9653899092</v>
      </c>
    </row>
    <row r="669" spans="1:33" s="68" customFormat="1" x14ac:dyDescent="0.2">
      <c r="A669" s="147" t="s">
        <v>349</v>
      </c>
      <c r="B669" s="147"/>
      <c r="C669" s="147"/>
      <c r="D669" s="148">
        <v>1</v>
      </c>
      <c r="E669" s="149"/>
      <c r="F669" s="150">
        <v>0.2</v>
      </c>
      <c r="G669" s="150"/>
      <c r="H669" s="67">
        <v>45341</v>
      </c>
      <c r="I669" s="67">
        <f t="shared" si="297"/>
        <v>43340.859346744575</v>
      </c>
      <c r="J669" s="67">
        <f t="shared" si="299"/>
        <v>34672.687477395659</v>
      </c>
      <c r="K669" s="63"/>
      <c r="L669" s="149">
        <v>0</v>
      </c>
      <c r="M669" s="63">
        <f t="shared" si="308"/>
        <v>0</v>
      </c>
      <c r="N669" s="63">
        <f t="shared" si="300"/>
        <v>0</v>
      </c>
      <c r="O669" s="69"/>
      <c r="P669" s="149">
        <v>0</v>
      </c>
      <c r="Q669" s="63">
        <f t="shared" si="298"/>
        <v>0</v>
      </c>
      <c r="R669" s="64">
        <f t="shared" si="301"/>
        <v>0</v>
      </c>
      <c r="S669" s="148">
        <v>25</v>
      </c>
      <c r="T669" s="151" t="s">
        <v>52</v>
      </c>
      <c r="U669" s="65">
        <f>SUMIF('Avoided Costs 2012-2020_EGD'!$A:$A,'2012 Actuals_Auditor'!T669&amp;'2012 Actuals_Auditor'!S669,'Avoided Costs 2012-2020_EGD'!$E:$E)*J669</f>
        <v>111881.5373221828</v>
      </c>
      <c r="V669" s="65">
        <f>SUMIF('Avoided Costs 2012-2020_EGD'!$A:$A,'2012 Actuals_Auditor'!T669&amp;'2012 Actuals_Auditor'!S669,'Avoided Costs 2012-2020_EGD'!$K:$K)*N669</f>
        <v>0</v>
      </c>
      <c r="W669" s="65">
        <f>SUMIF('Avoided Costs 2012-2020_EGD'!$A:$A,'2012 Actuals_Auditor'!T669&amp;'2012 Actuals_Auditor'!S669,'Avoided Costs 2012-2020_EGD'!$M:$M)*R669</f>
        <v>0</v>
      </c>
      <c r="X669" s="65">
        <f t="shared" si="307"/>
        <v>111881.5373221828</v>
      </c>
      <c r="Y669" s="146">
        <v>39034</v>
      </c>
      <c r="Z669" s="66">
        <f t="shared" si="302"/>
        <v>31227.200000000001</v>
      </c>
      <c r="AA669" s="66">
        <v>11529</v>
      </c>
      <c r="AB669" s="66"/>
      <c r="AC669" s="66"/>
      <c r="AD669" s="66">
        <f t="shared" si="303"/>
        <v>31227.200000000001</v>
      </c>
      <c r="AE669" s="66">
        <f t="shared" si="304"/>
        <v>80654.337322182808</v>
      </c>
      <c r="AF669" s="101">
        <f t="shared" si="305"/>
        <v>866817.18693489151</v>
      </c>
      <c r="AG669" s="101">
        <f t="shared" si="306"/>
        <v>1083521.4836686144</v>
      </c>
    </row>
    <row r="670" spans="1:33" s="68" customFormat="1" x14ac:dyDescent="0.2">
      <c r="A670" s="147" t="s">
        <v>350</v>
      </c>
      <c r="B670" s="147"/>
      <c r="C670" s="147"/>
      <c r="D670" s="148">
        <v>1</v>
      </c>
      <c r="E670" s="149"/>
      <c r="F670" s="150">
        <v>0.2</v>
      </c>
      <c r="G670" s="150"/>
      <c r="H670" s="67">
        <v>1861</v>
      </c>
      <c r="I670" s="67">
        <f>H670</f>
        <v>1861</v>
      </c>
      <c r="J670" s="67">
        <f t="shared" si="299"/>
        <v>1488.8000000000002</v>
      </c>
      <c r="K670" s="63"/>
      <c r="L670" s="149">
        <v>0</v>
      </c>
      <c r="M670" s="63">
        <f>L670</f>
        <v>0</v>
      </c>
      <c r="N670" s="63">
        <f t="shared" si="300"/>
        <v>0</v>
      </c>
      <c r="O670" s="69"/>
      <c r="P670" s="149">
        <v>0</v>
      </c>
      <c r="Q670" s="63">
        <f>+P670</f>
        <v>0</v>
      </c>
      <c r="R670" s="64">
        <f t="shared" si="301"/>
        <v>0</v>
      </c>
      <c r="S670" s="148">
        <v>25</v>
      </c>
      <c r="T670" s="151" t="s">
        <v>52</v>
      </c>
      <c r="U670" s="65">
        <f>SUMIF('Avoided Costs 2012-2020_EGD'!$A:$A,'2012 Actuals_Auditor'!T670&amp;'2012 Actuals_Auditor'!S670,'Avoided Costs 2012-2020_EGD'!$E:$E)*J670</f>
        <v>4804.0473607319336</v>
      </c>
      <c r="V670" s="65">
        <f>SUMIF('Avoided Costs 2012-2020_EGD'!$A:$A,'2012 Actuals_Auditor'!T670&amp;'2012 Actuals_Auditor'!S670,'Avoided Costs 2012-2020_EGD'!$K:$K)*N670</f>
        <v>0</v>
      </c>
      <c r="W670" s="65">
        <f>SUMIF('Avoided Costs 2012-2020_EGD'!$A:$A,'2012 Actuals_Auditor'!T670&amp;'2012 Actuals_Auditor'!S670,'Avoided Costs 2012-2020_EGD'!$M:$M)*R670</f>
        <v>0</v>
      </c>
      <c r="X670" s="65">
        <f t="shared" si="307"/>
        <v>4804.0473607319336</v>
      </c>
      <c r="Y670" s="146">
        <v>13500</v>
      </c>
      <c r="Z670" s="66">
        <f t="shared" si="302"/>
        <v>10800</v>
      </c>
      <c r="AA670" s="66">
        <v>400</v>
      </c>
      <c r="AB670" s="66"/>
      <c r="AC670" s="66"/>
      <c r="AD670" s="66">
        <f t="shared" si="303"/>
        <v>10800</v>
      </c>
      <c r="AE670" s="66">
        <f t="shared" si="304"/>
        <v>-5995.9526392680664</v>
      </c>
      <c r="AF670" s="101">
        <f t="shared" si="305"/>
        <v>37220.000000000007</v>
      </c>
      <c r="AG670" s="101">
        <f t="shared" si="306"/>
        <v>46525</v>
      </c>
    </row>
    <row r="671" spans="1:33" s="68" customFormat="1" x14ac:dyDescent="0.2">
      <c r="A671" s="147" t="s">
        <v>351</v>
      </c>
      <c r="B671" s="147"/>
      <c r="C671" s="147"/>
      <c r="D671" s="148">
        <v>1</v>
      </c>
      <c r="E671" s="149"/>
      <c r="F671" s="150">
        <v>0.2</v>
      </c>
      <c r="G671" s="150"/>
      <c r="H671" s="67">
        <v>43151</v>
      </c>
      <c r="I671" s="67">
        <f t="shared" ref="I671:I702" si="309">+$H$42*H671</f>
        <v>41247.46745046151</v>
      </c>
      <c r="J671" s="67">
        <f t="shared" si="299"/>
        <v>32997.973960369207</v>
      </c>
      <c r="K671" s="63"/>
      <c r="L671" s="149">
        <v>48840</v>
      </c>
      <c r="M671" s="63">
        <f t="shared" si="308"/>
        <v>48840</v>
      </c>
      <c r="N671" s="63">
        <f t="shared" si="300"/>
        <v>39072</v>
      </c>
      <c r="O671" s="69"/>
      <c r="P671" s="149">
        <v>0</v>
      </c>
      <c r="Q671" s="63">
        <f t="shared" ref="Q671:Q702" si="310">+P671*$P$42</f>
        <v>0</v>
      </c>
      <c r="R671" s="64">
        <f t="shared" si="301"/>
        <v>0</v>
      </c>
      <c r="S671" s="148">
        <v>15</v>
      </c>
      <c r="T671" s="151" t="s">
        <v>15</v>
      </c>
      <c r="U671" s="65">
        <f>SUMIF('Avoided Costs 2012-2020_EGD'!$A:$A,'2012 Actuals_Auditor'!T671&amp;'2012 Actuals_Auditor'!S671,'Avoided Costs 2012-2020_EGD'!$E:$E)*J671</f>
        <v>80181.9048380436</v>
      </c>
      <c r="V671" s="65">
        <f>SUMIF('Avoided Costs 2012-2020_EGD'!$A:$A,'2012 Actuals_Auditor'!T671&amp;'2012 Actuals_Auditor'!S671,'Avoided Costs 2012-2020_EGD'!$K:$K)*N671</f>
        <v>40235.698016516471</v>
      </c>
      <c r="W671" s="65">
        <f>SUMIF('Avoided Costs 2012-2020_EGD'!$A:$A,'2012 Actuals_Auditor'!T671&amp;'2012 Actuals_Auditor'!S671,'Avoided Costs 2012-2020_EGD'!$M:$M)*R671</f>
        <v>0</v>
      </c>
      <c r="X671" s="65">
        <f t="shared" si="307"/>
        <v>120417.60285456007</v>
      </c>
      <c r="Y671" s="146">
        <v>15800</v>
      </c>
      <c r="Z671" s="66">
        <f t="shared" si="302"/>
        <v>12640</v>
      </c>
      <c r="AA671" s="66">
        <v>7900</v>
      </c>
      <c r="AB671" s="66"/>
      <c r="AC671" s="66"/>
      <c r="AD671" s="66">
        <f t="shared" si="303"/>
        <v>12640</v>
      </c>
      <c r="AE671" s="66">
        <f t="shared" si="304"/>
        <v>107777.60285456007</v>
      </c>
      <c r="AF671" s="101">
        <f t="shared" si="305"/>
        <v>494969.60940553813</v>
      </c>
      <c r="AG671" s="101">
        <f t="shared" si="306"/>
        <v>618712.0117569227</v>
      </c>
    </row>
    <row r="672" spans="1:33" s="68" customFormat="1" x14ac:dyDescent="0.2">
      <c r="A672" s="147" t="s">
        <v>352</v>
      </c>
      <c r="B672" s="147"/>
      <c r="C672" s="147"/>
      <c r="D672" s="148">
        <v>1</v>
      </c>
      <c r="E672" s="149"/>
      <c r="F672" s="150">
        <v>0.2</v>
      </c>
      <c r="G672" s="150"/>
      <c r="H672" s="67">
        <v>65384</v>
      </c>
      <c r="I672" s="67">
        <f t="shared" si="309"/>
        <v>62499.696687932497</v>
      </c>
      <c r="J672" s="67">
        <f t="shared" si="299"/>
        <v>49999.757350346001</v>
      </c>
      <c r="K672" s="63"/>
      <c r="L672" s="149">
        <v>0</v>
      </c>
      <c r="M672" s="63">
        <f t="shared" si="308"/>
        <v>0</v>
      </c>
      <c r="N672" s="63">
        <f t="shared" si="300"/>
        <v>0</v>
      </c>
      <c r="O672" s="69"/>
      <c r="P672" s="149">
        <v>0</v>
      </c>
      <c r="Q672" s="63">
        <f t="shared" si="310"/>
        <v>0</v>
      </c>
      <c r="R672" s="64">
        <f t="shared" si="301"/>
        <v>0</v>
      </c>
      <c r="S672" s="148">
        <v>25</v>
      </c>
      <c r="T672" s="151" t="s">
        <v>15</v>
      </c>
      <c r="U672" s="65">
        <f>SUMIF('Avoided Costs 2012-2020_EGD'!$A:$A,'2012 Actuals_Auditor'!T672&amp;'2012 Actuals_Auditor'!S672,'Avoided Costs 2012-2020_EGD'!$E:$E)*J672</f>
        <v>171698.9166879284</v>
      </c>
      <c r="V672" s="65">
        <f>SUMIF('Avoided Costs 2012-2020_EGD'!$A:$A,'2012 Actuals_Auditor'!T672&amp;'2012 Actuals_Auditor'!S672,'Avoided Costs 2012-2020_EGD'!$K:$K)*N672</f>
        <v>0</v>
      </c>
      <c r="W672" s="65">
        <f>SUMIF('Avoided Costs 2012-2020_EGD'!$A:$A,'2012 Actuals_Auditor'!T672&amp;'2012 Actuals_Auditor'!S672,'Avoided Costs 2012-2020_EGD'!$M:$M)*R672</f>
        <v>0</v>
      </c>
      <c r="X672" s="65">
        <f t="shared" si="307"/>
        <v>171698.9166879284</v>
      </c>
      <c r="Y672" s="146">
        <v>15753</v>
      </c>
      <c r="Z672" s="66">
        <f t="shared" si="302"/>
        <v>12602.400000000001</v>
      </c>
      <c r="AA672" s="66">
        <v>13703</v>
      </c>
      <c r="AB672" s="66"/>
      <c r="AC672" s="66"/>
      <c r="AD672" s="66">
        <f t="shared" si="303"/>
        <v>12602.400000000001</v>
      </c>
      <c r="AE672" s="66">
        <f t="shared" si="304"/>
        <v>159096.51668792841</v>
      </c>
      <c r="AF672" s="101">
        <f t="shared" si="305"/>
        <v>1249993.93375865</v>
      </c>
      <c r="AG672" s="101">
        <f t="shared" si="306"/>
        <v>1562492.4171983125</v>
      </c>
    </row>
    <row r="673" spans="1:33" s="68" customFormat="1" x14ac:dyDescent="0.2">
      <c r="A673" s="147" t="s">
        <v>353</v>
      </c>
      <c r="B673" s="147"/>
      <c r="C673" s="147"/>
      <c r="D673" s="148">
        <v>1</v>
      </c>
      <c r="E673" s="149"/>
      <c r="F673" s="150">
        <v>0.2</v>
      </c>
      <c r="G673" s="150"/>
      <c r="H673" s="67">
        <v>63451</v>
      </c>
      <c r="I673" s="67">
        <f t="shared" si="309"/>
        <v>60651.96767628174</v>
      </c>
      <c r="J673" s="67">
        <f t="shared" si="299"/>
        <v>48521.574141025398</v>
      </c>
      <c r="K673" s="63"/>
      <c r="L673" s="149">
        <v>0</v>
      </c>
      <c r="M673" s="63">
        <f t="shared" si="308"/>
        <v>0</v>
      </c>
      <c r="N673" s="63">
        <f t="shared" si="300"/>
        <v>0</v>
      </c>
      <c r="O673" s="69"/>
      <c r="P673" s="149">
        <v>0</v>
      </c>
      <c r="Q673" s="63">
        <f t="shared" si="310"/>
        <v>0</v>
      </c>
      <c r="R673" s="64">
        <f t="shared" si="301"/>
        <v>0</v>
      </c>
      <c r="S673" s="148">
        <v>25</v>
      </c>
      <c r="T673" s="151" t="s">
        <v>15</v>
      </c>
      <c r="U673" s="65">
        <f>SUMIF('Avoided Costs 2012-2020_EGD'!$A:$A,'2012 Actuals_Auditor'!T673&amp;'2012 Actuals_Auditor'!S673,'Avoided Costs 2012-2020_EGD'!$E:$E)*J673</f>
        <v>166622.84293964499</v>
      </c>
      <c r="V673" s="65">
        <f>SUMIF('Avoided Costs 2012-2020_EGD'!$A:$A,'2012 Actuals_Auditor'!T673&amp;'2012 Actuals_Auditor'!S673,'Avoided Costs 2012-2020_EGD'!$K:$K)*N673</f>
        <v>0</v>
      </c>
      <c r="W673" s="65">
        <f>SUMIF('Avoided Costs 2012-2020_EGD'!$A:$A,'2012 Actuals_Auditor'!T673&amp;'2012 Actuals_Auditor'!S673,'Avoided Costs 2012-2020_EGD'!$M:$M)*R673</f>
        <v>0</v>
      </c>
      <c r="X673" s="65">
        <f t="shared" si="307"/>
        <v>166622.84293964499</v>
      </c>
      <c r="Y673" s="146">
        <v>15753</v>
      </c>
      <c r="Z673" s="66">
        <f t="shared" si="302"/>
        <v>12602.400000000001</v>
      </c>
      <c r="AA673" s="66">
        <v>13182</v>
      </c>
      <c r="AB673" s="66"/>
      <c r="AC673" s="66"/>
      <c r="AD673" s="66">
        <f t="shared" si="303"/>
        <v>12602.400000000001</v>
      </c>
      <c r="AE673" s="66">
        <f t="shared" si="304"/>
        <v>154020.442939645</v>
      </c>
      <c r="AF673" s="101">
        <f t="shared" si="305"/>
        <v>1213039.3535256349</v>
      </c>
      <c r="AG673" s="101">
        <f t="shared" si="306"/>
        <v>1516299.1919070436</v>
      </c>
    </row>
    <row r="674" spans="1:33" s="68" customFormat="1" x14ac:dyDescent="0.2">
      <c r="A674" s="147" t="s">
        <v>354</v>
      </c>
      <c r="B674" s="147"/>
      <c r="C674" s="147"/>
      <c r="D674" s="148">
        <v>1</v>
      </c>
      <c r="E674" s="149"/>
      <c r="F674" s="150">
        <v>0.2</v>
      </c>
      <c r="G674" s="150"/>
      <c r="H674" s="67">
        <v>41725</v>
      </c>
      <c r="I674" s="67">
        <f t="shared" si="309"/>
        <v>39884.373001100932</v>
      </c>
      <c r="J674" s="67">
        <f t="shared" si="299"/>
        <v>31907.498400880748</v>
      </c>
      <c r="K674" s="63"/>
      <c r="L674" s="149">
        <v>46957</v>
      </c>
      <c r="M674" s="63">
        <f t="shared" si="308"/>
        <v>46957</v>
      </c>
      <c r="N674" s="63">
        <f t="shared" si="300"/>
        <v>37565.599999999999</v>
      </c>
      <c r="O674" s="69"/>
      <c r="P674" s="149">
        <v>0</v>
      </c>
      <c r="Q674" s="63">
        <f t="shared" si="310"/>
        <v>0</v>
      </c>
      <c r="R674" s="64">
        <f t="shared" si="301"/>
        <v>0</v>
      </c>
      <c r="S674" s="148">
        <v>15</v>
      </c>
      <c r="T674" s="151" t="s">
        <v>15</v>
      </c>
      <c r="U674" s="65">
        <f>SUMIF('Avoided Costs 2012-2020_EGD'!$A:$A,'2012 Actuals_Auditor'!T674&amp;'2012 Actuals_Auditor'!S674,'Avoided Costs 2012-2020_EGD'!$E:$E)*J674</f>
        <v>77532.154048976139</v>
      </c>
      <c r="V674" s="65">
        <f>SUMIF('Avoided Costs 2012-2020_EGD'!$A:$A,'2012 Actuals_Auditor'!T674&amp;'2012 Actuals_Auditor'!S674,'Avoided Costs 2012-2020_EGD'!$K:$K)*N674</f>
        <v>38684.432263750277</v>
      </c>
      <c r="W674" s="65">
        <f>SUMIF('Avoided Costs 2012-2020_EGD'!$A:$A,'2012 Actuals_Auditor'!T674&amp;'2012 Actuals_Auditor'!S674,'Avoided Costs 2012-2020_EGD'!$M:$M)*R674</f>
        <v>0</v>
      </c>
      <c r="X674" s="65">
        <f t="shared" si="307"/>
        <v>116216.58631272642</v>
      </c>
      <c r="Y674" s="146">
        <v>16690</v>
      </c>
      <c r="Z674" s="66">
        <f t="shared" si="302"/>
        <v>13352</v>
      </c>
      <c r="AA674" s="66">
        <v>8345</v>
      </c>
      <c r="AB674" s="66"/>
      <c r="AC674" s="66"/>
      <c r="AD674" s="66">
        <f t="shared" si="303"/>
        <v>13352</v>
      </c>
      <c r="AE674" s="66">
        <f t="shared" si="304"/>
        <v>102864.58631272642</v>
      </c>
      <c r="AF674" s="101">
        <f t="shared" si="305"/>
        <v>478612.47601321124</v>
      </c>
      <c r="AG674" s="101">
        <f t="shared" si="306"/>
        <v>598265.59501651395</v>
      </c>
    </row>
    <row r="675" spans="1:33" s="68" customFormat="1" x14ac:dyDescent="0.2">
      <c r="A675" s="147" t="s">
        <v>355</v>
      </c>
      <c r="B675" s="147"/>
      <c r="C675" s="147"/>
      <c r="D675" s="148">
        <v>1</v>
      </c>
      <c r="E675" s="149"/>
      <c r="F675" s="150">
        <v>0.2</v>
      </c>
      <c r="G675" s="150"/>
      <c r="H675" s="67">
        <v>32283</v>
      </c>
      <c r="I675" s="67">
        <f t="shared" si="309"/>
        <v>30858.890679317952</v>
      </c>
      <c r="J675" s="67">
        <f t="shared" si="299"/>
        <v>24687.112543454365</v>
      </c>
      <c r="K675" s="63"/>
      <c r="L675" s="149">
        <v>0</v>
      </c>
      <c r="M675" s="63">
        <f t="shared" si="308"/>
        <v>0</v>
      </c>
      <c r="N675" s="63">
        <f t="shared" si="300"/>
        <v>0</v>
      </c>
      <c r="O675" s="69"/>
      <c r="P675" s="149">
        <v>0</v>
      </c>
      <c r="Q675" s="63">
        <f t="shared" si="310"/>
        <v>0</v>
      </c>
      <c r="R675" s="64">
        <f t="shared" si="301"/>
        <v>0</v>
      </c>
      <c r="S675" s="148">
        <v>25</v>
      </c>
      <c r="T675" s="151" t="s">
        <v>15</v>
      </c>
      <c r="U675" s="65">
        <f>SUMIF('Avoided Costs 2012-2020_EGD'!$A:$A,'2012 Actuals_Auditor'!T675&amp;'2012 Actuals_Auditor'!S675,'Avoided Costs 2012-2020_EGD'!$E:$E)*J675</f>
        <v>84775.421011813189</v>
      </c>
      <c r="V675" s="65">
        <f>SUMIF('Avoided Costs 2012-2020_EGD'!$A:$A,'2012 Actuals_Auditor'!T675&amp;'2012 Actuals_Auditor'!S675,'Avoided Costs 2012-2020_EGD'!$K:$K)*N675</f>
        <v>0</v>
      </c>
      <c r="W675" s="65">
        <f>SUMIF('Avoided Costs 2012-2020_EGD'!$A:$A,'2012 Actuals_Auditor'!T675&amp;'2012 Actuals_Auditor'!S675,'Avoided Costs 2012-2020_EGD'!$M:$M)*R675</f>
        <v>0</v>
      </c>
      <c r="X675" s="65">
        <f t="shared" si="307"/>
        <v>84775.421011813189</v>
      </c>
      <c r="Y675" s="146">
        <v>30524</v>
      </c>
      <c r="Z675" s="66">
        <f t="shared" si="302"/>
        <v>24419.200000000001</v>
      </c>
      <c r="AA675" s="66">
        <v>7004</v>
      </c>
      <c r="AB675" s="66"/>
      <c r="AC675" s="66"/>
      <c r="AD675" s="66">
        <f t="shared" si="303"/>
        <v>24419.200000000001</v>
      </c>
      <c r="AE675" s="66">
        <f t="shared" si="304"/>
        <v>60356.221011813192</v>
      </c>
      <c r="AF675" s="101">
        <f t="shared" si="305"/>
        <v>617177.81358635915</v>
      </c>
      <c r="AG675" s="101">
        <f t="shared" si="306"/>
        <v>771472.26698294876</v>
      </c>
    </row>
    <row r="676" spans="1:33" s="68" customFormat="1" x14ac:dyDescent="0.2">
      <c r="A676" s="147" t="s">
        <v>356</v>
      </c>
      <c r="B676" s="147"/>
      <c r="C676" s="147"/>
      <c r="D676" s="148">
        <v>1</v>
      </c>
      <c r="E676" s="149"/>
      <c r="F676" s="150">
        <v>0.2</v>
      </c>
      <c r="G676" s="150"/>
      <c r="H676" s="67">
        <v>21636</v>
      </c>
      <c r="I676" s="67">
        <f t="shared" si="309"/>
        <v>20681.564871223964</v>
      </c>
      <c r="J676" s="67">
        <f t="shared" si="299"/>
        <v>16545.251896979171</v>
      </c>
      <c r="K676" s="63"/>
      <c r="L676" s="149">
        <v>0</v>
      </c>
      <c r="M676" s="63">
        <f t="shared" si="308"/>
        <v>0</v>
      </c>
      <c r="N676" s="63">
        <f t="shared" si="300"/>
        <v>0</v>
      </c>
      <c r="O676" s="69"/>
      <c r="P676" s="149">
        <v>0</v>
      </c>
      <c r="Q676" s="63">
        <f t="shared" si="310"/>
        <v>0</v>
      </c>
      <c r="R676" s="64">
        <f t="shared" si="301"/>
        <v>0</v>
      </c>
      <c r="S676" s="148">
        <v>25</v>
      </c>
      <c r="T676" s="151" t="s">
        <v>52</v>
      </c>
      <c r="U676" s="65">
        <f>SUMIF('Avoided Costs 2012-2020_EGD'!$A:$A,'2012 Actuals_Auditor'!T676&amp;'2012 Actuals_Auditor'!S676,'Avoided Costs 2012-2020_EGD'!$E:$E)*J676</f>
        <v>53388.080137243283</v>
      </c>
      <c r="V676" s="65">
        <f>SUMIF('Avoided Costs 2012-2020_EGD'!$A:$A,'2012 Actuals_Auditor'!T676&amp;'2012 Actuals_Auditor'!S676,'Avoided Costs 2012-2020_EGD'!$K:$K)*N676</f>
        <v>0</v>
      </c>
      <c r="W676" s="65">
        <f>SUMIF('Avoided Costs 2012-2020_EGD'!$A:$A,'2012 Actuals_Auditor'!T676&amp;'2012 Actuals_Auditor'!S676,'Avoided Costs 2012-2020_EGD'!$M:$M)*R676</f>
        <v>0</v>
      </c>
      <c r="X676" s="65">
        <f t="shared" si="307"/>
        <v>53388.080137243283</v>
      </c>
      <c r="Y676" s="146">
        <v>30864</v>
      </c>
      <c r="Z676" s="66">
        <f t="shared" si="302"/>
        <v>24691.200000000001</v>
      </c>
      <c r="AA676" s="66">
        <v>4786</v>
      </c>
      <c r="AB676" s="66"/>
      <c r="AC676" s="66"/>
      <c r="AD676" s="66">
        <f t="shared" si="303"/>
        <v>24691.200000000001</v>
      </c>
      <c r="AE676" s="66">
        <f t="shared" si="304"/>
        <v>28696.880137243283</v>
      </c>
      <c r="AF676" s="101">
        <f t="shared" si="305"/>
        <v>413631.29742447927</v>
      </c>
      <c r="AG676" s="101">
        <f t="shared" si="306"/>
        <v>517039.12178059912</v>
      </c>
    </row>
    <row r="677" spans="1:33" s="68" customFormat="1" x14ac:dyDescent="0.2">
      <c r="A677" s="147" t="s">
        <v>357</v>
      </c>
      <c r="B677" s="147"/>
      <c r="C677" s="147"/>
      <c r="D677" s="148">
        <v>0</v>
      </c>
      <c r="E677" s="149"/>
      <c r="F677" s="150">
        <v>0.2</v>
      </c>
      <c r="G677" s="150"/>
      <c r="H677" s="67">
        <v>8692</v>
      </c>
      <c r="I677" s="67">
        <f t="shared" si="309"/>
        <v>8308.5672888093304</v>
      </c>
      <c r="J677" s="67">
        <f t="shared" si="299"/>
        <v>6646.8538310474651</v>
      </c>
      <c r="K677" s="63"/>
      <c r="L677" s="149">
        <v>0</v>
      </c>
      <c r="M677" s="63">
        <f t="shared" si="308"/>
        <v>0</v>
      </c>
      <c r="N677" s="63">
        <f t="shared" si="300"/>
        <v>0</v>
      </c>
      <c r="O677" s="69"/>
      <c r="P677" s="149">
        <v>0</v>
      </c>
      <c r="Q677" s="63">
        <f t="shared" si="310"/>
        <v>0</v>
      </c>
      <c r="R677" s="64">
        <f t="shared" si="301"/>
        <v>0</v>
      </c>
      <c r="S677" s="148">
        <v>25</v>
      </c>
      <c r="T677" s="151" t="s">
        <v>52</v>
      </c>
      <c r="U677" s="65">
        <f>SUMIF('Avoided Costs 2012-2020_EGD'!$A:$A,'2012 Actuals_Auditor'!T677&amp;'2012 Actuals_Auditor'!S677,'Avoided Costs 2012-2020_EGD'!$E:$E)*J677</f>
        <v>21448.012227441239</v>
      </c>
      <c r="V677" s="65">
        <f>SUMIF('Avoided Costs 2012-2020_EGD'!$A:$A,'2012 Actuals_Auditor'!T677&amp;'2012 Actuals_Auditor'!S677,'Avoided Costs 2012-2020_EGD'!$K:$K)*N677</f>
        <v>0</v>
      </c>
      <c r="W677" s="65">
        <f>SUMIF('Avoided Costs 2012-2020_EGD'!$A:$A,'2012 Actuals_Auditor'!T677&amp;'2012 Actuals_Auditor'!S677,'Avoided Costs 2012-2020_EGD'!$M:$M)*R677</f>
        <v>0</v>
      </c>
      <c r="X677" s="65">
        <f t="shared" si="307"/>
        <v>21448.012227441239</v>
      </c>
      <c r="Y677" s="146">
        <v>11606</v>
      </c>
      <c r="Z677" s="66">
        <f t="shared" si="302"/>
        <v>9284.8000000000011</v>
      </c>
      <c r="AA677" s="66">
        <v>2000</v>
      </c>
      <c r="AB677" s="66"/>
      <c r="AC677" s="66"/>
      <c r="AD677" s="66">
        <f t="shared" si="303"/>
        <v>9284.8000000000011</v>
      </c>
      <c r="AE677" s="66">
        <f t="shared" si="304"/>
        <v>12163.212227441238</v>
      </c>
      <c r="AF677" s="101">
        <f t="shared" si="305"/>
        <v>166171.34577618662</v>
      </c>
      <c r="AG677" s="101">
        <f t="shared" si="306"/>
        <v>207714.18222023326</v>
      </c>
    </row>
    <row r="678" spans="1:33" s="68" customFormat="1" x14ac:dyDescent="0.2">
      <c r="A678" s="147" t="s">
        <v>358</v>
      </c>
      <c r="B678" s="147"/>
      <c r="C678" s="147"/>
      <c r="D678" s="148">
        <v>1</v>
      </c>
      <c r="E678" s="149"/>
      <c r="F678" s="150">
        <v>0.2</v>
      </c>
      <c r="G678" s="150"/>
      <c r="H678" s="67">
        <v>4062</v>
      </c>
      <c r="I678" s="67">
        <f t="shared" si="309"/>
        <v>3882.8118185853086</v>
      </c>
      <c r="J678" s="67">
        <f t="shared" si="299"/>
        <v>3106.2494548682471</v>
      </c>
      <c r="K678" s="63"/>
      <c r="L678" s="149">
        <v>0</v>
      </c>
      <c r="M678" s="63">
        <f t="shared" si="308"/>
        <v>0</v>
      </c>
      <c r="N678" s="63">
        <f t="shared" si="300"/>
        <v>0</v>
      </c>
      <c r="O678" s="69"/>
      <c r="P678" s="149">
        <v>0</v>
      </c>
      <c r="Q678" s="63">
        <f t="shared" si="310"/>
        <v>0</v>
      </c>
      <c r="R678" s="64">
        <f t="shared" si="301"/>
        <v>0</v>
      </c>
      <c r="S678" s="148">
        <v>25</v>
      </c>
      <c r="T678" s="151" t="s">
        <v>15</v>
      </c>
      <c r="U678" s="65">
        <f>SUMIF('Avoided Costs 2012-2020_EGD'!$A:$A,'2012 Actuals_Auditor'!T678&amp;'2012 Actuals_Auditor'!S678,'Avoided Costs 2012-2020_EGD'!$E:$E)*J678</f>
        <v>10666.845093392347</v>
      </c>
      <c r="V678" s="65">
        <f>SUMIF('Avoided Costs 2012-2020_EGD'!$A:$A,'2012 Actuals_Auditor'!T678&amp;'2012 Actuals_Auditor'!S678,'Avoided Costs 2012-2020_EGD'!$K:$K)*N678</f>
        <v>0</v>
      </c>
      <c r="W678" s="65">
        <f>SUMIF('Avoided Costs 2012-2020_EGD'!$A:$A,'2012 Actuals_Auditor'!T678&amp;'2012 Actuals_Auditor'!S678,'Avoided Costs 2012-2020_EGD'!$M:$M)*R678</f>
        <v>0</v>
      </c>
      <c r="X678" s="65">
        <f t="shared" si="307"/>
        <v>10666.845093392347</v>
      </c>
      <c r="Y678" s="146">
        <v>14478</v>
      </c>
      <c r="Z678" s="66">
        <f t="shared" si="302"/>
        <v>11582.400000000001</v>
      </c>
      <c r="AA678" s="66">
        <v>797</v>
      </c>
      <c r="AB678" s="66"/>
      <c r="AC678" s="66"/>
      <c r="AD678" s="66">
        <f t="shared" si="303"/>
        <v>11582.400000000001</v>
      </c>
      <c r="AE678" s="66">
        <f t="shared" si="304"/>
        <v>-915.55490660765463</v>
      </c>
      <c r="AF678" s="101">
        <f t="shared" si="305"/>
        <v>77656.236371706182</v>
      </c>
      <c r="AG678" s="101">
        <f t="shared" si="306"/>
        <v>97070.295464632713</v>
      </c>
    </row>
    <row r="679" spans="1:33" s="68" customFormat="1" x14ac:dyDescent="0.2">
      <c r="A679" s="147" t="s">
        <v>359</v>
      </c>
      <c r="B679" s="147"/>
      <c r="C679" s="147"/>
      <c r="D679" s="148">
        <v>1</v>
      </c>
      <c r="E679" s="149"/>
      <c r="F679" s="150">
        <v>0.2</v>
      </c>
      <c r="G679" s="150"/>
      <c r="H679" s="67">
        <v>38160</v>
      </c>
      <c r="I679" s="67">
        <f t="shared" si="309"/>
        <v>36476.6368776995</v>
      </c>
      <c r="J679" s="67">
        <f t="shared" si="299"/>
        <v>29181.309502159602</v>
      </c>
      <c r="K679" s="63"/>
      <c r="L679" s="149">
        <v>74909</v>
      </c>
      <c r="M679" s="63">
        <f t="shared" si="308"/>
        <v>74909</v>
      </c>
      <c r="N679" s="63">
        <f t="shared" si="300"/>
        <v>59927.200000000004</v>
      </c>
      <c r="O679" s="69"/>
      <c r="P679" s="149">
        <v>0</v>
      </c>
      <c r="Q679" s="63">
        <f t="shared" si="310"/>
        <v>0</v>
      </c>
      <c r="R679" s="64">
        <f t="shared" si="301"/>
        <v>0</v>
      </c>
      <c r="S679" s="148">
        <v>15</v>
      </c>
      <c r="T679" s="151" t="s">
        <v>15</v>
      </c>
      <c r="U679" s="65">
        <f>SUMIF('Avoided Costs 2012-2020_EGD'!$A:$A,'2012 Actuals_Auditor'!T679&amp;'2012 Actuals_Auditor'!S679,'Avoided Costs 2012-2020_EGD'!$E:$E)*J679</f>
        <v>70907.77707630748</v>
      </c>
      <c r="V679" s="65">
        <f>SUMIF('Avoided Costs 2012-2020_EGD'!$A:$A,'2012 Actuals_Auditor'!T679&amp;'2012 Actuals_Auditor'!S679,'Avoided Costs 2012-2020_EGD'!$K:$K)*N679</f>
        <v>61712.037320213603</v>
      </c>
      <c r="W679" s="65">
        <f>SUMIF('Avoided Costs 2012-2020_EGD'!$A:$A,'2012 Actuals_Auditor'!T679&amp;'2012 Actuals_Auditor'!S679,'Avoided Costs 2012-2020_EGD'!$M:$M)*R679</f>
        <v>0</v>
      </c>
      <c r="X679" s="65">
        <f t="shared" si="307"/>
        <v>132619.81439652108</v>
      </c>
      <c r="Y679" s="146">
        <v>8975</v>
      </c>
      <c r="Z679" s="66">
        <f t="shared" si="302"/>
        <v>7180</v>
      </c>
      <c r="AA679" s="66">
        <v>3816</v>
      </c>
      <c r="AB679" s="66"/>
      <c r="AC679" s="66"/>
      <c r="AD679" s="66">
        <f t="shared" si="303"/>
        <v>7180</v>
      </c>
      <c r="AE679" s="66">
        <f t="shared" si="304"/>
        <v>125439.81439652108</v>
      </c>
      <c r="AF679" s="101">
        <f t="shared" si="305"/>
        <v>437719.64253239403</v>
      </c>
      <c r="AG679" s="101">
        <f t="shared" si="306"/>
        <v>547149.55316549249</v>
      </c>
    </row>
    <row r="680" spans="1:33" s="68" customFormat="1" x14ac:dyDescent="0.2">
      <c r="A680" s="147" t="s">
        <v>360</v>
      </c>
      <c r="B680" s="147"/>
      <c r="C680" s="147"/>
      <c r="D680" s="148">
        <v>1</v>
      </c>
      <c r="E680" s="149"/>
      <c r="F680" s="150">
        <v>0.2</v>
      </c>
      <c r="G680" s="150"/>
      <c r="H680" s="67">
        <v>45169</v>
      </c>
      <c r="I680" s="67">
        <f t="shared" si="309"/>
        <v>43176.446832515954</v>
      </c>
      <c r="J680" s="67">
        <f t="shared" si="299"/>
        <v>34541.157466012766</v>
      </c>
      <c r="K680" s="63"/>
      <c r="L680" s="149">
        <v>50993</v>
      </c>
      <c r="M680" s="63">
        <f t="shared" si="308"/>
        <v>50993</v>
      </c>
      <c r="N680" s="63">
        <f t="shared" si="300"/>
        <v>40794.400000000001</v>
      </c>
      <c r="O680" s="69"/>
      <c r="P680" s="149">
        <v>0</v>
      </c>
      <c r="Q680" s="63">
        <f t="shared" si="310"/>
        <v>0</v>
      </c>
      <c r="R680" s="64">
        <f t="shared" si="301"/>
        <v>0</v>
      </c>
      <c r="S680" s="148">
        <v>15</v>
      </c>
      <c r="T680" s="151" t="s">
        <v>15</v>
      </c>
      <c r="U680" s="65">
        <f>SUMIF('Avoided Costs 2012-2020_EGD'!$A:$A,'2012 Actuals_Auditor'!T680&amp;'2012 Actuals_Auditor'!S680,'Avoided Costs 2012-2020_EGD'!$E:$E)*J680</f>
        <v>83931.692420328429</v>
      </c>
      <c r="V680" s="65">
        <f>SUMIF('Avoided Costs 2012-2020_EGD'!$A:$A,'2012 Actuals_Auditor'!T680&amp;'2012 Actuals_Auditor'!S680,'Avoided Costs 2012-2020_EGD'!$K:$K)*N680</f>
        <v>42009.39698927568</v>
      </c>
      <c r="W680" s="65">
        <f>SUMIF('Avoided Costs 2012-2020_EGD'!$A:$A,'2012 Actuals_Auditor'!T680&amp;'2012 Actuals_Auditor'!S680,'Avoided Costs 2012-2020_EGD'!$M:$M)*R680</f>
        <v>0</v>
      </c>
      <c r="X680" s="65">
        <f t="shared" si="307"/>
        <v>125941.08940960412</v>
      </c>
      <c r="Y680" s="146">
        <v>25000</v>
      </c>
      <c r="Z680" s="66">
        <f t="shared" si="302"/>
        <v>20000</v>
      </c>
      <c r="AA680" s="66">
        <v>9034</v>
      </c>
      <c r="AB680" s="66"/>
      <c r="AC680" s="66"/>
      <c r="AD680" s="66">
        <f t="shared" si="303"/>
        <v>20000</v>
      </c>
      <c r="AE680" s="66">
        <f t="shared" si="304"/>
        <v>105941.08940960412</v>
      </c>
      <c r="AF680" s="101">
        <f t="shared" si="305"/>
        <v>518117.36199019151</v>
      </c>
      <c r="AG680" s="101">
        <f t="shared" si="306"/>
        <v>647646.70248773927</v>
      </c>
    </row>
    <row r="681" spans="1:33" s="68" customFormat="1" x14ac:dyDescent="0.2">
      <c r="A681" s="147" t="s">
        <v>361</v>
      </c>
      <c r="B681" s="147"/>
      <c r="C681" s="147"/>
      <c r="D681" s="148">
        <v>0</v>
      </c>
      <c r="E681" s="149"/>
      <c r="F681" s="150">
        <v>0.2</v>
      </c>
      <c r="G681" s="150"/>
      <c r="H681" s="67">
        <v>4606</v>
      </c>
      <c r="I681" s="67">
        <f t="shared" si="309"/>
        <v>4402.8141891688656</v>
      </c>
      <c r="J681" s="67">
        <f t="shared" si="299"/>
        <v>3522.2513513350927</v>
      </c>
      <c r="K681" s="63"/>
      <c r="L681" s="149">
        <v>0</v>
      </c>
      <c r="M681" s="63">
        <f t="shared" si="308"/>
        <v>0</v>
      </c>
      <c r="N681" s="63">
        <f t="shared" si="300"/>
        <v>0</v>
      </c>
      <c r="O681" s="69"/>
      <c r="P681" s="149">
        <v>0</v>
      </c>
      <c r="Q681" s="63">
        <f t="shared" si="310"/>
        <v>0</v>
      </c>
      <c r="R681" s="64">
        <f t="shared" si="301"/>
        <v>0</v>
      </c>
      <c r="S681" s="148">
        <v>15</v>
      </c>
      <c r="T681" s="151" t="s">
        <v>52</v>
      </c>
      <c r="U681" s="65">
        <f>SUMIF('Avoided Costs 2012-2020_EGD'!$A:$A,'2012 Actuals_Auditor'!T681&amp;'2012 Actuals_Auditor'!S681,'Avoided Costs 2012-2020_EGD'!$E:$E)*J681</f>
        <v>8048.3382616697454</v>
      </c>
      <c r="V681" s="65">
        <f>SUMIF('Avoided Costs 2012-2020_EGD'!$A:$A,'2012 Actuals_Auditor'!T681&amp;'2012 Actuals_Auditor'!S681,'Avoided Costs 2012-2020_EGD'!$K:$K)*N681</f>
        <v>0</v>
      </c>
      <c r="W681" s="65">
        <f>SUMIF('Avoided Costs 2012-2020_EGD'!$A:$A,'2012 Actuals_Auditor'!T681&amp;'2012 Actuals_Auditor'!S681,'Avoided Costs 2012-2020_EGD'!$M:$M)*R681</f>
        <v>0</v>
      </c>
      <c r="X681" s="65">
        <f t="shared" si="307"/>
        <v>8048.3382616697454</v>
      </c>
      <c r="Y681" s="146">
        <v>3000</v>
      </c>
      <c r="Z681" s="66">
        <f t="shared" si="302"/>
        <v>2400</v>
      </c>
      <c r="AA681" s="66">
        <v>461</v>
      </c>
      <c r="AB681" s="66"/>
      <c r="AC681" s="66"/>
      <c r="AD681" s="66">
        <f t="shared" si="303"/>
        <v>2400</v>
      </c>
      <c r="AE681" s="66">
        <f t="shared" si="304"/>
        <v>5648.3382616697454</v>
      </c>
      <c r="AF681" s="101">
        <f t="shared" si="305"/>
        <v>52833.770270026391</v>
      </c>
      <c r="AG681" s="101">
        <f t="shared" si="306"/>
        <v>66042.212837532978</v>
      </c>
    </row>
    <row r="682" spans="1:33" s="68" customFormat="1" x14ac:dyDescent="0.2">
      <c r="A682" s="147" t="s">
        <v>362</v>
      </c>
      <c r="B682" s="147"/>
      <c r="C682" s="147"/>
      <c r="D682" s="148">
        <v>0</v>
      </c>
      <c r="E682" s="149"/>
      <c r="F682" s="150">
        <v>0.2</v>
      </c>
      <c r="G682" s="150"/>
      <c r="H682" s="67">
        <v>49163</v>
      </c>
      <c r="I682" s="67">
        <f t="shared" si="309"/>
        <v>46994.258354778314</v>
      </c>
      <c r="J682" s="67">
        <f t="shared" si="299"/>
        <v>37595.40668382265</v>
      </c>
      <c r="K682" s="63"/>
      <c r="L682" s="149">
        <v>57866</v>
      </c>
      <c r="M682" s="63">
        <f t="shared" si="308"/>
        <v>57866</v>
      </c>
      <c r="N682" s="63">
        <f t="shared" si="300"/>
        <v>46292.800000000003</v>
      </c>
      <c r="O682" s="69"/>
      <c r="P682" s="149">
        <v>0</v>
      </c>
      <c r="Q682" s="63">
        <f t="shared" si="310"/>
        <v>0</v>
      </c>
      <c r="R682" s="64">
        <f t="shared" si="301"/>
        <v>0</v>
      </c>
      <c r="S682" s="148">
        <v>15</v>
      </c>
      <c r="T682" s="151" t="s">
        <v>15</v>
      </c>
      <c r="U682" s="65">
        <f>SUMIF('Avoided Costs 2012-2020_EGD'!$A:$A,'2012 Actuals_Auditor'!T682&amp;'2012 Actuals_Auditor'!S682,'Avoided Costs 2012-2020_EGD'!$E:$E)*J682</f>
        <v>91353.224434027885</v>
      </c>
      <c r="V682" s="65">
        <f>SUMIF('Avoided Costs 2012-2020_EGD'!$A:$A,'2012 Actuals_Auditor'!T682&amp;'2012 Actuals_Auditor'!S682,'Avoided Costs 2012-2020_EGD'!$K:$K)*N682</f>
        <v>47671.5581782093</v>
      </c>
      <c r="W682" s="65">
        <f>SUMIF('Avoided Costs 2012-2020_EGD'!$A:$A,'2012 Actuals_Auditor'!T682&amp;'2012 Actuals_Auditor'!S682,'Avoided Costs 2012-2020_EGD'!$M:$M)*R682</f>
        <v>0</v>
      </c>
      <c r="X682" s="65">
        <f t="shared" si="307"/>
        <v>139024.78261223718</v>
      </c>
      <c r="Y682" s="146">
        <v>20000</v>
      </c>
      <c r="Z682" s="66">
        <f t="shared" si="302"/>
        <v>16000</v>
      </c>
      <c r="AA682" s="66">
        <v>9833</v>
      </c>
      <c r="AB682" s="66"/>
      <c r="AC682" s="66"/>
      <c r="AD682" s="66">
        <f t="shared" si="303"/>
        <v>16000</v>
      </c>
      <c r="AE682" s="66">
        <f t="shared" si="304"/>
        <v>123024.78261223718</v>
      </c>
      <c r="AF682" s="101">
        <f t="shared" si="305"/>
        <v>563931.10025733977</v>
      </c>
      <c r="AG682" s="101">
        <f t="shared" si="306"/>
        <v>704913.87532167474</v>
      </c>
    </row>
    <row r="683" spans="1:33" s="68" customFormat="1" x14ac:dyDescent="0.2">
      <c r="A683" s="147" t="s">
        <v>363</v>
      </c>
      <c r="B683" s="147"/>
      <c r="C683" s="147"/>
      <c r="D683" s="148">
        <v>1</v>
      </c>
      <c r="E683" s="149"/>
      <c r="F683" s="150">
        <v>0.2</v>
      </c>
      <c r="G683" s="150"/>
      <c r="H683" s="67">
        <v>12418</v>
      </c>
      <c r="I683" s="67">
        <f t="shared" si="309"/>
        <v>11870.201172622443</v>
      </c>
      <c r="J683" s="67">
        <f t="shared" si="299"/>
        <v>9496.1609380979553</v>
      </c>
      <c r="K683" s="63"/>
      <c r="L683" s="149">
        <v>0</v>
      </c>
      <c r="M683" s="63">
        <f t="shared" si="308"/>
        <v>0</v>
      </c>
      <c r="N683" s="63">
        <f t="shared" si="300"/>
        <v>0</v>
      </c>
      <c r="O683" s="69"/>
      <c r="P683" s="149">
        <v>0</v>
      </c>
      <c r="Q683" s="63">
        <f t="shared" si="310"/>
        <v>0</v>
      </c>
      <c r="R683" s="64">
        <f t="shared" si="301"/>
        <v>0</v>
      </c>
      <c r="S683" s="148">
        <v>15</v>
      </c>
      <c r="T683" s="151" t="s">
        <v>15</v>
      </c>
      <c r="U683" s="65">
        <f>SUMIF('Avoided Costs 2012-2020_EGD'!$A:$A,'2012 Actuals_Auditor'!T683&amp;'2012 Actuals_Auditor'!S683,'Avoided Costs 2012-2020_EGD'!$E:$E)*J683</f>
        <v>23074.758273940941</v>
      </c>
      <c r="V683" s="65">
        <f>SUMIF('Avoided Costs 2012-2020_EGD'!$A:$A,'2012 Actuals_Auditor'!T683&amp;'2012 Actuals_Auditor'!S683,'Avoided Costs 2012-2020_EGD'!$K:$K)*N683</f>
        <v>0</v>
      </c>
      <c r="W683" s="65">
        <f>SUMIF('Avoided Costs 2012-2020_EGD'!$A:$A,'2012 Actuals_Auditor'!T683&amp;'2012 Actuals_Auditor'!S683,'Avoided Costs 2012-2020_EGD'!$M:$M)*R683</f>
        <v>0</v>
      </c>
      <c r="X683" s="65">
        <f t="shared" si="307"/>
        <v>23074.758273940941</v>
      </c>
      <c r="Y683" s="146">
        <v>3000</v>
      </c>
      <c r="Z683" s="66">
        <f t="shared" si="302"/>
        <v>2400</v>
      </c>
      <c r="AA683" s="66">
        <v>1241</v>
      </c>
      <c r="AB683" s="66"/>
      <c r="AC683" s="66"/>
      <c r="AD683" s="66">
        <f t="shared" si="303"/>
        <v>2400</v>
      </c>
      <c r="AE683" s="66">
        <f t="shared" si="304"/>
        <v>20674.758273940941</v>
      </c>
      <c r="AF683" s="101">
        <f t="shared" si="305"/>
        <v>142442.41407146933</v>
      </c>
      <c r="AG683" s="101">
        <f t="shared" si="306"/>
        <v>178053.01758933664</v>
      </c>
    </row>
    <row r="684" spans="1:33" s="68" customFormat="1" x14ac:dyDescent="0.2">
      <c r="A684" s="147" t="s">
        <v>364</v>
      </c>
      <c r="B684" s="147"/>
      <c r="C684" s="147"/>
      <c r="D684" s="148">
        <v>1</v>
      </c>
      <c r="E684" s="149"/>
      <c r="F684" s="150">
        <v>0.2</v>
      </c>
      <c r="G684" s="150"/>
      <c r="H684" s="67">
        <v>62243</v>
      </c>
      <c r="I684" s="67">
        <f t="shared" si="309"/>
        <v>59497.256529838836</v>
      </c>
      <c r="J684" s="67">
        <f t="shared" si="299"/>
        <v>47597.805223871073</v>
      </c>
      <c r="K684" s="63"/>
      <c r="L684" s="149">
        <v>0</v>
      </c>
      <c r="M684" s="63">
        <f t="shared" si="308"/>
        <v>0</v>
      </c>
      <c r="N684" s="63">
        <f t="shared" si="300"/>
        <v>0</v>
      </c>
      <c r="O684" s="69"/>
      <c r="P684" s="149">
        <v>0</v>
      </c>
      <c r="Q684" s="63">
        <f t="shared" si="310"/>
        <v>0</v>
      </c>
      <c r="R684" s="64">
        <f t="shared" si="301"/>
        <v>0</v>
      </c>
      <c r="S684" s="148">
        <v>25</v>
      </c>
      <c r="T684" s="151" t="s">
        <v>15</v>
      </c>
      <c r="U684" s="65">
        <f>SUMIF('Avoided Costs 2012-2020_EGD'!$A:$A,'2012 Actuals_Auditor'!T684&amp;'2012 Actuals_Auditor'!S684,'Avoided Costs 2012-2020_EGD'!$E:$E)*J684</f>
        <v>163450.62509798619</v>
      </c>
      <c r="V684" s="65">
        <f>SUMIF('Avoided Costs 2012-2020_EGD'!$A:$A,'2012 Actuals_Auditor'!T684&amp;'2012 Actuals_Auditor'!S684,'Avoided Costs 2012-2020_EGD'!$K:$K)*N684</f>
        <v>0</v>
      </c>
      <c r="W684" s="65">
        <f>SUMIF('Avoided Costs 2012-2020_EGD'!$A:$A,'2012 Actuals_Auditor'!T684&amp;'2012 Actuals_Auditor'!S684,'Avoided Costs 2012-2020_EGD'!$M:$M)*R684</f>
        <v>0</v>
      </c>
      <c r="X684" s="65">
        <f t="shared" si="307"/>
        <v>163450.62509798619</v>
      </c>
      <c r="Y684" s="146">
        <v>7047</v>
      </c>
      <c r="Z684" s="66">
        <f t="shared" si="302"/>
        <v>5637.6</v>
      </c>
      <c r="AA684" s="66">
        <v>9692</v>
      </c>
      <c r="AB684" s="66"/>
      <c r="AC684" s="66"/>
      <c r="AD684" s="66">
        <f t="shared" si="303"/>
        <v>5637.6</v>
      </c>
      <c r="AE684" s="66">
        <f t="shared" si="304"/>
        <v>157813.02509798619</v>
      </c>
      <c r="AF684" s="101">
        <f t="shared" si="305"/>
        <v>1189945.1305967767</v>
      </c>
      <c r="AG684" s="101">
        <f t="shared" si="306"/>
        <v>1487431.4132459708</v>
      </c>
    </row>
    <row r="685" spans="1:33" s="68" customFormat="1" x14ac:dyDescent="0.2">
      <c r="A685" s="147" t="s">
        <v>365</v>
      </c>
      <c r="B685" s="147"/>
      <c r="C685" s="147"/>
      <c r="D685" s="148">
        <v>1</v>
      </c>
      <c r="E685" s="149"/>
      <c r="F685" s="150">
        <v>0.2</v>
      </c>
      <c r="G685" s="150"/>
      <c r="H685" s="67">
        <v>41600</v>
      </c>
      <c r="I685" s="67">
        <f t="shared" si="309"/>
        <v>39764.887162271996</v>
      </c>
      <c r="J685" s="67">
        <f t="shared" si="299"/>
        <v>31811.909729817598</v>
      </c>
      <c r="K685" s="63"/>
      <c r="L685" s="149">
        <v>0</v>
      </c>
      <c r="M685" s="63">
        <f t="shared" si="308"/>
        <v>0</v>
      </c>
      <c r="N685" s="63">
        <f t="shared" si="300"/>
        <v>0</v>
      </c>
      <c r="O685" s="69"/>
      <c r="P685" s="149">
        <v>0</v>
      </c>
      <c r="Q685" s="63">
        <f t="shared" si="310"/>
        <v>0</v>
      </c>
      <c r="R685" s="64">
        <f t="shared" si="301"/>
        <v>0</v>
      </c>
      <c r="S685" s="148">
        <v>25</v>
      </c>
      <c r="T685" s="151" t="s">
        <v>15</v>
      </c>
      <c r="U685" s="65">
        <f>SUMIF('Avoided Costs 2012-2020_EGD'!$A:$A,'2012 Actuals_Auditor'!T685&amp;'2012 Actuals_Auditor'!S685,'Avoided Costs 2012-2020_EGD'!$E:$E)*J685</f>
        <v>109241.93891805064</v>
      </c>
      <c r="V685" s="65">
        <f>SUMIF('Avoided Costs 2012-2020_EGD'!$A:$A,'2012 Actuals_Auditor'!T685&amp;'2012 Actuals_Auditor'!S685,'Avoided Costs 2012-2020_EGD'!$K:$K)*N685</f>
        <v>0</v>
      </c>
      <c r="W685" s="65">
        <f>SUMIF('Avoided Costs 2012-2020_EGD'!$A:$A,'2012 Actuals_Auditor'!T685&amp;'2012 Actuals_Auditor'!S685,'Avoided Costs 2012-2020_EGD'!$M:$M)*R685</f>
        <v>0</v>
      </c>
      <c r="X685" s="65">
        <f t="shared" si="307"/>
        <v>109241.93891805064</v>
      </c>
      <c r="Y685" s="146">
        <v>66</v>
      </c>
      <c r="Z685" s="66">
        <f t="shared" si="302"/>
        <v>52.800000000000004</v>
      </c>
      <c r="AA685" s="66">
        <v>4043</v>
      </c>
      <c r="AB685" s="66"/>
      <c r="AC685" s="66"/>
      <c r="AD685" s="66">
        <f t="shared" si="303"/>
        <v>52.800000000000004</v>
      </c>
      <c r="AE685" s="66">
        <f t="shared" si="304"/>
        <v>109189.13891805064</v>
      </c>
      <c r="AF685" s="101">
        <f t="shared" si="305"/>
        <v>795297.74324543995</v>
      </c>
      <c r="AG685" s="101">
        <f t="shared" si="306"/>
        <v>994122.17905679985</v>
      </c>
    </row>
    <row r="686" spans="1:33" s="68" customFormat="1" x14ac:dyDescent="0.2">
      <c r="A686" s="147" t="s">
        <v>366</v>
      </c>
      <c r="B686" s="147"/>
      <c r="C686" s="147"/>
      <c r="D686" s="148">
        <v>1</v>
      </c>
      <c r="E686" s="149"/>
      <c r="F686" s="150">
        <v>0.2</v>
      </c>
      <c r="G686" s="150"/>
      <c r="H686" s="67">
        <v>9226</v>
      </c>
      <c r="I686" s="67">
        <f t="shared" si="309"/>
        <v>8819.0107922865718</v>
      </c>
      <c r="J686" s="67">
        <f t="shared" si="299"/>
        <v>7055.2086338292575</v>
      </c>
      <c r="K686" s="63"/>
      <c r="L686" s="149">
        <v>0</v>
      </c>
      <c r="M686" s="63">
        <f t="shared" si="308"/>
        <v>0</v>
      </c>
      <c r="N686" s="63">
        <f t="shared" si="300"/>
        <v>0</v>
      </c>
      <c r="O686" s="69"/>
      <c r="P686" s="149">
        <v>0</v>
      </c>
      <c r="Q686" s="63">
        <f t="shared" si="310"/>
        <v>0</v>
      </c>
      <c r="R686" s="64">
        <f t="shared" si="301"/>
        <v>0</v>
      </c>
      <c r="S686" s="148">
        <v>25</v>
      </c>
      <c r="T686" s="151" t="s">
        <v>15</v>
      </c>
      <c r="U686" s="65">
        <f>SUMIF('Avoided Costs 2012-2020_EGD'!$A:$A,'2012 Actuals_Auditor'!T686&amp;'2012 Actuals_Auditor'!S686,'Avoided Costs 2012-2020_EGD'!$E:$E)*J686</f>
        <v>24227.551164854205</v>
      </c>
      <c r="V686" s="65">
        <f>SUMIF('Avoided Costs 2012-2020_EGD'!$A:$A,'2012 Actuals_Auditor'!T686&amp;'2012 Actuals_Auditor'!S686,'Avoided Costs 2012-2020_EGD'!$K:$K)*N686</f>
        <v>0</v>
      </c>
      <c r="W686" s="65">
        <f>SUMIF('Avoided Costs 2012-2020_EGD'!$A:$A,'2012 Actuals_Auditor'!T686&amp;'2012 Actuals_Auditor'!S686,'Avoided Costs 2012-2020_EGD'!$M:$M)*R686</f>
        <v>0</v>
      </c>
      <c r="X686" s="65">
        <f t="shared" si="307"/>
        <v>24227.551164854205</v>
      </c>
      <c r="Y686" s="146">
        <v>50</v>
      </c>
      <c r="Z686" s="66">
        <f t="shared" si="302"/>
        <v>40</v>
      </c>
      <c r="AA686" s="66">
        <v>2062</v>
      </c>
      <c r="AB686" s="66"/>
      <c r="AC686" s="66"/>
      <c r="AD686" s="66">
        <f t="shared" si="303"/>
        <v>40</v>
      </c>
      <c r="AE686" s="66">
        <f t="shared" si="304"/>
        <v>24187.551164854205</v>
      </c>
      <c r="AF686" s="101">
        <f t="shared" si="305"/>
        <v>176380.21584573144</v>
      </c>
      <c r="AG686" s="101">
        <f t="shared" si="306"/>
        <v>220475.2698071643</v>
      </c>
    </row>
    <row r="687" spans="1:33" s="68" customFormat="1" x14ac:dyDescent="0.2">
      <c r="A687" s="147" t="s">
        <v>367</v>
      </c>
      <c r="B687" s="147"/>
      <c r="C687" s="147"/>
      <c r="D687" s="148">
        <v>1</v>
      </c>
      <c r="E687" s="149"/>
      <c r="F687" s="150">
        <v>0.2</v>
      </c>
      <c r="G687" s="150"/>
      <c r="H687" s="67">
        <v>14162</v>
      </c>
      <c r="I687" s="67">
        <f t="shared" si="309"/>
        <v>13537.267595963845</v>
      </c>
      <c r="J687" s="67">
        <f t="shared" si="299"/>
        <v>10829.814076771077</v>
      </c>
      <c r="K687" s="63"/>
      <c r="L687" s="149">
        <v>0</v>
      </c>
      <c r="M687" s="63">
        <f t="shared" si="308"/>
        <v>0</v>
      </c>
      <c r="N687" s="63">
        <f t="shared" si="300"/>
        <v>0</v>
      </c>
      <c r="O687" s="69"/>
      <c r="P687" s="149">
        <v>0</v>
      </c>
      <c r="Q687" s="63">
        <f t="shared" si="310"/>
        <v>0</v>
      </c>
      <c r="R687" s="64">
        <f t="shared" si="301"/>
        <v>0</v>
      </c>
      <c r="S687" s="148">
        <v>25</v>
      </c>
      <c r="T687" s="151" t="s">
        <v>15</v>
      </c>
      <c r="U687" s="65">
        <f>SUMIF('Avoided Costs 2012-2020_EGD'!$A:$A,'2012 Actuals_Auditor'!T687&amp;'2012 Actuals_Auditor'!S687,'Avoided Costs 2012-2020_EGD'!$E:$E)*J687</f>
        <v>37189.527378784449</v>
      </c>
      <c r="V687" s="65">
        <f>SUMIF('Avoided Costs 2012-2020_EGD'!$A:$A,'2012 Actuals_Auditor'!T687&amp;'2012 Actuals_Auditor'!S687,'Avoided Costs 2012-2020_EGD'!$K:$K)*N687</f>
        <v>0</v>
      </c>
      <c r="W687" s="65">
        <f>SUMIF('Avoided Costs 2012-2020_EGD'!$A:$A,'2012 Actuals_Auditor'!T687&amp;'2012 Actuals_Auditor'!S687,'Avoided Costs 2012-2020_EGD'!$M:$M)*R687</f>
        <v>0</v>
      </c>
      <c r="X687" s="65">
        <f t="shared" si="307"/>
        <v>37189.527378784449</v>
      </c>
      <c r="Y687" s="146">
        <v>2069</v>
      </c>
      <c r="Z687" s="66">
        <f t="shared" si="302"/>
        <v>1655.2</v>
      </c>
      <c r="AA687" s="66">
        <v>3188</v>
      </c>
      <c r="AB687" s="66"/>
      <c r="AC687" s="66"/>
      <c r="AD687" s="66">
        <f t="shared" si="303"/>
        <v>1655.2</v>
      </c>
      <c r="AE687" s="66">
        <f t="shared" si="304"/>
        <v>35534.327378784452</v>
      </c>
      <c r="AF687" s="101">
        <f t="shared" si="305"/>
        <v>270745.35191927693</v>
      </c>
      <c r="AG687" s="101">
        <f t="shared" si="306"/>
        <v>338431.68989909615</v>
      </c>
    </row>
    <row r="688" spans="1:33" s="68" customFormat="1" x14ac:dyDescent="0.2">
      <c r="A688" s="147" t="s">
        <v>368</v>
      </c>
      <c r="B688" s="147"/>
      <c r="C688" s="147"/>
      <c r="D688" s="148">
        <v>1</v>
      </c>
      <c r="E688" s="149"/>
      <c r="F688" s="150">
        <v>0.2</v>
      </c>
      <c r="G688" s="150"/>
      <c r="H688" s="67">
        <v>13609</v>
      </c>
      <c r="I688" s="67">
        <f t="shared" si="309"/>
        <v>13008.662244984605</v>
      </c>
      <c r="J688" s="67">
        <f t="shared" si="299"/>
        <v>10406.929795987686</v>
      </c>
      <c r="K688" s="63"/>
      <c r="L688" s="149">
        <v>12058</v>
      </c>
      <c r="M688" s="63">
        <f t="shared" si="308"/>
        <v>12058</v>
      </c>
      <c r="N688" s="63">
        <f t="shared" si="300"/>
        <v>9646.4</v>
      </c>
      <c r="O688" s="69"/>
      <c r="P688" s="149">
        <v>0</v>
      </c>
      <c r="Q688" s="63">
        <f t="shared" si="310"/>
        <v>0</v>
      </c>
      <c r="R688" s="64">
        <f t="shared" si="301"/>
        <v>0</v>
      </c>
      <c r="S688" s="148">
        <v>15</v>
      </c>
      <c r="T688" s="151" t="s">
        <v>15</v>
      </c>
      <c r="U688" s="65">
        <f>SUMIF('Avoided Costs 2012-2020_EGD'!$A:$A,'2012 Actuals_Auditor'!T688&amp;'2012 Actuals_Auditor'!S688,'Avoided Costs 2012-2020_EGD'!$E:$E)*J688</f>
        <v>25287.839052187333</v>
      </c>
      <c r="V688" s="65">
        <f>SUMIF('Avoided Costs 2012-2020_EGD'!$A:$A,'2012 Actuals_Auditor'!T688&amp;'2012 Actuals_Auditor'!S688,'Avoided Costs 2012-2020_EGD'!$K:$K)*N688</f>
        <v>9933.7028395404486</v>
      </c>
      <c r="W688" s="65">
        <f>SUMIF('Avoided Costs 2012-2020_EGD'!$A:$A,'2012 Actuals_Auditor'!T688&amp;'2012 Actuals_Auditor'!S688,'Avoided Costs 2012-2020_EGD'!$M:$M)*R688</f>
        <v>0</v>
      </c>
      <c r="X688" s="65">
        <f t="shared" si="307"/>
        <v>35221.541891727786</v>
      </c>
      <c r="Y688" s="146">
        <v>2695</v>
      </c>
      <c r="Z688" s="66">
        <f t="shared" si="302"/>
        <v>2156</v>
      </c>
      <c r="AA688" s="66">
        <v>1361</v>
      </c>
      <c r="AB688" s="66"/>
      <c r="AC688" s="66"/>
      <c r="AD688" s="66">
        <f t="shared" si="303"/>
        <v>2156</v>
      </c>
      <c r="AE688" s="66">
        <f t="shared" si="304"/>
        <v>33065.541891727786</v>
      </c>
      <c r="AF688" s="101">
        <f t="shared" si="305"/>
        <v>156103.9469398153</v>
      </c>
      <c r="AG688" s="101">
        <f t="shared" si="306"/>
        <v>195129.93367476907</v>
      </c>
    </row>
    <row r="689" spans="1:33" s="68" customFormat="1" x14ac:dyDescent="0.2">
      <c r="A689" s="147" t="s">
        <v>369</v>
      </c>
      <c r="B689" s="147"/>
      <c r="C689" s="147"/>
      <c r="D689" s="148">
        <v>1</v>
      </c>
      <c r="E689" s="149"/>
      <c r="F689" s="150">
        <v>0.2</v>
      </c>
      <c r="G689" s="150"/>
      <c r="H689" s="67">
        <v>15185</v>
      </c>
      <c r="I689" s="67">
        <f t="shared" si="309"/>
        <v>14515.13970093991</v>
      </c>
      <c r="J689" s="67">
        <f t="shared" si="299"/>
        <v>11612.111760751928</v>
      </c>
      <c r="K689" s="63"/>
      <c r="L689" s="149">
        <v>0</v>
      </c>
      <c r="M689" s="63">
        <f t="shared" si="308"/>
        <v>0</v>
      </c>
      <c r="N689" s="63">
        <f t="shared" si="300"/>
        <v>0</v>
      </c>
      <c r="O689" s="69"/>
      <c r="P689" s="149">
        <v>0</v>
      </c>
      <c r="Q689" s="63">
        <f t="shared" si="310"/>
        <v>0</v>
      </c>
      <c r="R689" s="64">
        <f t="shared" si="301"/>
        <v>0</v>
      </c>
      <c r="S689" s="148">
        <v>25</v>
      </c>
      <c r="T689" s="151" t="s">
        <v>15</v>
      </c>
      <c r="U689" s="65">
        <f>SUMIF('Avoided Costs 2012-2020_EGD'!$A:$A,'2012 Actuals_Auditor'!T689&amp;'2012 Actuals_Auditor'!S689,'Avoided Costs 2012-2020_EGD'!$E:$E)*J689</f>
        <v>39875.93371323555</v>
      </c>
      <c r="V689" s="65">
        <f>SUMIF('Avoided Costs 2012-2020_EGD'!$A:$A,'2012 Actuals_Auditor'!T689&amp;'2012 Actuals_Auditor'!S689,'Avoided Costs 2012-2020_EGD'!$K:$K)*N689</f>
        <v>0</v>
      </c>
      <c r="W689" s="65">
        <f>SUMIF('Avoided Costs 2012-2020_EGD'!$A:$A,'2012 Actuals_Auditor'!T689&amp;'2012 Actuals_Auditor'!S689,'Avoided Costs 2012-2020_EGD'!$M:$M)*R689</f>
        <v>0</v>
      </c>
      <c r="X689" s="65">
        <f t="shared" si="307"/>
        <v>39875.93371323555</v>
      </c>
      <c r="Y689" s="146">
        <v>288</v>
      </c>
      <c r="Z689" s="66">
        <f t="shared" si="302"/>
        <v>230.4</v>
      </c>
      <c r="AA689" s="66">
        <v>3323</v>
      </c>
      <c r="AB689" s="66"/>
      <c r="AC689" s="66"/>
      <c r="AD689" s="66">
        <f t="shared" si="303"/>
        <v>230.4</v>
      </c>
      <c r="AE689" s="66">
        <f t="shared" si="304"/>
        <v>39645.533713235549</v>
      </c>
      <c r="AF689" s="101">
        <f t="shared" si="305"/>
        <v>290302.79401879822</v>
      </c>
      <c r="AG689" s="101">
        <f t="shared" si="306"/>
        <v>362878.49252349773</v>
      </c>
    </row>
    <row r="690" spans="1:33" s="68" customFormat="1" x14ac:dyDescent="0.2">
      <c r="A690" s="147" t="s">
        <v>370</v>
      </c>
      <c r="B690" s="147"/>
      <c r="C690" s="147"/>
      <c r="D690" s="148">
        <v>0</v>
      </c>
      <c r="E690" s="149"/>
      <c r="F690" s="150">
        <v>0.2</v>
      </c>
      <c r="G690" s="150"/>
      <c r="H690" s="67">
        <v>49413</v>
      </c>
      <c r="I690" s="67">
        <f t="shared" si="309"/>
        <v>47233.2300324362</v>
      </c>
      <c r="J690" s="67">
        <f t="shared" si="299"/>
        <v>37786.584025948963</v>
      </c>
      <c r="K690" s="63"/>
      <c r="L690" s="149">
        <v>40844</v>
      </c>
      <c r="M690" s="63">
        <f t="shared" si="308"/>
        <v>40844</v>
      </c>
      <c r="N690" s="63">
        <f t="shared" si="300"/>
        <v>32675.200000000001</v>
      </c>
      <c r="O690" s="69"/>
      <c r="P690" s="149">
        <v>0</v>
      </c>
      <c r="Q690" s="63">
        <f t="shared" si="310"/>
        <v>0</v>
      </c>
      <c r="R690" s="64">
        <f t="shared" si="301"/>
        <v>0</v>
      </c>
      <c r="S690" s="148">
        <v>15</v>
      </c>
      <c r="T690" s="151" t="s">
        <v>15</v>
      </c>
      <c r="U690" s="65">
        <f>SUMIF('Avoided Costs 2012-2020_EGD'!$A:$A,'2012 Actuals_Auditor'!T690&amp;'2012 Actuals_Auditor'!S690,'Avoided Costs 2012-2020_EGD'!$E:$E)*J690</f>
        <v>91817.766998731167</v>
      </c>
      <c r="V690" s="65">
        <f>SUMIF('Avoided Costs 2012-2020_EGD'!$A:$A,'2012 Actuals_Auditor'!T690&amp;'2012 Actuals_Auditor'!S690,'Avoided Costs 2012-2020_EGD'!$K:$K)*N690</f>
        <v>33648.379397760007</v>
      </c>
      <c r="W690" s="65">
        <f>SUMIF('Avoided Costs 2012-2020_EGD'!$A:$A,'2012 Actuals_Auditor'!T690&amp;'2012 Actuals_Auditor'!S690,'Avoided Costs 2012-2020_EGD'!$M:$M)*R690</f>
        <v>0</v>
      </c>
      <c r="X690" s="65">
        <f t="shared" si="307"/>
        <v>125466.14639649118</v>
      </c>
      <c r="Y690" s="146">
        <v>10000</v>
      </c>
      <c r="Z690" s="66">
        <f t="shared" si="302"/>
        <v>8000</v>
      </c>
      <c r="AA690" s="66">
        <v>4941.1000000000004</v>
      </c>
      <c r="AB690" s="66"/>
      <c r="AC690" s="66"/>
      <c r="AD690" s="66">
        <f t="shared" si="303"/>
        <v>8000</v>
      </c>
      <c r="AE690" s="66">
        <f t="shared" si="304"/>
        <v>117466.14639649118</v>
      </c>
      <c r="AF690" s="101">
        <f t="shared" si="305"/>
        <v>566798.76038923441</v>
      </c>
      <c r="AG690" s="101">
        <f t="shared" si="306"/>
        <v>708498.45048654301</v>
      </c>
    </row>
    <row r="691" spans="1:33" s="68" customFormat="1" x14ac:dyDescent="0.2">
      <c r="A691" s="147" t="s">
        <v>371</v>
      </c>
      <c r="B691" s="147"/>
      <c r="C691" s="147"/>
      <c r="D691" s="148">
        <v>1</v>
      </c>
      <c r="E691" s="149"/>
      <c r="F691" s="150">
        <v>0.2</v>
      </c>
      <c r="G691" s="150"/>
      <c r="H691" s="67">
        <v>11539</v>
      </c>
      <c r="I691" s="67">
        <f t="shared" si="309"/>
        <v>11029.97675397732</v>
      </c>
      <c r="J691" s="67">
        <f t="shared" si="299"/>
        <v>8823.9814031818569</v>
      </c>
      <c r="K691" s="63"/>
      <c r="L691" s="149">
        <v>0</v>
      </c>
      <c r="M691" s="63">
        <f t="shared" si="308"/>
        <v>0</v>
      </c>
      <c r="N691" s="63">
        <f t="shared" si="300"/>
        <v>0</v>
      </c>
      <c r="O691" s="69"/>
      <c r="P691" s="149">
        <v>0</v>
      </c>
      <c r="Q691" s="63">
        <f t="shared" si="310"/>
        <v>0</v>
      </c>
      <c r="R691" s="64">
        <f t="shared" si="301"/>
        <v>0</v>
      </c>
      <c r="S691" s="148">
        <v>15</v>
      </c>
      <c r="T691" s="151" t="s">
        <v>15</v>
      </c>
      <c r="U691" s="65">
        <f>SUMIF('Avoided Costs 2012-2020_EGD'!$A:$A,'2012 Actuals_Auditor'!T691&amp;'2012 Actuals_Auditor'!S691,'Avoided Costs 2012-2020_EGD'!$E:$E)*J691</f>
        <v>21441.426616444234</v>
      </c>
      <c r="V691" s="65">
        <f>SUMIF('Avoided Costs 2012-2020_EGD'!$A:$A,'2012 Actuals_Auditor'!T691&amp;'2012 Actuals_Auditor'!S691,'Avoided Costs 2012-2020_EGD'!$K:$K)*N691</f>
        <v>0</v>
      </c>
      <c r="W691" s="65">
        <f>SUMIF('Avoided Costs 2012-2020_EGD'!$A:$A,'2012 Actuals_Auditor'!T691&amp;'2012 Actuals_Auditor'!S691,'Avoided Costs 2012-2020_EGD'!$M:$M)*R691</f>
        <v>0</v>
      </c>
      <c r="X691" s="65">
        <f t="shared" si="307"/>
        <v>21441.426616444234</v>
      </c>
      <c r="Y691" s="146">
        <v>5000</v>
      </c>
      <c r="Z691" s="66">
        <f t="shared" si="302"/>
        <v>4000</v>
      </c>
      <c r="AA691" s="66">
        <v>1138.9000000000001</v>
      </c>
      <c r="AB691" s="66"/>
      <c r="AC691" s="66"/>
      <c r="AD691" s="66">
        <f t="shared" si="303"/>
        <v>4000</v>
      </c>
      <c r="AE691" s="66">
        <f t="shared" si="304"/>
        <v>17441.426616444234</v>
      </c>
      <c r="AF691" s="101">
        <f t="shared" si="305"/>
        <v>132359.72104772786</v>
      </c>
      <c r="AG691" s="101">
        <f t="shared" si="306"/>
        <v>165449.65130965979</v>
      </c>
    </row>
    <row r="692" spans="1:33" s="68" customFormat="1" x14ac:dyDescent="0.2">
      <c r="A692" s="147" t="s">
        <v>372</v>
      </c>
      <c r="B692" s="147"/>
      <c r="C692" s="147"/>
      <c r="D692" s="148">
        <v>1</v>
      </c>
      <c r="E692" s="149"/>
      <c r="F692" s="150">
        <v>0.2</v>
      </c>
      <c r="G692" s="150"/>
      <c r="H692" s="67">
        <v>38041</v>
      </c>
      <c r="I692" s="67">
        <f t="shared" si="309"/>
        <v>36362.886359134347</v>
      </c>
      <c r="J692" s="67">
        <f t="shared" si="299"/>
        <v>29090.30908730748</v>
      </c>
      <c r="K692" s="63"/>
      <c r="L692" s="149">
        <v>32077</v>
      </c>
      <c r="M692" s="63">
        <f t="shared" si="308"/>
        <v>32077</v>
      </c>
      <c r="N692" s="63">
        <f t="shared" si="300"/>
        <v>25661.600000000002</v>
      </c>
      <c r="O692" s="69"/>
      <c r="P692" s="149">
        <v>0</v>
      </c>
      <c r="Q692" s="63">
        <f t="shared" si="310"/>
        <v>0</v>
      </c>
      <c r="R692" s="64">
        <f t="shared" si="301"/>
        <v>0</v>
      </c>
      <c r="S692" s="148">
        <v>15</v>
      </c>
      <c r="T692" s="151" t="s">
        <v>15</v>
      </c>
      <c r="U692" s="65">
        <f>SUMIF('Avoided Costs 2012-2020_EGD'!$A:$A,'2012 Actuals_Auditor'!T692&amp;'2012 Actuals_Auditor'!S692,'Avoided Costs 2012-2020_EGD'!$E:$E)*J692</f>
        <v>70686.654815508722</v>
      </c>
      <c r="V692" s="65">
        <f>SUMIF('Avoided Costs 2012-2020_EGD'!$A:$A,'2012 Actuals_Auditor'!T692&amp;'2012 Actuals_Auditor'!S692,'Avoided Costs 2012-2020_EGD'!$K:$K)*N692</f>
        <v>26425.890361912345</v>
      </c>
      <c r="W692" s="65">
        <f>SUMIF('Avoided Costs 2012-2020_EGD'!$A:$A,'2012 Actuals_Auditor'!T692&amp;'2012 Actuals_Auditor'!S692,'Avoided Costs 2012-2020_EGD'!$M:$M)*R692</f>
        <v>0</v>
      </c>
      <c r="X692" s="65">
        <f t="shared" si="307"/>
        <v>97112.545177421067</v>
      </c>
      <c r="Y692" s="146">
        <v>20000</v>
      </c>
      <c r="Z692" s="66">
        <f t="shared" si="302"/>
        <v>16000</v>
      </c>
      <c r="AA692" s="66">
        <v>7608</v>
      </c>
      <c r="AB692" s="66"/>
      <c r="AC692" s="66"/>
      <c r="AD692" s="66">
        <f t="shared" si="303"/>
        <v>16000</v>
      </c>
      <c r="AE692" s="66">
        <f t="shared" si="304"/>
        <v>81112.545177421067</v>
      </c>
      <c r="AF692" s="101">
        <f t="shared" si="305"/>
        <v>436354.63630961219</v>
      </c>
      <c r="AG692" s="101">
        <f t="shared" si="306"/>
        <v>545443.29538701521</v>
      </c>
    </row>
    <row r="693" spans="1:33" s="68" customFormat="1" x14ac:dyDescent="0.2">
      <c r="A693" s="147" t="s">
        <v>373</v>
      </c>
      <c r="B693" s="147"/>
      <c r="C693" s="147"/>
      <c r="D693" s="148">
        <v>0</v>
      </c>
      <c r="E693" s="149"/>
      <c r="F693" s="150">
        <v>0.2</v>
      </c>
      <c r="G693" s="150"/>
      <c r="H693" s="67">
        <v>27034</v>
      </c>
      <c r="I693" s="67">
        <f t="shared" si="309"/>
        <v>25841.441335213007</v>
      </c>
      <c r="J693" s="67">
        <f t="shared" si="299"/>
        <v>20673.153068170406</v>
      </c>
      <c r="K693" s="63"/>
      <c r="L693" s="149">
        <v>42541</v>
      </c>
      <c r="M693" s="63">
        <f t="shared" si="308"/>
        <v>42541</v>
      </c>
      <c r="N693" s="63">
        <f t="shared" si="300"/>
        <v>34032.800000000003</v>
      </c>
      <c r="O693" s="69"/>
      <c r="P693" s="149">
        <v>0</v>
      </c>
      <c r="Q693" s="63">
        <f t="shared" si="310"/>
        <v>0</v>
      </c>
      <c r="R693" s="64">
        <f t="shared" si="301"/>
        <v>0</v>
      </c>
      <c r="S693" s="148">
        <v>15</v>
      </c>
      <c r="T693" s="151" t="s">
        <v>15</v>
      </c>
      <c r="U693" s="65">
        <f>SUMIF('Avoided Costs 2012-2020_EGD'!$A:$A,'2012 Actuals_Auditor'!T693&amp;'2012 Actuals_Auditor'!S693,'Avoided Costs 2012-2020_EGD'!$E:$E)*J693</f>
        <v>50233.774776753053</v>
      </c>
      <c r="V693" s="65">
        <f>SUMIF('Avoided Costs 2012-2020_EGD'!$A:$A,'2012 Actuals_Auditor'!T693&amp;'2012 Actuals_Auditor'!S693,'Avoided Costs 2012-2020_EGD'!$K:$K)*N693</f>
        <v>35046.413376753218</v>
      </c>
      <c r="W693" s="65">
        <f>SUMIF('Avoided Costs 2012-2020_EGD'!$A:$A,'2012 Actuals_Auditor'!T693&amp;'2012 Actuals_Auditor'!S693,'Avoided Costs 2012-2020_EGD'!$M:$M)*R693</f>
        <v>0</v>
      </c>
      <c r="X693" s="65">
        <f t="shared" si="307"/>
        <v>85280.188153506271</v>
      </c>
      <c r="Y693" s="146">
        <v>12595</v>
      </c>
      <c r="Z693" s="66">
        <f t="shared" si="302"/>
        <v>10076</v>
      </c>
      <c r="AA693" s="66">
        <v>2703</v>
      </c>
      <c r="AB693" s="66"/>
      <c r="AC693" s="66"/>
      <c r="AD693" s="66">
        <f t="shared" si="303"/>
        <v>10076</v>
      </c>
      <c r="AE693" s="66">
        <f t="shared" si="304"/>
        <v>75204.188153506271</v>
      </c>
      <c r="AF693" s="101">
        <f t="shared" si="305"/>
        <v>310097.29602255608</v>
      </c>
      <c r="AG693" s="101">
        <f t="shared" si="306"/>
        <v>387621.62002819509</v>
      </c>
    </row>
    <row r="694" spans="1:33" s="68" customFormat="1" x14ac:dyDescent="0.2">
      <c r="A694" s="147" t="s">
        <v>374</v>
      </c>
      <c r="B694" s="147"/>
      <c r="C694" s="147"/>
      <c r="D694" s="148">
        <v>1</v>
      </c>
      <c r="E694" s="149"/>
      <c r="F694" s="150">
        <v>0.2</v>
      </c>
      <c r="G694" s="150"/>
      <c r="H694" s="67">
        <v>2400</v>
      </c>
      <c r="I694" s="67">
        <f t="shared" si="309"/>
        <v>2294.1281055156919</v>
      </c>
      <c r="J694" s="67">
        <f t="shared" si="299"/>
        <v>1835.3024844125537</v>
      </c>
      <c r="K694" s="63"/>
      <c r="L694" s="149">
        <v>0</v>
      </c>
      <c r="M694" s="63">
        <f t="shared" si="308"/>
        <v>0</v>
      </c>
      <c r="N694" s="63">
        <f t="shared" si="300"/>
        <v>0</v>
      </c>
      <c r="O694" s="69"/>
      <c r="P694" s="149">
        <v>0</v>
      </c>
      <c r="Q694" s="63">
        <f t="shared" si="310"/>
        <v>0</v>
      </c>
      <c r="R694" s="64">
        <f t="shared" si="301"/>
        <v>0</v>
      </c>
      <c r="S694" s="148">
        <v>15</v>
      </c>
      <c r="T694" s="151" t="s">
        <v>52</v>
      </c>
      <c r="U694" s="65">
        <f>SUMIF('Avoided Costs 2012-2020_EGD'!$A:$A,'2012 Actuals_Auditor'!T694&amp;'2012 Actuals_Auditor'!S694,'Avoided Costs 2012-2020_EGD'!$E:$E)*J694</f>
        <v>4193.6630108570098</v>
      </c>
      <c r="V694" s="65">
        <f>SUMIF('Avoided Costs 2012-2020_EGD'!$A:$A,'2012 Actuals_Auditor'!T694&amp;'2012 Actuals_Auditor'!S694,'Avoided Costs 2012-2020_EGD'!$K:$K)*N694</f>
        <v>0</v>
      </c>
      <c r="W694" s="65">
        <f>SUMIF('Avoided Costs 2012-2020_EGD'!$A:$A,'2012 Actuals_Auditor'!T694&amp;'2012 Actuals_Auditor'!S694,'Avoided Costs 2012-2020_EGD'!$M:$M)*R694</f>
        <v>0</v>
      </c>
      <c r="X694" s="65">
        <f t="shared" si="307"/>
        <v>4193.6630108570098</v>
      </c>
      <c r="Y694" s="146">
        <v>3390</v>
      </c>
      <c r="Z694" s="66">
        <f t="shared" si="302"/>
        <v>2712</v>
      </c>
      <c r="AA694" s="66">
        <v>240</v>
      </c>
      <c r="AB694" s="66"/>
      <c r="AC694" s="66"/>
      <c r="AD694" s="66">
        <f t="shared" si="303"/>
        <v>2712</v>
      </c>
      <c r="AE694" s="66">
        <f t="shared" si="304"/>
        <v>1481.6630108570098</v>
      </c>
      <c r="AF694" s="101">
        <f t="shared" si="305"/>
        <v>27529.537266188305</v>
      </c>
      <c r="AG694" s="101">
        <f t="shared" si="306"/>
        <v>34411.921582735376</v>
      </c>
    </row>
    <row r="695" spans="1:33" s="68" customFormat="1" x14ac:dyDescent="0.2">
      <c r="A695" s="147" t="s">
        <v>375</v>
      </c>
      <c r="B695" s="147"/>
      <c r="C695" s="147"/>
      <c r="D695" s="148">
        <v>1</v>
      </c>
      <c r="E695" s="149"/>
      <c r="F695" s="150">
        <v>0.2</v>
      </c>
      <c r="G695" s="150"/>
      <c r="H695" s="67">
        <v>15811</v>
      </c>
      <c r="I695" s="67">
        <f t="shared" si="309"/>
        <v>15113.524781795251</v>
      </c>
      <c r="J695" s="67">
        <f t="shared" si="299"/>
        <v>12090.819825436201</v>
      </c>
      <c r="K695" s="63"/>
      <c r="L695" s="149">
        <v>0</v>
      </c>
      <c r="M695" s="63">
        <f t="shared" si="308"/>
        <v>0</v>
      </c>
      <c r="N695" s="63">
        <f t="shared" si="300"/>
        <v>0</v>
      </c>
      <c r="O695" s="69"/>
      <c r="P695" s="149">
        <v>0</v>
      </c>
      <c r="Q695" s="63">
        <f t="shared" si="310"/>
        <v>0</v>
      </c>
      <c r="R695" s="64">
        <f t="shared" si="301"/>
        <v>0</v>
      </c>
      <c r="S695" s="148">
        <v>25</v>
      </c>
      <c r="T695" s="151" t="s">
        <v>52</v>
      </c>
      <c r="U695" s="65">
        <f>SUMIF('Avoided Costs 2012-2020_EGD'!$A:$A,'2012 Actuals_Auditor'!T695&amp;'2012 Actuals_Auditor'!S695,'Avoided Costs 2012-2020_EGD'!$E:$E)*J695</f>
        <v>39014.556066276273</v>
      </c>
      <c r="V695" s="65">
        <f>SUMIF('Avoided Costs 2012-2020_EGD'!$A:$A,'2012 Actuals_Auditor'!T695&amp;'2012 Actuals_Auditor'!S695,'Avoided Costs 2012-2020_EGD'!$K:$K)*N695</f>
        <v>0</v>
      </c>
      <c r="W695" s="65">
        <f>SUMIF('Avoided Costs 2012-2020_EGD'!$A:$A,'2012 Actuals_Auditor'!T695&amp;'2012 Actuals_Auditor'!S695,'Avoided Costs 2012-2020_EGD'!$M:$M)*R695</f>
        <v>0</v>
      </c>
      <c r="X695" s="65">
        <f t="shared" si="307"/>
        <v>39014.556066276273</v>
      </c>
      <c r="Y695" s="146">
        <v>13326</v>
      </c>
      <c r="Z695" s="66">
        <f t="shared" si="302"/>
        <v>10660.800000000001</v>
      </c>
      <c r="AA695" s="66">
        <v>3858</v>
      </c>
      <c r="AB695" s="66"/>
      <c r="AC695" s="66"/>
      <c r="AD695" s="66">
        <f t="shared" si="303"/>
        <v>10660.800000000001</v>
      </c>
      <c r="AE695" s="66">
        <f t="shared" si="304"/>
        <v>28353.75606627627</v>
      </c>
      <c r="AF695" s="101">
        <f t="shared" si="305"/>
        <v>302270.49563590501</v>
      </c>
      <c r="AG695" s="101">
        <f t="shared" si="306"/>
        <v>377838.11954488128</v>
      </c>
    </row>
    <row r="696" spans="1:33" s="68" customFormat="1" x14ac:dyDescent="0.2">
      <c r="A696" s="147" t="s">
        <v>376</v>
      </c>
      <c r="B696" s="147"/>
      <c r="C696" s="147"/>
      <c r="D696" s="148">
        <v>0</v>
      </c>
      <c r="E696" s="149"/>
      <c r="F696" s="150">
        <v>0.2</v>
      </c>
      <c r="G696" s="150"/>
      <c r="H696" s="67">
        <v>9019</v>
      </c>
      <c r="I696" s="67">
        <f t="shared" si="309"/>
        <v>8621.1422431858446</v>
      </c>
      <c r="J696" s="67">
        <f t="shared" si="299"/>
        <v>6896.9137945486764</v>
      </c>
      <c r="K696" s="63"/>
      <c r="L696" s="149">
        <v>0</v>
      </c>
      <c r="M696" s="63">
        <f t="shared" si="308"/>
        <v>0</v>
      </c>
      <c r="N696" s="63">
        <f t="shared" si="300"/>
        <v>0</v>
      </c>
      <c r="O696" s="69"/>
      <c r="P696" s="149">
        <v>0</v>
      </c>
      <c r="Q696" s="63">
        <f t="shared" si="310"/>
        <v>0</v>
      </c>
      <c r="R696" s="64">
        <f t="shared" si="301"/>
        <v>0</v>
      </c>
      <c r="S696" s="148">
        <v>15</v>
      </c>
      <c r="T696" s="151" t="s">
        <v>52</v>
      </c>
      <c r="U696" s="65">
        <f>SUMIF('Avoided Costs 2012-2020_EGD'!$A:$A,'2012 Actuals_Auditor'!T696&amp;'2012 Actuals_Auditor'!S696,'Avoided Costs 2012-2020_EGD'!$E:$E)*J696</f>
        <v>15759.436122883075</v>
      </c>
      <c r="V696" s="65">
        <f>SUMIF('Avoided Costs 2012-2020_EGD'!$A:$A,'2012 Actuals_Auditor'!T696&amp;'2012 Actuals_Auditor'!S696,'Avoided Costs 2012-2020_EGD'!$K:$K)*N696</f>
        <v>0</v>
      </c>
      <c r="W696" s="65">
        <f>SUMIF('Avoided Costs 2012-2020_EGD'!$A:$A,'2012 Actuals_Auditor'!T696&amp;'2012 Actuals_Auditor'!S696,'Avoided Costs 2012-2020_EGD'!$M:$M)*R696</f>
        <v>0</v>
      </c>
      <c r="X696" s="65">
        <f t="shared" si="307"/>
        <v>15759.436122883075</v>
      </c>
      <c r="Y696" s="146">
        <v>3919.61</v>
      </c>
      <c r="Z696" s="66">
        <f t="shared" si="302"/>
        <v>3135.6880000000001</v>
      </c>
      <c r="AA696" s="66">
        <v>902</v>
      </c>
      <c r="AB696" s="66"/>
      <c r="AC696" s="66"/>
      <c r="AD696" s="66">
        <f t="shared" si="303"/>
        <v>3135.6880000000001</v>
      </c>
      <c r="AE696" s="66">
        <f t="shared" si="304"/>
        <v>12623.748122883075</v>
      </c>
      <c r="AF696" s="101">
        <f t="shared" si="305"/>
        <v>103453.70691823015</v>
      </c>
      <c r="AG696" s="101">
        <f t="shared" si="306"/>
        <v>129317.13364778768</v>
      </c>
    </row>
    <row r="697" spans="1:33" s="68" customFormat="1" x14ac:dyDescent="0.2">
      <c r="A697" s="147" t="s">
        <v>377</v>
      </c>
      <c r="B697" s="147"/>
      <c r="C697" s="147"/>
      <c r="D697" s="148">
        <v>1</v>
      </c>
      <c r="E697" s="149"/>
      <c r="F697" s="150">
        <v>0.2</v>
      </c>
      <c r="G697" s="150"/>
      <c r="H697" s="67">
        <v>10294</v>
      </c>
      <c r="I697" s="67">
        <f t="shared" si="309"/>
        <v>9839.8977992410546</v>
      </c>
      <c r="J697" s="67">
        <f t="shared" si="299"/>
        <v>7871.918239392844</v>
      </c>
      <c r="K697" s="63"/>
      <c r="L697" s="149">
        <v>0</v>
      </c>
      <c r="M697" s="63">
        <f t="shared" si="308"/>
        <v>0</v>
      </c>
      <c r="N697" s="63">
        <f t="shared" si="300"/>
        <v>0</v>
      </c>
      <c r="O697" s="69"/>
      <c r="P697" s="149">
        <v>0</v>
      </c>
      <c r="Q697" s="63">
        <f t="shared" si="310"/>
        <v>0</v>
      </c>
      <c r="R697" s="64">
        <f t="shared" si="301"/>
        <v>0</v>
      </c>
      <c r="S697" s="148">
        <v>15</v>
      </c>
      <c r="T697" s="151" t="s">
        <v>15</v>
      </c>
      <c r="U697" s="65">
        <f>SUMIF('Avoided Costs 2012-2020_EGD'!$A:$A,'2012 Actuals_Auditor'!T697&amp;'2012 Actuals_Auditor'!S697,'Avoided Costs 2012-2020_EGD'!$E:$E)*J697</f>
        <v>19128.004644221939</v>
      </c>
      <c r="V697" s="65">
        <f>SUMIF('Avoided Costs 2012-2020_EGD'!$A:$A,'2012 Actuals_Auditor'!T697&amp;'2012 Actuals_Auditor'!S697,'Avoided Costs 2012-2020_EGD'!$K:$K)*N697</f>
        <v>0</v>
      </c>
      <c r="W697" s="65">
        <f>SUMIF('Avoided Costs 2012-2020_EGD'!$A:$A,'2012 Actuals_Auditor'!T697&amp;'2012 Actuals_Auditor'!S697,'Avoided Costs 2012-2020_EGD'!$M:$M)*R697</f>
        <v>0</v>
      </c>
      <c r="X697" s="65">
        <f t="shared" si="307"/>
        <v>19128.004644221939</v>
      </c>
      <c r="Y697" s="146">
        <v>3919.61</v>
      </c>
      <c r="Z697" s="66">
        <f t="shared" si="302"/>
        <v>3135.6880000000001</v>
      </c>
      <c r="AA697" s="66">
        <v>1029</v>
      </c>
      <c r="AB697" s="66"/>
      <c r="AC697" s="66"/>
      <c r="AD697" s="66">
        <f t="shared" si="303"/>
        <v>3135.6880000000001</v>
      </c>
      <c r="AE697" s="66">
        <f t="shared" si="304"/>
        <v>15992.316644221939</v>
      </c>
      <c r="AF697" s="101">
        <f t="shared" si="305"/>
        <v>118078.77359089266</v>
      </c>
      <c r="AG697" s="101">
        <f t="shared" si="306"/>
        <v>147598.46698861581</v>
      </c>
    </row>
    <row r="698" spans="1:33" s="68" customFormat="1" x14ac:dyDescent="0.2">
      <c r="A698" s="147" t="s">
        <v>378</v>
      </c>
      <c r="B698" s="147"/>
      <c r="C698" s="147"/>
      <c r="D698" s="148">
        <v>0</v>
      </c>
      <c r="E698" s="149"/>
      <c r="F698" s="150">
        <v>0.2</v>
      </c>
      <c r="G698" s="150"/>
      <c r="H698" s="67">
        <v>89542</v>
      </c>
      <c r="I698" s="67">
        <f t="shared" si="309"/>
        <v>85592.007843369196</v>
      </c>
      <c r="J698" s="67">
        <f t="shared" si="299"/>
        <v>68473.606274695354</v>
      </c>
      <c r="K698" s="63"/>
      <c r="L698" s="149">
        <v>93621</v>
      </c>
      <c r="M698" s="63">
        <f t="shared" si="308"/>
        <v>93621</v>
      </c>
      <c r="N698" s="63">
        <f t="shared" si="300"/>
        <v>74896.800000000003</v>
      </c>
      <c r="O698" s="69"/>
      <c r="P698" s="149">
        <v>0</v>
      </c>
      <c r="Q698" s="63">
        <f t="shared" si="310"/>
        <v>0</v>
      </c>
      <c r="R698" s="64">
        <f t="shared" si="301"/>
        <v>0</v>
      </c>
      <c r="S698" s="148">
        <v>15</v>
      </c>
      <c r="T698" s="151" t="s">
        <v>15</v>
      </c>
      <c r="U698" s="65">
        <f>SUMIF('Avoided Costs 2012-2020_EGD'!$A:$A,'2012 Actuals_Auditor'!T698&amp;'2012 Actuals_Auditor'!S698,'Avoided Costs 2012-2020_EGD'!$E:$E)*J698</f>
        <v>166384.28131464159</v>
      </c>
      <c r="V698" s="65">
        <f>SUMIF('Avoided Costs 2012-2020_EGD'!$A:$A,'2012 Actuals_Auditor'!T698&amp;'2012 Actuals_Auditor'!S698,'Avoided Costs 2012-2020_EGD'!$K:$K)*N698</f>
        <v>77127.483292471094</v>
      </c>
      <c r="W698" s="65">
        <f>SUMIF('Avoided Costs 2012-2020_EGD'!$A:$A,'2012 Actuals_Auditor'!T698&amp;'2012 Actuals_Auditor'!S698,'Avoided Costs 2012-2020_EGD'!$M:$M)*R698</f>
        <v>0</v>
      </c>
      <c r="X698" s="65">
        <f t="shared" si="307"/>
        <v>243511.76460711268</v>
      </c>
      <c r="Y698" s="146">
        <v>16598.580000000002</v>
      </c>
      <c r="Z698" s="66">
        <f t="shared" si="302"/>
        <v>13278.864000000001</v>
      </c>
      <c r="AA698" s="66">
        <v>15623</v>
      </c>
      <c r="AB698" s="66"/>
      <c r="AC698" s="66"/>
      <c r="AD698" s="66">
        <f t="shared" si="303"/>
        <v>13278.864000000001</v>
      </c>
      <c r="AE698" s="66">
        <f t="shared" si="304"/>
        <v>230232.90060711268</v>
      </c>
      <c r="AF698" s="101">
        <f t="shared" si="305"/>
        <v>1027104.0941204303</v>
      </c>
      <c r="AG698" s="101">
        <f t="shared" si="306"/>
        <v>1283880.117650538</v>
      </c>
    </row>
    <row r="699" spans="1:33" s="68" customFormat="1" x14ac:dyDescent="0.2">
      <c r="A699" s="147" t="s">
        <v>379</v>
      </c>
      <c r="B699" s="147"/>
      <c r="C699" s="147"/>
      <c r="D699" s="148">
        <v>1</v>
      </c>
      <c r="E699" s="149"/>
      <c r="F699" s="150">
        <v>0.2</v>
      </c>
      <c r="G699" s="150"/>
      <c r="H699" s="67">
        <v>60243</v>
      </c>
      <c r="I699" s="67">
        <f t="shared" si="309"/>
        <v>57585.483108575761</v>
      </c>
      <c r="J699" s="67">
        <f t="shared" si="299"/>
        <v>46068.386486860611</v>
      </c>
      <c r="K699" s="63"/>
      <c r="L699" s="149">
        <v>0</v>
      </c>
      <c r="M699" s="63">
        <f t="shared" si="308"/>
        <v>0</v>
      </c>
      <c r="N699" s="63">
        <f t="shared" si="300"/>
        <v>0</v>
      </c>
      <c r="O699" s="69"/>
      <c r="P699" s="149">
        <v>0</v>
      </c>
      <c r="Q699" s="63">
        <f t="shared" si="310"/>
        <v>0</v>
      </c>
      <c r="R699" s="64">
        <f t="shared" si="301"/>
        <v>0</v>
      </c>
      <c r="S699" s="148">
        <v>25</v>
      </c>
      <c r="T699" s="151" t="s">
        <v>15</v>
      </c>
      <c r="U699" s="65">
        <f>SUMIF('Avoided Costs 2012-2020_EGD'!$A:$A,'2012 Actuals_Auditor'!T699&amp;'2012 Actuals_Auditor'!S699,'Avoided Costs 2012-2020_EGD'!$E:$E)*J699</f>
        <v>158198.60880384914</v>
      </c>
      <c r="V699" s="65">
        <f>SUMIF('Avoided Costs 2012-2020_EGD'!$A:$A,'2012 Actuals_Auditor'!T699&amp;'2012 Actuals_Auditor'!S699,'Avoided Costs 2012-2020_EGD'!$K:$K)*N699</f>
        <v>0</v>
      </c>
      <c r="W699" s="65">
        <f>SUMIF('Avoided Costs 2012-2020_EGD'!$A:$A,'2012 Actuals_Auditor'!T699&amp;'2012 Actuals_Auditor'!S699,'Avoided Costs 2012-2020_EGD'!$M:$M)*R699</f>
        <v>0</v>
      </c>
      <c r="X699" s="65">
        <f t="shared" si="307"/>
        <v>158198.60880384914</v>
      </c>
      <c r="Y699" s="146">
        <v>52994</v>
      </c>
      <c r="Z699" s="66">
        <f t="shared" si="302"/>
        <v>42395.200000000004</v>
      </c>
      <c r="AA699" s="66">
        <v>11587</v>
      </c>
      <c r="AB699" s="66"/>
      <c r="AC699" s="66"/>
      <c r="AD699" s="66">
        <f t="shared" si="303"/>
        <v>42395.200000000004</v>
      </c>
      <c r="AE699" s="66">
        <f t="shared" si="304"/>
        <v>115803.40880384913</v>
      </c>
      <c r="AF699" s="101">
        <f t="shared" si="305"/>
        <v>1151709.6621715152</v>
      </c>
      <c r="AG699" s="101">
        <f t="shared" si="306"/>
        <v>1439637.0777143941</v>
      </c>
    </row>
    <row r="700" spans="1:33" s="68" customFormat="1" x14ac:dyDescent="0.2">
      <c r="A700" s="147" t="s">
        <v>380</v>
      </c>
      <c r="B700" s="147"/>
      <c r="C700" s="147"/>
      <c r="D700" s="148">
        <v>1</v>
      </c>
      <c r="E700" s="149"/>
      <c r="F700" s="150">
        <v>0.2</v>
      </c>
      <c r="G700" s="150"/>
      <c r="H700" s="67">
        <v>10848</v>
      </c>
      <c r="I700" s="67">
        <f t="shared" si="309"/>
        <v>10369.459036930928</v>
      </c>
      <c r="J700" s="67">
        <f t="shared" si="299"/>
        <v>8295.5672295447421</v>
      </c>
      <c r="K700" s="63"/>
      <c r="L700" s="149">
        <v>0</v>
      </c>
      <c r="M700" s="63">
        <f t="shared" si="308"/>
        <v>0</v>
      </c>
      <c r="N700" s="63">
        <f t="shared" si="300"/>
        <v>0</v>
      </c>
      <c r="O700" s="69"/>
      <c r="P700" s="149">
        <v>0</v>
      </c>
      <c r="Q700" s="63">
        <f t="shared" si="310"/>
        <v>0</v>
      </c>
      <c r="R700" s="64">
        <f t="shared" si="301"/>
        <v>0</v>
      </c>
      <c r="S700" s="148">
        <v>15</v>
      </c>
      <c r="T700" s="151" t="s">
        <v>15</v>
      </c>
      <c r="U700" s="65">
        <f>SUMIF('Avoided Costs 2012-2020_EGD'!$A:$A,'2012 Actuals_Auditor'!T700&amp;'2012 Actuals_Auditor'!S700,'Avoided Costs 2012-2020_EGD'!$E:$E)*J700</f>
        <v>20157.430967604389</v>
      </c>
      <c r="V700" s="65">
        <f>SUMIF('Avoided Costs 2012-2020_EGD'!$A:$A,'2012 Actuals_Auditor'!T700&amp;'2012 Actuals_Auditor'!S700,'Avoided Costs 2012-2020_EGD'!$K:$K)*N700</f>
        <v>0</v>
      </c>
      <c r="W700" s="65">
        <f>SUMIF('Avoided Costs 2012-2020_EGD'!$A:$A,'2012 Actuals_Auditor'!T700&amp;'2012 Actuals_Auditor'!S700,'Avoided Costs 2012-2020_EGD'!$M:$M)*R700</f>
        <v>0</v>
      </c>
      <c r="X700" s="65">
        <f t="shared" si="307"/>
        <v>20157.430967604389</v>
      </c>
      <c r="Y700" s="146">
        <v>6019.65</v>
      </c>
      <c r="Z700" s="66">
        <f t="shared" si="302"/>
        <v>4815.72</v>
      </c>
      <c r="AA700" s="66">
        <v>1085</v>
      </c>
      <c r="AB700" s="66"/>
      <c r="AC700" s="66"/>
      <c r="AD700" s="66">
        <f t="shared" si="303"/>
        <v>4815.72</v>
      </c>
      <c r="AE700" s="66">
        <f t="shared" si="304"/>
        <v>15341.710967604387</v>
      </c>
      <c r="AF700" s="101">
        <f t="shared" si="305"/>
        <v>124433.50844317113</v>
      </c>
      <c r="AG700" s="101">
        <f t="shared" si="306"/>
        <v>155541.88555396392</v>
      </c>
    </row>
    <row r="701" spans="1:33" s="68" customFormat="1" x14ac:dyDescent="0.2">
      <c r="A701" s="147" t="s">
        <v>381</v>
      </c>
      <c r="B701" s="147"/>
      <c r="C701" s="147"/>
      <c r="D701" s="148">
        <v>1</v>
      </c>
      <c r="E701" s="149"/>
      <c r="F701" s="150">
        <v>0.2</v>
      </c>
      <c r="G701" s="150"/>
      <c r="H701" s="67">
        <v>22423</v>
      </c>
      <c r="I701" s="67">
        <f t="shared" si="309"/>
        <v>21433.847712490984</v>
      </c>
      <c r="J701" s="67">
        <f t="shared" si="299"/>
        <v>17147.078169992787</v>
      </c>
      <c r="K701" s="63"/>
      <c r="L701" s="149">
        <v>0</v>
      </c>
      <c r="M701" s="63">
        <f t="shared" si="308"/>
        <v>0</v>
      </c>
      <c r="N701" s="63">
        <f t="shared" si="300"/>
        <v>0</v>
      </c>
      <c r="O701" s="69"/>
      <c r="P701" s="149">
        <v>0</v>
      </c>
      <c r="Q701" s="63">
        <f t="shared" si="310"/>
        <v>0</v>
      </c>
      <c r="R701" s="64">
        <f t="shared" si="301"/>
        <v>0</v>
      </c>
      <c r="S701" s="148">
        <v>15</v>
      </c>
      <c r="T701" s="151" t="s">
        <v>15</v>
      </c>
      <c r="U701" s="65">
        <f>SUMIF('Avoided Costs 2012-2020_EGD'!$A:$A,'2012 Actuals_Auditor'!T701&amp;'2012 Actuals_Auditor'!S701,'Avoided Costs 2012-2020_EGD'!$E:$E)*J701</f>
        <v>41665.751713365891</v>
      </c>
      <c r="V701" s="65">
        <f>SUMIF('Avoided Costs 2012-2020_EGD'!$A:$A,'2012 Actuals_Auditor'!T701&amp;'2012 Actuals_Auditor'!S701,'Avoided Costs 2012-2020_EGD'!$K:$K)*N701</f>
        <v>0</v>
      </c>
      <c r="W701" s="65">
        <f>SUMIF('Avoided Costs 2012-2020_EGD'!$A:$A,'2012 Actuals_Auditor'!T701&amp;'2012 Actuals_Auditor'!S701,'Avoided Costs 2012-2020_EGD'!$M:$M)*R701</f>
        <v>0</v>
      </c>
      <c r="X701" s="65">
        <f t="shared" si="307"/>
        <v>41665.751713365891</v>
      </c>
      <c r="Y701" s="146">
        <v>17146</v>
      </c>
      <c r="Z701" s="66">
        <f t="shared" si="302"/>
        <v>13716.800000000001</v>
      </c>
      <c r="AA701" s="66">
        <v>2242</v>
      </c>
      <c r="AB701" s="66"/>
      <c r="AC701" s="66"/>
      <c r="AD701" s="66">
        <f t="shared" si="303"/>
        <v>13716.800000000001</v>
      </c>
      <c r="AE701" s="66">
        <f t="shared" si="304"/>
        <v>27948.951713365888</v>
      </c>
      <c r="AF701" s="101">
        <f t="shared" si="305"/>
        <v>257206.17254989181</v>
      </c>
      <c r="AG701" s="101">
        <f t="shared" si="306"/>
        <v>321507.71568736475</v>
      </c>
    </row>
    <row r="702" spans="1:33" s="68" customFormat="1" x14ac:dyDescent="0.2">
      <c r="A702" s="147" t="s">
        <v>382</v>
      </c>
      <c r="B702" s="147"/>
      <c r="C702" s="147"/>
      <c r="D702" s="148">
        <v>1</v>
      </c>
      <c r="E702" s="149"/>
      <c r="F702" s="150">
        <v>0.2</v>
      </c>
      <c r="G702" s="150"/>
      <c r="H702" s="67">
        <v>12252</v>
      </c>
      <c r="I702" s="67">
        <f t="shared" si="309"/>
        <v>11711.523978657608</v>
      </c>
      <c r="J702" s="67">
        <f t="shared" si="299"/>
        <v>9369.2191829260864</v>
      </c>
      <c r="K702" s="63"/>
      <c r="L702" s="149">
        <v>392</v>
      </c>
      <c r="M702" s="63">
        <f t="shared" si="308"/>
        <v>392</v>
      </c>
      <c r="N702" s="63">
        <f t="shared" si="300"/>
        <v>313.60000000000002</v>
      </c>
      <c r="O702" s="69"/>
      <c r="P702" s="149">
        <v>0</v>
      </c>
      <c r="Q702" s="63">
        <f t="shared" si="310"/>
        <v>0</v>
      </c>
      <c r="R702" s="64">
        <f t="shared" si="301"/>
        <v>0</v>
      </c>
      <c r="S702" s="148">
        <v>15</v>
      </c>
      <c r="T702" s="151" t="s">
        <v>15</v>
      </c>
      <c r="U702" s="65">
        <f>SUMIF('Avoided Costs 2012-2020_EGD'!$A:$A,'2012 Actuals_Auditor'!T702&amp;'2012 Actuals_Auditor'!S702,'Avoided Costs 2012-2020_EGD'!$E:$E)*J702</f>
        <v>22766.302010977968</v>
      </c>
      <c r="V702" s="65">
        <f>SUMIF('Avoided Costs 2012-2020_EGD'!$A:$A,'2012 Actuals_Auditor'!T702&amp;'2012 Actuals_Auditor'!S702,'Avoided Costs 2012-2020_EGD'!$K:$K)*N702</f>
        <v>322.94008236024683</v>
      </c>
      <c r="W702" s="65">
        <f>SUMIF('Avoided Costs 2012-2020_EGD'!$A:$A,'2012 Actuals_Auditor'!T702&amp;'2012 Actuals_Auditor'!S702,'Avoided Costs 2012-2020_EGD'!$M:$M)*R702</f>
        <v>0</v>
      </c>
      <c r="X702" s="65">
        <f t="shared" si="307"/>
        <v>23089.242093338216</v>
      </c>
      <c r="Y702" s="146">
        <v>4800</v>
      </c>
      <c r="Z702" s="66">
        <f t="shared" si="302"/>
        <v>3840</v>
      </c>
      <c r="AA702" s="66">
        <v>2450</v>
      </c>
      <c r="AB702" s="66"/>
      <c r="AC702" s="66"/>
      <c r="AD702" s="66">
        <f t="shared" si="303"/>
        <v>3840</v>
      </c>
      <c r="AE702" s="66">
        <f t="shared" si="304"/>
        <v>19249.242093338216</v>
      </c>
      <c r="AF702" s="101">
        <f t="shared" si="305"/>
        <v>140538.2877438913</v>
      </c>
      <c r="AG702" s="101">
        <f t="shared" si="306"/>
        <v>175672.85967986411</v>
      </c>
    </row>
    <row r="703" spans="1:33" s="68" customFormat="1" x14ac:dyDescent="0.2">
      <c r="A703" s="141" t="s">
        <v>383</v>
      </c>
      <c r="B703" s="141"/>
      <c r="C703" s="141"/>
      <c r="D703" s="142">
        <v>1</v>
      </c>
      <c r="E703" s="143"/>
      <c r="F703" s="144">
        <v>0.2</v>
      </c>
      <c r="G703" s="144"/>
      <c r="H703" s="67">
        <v>40276</v>
      </c>
      <c r="I703" s="67">
        <f t="shared" ref="I703:I734" si="311">+$H$42*H703</f>
        <v>38499.293157395834</v>
      </c>
      <c r="J703" s="67">
        <f t="shared" si="299"/>
        <v>30799.434525916669</v>
      </c>
      <c r="K703" s="143"/>
      <c r="L703" s="143">
        <v>46242</v>
      </c>
      <c r="M703" s="63">
        <f t="shared" si="308"/>
        <v>46242</v>
      </c>
      <c r="N703" s="63">
        <f t="shared" si="300"/>
        <v>36993.599999999999</v>
      </c>
      <c r="O703" s="143"/>
      <c r="P703" s="143">
        <v>0</v>
      </c>
      <c r="Q703" s="63">
        <f t="shared" ref="Q703:Q734" si="312">+P703*$P$42</f>
        <v>0</v>
      </c>
      <c r="R703" s="64">
        <f t="shared" si="301"/>
        <v>0</v>
      </c>
      <c r="S703" s="142">
        <v>15</v>
      </c>
      <c r="T703" s="145" t="s">
        <v>15</v>
      </c>
      <c r="U703" s="65">
        <f>SUMIF('Avoided Costs 2012-2020_EGD'!$A:$A,'2012 Actuals_Auditor'!T703&amp;'2012 Actuals_Auditor'!S703,'Avoided Costs 2012-2020_EGD'!$E:$E)*J703</f>
        <v>74839.665343955974</v>
      </c>
      <c r="V703" s="65">
        <f>SUMIF('Avoided Costs 2012-2020_EGD'!$A:$A,'2012 Actuals_Auditor'!T703&amp;'2012 Actuals_Auditor'!S703,'Avoided Costs 2012-2020_EGD'!$K:$K)*N703</f>
        <v>38095.396144139115</v>
      </c>
      <c r="W703" s="65">
        <f>SUMIF('Avoided Costs 2012-2020_EGD'!$A:$A,'2012 Actuals_Auditor'!T703&amp;'2012 Actuals_Auditor'!S703,'Avoided Costs 2012-2020_EGD'!$M:$M)*R703</f>
        <v>0</v>
      </c>
      <c r="X703" s="65">
        <f t="shared" si="307"/>
        <v>112935.06148809509</v>
      </c>
      <c r="Y703" s="146">
        <v>15000</v>
      </c>
      <c r="Z703" s="66">
        <f t="shared" si="302"/>
        <v>12000</v>
      </c>
      <c r="AA703" s="66">
        <v>8055</v>
      </c>
      <c r="AB703" s="66"/>
      <c r="AC703" s="66"/>
      <c r="AD703" s="66">
        <f t="shared" si="303"/>
        <v>12000</v>
      </c>
      <c r="AE703" s="66">
        <f t="shared" si="304"/>
        <v>100935.06148809509</v>
      </c>
      <c r="AF703" s="101">
        <f t="shared" si="305"/>
        <v>461991.51788875007</v>
      </c>
      <c r="AG703" s="101">
        <f t="shared" si="306"/>
        <v>577489.39736093755</v>
      </c>
    </row>
    <row r="704" spans="1:33" s="68" customFormat="1" x14ac:dyDescent="0.2">
      <c r="A704" s="147" t="s">
        <v>384</v>
      </c>
      <c r="B704" s="147"/>
      <c r="C704" s="147"/>
      <c r="D704" s="148">
        <v>1</v>
      </c>
      <c r="E704" s="149"/>
      <c r="F704" s="150">
        <v>0.2</v>
      </c>
      <c r="G704" s="150"/>
      <c r="H704" s="67">
        <v>30083</v>
      </c>
      <c r="I704" s="67">
        <f t="shared" si="311"/>
        <v>28755.939915928568</v>
      </c>
      <c r="J704" s="67">
        <f t="shared" si="299"/>
        <v>23004.751932742856</v>
      </c>
      <c r="K704" s="63"/>
      <c r="L704" s="149">
        <v>41489</v>
      </c>
      <c r="M704" s="63">
        <f t="shared" si="308"/>
        <v>41489</v>
      </c>
      <c r="N704" s="63">
        <f t="shared" si="300"/>
        <v>33191.200000000004</v>
      </c>
      <c r="O704" s="69"/>
      <c r="P704" s="149">
        <v>0</v>
      </c>
      <c r="Q704" s="63">
        <f t="shared" si="312"/>
        <v>0</v>
      </c>
      <c r="R704" s="64">
        <f t="shared" si="301"/>
        <v>0</v>
      </c>
      <c r="S704" s="148">
        <v>15</v>
      </c>
      <c r="T704" s="151" t="s">
        <v>15</v>
      </c>
      <c r="U704" s="65">
        <f>SUMIF('Avoided Costs 2012-2020_EGD'!$A:$A,'2012 Actuals_Auditor'!T704&amp;'2012 Actuals_Auditor'!S704,'Avoided Costs 2012-2020_EGD'!$E:$E)*J704</f>
        <v>55899.335895874159</v>
      </c>
      <c r="V704" s="65">
        <f>SUMIF('Avoided Costs 2012-2020_EGD'!$A:$A,'2012 Actuals_Auditor'!T704&amp;'2012 Actuals_Auditor'!S704,'Avoided Costs 2012-2020_EGD'!$K:$K)*N704</f>
        <v>34179.747645521129</v>
      </c>
      <c r="W704" s="65">
        <f>SUMIF('Avoided Costs 2012-2020_EGD'!$A:$A,'2012 Actuals_Auditor'!T704&amp;'2012 Actuals_Auditor'!S704,'Avoided Costs 2012-2020_EGD'!$M:$M)*R704</f>
        <v>0</v>
      </c>
      <c r="X704" s="65">
        <f t="shared" si="307"/>
        <v>90079.083541395288</v>
      </c>
      <c r="Y704" s="146">
        <v>15000</v>
      </c>
      <c r="Z704" s="66">
        <f t="shared" si="302"/>
        <v>12000</v>
      </c>
      <c r="AA704" s="66">
        <v>3008</v>
      </c>
      <c r="AB704" s="66"/>
      <c r="AC704" s="66"/>
      <c r="AD704" s="66">
        <f t="shared" si="303"/>
        <v>12000</v>
      </c>
      <c r="AE704" s="66">
        <f t="shared" si="304"/>
        <v>78079.083541395288</v>
      </c>
      <c r="AF704" s="101">
        <f t="shared" si="305"/>
        <v>345071.27899114287</v>
      </c>
      <c r="AG704" s="101">
        <f t="shared" si="306"/>
        <v>431339.0987389285</v>
      </c>
    </row>
    <row r="705" spans="1:33" s="68" customFormat="1" x14ac:dyDescent="0.2">
      <c r="A705" s="147" t="s">
        <v>385</v>
      </c>
      <c r="B705" s="147"/>
      <c r="C705" s="147"/>
      <c r="D705" s="148">
        <v>1</v>
      </c>
      <c r="E705" s="149"/>
      <c r="F705" s="150">
        <v>0.2</v>
      </c>
      <c r="G705" s="150"/>
      <c r="H705" s="67">
        <v>12534</v>
      </c>
      <c r="I705" s="67">
        <f t="shared" si="311"/>
        <v>11981.084031055701</v>
      </c>
      <c r="J705" s="67">
        <f t="shared" si="299"/>
        <v>9584.8672248445619</v>
      </c>
      <c r="K705" s="63"/>
      <c r="L705" s="149">
        <v>0</v>
      </c>
      <c r="M705" s="63">
        <f t="shared" si="308"/>
        <v>0</v>
      </c>
      <c r="N705" s="63">
        <f t="shared" si="300"/>
        <v>0</v>
      </c>
      <c r="O705" s="69"/>
      <c r="P705" s="149">
        <v>0</v>
      </c>
      <c r="Q705" s="63">
        <f t="shared" si="312"/>
        <v>0</v>
      </c>
      <c r="R705" s="64">
        <f t="shared" si="301"/>
        <v>0</v>
      </c>
      <c r="S705" s="148">
        <v>25</v>
      </c>
      <c r="T705" s="151" t="s">
        <v>15</v>
      </c>
      <c r="U705" s="65">
        <f>SUMIF('Avoided Costs 2012-2020_EGD'!$A:$A,'2012 Actuals_Auditor'!T705&amp;'2012 Actuals_Auditor'!S705,'Avoided Costs 2012-2020_EGD'!$E:$E)*J705</f>
        <v>32914.386115356887</v>
      </c>
      <c r="V705" s="65">
        <f>SUMIF('Avoided Costs 2012-2020_EGD'!$A:$A,'2012 Actuals_Auditor'!T705&amp;'2012 Actuals_Auditor'!S705,'Avoided Costs 2012-2020_EGD'!$K:$K)*N705</f>
        <v>0</v>
      </c>
      <c r="W705" s="65">
        <f>SUMIF('Avoided Costs 2012-2020_EGD'!$A:$A,'2012 Actuals_Auditor'!T705&amp;'2012 Actuals_Auditor'!S705,'Avoided Costs 2012-2020_EGD'!$M:$M)*R705</f>
        <v>0</v>
      </c>
      <c r="X705" s="65">
        <f t="shared" si="307"/>
        <v>32914.386115356887</v>
      </c>
      <c r="Y705" s="146">
        <v>30762</v>
      </c>
      <c r="Z705" s="66">
        <f t="shared" si="302"/>
        <v>24609.600000000002</v>
      </c>
      <c r="AA705" s="66">
        <v>2921</v>
      </c>
      <c r="AB705" s="66"/>
      <c r="AC705" s="66"/>
      <c r="AD705" s="66">
        <f t="shared" si="303"/>
        <v>24609.600000000002</v>
      </c>
      <c r="AE705" s="66">
        <f t="shared" si="304"/>
        <v>8304.7861153568847</v>
      </c>
      <c r="AF705" s="101">
        <f t="shared" si="305"/>
        <v>239621.68062111404</v>
      </c>
      <c r="AG705" s="101">
        <f t="shared" si="306"/>
        <v>299527.10077639256</v>
      </c>
    </row>
    <row r="706" spans="1:33" s="68" customFormat="1" x14ac:dyDescent="0.2">
      <c r="A706" s="141" t="s">
        <v>386</v>
      </c>
      <c r="B706" s="141"/>
      <c r="C706" s="141"/>
      <c r="D706" s="142">
        <v>0</v>
      </c>
      <c r="E706" s="143"/>
      <c r="F706" s="144">
        <v>0.2</v>
      </c>
      <c r="G706" s="144"/>
      <c r="H706" s="67">
        <v>3475</v>
      </c>
      <c r="I706" s="67">
        <f t="shared" si="311"/>
        <v>3321.7063194445955</v>
      </c>
      <c r="J706" s="67">
        <f t="shared" si="299"/>
        <v>2657.3650555556765</v>
      </c>
      <c r="K706" s="143"/>
      <c r="L706" s="143">
        <v>0</v>
      </c>
      <c r="M706" s="63">
        <f t="shared" si="308"/>
        <v>0</v>
      </c>
      <c r="N706" s="63">
        <f t="shared" si="300"/>
        <v>0</v>
      </c>
      <c r="O706" s="143"/>
      <c r="P706" s="143">
        <v>0</v>
      </c>
      <c r="Q706" s="63">
        <f t="shared" si="312"/>
        <v>0</v>
      </c>
      <c r="R706" s="64">
        <f t="shared" si="301"/>
        <v>0</v>
      </c>
      <c r="S706" s="142">
        <v>15</v>
      </c>
      <c r="T706" s="145" t="s">
        <v>52</v>
      </c>
      <c r="U706" s="65">
        <f>SUMIF('Avoided Costs 2012-2020_EGD'!$A:$A,'2012 Actuals_Auditor'!T706&amp;'2012 Actuals_Auditor'!S706,'Avoided Costs 2012-2020_EGD'!$E:$E)*J706</f>
        <v>6072.0745678033791</v>
      </c>
      <c r="V706" s="65">
        <f>SUMIF('Avoided Costs 2012-2020_EGD'!$A:$A,'2012 Actuals_Auditor'!T706&amp;'2012 Actuals_Auditor'!S706,'Avoided Costs 2012-2020_EGD'!$K:$K)*N706</f>
        <v>0</v>
      </c>
      <c r="W706" s="65">
        <f>SUMIF('Avoided Costs 2012-2020_EGD'!$A:$A,'2012 Actuals_Auditor'!T706&amp;'2012 Actuals_Auditor'!S706,'Avoided Costs 2012-2020_EGD'!$M:$M)*R706</f>
        <v>0</v>
      </c>
      <c r="X706" s="65">
        <f t="shared" si="307"/>
        <v>6072.0745678033791</v>
      </c>
      <c r="Y706" s="146">
        <v>1750</v>
      </c>
      <c r="Z706" s="66">
        <f t="shared" si="302"/>
        <v>1400</v>
      </c>
      <c r="AA706" s="66">
        <v>875</v>
      </c>
      <c r="AB706" s="66"/>
      <c r="AC706" s="66"/>
      <c r="AD706" s="66">
        <f t="shared" si="303"/>
        <v>1400</v>
      </c>
      <c r="AE706" s="66">
        <f t="shared" si="304"/>
        <v>4672.0745678033791</v>
      </c>
      <c r="AF706" s="101">
        <f t="shared" si="305"/>
        <v>39860.475833335149</v>
      </c>
      <c r="AG706" s="101">
        <f t="shared" si="306"/>
        <v>49825.594791668933</v>
      </c>
    </row>
    <row r="707" spans="1:33" s="68" customFormat="1" x14ac:dyDescent="0.2">
      <c r="A707" s="141" t="s">
        <v>387</v>
      </c>
      <c r="B707" s="141"/>
      <c r="C707" s="141"/>
      <c r="D707" s="142">
        <v>1</v>
      </c>
      <c r="E707" s="143"/>
      <c r="F707" s="144">
        <v>0.2</v>
      </c>
      <c r="G707" s="144"/>
      <c r="H707" s="67">
        <v>3836</v>
      </c>
      <c r="I707" s="67">
        <f t="shared" si="311"/>
        <v>3666.7814219825809</v>
      </c>
      <c r="J707" s="67">
        <f t="shared" si="299"/>
        <v>2933.4251375860649</v>
      </c>
      <c r="K707" s="143"/>
      <c r="L707" s="143">
        <v>0</v>
      </c>
      <c r="M707" s="63">
        <f t="shared" si="308"/>
        <v>0</v>
      </c>
      <c r="N707" s="63">
        <f t="shared" si="300"/>
        <v>0</v>
      </c>
      <c r="O707" s="143"/>
      <c r="P707" s="143">
        <v>0</v>
      </c>
      <c r="Q707" s="63">
        <f t="shared" si="312"/>
        <v>0</v>
      </c>
      <c r="R707" s="64">
        <f t="shared" si="301"/>
        <v>0</v>
      </c>
      <c r="S707" s="142">
        <v>15</v>
      </c>
      <c r="T707" s="145" t="s">
        <v>15</v>
      </c>
      <c r="U707" s="65">
        <f>SUMIF('Avoided Costs 2012-2020_EGD'!$A:$A,'2012 Actuals_Auditor'!T707&amp;'2012 Actuals_Auditor'!S707,'Avoided Costs 2012-2020_EGD'!$E:$E)*J707</f>
        <v>7127.9411128070096</v>
      </c>
      <c r="V707" s="65">
        <f>SUMIF('Avoided Costs 2012-2020_EGD'!$A:$A,'2012 Actuals_Auditor'!T707&amp;'2012 Actuals_Auditor'!S707,'Avoided Costs 2012-2020_EGD'!$K:$K)*N707</f>
        <v>0</v>
      </c>
      <c r="W707" s="65">
        <f>SUMIF('Avoided Costs 2012-2020_EGD'!$A:$A,'2012 Actuals_Auditor'!T707&amp;'2012 Actuals_Auditor'!S707,'Avoided Costs 2012-2020_EGD'!$M:$M)*R707</f>
        <v>0</v>
      </c>
      <c r="X707" s="65">
        <f t="shared" si="307"/>
        <v>7127.9411128070096</v>
      </c>
      <c r="Y707" s="146">
        <v>1750</v>
      </c>
      <c r="Z707" s="66">
        <f t="shared" si="302"/>
        <v>1400</v>
      </c>
      <c r="AA707" s="66">
        <v>875</v>
      </c>
      <c r="AB707" s="66"/>
      <c r="AC707" s="66"/>
      <c r="AD707" s="66">
        <f t="shared" si="303"/>
        <v>1400</v>
      </c>
      <c r="AE707" s="66">
        <f t="shared" si="304"/>
        <v>5727.9411128070096</v>
      </c>
      <c r="AF707" s="101">
        <f t="shared" si="305"/>
        <v>44001.377063790977</v>
      </c>
      <c r="AG707" s="101">
        <f t="shared" si="306"/>
        <v>55001.721329738713</v>
      </c>
    </row>
    <row r="708" spans="1:33" s="68" customFormat="1" x14ac:dyDescent="0.2">
      <c r="A708" s="147" t="s">
        <v>388</v>
      </c>
      <c r="B708" s="147"/>
      <c r="C708" s="147"/>
      <c r="D708" s="148">
        <v>0</v>
      </c>
      <c r="E708" s="149"/>
      <c r="F708" s="150">
        <v>0.2</v>
      </c>
      <c r="G708" s="150"/>
      <c r="H708" s="67">
        <v>40470</v>
      </c>
      <c r="I708" s="67">
        <f t="shared" si="311"/>
        <v>38684.735179258358</v>
      </c>
      <c r="J708" s="67">
        <f t="shared" si="299"/>
        <v>30947.788143406688</v>
      </c>
      <c r="K708" s="63"/>
      <c r="L708" s="149">
        <v>47859</v>
      </c>
      <c r="M708" s="63">
        <f t="shared" si="308"/>
        <v>47859</v>
      </c>
      <c r="N708" s="63">
        <f t="shared" si="300"/>
        <v>38287.200000000004</v>
      </c>
      <c r="O708" s="69"/>
      <c r="P708" s="149">
        <v>0</v>
      </c>
      <c r="Q708" s="63">
        <f t="shared" si="312"/>
        <v>0</v>
      </c>
      <c r="R708" s="64">
        <f t="shared" si="301"/>
        <v>0</v>
      </c>
      <c r="S708" s="148">
        <v>15</v>
      </c>
      <c r="T708" s="151" t="s">
        <v>15</v>
      </c>
      <c r="U708" s="65">
        <f>SUMIF('Avoided Costs 2012-2020_EGD'!$A:$A,'2012 Actuals_Auditor'!T708&amp;'2012 Actuals_Auditor'!S708,'Avoided Costs 2012-2020_EGD'!$E:$E)*J708</f>
        <v>75200.150374165722</v>
      </c>
      <c r="V708" s="65">
        <f>SUMIF('Avoided Costs 2012-2020_EGD'!$A:$A,'2012 Actuals_Auditor'!T708&amp;'2012 Actuals_Auditor'!S708,'Avoided Costs 2012-2020_EGD'!$K:$K)*N708</f>
        <v>39427.523983875144</v>
      </c>
      <c r="W708" s="65">
        <f>SUMIF('Avoided Costs 2012-2020_EGD'!$A:$A,'2012 Actuals_Auditor'!T708&amp;'2012 Actuals_Auditor'!S708,'Avoided Costs 2012-2020_EGD'!$M:$M)*R708</f>
        <v>0</v>
      </c>
      <c r="X708" s="65">
        <f t="shared" si="307"/>
        <v>114627.67435804087</v>
      </c>
      <c r="Y708" s="146">
        <v>14340</v>
      </c>
      <c r="Z708" s="66">
        <f t="shared" si="302"/>
        <v>11472</v>
      </c>
      <c r="AA708" s="66">
        <v>7170</v>
      </c>
      <c r="AB708" s="66"/>
      <c r="AC708" s="66"/>
      <c r="AD708" s="66">
        <f t="shared" si="303"/>
        <v>11472</v>
      </c>
      <c r="AE708" s="66">
        <f t="shared" si="304"/>
        <v>103155.67435804087</v>
      </c>
      <c r="AF708" s="101">
        <f t="shared" si="305"/>
        <v>464216.82215110032</v>
      </c>
      <c r="AG708" s="101">
        <f t="shared" si="306"/>
        <v>580271.02768887533</v>
      </c>
    </row>
    <row r="709" spans="1:33" s="68" customFormat="1" x14ac:dyDescent="0.2">
      <c r="A709" s="147" t="s">
        <v>389</v>
      </c>
      <c r="B709" s="147"/>
      <c r="C709" s="147"/>
      <c r="D709" s="148">
        <v>0</v>
      </c>
      <c r="E709" s="149"/>
      <c r="F709" s="150">
        <v>0.2</v>
      </c>
      <c r="G709" s="150"/>
      <c r="H709" s="67">
        <v>105039</v>
      </c>
      <c r="I709" s="67">
        <f t="shared" si="311"/>
        <v>100405.38419802615</v>
      </c>
      <c r="J709" s="67">
        <f t="shared" si="299"/>
        <v>80324.30735842092</v>
      </c>
      <c r="K709" s="63"/>
      <c r="L709" s="149">
        <v>0</v>
      </c>
      <c r="M709" s="63">
        <f t="shared" si="308"/>
        <v>0</v>
      </c>
      <c r="N709" s="63">
        <f t="shared" si="300"/>
        <v>0</v>
      </c>
      <c r="O709" s="69"/>
      <c r="P709" s="149">
        <v>0</v>
      </c>
      <c r="Q709" s="63">
        <f t="shared" si="312"/>
        <v>0</v>
      </c>
      <c r="R709" s="64">
        <f t="shared" si="301"/>
        <v>0</v>
      </c>
      <c r="S709" s="148">
        <v>25</v>
      </c>
      <c r="T709" s="151" t="s">
        <v>15</v>
      </c>
      <c r="U709" s="65">
        <f>SUMIF('Avoided Costs 2012-2020_EGD'!$A:$A,'2012 Actuals_Auditor'!T709&amp;'2012 Actuals_Auditor'!S709,'Avoided Costs 2012-2020_EGD'!$E:$E)*J709</f>
        <v>275833.26975993073</v>
      </c>
      <c r="V709" s="65">
        <f>SUMIF('Avoided Costs 2012-2020_EGD'!$A:$A,'2012 Actuals_Auditor'!T709&amp;'2012 Actuals_Auditor'!S709,'Avoided Costs 2012-2020_EGD'!$K:$K)*N709</f>
        <v>0</v>
      </c>
      <c r="W709" s="65">
        <f>SUMIF('Avoided Costs 2012-2020_EGD'!$A:$A,'2012 Actuals_Auditor'!T709&amp;'2012 Actuals_Auditor'!S709,'Avoided Costs 2012-2020_EGD'!$M:$M)*R709</f>
        <v>0</v>
      </c>
      <c r="X709" s="65">
        <f t="shared" si="307"/>
        <v>275833.26975993073</v>
      </c>
      <c r="Y709" s="146">
        <v>-14380</v>
      </c>
      <c r="Z709" s="66">
        <f t="shared" si="302"/>
        <v>-11504</v>
      </c>
      <c r="AA709" s="66">
        <v>12059</v>
      </c>
      <c r="AB709" s="66"/>
      <c r="AC709" s="66"/>
      <c r="AD709" s="66">
        <f t="shared" si="303"/>
        <v>-11504</v>
      </c>
      <c r="AE709" s="66">
        <f t="shared" si="304"/>
        <v>287337.26975993073</v>
      </c>
      <c r="AF709" s="101">
        <f t="shared" si="305"/>
        <v>2008107.683960523</v>
      </c>
      <c r="AG709" s="101">
        <f t="shared" si="306"/>
        <v>2510134.6049506539</v>
      </c>
    </row>
    <row r="710" spans="1:33" s="68" customFormat="1" x14ac:dyDescent="0.2">
      <c r="A710" s="147" t="s">
        <v>390</v>
      </c>
      <c r="B710" s="147"/>
      <c r="C710" s="147"/>
      <c r="D710" s="148">
        <v>1</v>
      </c>
      <c r="E710" s="149"/>
      <c r="F710" s="150">
        <v>0.2</v>
      </c>
      <c r="G710" s="150"/>
      <c r="H710" s="67">
        <v>35596</v>
      </c>
      <c r="I710" s="67">
        <f t="shared" si="311"/>
        <v>34025.743351640238</v>
      </c>
      <c r="J710" s="67">
        <f t="shared" si="299"/>
        <v>27220.594681312192</v>
      </c>
      <c r="K710" s="63"/>
      <c r="L710" s="149">
        <v>0</v>
      </c>
      <c r="M710" s="63">
        <f t="shared" si="308"/>
        <v>0</v>
      </c>
      <c r="N710" s="63">
        <f t="shared" si="300"/>
        <v>0</v>
      </c>
      <c r="O710" s="69"/>
      <c r="P710" s="149">
        <v>0</v>
      </c>
      <c r="Q710" s="63">
        <f t="shared" si="312"/>
        <v>0</v>
      </c>
      <c r="R710" s="64">
        <f t="shared" si="301"/>
        <v>0</v>
      </c>
      <c r="S710" s="148">
        <v>15</v>
      </c>
      <c r="T710" s="151" t="s">
        <v>15</v>
      </c>
      <c r="U710" s="65">
        <f>SUMIF('Avoided Costs 2012-2020_EGD'!$A:$A,'2012 Actuals_Auditor'!T710&amp;'2012 Actuals_Auditor'!S710,'Avoided Costs 2012-2020_EGD'!$E:$E)*J710</f>
        <v>66143.428532710721</v>
      </c>
      <c r="V710" s="65">
        <f>SUMIF('Avoided Costs 2012-2020_EGD'!$A:$A,'2012 Actuals_Auditor'!T710&amp;'2012 Actuals_Auditor'!S710,'Avoided Costs 2012-2020_EGD'!$K:$K)*N710</f>
        <v>0</v>
      </c>
      <c r="W710" s="65">
        <f>SUMIF('Avoided Costs 2012-2020_EGD'!$A:$A,'2012 Actuals_Auditor'!T710&amp;'2012 Actuals_Auditor'!S710,'Avoided Costs 2012-2020_EGD'!$M:$M)*R710</f>
        <v>0</v>
      </c>
      <c r="X710" s="65">
        <f t="shared" si="307"/>
        <v>66143.428532710721</v>
      </c>
      <c r="Y710" s="146">
        <v>39440</v>
      </c>
      <c r="Z710" s="66">
        <f t="shared" si="302"/>
        <v>31552</v>
      </c>
      <c r="AA710" s="66">
        <v>3560</v>
      </c>
      <c r="AB710" s="66"/>
      <c r="AC710" s="66"/>
      <c r="AD710" s="66">
        <f t="shared" si="303"/>
        <v>31552</v>
      </c>
      <c r="AE710" s="66">
        <f t="shared" si="304"/>
        <v>34591.428532710721</v>
      </c>
      <c r="AF710" s="101">
        <f t="shared" si="305"/>
        <v>408308.92021968286</v>
      </c>
      <c r="AG710" s="101">
        <f t="shared" si="306"/>
        <v>510386.15027460357</v>
      </c>
    </row>
    <row r="711" spans="1:33" s="68" customFormat="1" x14ac:dyDescent="0.2">
      <c r="A711" s="147" t="s">
        <v>391</v>
      </c>
      <c r="B711" s="147"/>
      <c r="C711" s="147"/>
      <c r="D711" s="148">
        <v>1</v>
      </c>
      <c r="E711" s="149"/>
      <c r="F711" s="150">
        <v>0.2</v>
      </c>
      <c r="G711" s="150"/>
      <c r="H711" s="67">
        <v>8475</v>
      </c>
      <c r="I711" s="67">
        <f t="shared" si="311"/>
        <v>8101.1398726022871</v>
      </c>
      <c r="J711" s="67">
        <f t="shared" si="299"/>
        <v>6480.9118980818303</v>
      </c>
      <c r="K711" s="63"/>
      <c r="L711" s="149">
        <v>235</v>
      </c>
      <c r="M711" s="63">
        <f t="shared" si="308"/>
        <v>235</v>
      </c>
      <c r="N711" s="63">
        <f t="shared" si="300"/>
        <v>188</v>
      </c>
      <c r="O711" s="69"/>
      <c r="P711" s="149">
        <v>0</v>
      </c>
      <c r="Q711" s="63">
        <f t="shared" si="312"/>
        <v>0</v>
      </c>
      <c r="R711" s="64">
        <f t="shared" si="301"/>
        <v>0</v>
      </c>
      <c r="S711" s="148">
        <v>15</v>
      </c>
      <c r="T711" s="151" t="s">
        <v>15</v>
      </c>
      <c r="U711" s="65">
        <f>SUMIF('Avoided Costs 2012-2020_EGD'!$A:$A,'2012 Actuals_Auditor'!T711&amp;'2012 Actuals_Auditor'!S711,'Avoided Costs 2012-2020_EGD'!$E:$E)*J711</f>
        <v>15747.99294344093</v>
      </c>
      <c r="V711" s="65">
        <f>SUMIF('Avoided Costs 2012-2020_EGD'!$A:$A,'2012 Actuals_Auditor'!T711&amp;'2012 Actuals_Auditor'!S711,'Avoided Costs 2012-2020_EGD'!$K:$K)*N711</f>
        <v>193.59928406800512</v>
      </c>
      <c r="W711" s="65">
        <f>SUMIF('Avoided Costs 2012-2020_EGD'!$A:$A,'2012 Actuals_Auditor'!T711&amp;'2012 Actuals_Auditor'!S711,'Avoided Costs 2012-2020_EGD'!$M:$M)*R711</f>
        <v>0</v>
      </c>
      <c r="X711" s="65">
        <f t="shared" si="307"/>
        <v>15941.592227508934</v>
      </c>
      <c r="Y711" s="146">
        <v>4800</v>
      </c>
      <c r="Z711" s="66">
        <f t="shared" si="302"/>
        <v>3840</v>
      </c>
      <c r="AA711" s="66">
        <v>1695</v>
      </c>
      <c r="AB711" s="66"/>
      <c r="AC711" s="66"/>
      <c r="AD711" s="66">
        <f t="shared" si="303"/>
        <v>3840</v>
      </c>
      <c r="AE711" s="66">
        <f t="shared" si="304"/>
        <v>12101.592227508934</v>
      </c>
      <c r="AF711" s="101">
        <f t="shared" si="305"/>
        <v>97213.678471227453</v>
      </c>
      <c r="AG711" s="101">
        <f t="shared" si="306"/>
        <v>121517.09808903431</v>
      </c>
    </row>
    <row r="712" spans="1:33" s="68" customFormat="1" x14ac:dyDescent="0.2">
      <c r="A712" s="147" t="s">
        <v>392</v>
      </c>
      <c r="B712" s="147"/>
      <c r="C712" s="147"/>
      <c r="D712" s="148">
        <v>1</v>
      </c>
      <c r="E712" s="149"/>
      <c r="F712" s="150">
        <v>0.2</v>
      </c>
      <c r="G712" s="150"/>
      <c r="H712" s="67">
        <v>13394</v>
      </c>
      <c r="I712" s="67">
        <f t="shared" si="311"/>
        <v>12803.146602198824</v>
      </c>
      <c r="J712" s="67">
        <f t="shared" si="299"/>
        <v>10242.517281759059</v>
      </c>
      <c r="K712" s="63"/>
      <c r="L712" s="149">
        <v>1959</v>
      </c>
      <c r="M712" s="63">
        <f t="shared" si="308"/>
        <v>1959</v>
      </c>
      <c r="N712" s="63">
        <f t="shared" si="300"/>
        <v>1567.2</v>
      </c>
      <c r="O712" s="69"/>
      <c r="P712" s="149">
        <v>0</v>
      </c>
      <c r="Q712" s="63">
        <f t="shared" si="312"/>
        <v>0</v>
      </c>
      <c r="R712" s="64">
        <f t="shared" si="301"/>
        <v>0</v>
      </c>
      <c r="S712" s="148">
        <v>15</v>
      </c>
      <c r="T712" s="151" t="s">
        <v>15</v>
      </c>
      <c r="U712" s="65">
        <f>SUMIF('Avoided Costs 2012-2020_EGD'!$A:$A,'2012 Actuals_Auditor'!T712&amp;'2012 Actuals_Auditor'!S712,'Avoided Costs 2012-2020_EGD'!$E:$E)*J712</f>
        <v>24888.332446542514</v>
      </c>
      <c r="V712" s="65">
        <f>SUMIF('Avoided Costs 2012-2020_EGD'!$A:$A,'2012 Actuals_Auditor'!T712&amp;'2012 Actuals_Auditor'!S712,'Avoided Costs 2012-2020_EGD'!$K:$K)*N712</f>
        <v>1613.8765850605193</v>
      </c>
      <c r="W712" s="65">
        <f>SUMIF('Avoided Costs 2012-2020_EGD'!$A:$A,'2012 Actuals_Auditor'!T712&amp;'2012 Actuals_Auditor'!S712,'Avoided Costs 2012-2020_EGD'!$M:$M)*R712</f>
        <v>0</v>
      </c>
      <c r="X712" s="65">
        <f t="shared" si="307"/>
        <v>26502.209031603034</v>
      </c>
      <c r="Y712" s="146">
        <v>4800</v>
      </c>
      <c r="Z712" s="66">
        <f t="shared" si="302"/>
        <v>3840</v>
      </c>
      <c r="AA712" s="66">
        <v>2679</v>
      </c>
      <c r="AB712" s="66"/>
      <c r="AC712" s="66"/>
      <c r="AD712" s="66">
        <f t="shared" si="303"/>
        <v>3840</v>
      </c>
      <c r="AE712" s="66">
        <f t="shared" si="304"/>
        <v>22662.209031603034</v>
      </c>
      <c r="AF712" s="101">
        <f t="shared" si="305"/>
        <v>153637.75922638588</v>
      </c>
      <c r="AG712" s="101">
        <f t="shared" si="306"/>
        <v>192047.19903298235</v>
      </c>
    </row>
    <row r="713" spans="1:33" s="68" customFormat="1" x14ac:dyDescent="0.2">
      <c r="A713" s="147" t="s">
        <v>393</v>
      </c>
      <c r="B713" s="147"/>
      <c r="C713" s="147"/>
      <c r="D713" s="148">
        <v>1</v>
      </c>
      <c r="E713" s="149"/>
      <c r="F713" s="150">
        <v>0.2</v>
      </c>
      <c r="G713" s="150"/>
      <c r="H713" s="67">
        <v>10664</v>
      </c>
      <c r="I713" s="67">
        <f t="shared" si="311"/>
        <v>10193.575882174724</v>
      </c>
      <c r="J713" s="67">
        <f t="shared" si="299"/>
        <v>8154.8607057397794</v>
      </c>
      <c r="K713" s="63"/>
      <c r="L713" s="149">
        <v>313</v>
      </c>
      <c r="M713" s="63">
        <f t="shared" si="308"/>
        <v>313</v>
      </c>
      <c r="N713" s="63">
        <f t="shared" si="300"/>
        <v>250.4</v>
      </c>
      <c r="O713" s="69"/>
      <c r="P713" s="149">
        <v>0</v>
      </c>
      <c r="Q713" s="63">
        <f t="shared" si="312"/>
        <v>0</v>
      </c>
      <c r="R713" s="64">
        <f t="shared" si="301"/>
        <v>0</v>
      </c>
      <c r="S713" s="148">
        <v>15</v>
      </c>
      <c r="T713" s="151" t="s">
        <v>15</v>
      </c>
      <c r="U713" s="65">
        <f>SUMIF('Avoided Costs 2012-2020_EGD'!$A:$A,'2012 Actuals_Auditor'!T713&amp;'2012 Actuals_Auditor'!S713,'Avoided Costs 2012-2020_EGD'!$E:$E)*J713</f>
        <v>19815.527639982782</v>
      </c>
      <c r="V713" s="65">
        <f>SUMIF('Avoided Costs 2012-2020_EGD'!$A:$A,'2012 Actuals_Auditor'!T713&amp;'2012 Actuals_Auditor'!S713,'Avoided Costs 2012-2020_EGD'!$K:$K)*N713</f>
        <v>257.85776984376855</v>
      </c>
      <c r="W713" s="65">
        <f>SUMIF('Avoided Costs 2012-2020_EGD'!$A:$A,'2012 Actuals_Auditor'!T713&amp;'2012 Actuals_Auditor'!S713,'Avoided Costs 2012-2020_EGD'!$M:$M)*R713</f>
        <v>0</v>
      </c>
      <c r="X713" s="65">
        <f t="shared" si="307"/>
        <v>20073.385409826551</v>
      </c>
      <c r="Y713" s="146">
        <v>4800</v>
      </c>
      <c r="Z713" s="66">
        <f t="shared" si="302"/>
        <v>3840</v>
      </c>
      <c r="AA713" s="66">
        <v>2133</v>
      </c>
      <c r="AB713" s="66"/>
      <c r="AC713" s="66"/>
      <c r="AD713" s="66">
        <f t="shared" si="303"/>
        <v>3840</v>
      </c>
      <c r="AE713" s="66">
        <f t="shared" si="304"/>
        <v>16233.385409826551</v>
      </c>
      <c r="AF713" s="101">
        <f t="shared" si="305"/>
        <v>122322.9105860967</v>
      </c>
      <c r="AG713" s="101">
        <f t="shared" si="306"/>
        <v>152903.63823262087</v>
      </c>
    </row>
    <row r="714" spans="1:33" s="68" customFormat="1" x14ac:dyDescent="0.2">
      <c r="A714" s="147" t="s">
        <v>394</v>
      </c>
      <c r="B714" s="147"/>
      <c r="C714" s="147"/>
      <c r="D714" s="148">
        <v>1</v>
      </c>
      <c r="E714" s="149"/>
      <c r="F714" s="150">
        <v>0.2</v>
      </c>
      <c r="G714" s="150"/>
      <c r="H714" s="67">
        <v>17097</v>
      </c>
      <c r="I714" s="67">
        <f t="shared" si="311"/>
        <v>16342.795091667411</v>
      </c>
      <c r="J714" s="67">
        <f t="shared" si="299"/>
        <v>13074.23607333393</v>
      </c>
      <c r="K714" s="63"/>
      <c r="L714" s="149">
        <v>549</v>
      </c>
      <c r="M714" s="63">
        <f t="shared" si="308"/>
        <v>549</v>
      </c>
      <c r="N714" s="63">
        <f t="shared" si="300"/>
        <v>439.20000000000005</v>
      </c>
      <c r="O714" s="69"/>
      <c r="P714" s="149">
        <v>0</v>
      </c>
      <c r="Q714" s="63">
        <f t="shared" si="312"/>
        <v>0</v>
      </c>
      <c r="R714" s="64">
        <f t="shared" si="301"/>
        <v>0</v>
      </c>
      <c r="S714" s="148">
        <v>15</v>
      </c>
      <c r="T714" s="151" t="s">
        <v>15</v>
      </c>
      <c r="U714" s="65">
        <f>SUMIF('Avoided Costs 2012-2020_EGD'!$A:$A,'2012 Actuals_Auditor'!T714&amp;'2012 Actuals_Auditor'!S714,'Avoided Costs 2012-2020_EGD'!$E:$E)*J714</f>
        <v>31769.136914927385</v>
      </c>
      <c r="V714" s="65">
        <f>SUMIF('Avoided Costs 2012-2020_EGD'!$A:$A,'2012 Actuals_Auditor'!T714&amp;'2012 Actuals_Auditor'!S714,'Avoided Costs 2012-2020_EGD'!$K:$K)*N714</f>
        <v>452.28088065248858</v>
      </c>
      <c r="W714" s="65">
        <f>SUMIF('Avoided Costs 2012-2020_EGD'!$A:$A,'2012 Actuals_Auditor'!T714&amp;'2012 Actuals_Auditor'!S714,'Avoided Costs 2012-2020_EGD'!$M:$M)*R714</f>
        <v>0</v>
      </c>
      <c r="X714" s="65">
        <f t="shared" si="307"/>
        <v>32221.417795579873</v>
      </c>
      <c r="Y714" s="146">
        <v>7200</v>
      </c>
      <c r="Z714" s="66">
        <f t="shared" si="302"/>
        <v>5760</v>
      </c>
      <c r="AA714" s="66">
        <v>3419</v>
      </c>
      <c r="AB714" s="66"/>
      <c r="AC714" s="66"/>
      <c r="AD714" s="66">
        <f t="shared" si="303"/>
        <v>5760</v>
      </c>
      <c r="AE714" s="66">
        <f t="shared" si="304"/>
        <v>26461.417795579873</v>
      </c>
      <c r="AF714" s="101">
        <f t="shared" si="305"/>
        <v>196113.54110000894</v>
      </c>
      <c r="AG714" s="101">
        <f t="shared" si="306"/>
        <v>245141.92637501116</v>
      </c>
    </row>
    <row r="715" spans="1:33" s="68" customFormat="1" x14ac:dyDescent="0.2">
      <c r="A715" s="147" t="s">
        <v>395</v>
      </c>
      <c r="B715" s="147"/>
      <c r="C715" s="147"/>
      <c r="D715" s="148">
        <v>1</v>
      </c>
      <c r="E715" s="149"/>
      <c r="F715" s="150">
        <v>0.2</v>
      </c>
      <c r="G715" s="150"/>
      <c r="H715" s="67">
        <v>50805</v>
      </c>
      <c r="I715" s="67">
        <f t="shared" si="311"/>
        <v>48563.824333635304</v>
      </c>
      <c r="J715" s="67">
        <f t="shared" si="299"/>
        <v>38851.059466908242</v>
      </c>
      <c r="K715" s="63"/>
      <c r="L715" s="149">
        <v>0</v>
      </c>
      <c r="M715" s="63">
        <f t="shared" si="308"/>
        <v>0</v>
      </c>
      <c r="N715" s="63">
        <f t="shared" si="300"/>
        <v>0</v>
      </c>
      <c r="O715" s="69"/>
      <c r="P715" s="149">
        <v>0</v>
      </c>
      <c r="Q715" s="63">
        <f t="shared" si="312"/>
        <v>0</v>
      </c>
      <c r="R715" s="64">
        <f t="shared" si="301"/>
        <v>0</v>
      </c>
      <c r="S715" s="148">
        <v>25</v>
      </c>
      <c r="T715" s="151" t="s">
        <v>15</v>
      </c>
      <c r="U715" s="65">
        <f>SUMIF('Avoided Costs 2012-2020_EGD'!$A:$A,'2012 Actuals_Auditor'!T715&amp;'2012 Actuals_Auditor'!S715,'Avoided Costs 2012-2020_EGD'!$E:$E)*J715</f>
        <v>133414.3439118164</v>
      </c>
      <c r="V715" s="65">
        <f>SUMIF('Avoided Costs 2012-2020_EGD'!$A:$A,'2012 Actuals_Auditor'!T715&amp;'2012 Actuals_Auditor'!S715,'Avoided Costs 2012-2020_EGD'!$K:$K)*N715</f>
        <v>0</v>
      </c>
      <c r="W715" s="65">
        <f>SUMIF('Avoided Costs 2012-2020_EGD'!$A:$A,'2012 Actuals_Auditor'!T715&amp;'2012 Actuals_Auditor'!S715,'Avoided Costs 2012-2020_EGD'!$M:$M)*R715</f>
        <v>0</v>
      </c>
      <c r="X715" s="65">
        <f t="shared" si="307"/>
        <v>133414.3439118164</v>
      </c>
      <c r="Y715" s="146">
        <v>4764</v>
      </c>
      <c r="Z715" s="66">
        <f t="shared" si="302"/>
        <v>3811.2000000000003</v>
      </c>
      <c r="AA715" s="66">
        <v>11075</v>
      </c>
      <c r="AB715" s="66"/>
      <c r="AC715" s="66"/>
      <c r="AD715" s="66">
        <f t="shared" si="303"/>
        <v>3811.2000000000003</v>
      </c>
      <c r="AE715" s="66">
        <f t="shared" si="304"/>
        <v>129603.1439118164</v>
      </c>
      <c r="AF715" s="101">
        <f t="shared" si="305"/>
        <v>971276.48667270609</v>
      </c>
      <c r="AG715" s="101">
        <f t="shared" si="306"/>
        <v>1214095.6083408827</v>
      </c>
    </row>
    <row r="716" spans="1:33" s="68" customFormat="1" x14ac:dyDescent="0.2">
      <c r="A716" s="147" t="s">
        <v>396</v>
      </c>
      <c r="B716" s="147"/>
      <c r="C716" s="147"/>
      <c r="D716" s="148">
        <v>0</v>
      </c>
      <c r="E716" s="149"/>
      <c r="F716" s="150">
        <v>0.2</v>
      </c>
      <c r="G716" s="150"/>
      <c r="H716" s="67">
        <v>213418</v>
      </c>
      <c r="I716" s="67">
        <f t="shared" si="311"/>
        <v>204003.43000956165</v>
      </c>
      <c r="J716" s="67">
        <f t="shared" si="299"/>
        <v>163202.74400764934</v>
      </c>
      <c r="K716" s="63"/>
      <c r="L716" s="149">
        <v>0</v>
      </c>
      <c r="M716" s="63">
        <f t="shared" si="308"/>
        <v>0</v>
      </c>
      <c r="N716" s="63">
        <f t="shared" si="300"/>
        <v>0</v>
      </c>
      <c r="O716" s="69"/>
      <c r="P716" s="149">
        <v>0</v>
      </c>
      <c r="Q716" s="63">
        <f t="shared" si="312"/>
        <v>0</v>
      </c>
      <c r="R716" s="64">
        <f t="shared" si="301"/>
        <v>0</v>
      </c>
      <c r="S716" s="148">
        <v>25</v>
      </c>
      <c r="T716" s="151" t="s">
        <v>15</v>
      </c>
      <c r="U716" s="65">
        <f>SUMIF('Avoided Costs 2012-2020_EGD'!$A:$A,'2012 Actuals_Auditor'!T716&amp;'2012 Actuals_Auditor'!S716,'Avoided Costs 2012-2020_EGD'!$E:$E)*J716</f>
        <v>560437.40673107048</v>
      </c>
      <c r="V716" s="65">
        <f>SUMIF('Avoided Costs 2012-2020_EGD'!$A:$A,'2012 Actuals_Auditor'!T716&amp;'2012 Actuals_Auditor'!S716,'Avoided Costs 2012-2020_EGD'!$K:$K)*N716</f>
        <v>0</v>
      </c>
      <c r="W716" s="65">
        <f>SUMIF('Avoided Costs 2012-2020_EGD'!$A:$A,'2012 Actuals_Auditor'!T716&amp;'2012 Actuals_Auditor'!S716,'Avoided Costs 2012-2020_EGD'!$M:$M)*R716</f>
        <v>0</v>
      </c>
      <c r="X716" s="65">
        <f t="shared" si="307"/>
        <v>560437.40673107048</v>
      </c>
      <c r="Y716" s="146">
        <v>61226</v>
      </c>
      <c r="Z716" s="66">
        <f t="shared" si="302"/>
        <v>48980.800000000003</v>
      </c>
      <c r="AA716" s="66">
        <v>31811</v>
      </c>
      <c r="AB716" s="66"/>
      <c r="AC716" s="66"/>
      <c r="AD716" s="66">
        <f t="shared" si="303"/>
        <v>48980.800000000003</v>
      </c>
      <c r="AE716" s="66">
        <f t="shared" si="304"/>
        <v>511456.6067310705</v>
      </c>
      <c r="AF716" s="101">
        <f t="shared" si="305"/>
        <v>4080068.6001912332</v>
      </c>
      <c r="AG716" s="101">
        <f t="shared" si="306"/>
        <v>5100085.7502390416</v>
      </c>
    </row>
    <row r="717" spans="1:33" s="68" customFormat="1" x14ac:dyDescent="0.2">
      <c r="A717" s="147" t="s">
        <v>397</v>
      </c>
      <c r="B717" s="147"/>
      <c r="C717" s="147"/>
      <c r="D717" s="148">
        <v>1</v>
      </c>
      <c r="E717" s="149"/>
      <c r="F717" s="150">
        <v>0.2</v>
      </c>
      <c r="G717" s="150"/>
      <c r="H717" s="67">
        <v>65647</v>
      </c>
      <c r="I717" s="67">
        <f t="shared" si="311"/>
        <v>62751.094892828594</v>
      </c>
      <c r="J717" s="67">
        <f t="shared" si="299"/>
        <v>50200.875914262877</v>
      </c>
      <c r="K717" s="63"/>
      <c r="L717" s="149">
        <v>73514</v>
      </c>
      <c r="M717" s="63">
        <f t="shared" si="308"/>
        <v>73514</v>
      </c>
      <c r="N717" s="63">
        <f t="shared" si="300"/>
        <v>58811.200000000004</v>
      </c>
      <c r="O717" s="69"/>
      <c r="P717" s="149">
        <v>0</v>
      </c>
      <c r="Q717" s="63">
        <f t="shared" si="312"/>
        <v>0</v>
      </c>
      <c r="R717" s="64">
        <f t="shared" si="301"/>
        <v>0</v>
      </c>
      <c r="S717" s="148">
        <v>15</v>
      </c>
      <c r="T717" s="151" t="s">
        <v>15</v>
      </c>
      <c r="U717" s="65">
        <f>SUMIF('Avoided Costs 2012-2020_EGD'!$A:$A,'2012 Actuals_Auditor'!T717&amp;'2012 Actuals_Auditor'!S717,'Avoided Costs 2012-2020_EGD'!$E:$E)*J717</f>
        <v>121983.30298030285</v>
      </c>
      <c r="V717" s="65">
        <f>SUMIF('Avoided Costs 2012-2020_EGD'!$A:$A,'2012 Actuals_Auditor'!T717&amp;'2012 Actuals_Auditor'!S717,'Avoided Costs 2012-2020_EGD'!$K:$K)*N717</f>
        <v>60562.799016916295</v>
      </c>
      <c r="W717" s="65">
        <f>SUMIF('Avoided Costs 2012-2020_EGD'!$A:$A,'2012 Actuals_Auditor'!T717&amp;'2012 Actuals_Auditor'!S717,'Avoided Costs 2012-2020_EGD'!$M:$M)*R717</f>
        <v>0</v>
      </c>
      <c r="X717" s="65">
        <f t="shared" si="307"/>
        <v>182546.10199721914</v>
      </c>
      <c r="Y717" s="146">
        <v>56000</v>
      </c>
      <c r="Z717" s="66">
        <f t="shared" si="302"/>
        <v>44800</v>
      </c>
      <c r="AA717" s="66">
        <v>13129</v>
      </c>
      <c r="AB717" s="66"/>
      <c r="AC717" s="66"/>
      <c r="AD717" s="66">
        <f t="shared" si="303"/>
        <v>44800</v>
      </c>
      <c r="AE717" s="66">
        <f t="shared" si="304"/>
        <v>137746.10199721914</v>
      </c>
      <c r="AF717" s="101">
        <f t="shared" si="305"/>
        <v>753013.13871394319</v>
      </c>
      <c r="AG717" s="101">
        <f t="shared" si="306"/>
        <v>941266.4233924289</v>
      </c>
    </row>
    <row r="718" spans="1:33" s="68" customFormat="1" x14ac:dyDescent="0.2">
      <c r="A718" s="147" t="s">
        <v>398</v>
      </c>
      <c r="B718" s="147"/>
      <c r="C718" s="147"/>
      <c r="D718" s="148">
        <v>0</v>
      </c>
      <c r="E718" s="149"/>
      <c r="F718" s="150">
        <v>0.2</v>
      </c>
      <c r="G718" s="150"/>
      <c r="H718" s="67">
        <v>46624</v>
      </c>
      <c r="I718" s="67">
        <f t="shared" si="311"/>
        <v>44567.261996484842</v>
      </c>
      <c r="J718" s="67">
        <f t="shared" si="299"/>
        <v>35653.809597187872</v>
      </c>
      <c r="K718" s="63"/>
      <c r="L718" s="149">
        <v>0</v>
      </c>
      <c r="M718" s="63">
        <f t="shared" si="308"/>
        <v>0</v>
      </c>
      <c r="N718" s="63">
        <f t="shared" si="300"/>
        <v>0</v>
      </c>
      <c r="O718" s="69"/>
      <c r="P718" s="149">
        <v>0</v>
      </c>
      <c r="Q718" s="63">
        <f t="shared" si="312"/>
        <v>0</v>
      </c>
      <c r="R718" s="64">
        <f t="shared" si="301"/>
        <v>0</v>
      </c>
      <c r="S718" s="148">
        <v>25</v>
      </c>
      <c r="T718" s="151" t="s">
        <v>15</v>
      </c>
      <c r="U718" s="65">
        <f>SUMIF('Avoided Costs 2012-2020_EGD'!$A:$A,'2012 Actuals_Auditor'!T718&amp;'2012 Actuals_Auditor'!S718,'Avoided Costs 2012-2020_EGD'!$E:$E)*J718</f>
        <v>122435.00384892289</v>
      </c>
      <c r="V718" s="65">
        <f>SUMIF('Avoided Costs 2012-2020_EGD'!$A:$A,'2012 Actuals_Auditor'!T718&amp;'2012 Actuals_Auditor'!S718,'Avoided Costs 2012-2020_EGD'!$K:$K)*N718</f>
        <v>0</v>
      </c>
      <c r="W718" s="65">
        <f>SUMIF('Avoided Costs 2012-2020_EGD'!$A:$A,'2012 Actuals_Auditor'!T718&amp;'2012 Actuals_Auditor'!S718,'Avoided Costs 2012-2020_EGD'!$M:$M)*R718</f>
        <v>0</v>
      </c>
      <c r="X718" s="65">
        <f t="shared" si="307"/>
        <v>122435.00384892289</v>
      </c>
      <c r="Y718" s="146">
        <v>11846</v>
      </c>
      <c r="Z718" s="66">
        <f t="shared" si="302"/>
        <v>9476.8000000000011</v>
      </c>
      <c r="AA718" s="66">
        <v>4662</v>
      </c>
      <c r="AB718" s="66"/>
      <c r="AC718" s="66"/>
      <c r="AD718" s="66">
        <f t="shared" si="303"/>
        <v>9476.8000000000011</v>
      </c>
      <c r="AE718" s="66">
        <f t="shared" si="304"/>
        <v>112958.20384892289</v>
      </c>
      <c r="AF718" s="101">
        <f t="shared" si="305"/>
        <v>891345.23992969678</v>
      </c>
      <c r="AG718" s="101">
        <f t="shared" si="306"/>
        <v>1114181.5499121211</v>
      </c>
    </row>
    <row r="719" spans="1:33" s="68" customFormat="1" x14ac:dyDescent="0.2">
      <c r="A719" s="147" t="s">
        <v>399</v>
      </c>
      <c r="B719" s="147"/>
      <c r="C719" s="147"/>
      <c r="D719" s="148">
        <v>0</v>
      </c>
      <c r="E719" s="149"/>
      <c r="F719" s="150">
        <v>0.2</v>
      </c>
      <c r="G719" s="150"/>
      <c r="H719" s="67">
        <v>97905</v>
      </c>
      <c r="I719" s="67">
        <f t="shared" si="311"/>
        <v>93586.08840438076</v>
      </c>
      <c r="J719" s="67">
        <f t="shared" si="299"/>
        <v>74868.870723504617</v>
      </c>
      <c r="K719" s="63"/>
      <c r="L719" s="149">
        <v>0</v>
      </c>
      <c r="M719" s="63">
        <f t="shared" si="308"/>
        <v>0</v>
      </c>
      <c r="N719" s="63">
        <f t="shared" si="300"/>
        <v>0</v>
      </c>
      <c r="O719" s="69"/>
      <c r="P719" s="149">
        <v>0</v>
      </c>
      <c r="Q719" s="63">
        <f t="shared" si="312"/>
        <v>0</v>
      </c>
      <c r="R719" s="64">
        <f t="shared" si="301"/>
        <v>0</v>
      </c>
      <c r="S719" s="148">
        <v>25</v>
      </c>
      <c r="T719" s="151" t="s">
        <v>15</v>
      </c>
      <c r="U719" s="65">
        <f>SUMIF('Avoided Costs 2012-2020_EGD'!$A:$A,'2012 Actuals_Auditor'!T719&amp;'2012 Actuals_Auditor'!S719,'Avoided Costs 2012-2020_EGD'!$E:$E)*J719</f>
        <v>257099.32763874394</v>
      </c>
      <c r="V719" s="65">
        <f>SUMIF('Avoided Costs 2012-2020_EGD'!$A:$A,'2012 Actuals_Auditor'!T719&amp;'2012 Actuals_Auditor'!S719,'Avoided Costs 2012-2020_EGD'!$K:$K)*N719</f>
        <v>0</v>
      </c>
      <c r="W719" s="65">
        <f>SUMIF('Avoided Costs 2012-2020_EGD'!$A:$A,'2012 Actuals_Auditor'!T719&amp;'2012 Actuals_Auditor'!S719,'Avoided Costs 2012-2020_EGD'!$M:$M)*R719</f>
        <v>0</v>
      </c>
      <c r="X719" s="65">
        <f t="shared" si="307"/>
        <v>257099.32763874394</v>
      </c>
      <c r="Y719" s="146">
        <v>13324</v>
      </c>
      <c r="Z719" s="66">
        <f t="shared" si="302"/>
        <v>10659.2</v>
      </c>
      <c r="AA719" s="66">
        <v>14679</v>
      </c>
      <c r="AB719" s="66"/>
      <c r="AC719" s="66"/>
      <c r="AD719" s="66">
        <f t="shared" si="303"/>
        <v>10659.2</v>
      </c>
      <c r="AE719" s="66">
        <f t="shared" si="304"/>
        <v>246440.12763874393</v>
      </c>
      <c r="AF719" s="101">
        <f t="shared" si="305"/>
        <v>1871721.7680876155</v>
      </c>
      <c r="AG719" s="101">
        <f t="shared" si="306"/>
        <v>2339652.2101095188</v>
      </c>
    </row>
    <row r="720" spans="1:33" s="68" customFormat="1" x14ac:dyDescent="0.2">
      <c r="A720" s="147" t="s">
        <v>400</v>
      </c>
      <c r="B720" s="147"/>
      <c r="C720" s="147"/>
      <c r="D720" s="148">
        <v>0</v>
      </c>
      <c r="E720" s="149"/>
      <c r="F720" s="150">
        <v>0.2</v>
      </c>
      <c r="G720" s="150"/>
      <c r="H720" s="67">
        <v>12950</v>
      </c>
      <c r="I720" s="67">
        <f t="shared" si="311"/>
        <v>12378.732902678421</v>
      </c>
      <c r="J720" s="67">
        <f t="shared" si="299"/>
        <v>9902.9863221427368</v>
      </c>
      <c r="K720" s="63"/>
      <c r="L720" s="149">
        <v>0</v>
      </c>
      <c r="M720" s="63">
        <f t="shared" si="308"/>
        <v>0</v>
      </c>
      <c r="N720" s="63">
        <f t="shared" si="300"/>
        <v>0</v>
      </c>
      <c r="O720" s="69"/>
      <c r="P720" s="149">
        <v>0</v>
      </c>
      <c r="Q720" s="63">
        <f t="shared" si="312"/>
        <v>0</v>
      </c>
      <c r="R720" s="64">
        <f t="shared" si="301"/>
        <v>0</v>
      </c>
      <c r="S720" s="148">
        <v>25</v>
      </c>
      <c r="T720" s="151" t="s">
        <v>52</v>
      </c>
      <c r="U720" s="65">
        <f>SUMIF('Avoided Costs 2012-2020_EGD'!$A:$A,'2012 Actuals_Auditor'!T720&amp;'2012 Actuals_Auditor'!S720,'Avoided Costs 2012-2020_EGD'!$E:$E)*J720</f>
        <v>31954.873256484585</v>
      </c>
      <c r="V720" s="65">
        <f>SUMIF('Avoided Costs 2012-2020_EGD'!$A:$A,'2012 Actuals_Auditor'!T720&amp;'2012 Actuals_Auditor'!S720,'Avoided Costs 2012-2020_EGD'!$K:$K)*N720</f>
        <v>0</v>
      </c>
      <c r="W720" s="65">
        <f>SUMIF('Avoided Costs 2012-2020_EGD'!$A:$A,'2012 Actuals_Auditor'!T720&amp;'2012 Actuals_Auditor'!S720,'Avoided Costs 2012-2020_EGD'!$M:$M)*R720</f>
        <v>0</v>
      </c>
      <c r="X720" s="65">
        <f t="shared" si="307"/>
        <v>31954.873256484585</v>
      </c>
      <c r="Y720" s="146">
        <v>2067</v>
      </c>
      <c r="Z720" s="66">
        <f t="shared" si="302"/>
        <v>1653.6000000000001</v>
      </c>
      <c r="AA720" s="66">
        <v>2187</v>
      </c>
      <c r="AB720" s="66"/>
      <c r="AC720" s="66"/>
      <c r="AD720" s="66">
        <f t="shared" si="303"/>
        <v>1653.6000000000001</v>
      </c>
      <c r="AE720" s="66">
        <f t="shared" si="304"/>
        <v>30301.273256484586</v>
      </c>
      <c r="AF720" s="101">
        <f t="shared" si="305"/>
        <v>247574.65805356842</v>
      </c>
      <c r="AG720" s="101">
        <f t="shared" si="306"/>
        <v>309468.32256696053</v>
      </c>
    </row>
    <row r="721" spans="1:33" s="68" customFormat="1" x14ac:dyDescent="0.2">
      <c r="A721" s="147" t="s">
        <v>401</v>
      </c>
      <c r="B721" s="147"/>
      <c r="C721" s="147"/>
      <c r="D721" s="148">
        <v>1</v>
      </c>
      <c r="E721" s="149"/>
      <c r="F721" s="150">
        <v>0.2</v>
      </c>
      <c r="G721" s="150"/>
      <c r="H721" s="67">
        <v>3430</v>
      </c>
      <c r="I721" s="67">
        <f t="shared" si="311"/>
        <v>3278.6914174661765</v>
      </c>
      <c r="J721" s="67">
        <f t="shared" si="299"/>
        <v>2622.9531339729415</v>
      </c>
      <c r="K721" s="63"/>
      <c r="L721" s="149">
        <v>-12071</v>
      </c>
      <c r="M721" s="63">
        <f t="shared" si="308"/>
        <v>-12071</v>
      </c>
      <c r="N721" s="63">
        <f t="shared" si="300"/>
        <v>-9656.8000000000011</v>
      </c>
      <c r="O721" s="69"/>
      <c r="P721" s="149">
        <v>0</v>
      </c>
      <c r="Q721" s="63">
        <f t="shared" si="312"/>
        <v>0</v>
      </c>
      <c r="R721" s="64">
        <f t="shared" si="301"/>
        <v>0</v>
      </c>
      <c r="S721" s="148">
        <v>15</v>
      </c>
      <c r="T721" s="151" t="s">
        <v>15</v>
      </c>
      <c r="U721" s="65">
        <f>SUMIF('Avoided Costs 2012-2020_EGD'!$A:$A,'2012 Actuals_Auditor'!T721&amp;'2012 Actuals_Auditor'!S721,'Avoided Costs 2012-2020_EGD'!$E:$E)*J721</f>
        <v>6373.5239877288959</v>
      </c>
      <c r="V721" s="65">
        <f>SUMIF('Avoided Costs 2012-2020_EGD'!$A:$A,'2012 Actuals_Auditor'!T721&amp;'2012 Actuals_Auditor'!S721,'Avoided Costs 2012-2020_EGD'!$K:$K)*N721</f>
        <v>-9944.4125871697452</v>
      </c>
      <c r="W721" s="65">
        <f>SUMIF('Avoided Costs 2012-2020_EGD'!$A:$A,'2012 Actuals_Auditor'!T721&amp;'2012 Actuals_Auditor'!S721,'Avoided Costs 2012-2020_EGD'!$M:$M)*R721</f>
        <v>0</v>
      </c>
      <c r="X721" s="65">
        <f t="shared" si="307"/>
        <v>-3570.8885994408492</v>
      </c>
      <c r="Y721" s="146">
        <v>22500</v>
      </c>
      <c r="Z721" s="66">
        <f t="shared" si="302"/>
        <v>18000</v>
      </c>
      <c r="AA721" s="66">
        <v>686</v>
      </c>
      <c r="AB721" s="66"/>
      <c r="AC721" s="66"/>
      <c r="AD721" s="66">
        <f t="shared" si="303"/>
        <v>18000</v>
      </c>
      <c r="AE721" s="66">
        <f t="shared" si="304"/>
        <v>-21570.888599440848</v>
      </c>
      <c r="AF721" s="101">
        <f t="shared" si="305"/>
        <v>39344.29700959412</v>
      </c>
      <c r="AG721" s="101">
        <f t="shared" si="306"/>
        <v>49180.371261992645</v>
      </c>
    </row>
    <row r="722" spans="1:33" s="68" customFormat="1" x14ac:dyDescent="0.2">
      <c r="A722" s="147" t="s">
        <v>402</v>
      </c>
      <c r="B722" s="147"/>
      <c r="C722" s="147"/>
      <c r="D722" s="148">
        <v>1</v>
      </c>
      <c r="E722" s="149"/>
      <c r="F722" s="150">
        <v>0.2</v>
      </c>
      <c r="G722" s="150"/>
      <c r="H722" s="67">
        <v>22706</v>
      </c>
      <c r="I722" s="67">
        <f t="shared" si="311"/>
        <v>21704.36365159971</v>
      </c>
      <c r="J722" s="67">
        <f t="shared" ref="J722:J785" si="313">I722*(1-F722)</f>
        <v>17363.490921279768</v>
      </c>
      <c r="K722" s="63"/>
      <c r="L722" s="149">
        <v>6104</v>
      </c>
      <c r="M722" s="63">
        <f t="shared" si="308"/>
        <v>6104</v>
      </c>
      <c r="N722" s="63">
        <f t="shared" ref="N722:N785" si="314">M722*(1-F722)</f>
        <v>4883.2</v>
      </c>
      <c r="O722" s="69"/>
      <c r="P722" s="149">
        <v>0</v>
      </c>
      <c r="Q722" s="63">
        <f t="shared" si="312"/>
        <v>0</v>
      </c>
      <c r="R722" s="64">
        <f t="shared" ref="R722:R785" si="315">Q722*(1-F722)</f>
        <v>0</v>
      </c>
      <c r="S722" s="148">
        <v>15</v>
      </c>
      <c r="T722" s="151" t="s">
        <v>15</v>
      </c>
      <c r="U722" s="65">
        <f>SUMIF('Avoided Costs 2012-2020_EGD'!$A:$A,'2012 Actuals_Auditor'!T722&amp;'2012 Actuals_Auditor'!S722,'Avoided Costs 2012-2020_EGD'!$E:$E)*J722</f>
        <v>42191.613896610004</v>
      </c>
      <c r="V722" s="65">
        <f>SUMIF('Avoided Costs 2012-2020_EGD'!$A:$A,'2012 Actuals_Auditor'!T722&amp;'2012 Actuals_Auditor'!S722,'Avoided Costs 2012-2020_EGD'!$K:$K)*N722</f>
        <v>5028.638425323843</v>
      </c>
      <c r="W722" s="65">
        <f>SUMIF('Avoided Costs 2012-2020_EGD'!$A:$A,'2012 Actuals_Auditor'!T722&amp;'2012 Actuals_Auditor'!S722,'Avoided Costs 2012-2020_EGD'!$M:$M)*R722</f>
        <v>0</v>
      </c>
      <c r="X722" s="65">
        <f t="shared" ref="X722:X785" si="316">SUM(U722:W722)</f>
        <v>47220.252321933847</v>
      </c>
      <c r="Y722" s="146">
        <v>8895</v>
      </c>
      <c r="Z722" s="66">
        <f t="shared" ref="Z722:Z785" si="317">Y722*(1-F722)</f>
        <v>7116</v>
      </c>
      <c r="AA722" s="66">
        <v>4541</v>
      </c>
      <c r="AB722" s="66"/>
      <c r="AC722" s="66"/>
      <c r="AD722" s="66">
        <f t="shared" ref="AD722:AD785" si="318">Z722+AB722</f>
        <v>7116</v>
      </c>
      <c r="AE722" s="66">
        <f t="shared" ref="AE722:AE785" si="319">X722-AD722</f>
        <v>40104.252321933847</v>
      </c>
      <c r="AF722" s="101">
        <f t="shared" ref="AF722:AF785" si="320">J722*S722</f>
        <v>260452.36381919653</v>
      </c>
      <c r="AG722" s="101">
        <f t="shared" ref="AG722:AG785" si="321">(I722*S722)</f>
        <v>325565.45477399562</v>
      </c>
    </row>
    <row r="723" spans="1:33" s="68" customFormat="1" x14ac:dyDescent="0.2">
      <c r="A723" s="147" t="s">
        <v>403</v>
      </c>
      <c r="B723" s="147"/>
      <c r="C723" s="147"/>
      <c r="D723" s="148">
        <v>0</v>
      </c>
      <c r="E723" s="149"/>
      <c r="F723" s="150">
        <v>0.2</v>
      </c>
      <c r="G723" s="150"/>
      <c r="H723" s="67">
        <v>7771</v>
      </c>
      <c r="I723" s="67">
        <f t="shared" si="311"/>
        <v>7428.1956283176842</v>
      </c>
      <c r="J723" s="67">
        <f t="shared" si="313"/>
        <v>5942.5565026541481</v>
      </c>
      <c r="K723" s="63"/>
      <c r="L723" s="149">
        <v>0</v>
      </c>
      <c r="M723" s="63">
        <f t="shared" si="308"/>
        <v>0</v>
      </c>
      <c r="N723" s="63">
        <f t="shared" si="314"/>
        <v>0</v>
      </c>
      <c r="O723" s="69"/>
      <c r="P723" s="149">
        <v>0</v>
      </c>
      <c r="Q723" s="63">
        <f t="shared" si="312"/>
        <v>0</v>
      </c>
      <c r="R723" s="64">
        <f t="shared" si="315"/>
        <v>0</v>
      </c>
      <c r="S723" s="148">
        <v>15</v>
      </c>
      <c r="T723" s="151" t="s">
        <v>52</v>
      </c>
      <c r="U723" s="65">
        <f>SUMIF('Avoided Costs 2012-2020_EGD'!$A:$A,'2012 Actuals_Auditor'!T723&amp;'2012 Actuals_Auditor'!S723,'Avoided Costs 2012-2020_EGD'!$E:$E)*J723</f>
        <v>13578.731357237428</v>
      </c>
      <c r="V723" s="65">
        <f>SUMIF('Avoided Costs 2012-2020_EGD'!$A:$A,'2012 Actuals_Auditor'!T723&amp;'2012 Actuals_Auditor'!S723,'Avoided Costs 2012-2020_EGD'!$K:$K)*N723</f>
        <v>0</v>
      </c>
      <c r="W723" s="65">
        <f>SUMIF('Avoided Costs 2012-2020_EGD'!$A:$A,'2012 Actuals_Auditor'!T723&amp;'2012 Actuals_Auditor'!S723,'Avoided Costs 2012-2020_EGD'!$M:$M)*R723</f>
        <v>0</v>
      </c>
      <c r="X723" s="65">
        <f t="shared" si="316"/>
        <v>13578.731357237428</v>
      </c>
      <c r="Y723" s="146">
        <v>6995</v>
      </c>
      <c r="Z723" s="66">
        <f t="shared" si="317"/>
        <v>5596</v>
      </c>
      <c r="AA723" s="66">
        <v>778</v>
      </c>
      <c r="AB723" s="66"/>
      <c r="AC723" s="66"/>
      <c r="AD723" s="66">
        <f t="shared" si="318"/>
        <v>5596</v>
      </c>
      <c r="AE723" s="66">
        <f t="shared" si="319"/>
        <v>7982.7313572374278</v>
      </c>
      <c r="AF723" s="101">
        <f t="shared" si="320"/>
        <v>89138.347539812225</v>
      </c>
      <c r="AG723" s="101">
        <f t="shared" si="321"/>
        <v>111422.93442476526</v>
      </c>
    </row>
    <row r="724" spans="1:33" s="68" customFormat="1" x14ac:dyDescent="0.2">
      <c r="A724" s="147" t="s">
        <v>404</v>
      </c>
      <c r="B724" s="147"/>
      <c r="C724" s="147"/>
      <c r="D724" s="148">
        <v>1</v>
      </c>
      <c r="E724" s="149"/>
      <c r="F724" s="150">
        <v>0.2</v>
      </c>
      <c r="G724" s="150"/>
      <c r="H724" s="67">
        <v>4193</v>
      </c>
      <c r="I724" s="67">
        <f t="shared" si="311"/>
        <v>4008.03297767804</v>
      </c>
      <c r="J724" s="67">
        <f t="shared" si="313"/>
        <v>3206.426382142432</v>
      </c>
      <c r="K724" s="63"/>
      <c r="L724" s="149">
        <v>0</v>
      </c>
      <c r="M724" s="63">
        <f t="shared" si="308"/>
        <v>0</v>
      </c>
      <c r="N724" s="63">
        <f t="shared" si="314"/>
        <v>0</v>
      </c>
      <c r="O724" s="69"/>
      <c r="P724" s="149">
        <v>0</v>
      </c>
      <c r="Q724" s="63">
        <f t="shared" si="312"/>
        <v>0</v>
      </c>
      <c r="R724" s="64">
        <f t="shared" si="315"/>
        <v>0</v>
      </c>
      <c r="S724" s="148">
        <v>15</v>
      </c>
      <c r="T724" s="151" t="s">
        <v>15</v>
      </c>
      <c r="U724" s="65">
        <f>SUMIF('Avoided Costs 2012-2020_EGD'!$A:$A,'2012 Actuals_Auditor'!T724&amp;'2012 Actuals_Auditor'!S724,'Avoided Costs 2012-2020_EGD'!$E:$E)*J724</f>
        <v>7791.307895203282</v>
      </c>
      <c r="V724" s="65">
        <f>SUMIF('Avoided Costs 2012-2020_EGD'!$A:$A,'2012 Actuals_Auditor'!T724&amp;'2012 Actuals_Auditor'!S724,'Avoided Costs 2012-2020_EGD'!$K:$K)*N724</f>
        <v>0</v>
      </c>
      <c r="W724" s="65">
        <f>SUMIF('Avoided Costs 2012-2020_EGD'!$A:$A,'2012 Actuals_Auditor'!T724&amp;'2012 Actuals_Auditor'!S724,'Avoided Costs 2012-2020_EGD'!$M:$M)*R724</f>
        <v>0</v>
      </c>
      <c r="X724" s="65">
        <f t="shared" si="316"/>
        <v>7791.307895203282</v>
      </c>
      <c r="Y724" s="146">
        <v>6995</v>
      </c>
      <c r="Z724" s="66">
        <f t="shared" si="317"/>
        <v>5596</v>
      </c>
      <c r="AA724" s="66">
        <v>419</v>
      </c>
      <c r="AB724" s="66"/>
      <c r="AC724" s="66"/>
      <c r="AD724" s="66">
        <f t="shared" si="318"/>
        <v>5596</v>
      </c>
      <c r="AE724" s="66">
        <f t="shared" si="319"/>
        <v>2195.307895203282</v>
      </c>
      <c r="AF724" s="101">
        <f t="shared" si="320"/>
        <v>48096.39573213648</v>
      </c>
      <c r="AG724" s="101">
        <f t="shared" si="321"/>
        <v>60120.494665170598</v>
      </c>
    </row>
    <row r="725" spans="1:33" s="68" customFormat="1" x14ac:dyDescent="0.2">
      <c r="A725" s="147" t="s">
        <v>405</v>
      </c>
      <c r="B725" s="147"/>
      <c r="C725" s="147"/>
      <c r="D725" s="148">
        <v>0</v>
      </c>
      <c r="E725" s="149"/>
      <c r="F725" s="150">
        <v>0.2</v>
      </c>
      <c r="G725" s="150"/>
      <c r="H725" s="67">
        <v>58911</v>
      </c>
      <c r="I725" s="67">
        <f t="shared" si="311"/>
        <v>56312.242010014554</v>
      </c>
      <c r="J725" s="67">
        <f t="shared" si="313"/>
        <v>45049.793608011649</v>
      </c>
      <c r="K725" s="63"/>
      <c r="L725" s="149">
        <v>87241</v>
      </c>
      <c r="M725" s="63">
        <f t="shared" si="308"/>
        <v>87241</v>
      </c>
      <c r="N725" s="63">
        <f t="shared" si="314"/>
        <v>69792.800000000003</v>
      </c>
      <c r="O725" s="69"/>
      <c r="P725" s="149">
        <v>0</v>
      </c>
      <c r="Q725" s="63">
        <f t="shared" si="312"/>
        <v>0</v>
      </c>
      <c r="R725" s="64">
        <f t="shared" si="315"/>
        <v>0</v>
      </c>
      <c r="S725" s="148">
        <v>15</v>
      </c>
      <c r="T725" s="151" t="s">
        <v>15</v>
      </c>
      <c r="U725" s="65">
        <f>SUMIF('Avoided Costs 2012-2020_EGD'!$A:$A,'2012 Actuals_Auditor'!T725&amp;'2012 Actuals_Auditor'!S725,'Avoided Costs 2012-2020_EGD'!$E:$E)*J725</f>
        <v>109466.6681169379</v>
      </c>
      <c r="V725" s="65">
        <f>SUMIF('Avoided Costs 2012-2020_EGD'!$A:$A,'2012 Actuals_Auditor'!T725&amp;'2012 Actuals_Auditor'!S725,'Avoided Costs 2012-2020_EGD'!$K:$K)*N725</f>
        <v>71871.468686709937</v>
      </c>
      <c r="W725" s="65">
        <f>SUMIF('Avoided Costs 2012-2020_EGD'!$A:$A,'2012 Actuals_Auditor'!T725&amp;'2012 Actuals_Auditor'!S725,'Avoided Costs 2012-2020_EGD'!$M:$M)*R725</f>
        <v>0</v>
      </c>
      <c r="X725" s="65">
        <f t="shared" si="316"/>
        <v>181338.13680364785</v>
      </c>
      <c r="Y725" s="146">
        <v>15995</v>
      </c>
      <c r="Z725" s="66">
        <f t="shared" si="317"/>
        <v>12796</v>
      </c>
      <c r="AA725" s="66">
        <v>11782</v>
      </c>
      <c r="AB725" s="66"/>
      <c r="AC725" s="66"/>
      <c r="AD725" s="66">
        <f t="shared" si="318"/>
        <v>12796</v>
      </c>
      <c r="AE725" s="66">
        <f t="shared" si="319"/>
        <v>168542.13680364785</v>
      </c>
      <c r="AF725" s="101">
        <f t="shared" si="320"/>
        <v>675746.9041201747</v>
      </c>
      <c r="AG725" s="101">
        <f t="shared" si="321"/>
        <v>844683.63015021826</v>
      </c>
    </row>
    <row r="726" spans="1:33" s="68" customFormat="1" x14ac:dyDescent="0.2">
      <c r="A726" s="147" t="s">
        <v>406</v>
      </c>
      <c r="B726" s="147"/>
      <c r="C726" s="147"/>
      <c r="D726" s="148">
        <v>0</v>
      </c>
      <c r="E726" s="149"/>
      <c r="F726" s="150">
        <v>0.2</v>
      </c>
      <c r="G726" s="150"/>
      <c r="H726" s="67">
        <v>27099</v>
      </c>
      <c r="I726" s="67">
        <f t="shared" si="311"/>
        <v>25903.573971404057</v>
      </c>
      <c r="J726" s="67">
        <f t="shared" si="313"/>
        <v>20722.859177123246</v>
      </c>
      <c r="K726" s="63"/>
      <c r="L726" s="149">
        <v>0</v>
      </c>
      <c r="M726" s="63">
        <f t="shared" ref="M726:M751" si="322">+$L$42*L726</f>
        <v>0</v>
      </c>
      <c r="N726" s="63">
        <f t="shared" si="314"/>
        <v>0</v>
      </c>
      <c r="O726" s="69"/>
      <c r="P726" s="149">
        <v>0</v>
      </c>
      <c r="Q726" s="63">
        <f t="shared" si="312"/>
        <v>0</v>
      </c>
      <c r="R726" s="64">
        <f t="shared" si="315"/>
        <v>0</v>
      </c>
      <c r="S726" s="148">
        <v>15</v>
      </c>
      <c r="T726" s="151" t="s">
        <v>15</v>
      </c>
      <c r="U726" s="65">
        <f>SUMIF('Avoided Costs 2012-2020_EGD'!$A:$A,'2012 Actuals_Auditor'!T726&amp;'2012 Actuals_Auditor'!S726,'Avoided Costs 2012-2020_EGD'!$E:$E)*J726</f>
        <v>50354.555843575901</v>
      </c>
      <c r="V726" s="65">
        <f>SUMIF('Avoided Costs 2012-2020_EGD'!$A:$A,'2012 Actuals_Auditor'!T726&amp;'2012 Actuals_Auditor'!S726,'Avoided Costs 2012-2020_EGD'!$K:$K)*N726</f>
        <v>0</v>
      </c>
      <c r="W726" s="65">
        <f>SUMIF('Avoided Costs 2012-2020_EGD'!$A:$A,'2012 Actuals_Auditor'!T726&amp;'2012 Actuals_Auditor'!S726,'Avoided Costs 2012-2020_EGD'!$M:$M)*R726</f>
        <v>0</v>
      </c>
      <c r="X726" s="65">
        <f t="shared" si="316"/>
        <v>50354.555843575901</v>
      </c>
      <c r="Y726" s="146">
        <v>13400</v>
      </c>
      <c r="Z726" s="66">
        <f t="shared" si="317"/>
        <v>10720</v>
      </c>
      <c r="AA726" s="66">
        <v>2710</v>
      </c>
      <c r="AB726" s="66"/>
      <c r="AC726" s="66"/>
      <c r="AD726" s="66">
        <f t="shared" si="318"/>
        <v>10720</v>
      </c>
      <c r="AE726" s="66">
        <f t="shared" si="319"/>
        <v>39634.555843575901</v>
      </c>
      <c r="AF726" s="101">
        <f t="shared" si="320"/>
        <v>310842.8876568487</v>
      </c>
      <c r="AG726" s="101">
        <f t="shared" si="321"/>
        <v>388553.60957106086</v>
      </c>
    </row>
    <row r="727" spans="1:33" s="68" customFormat="1" x14ac:dyDescent="0.2">
      <c r="A727" s="147" t="s">
        <v>407</v>
      </c>
      <c r="B727" s="147"/>
      <c r="C727" s="147"/>
      <c r="D727" s="148">
        <v>1</v>
      </c>
      <c r="E727" s="149"/>
      <c r="F727" s="150">
        <v>0.2</v>
      </c>
      <c r="G727" s="150"/>
      <c r="H727" s="67">
        <v>2520</v>
      </c>
      <c r="I727" s="67">
        <f t="shared" si="311"/>
        <v>2408.8345107914765</v>
      </c>
      <c r="J727" s="67">
        <f t="shared" si="313"/>
        <v>1927.0676086331814</v>
      </c>
      <c r="K727" s="63"/>
      <c r="L727" s="149">
        <v>0</v>
      </c>
      <c r="M727" s="63">
        <f t="shared" si="322"/>
        <v>0</v>
      </c>
      <c r="N727" s="63">
        <f t="shared" si="314"/>
        <v>0</v>
      </c>
      <c r="O727" s="69"/>
      <c r="P727" s="149">
        <v>0</v>
      </c>
      <c r="Q727" s="63">
        <f t="shared" si="312"/>
        <v>0</v>
      </c>
      <c r="R727" s="64">
        <f t="shared" si="315"/>
        <v>0</v>
      </c>
      <c r="S727" s="148">
        <v>15</v>
      </c>
      <c r="T727" s="151" t="s">
        <v>52</v>
      </c>
      <c r="U727" s="65">
        <f>SUMIF('Avoided Costs 2012-2020_EGD'!$A:$A,'2012 Actuals_Auditor'!T727&amp;'2012 Actuals_Auditor'!S727,'Avoided Costs 2012-2020_EGD'!$E:$E)*J727</f>
        <v>4403.3461613998606</v>
      </c>
      <c r="V727" s="65">
        <f>SUMIF('Avoided Costs 2012-2020_EGD'!$A:$A,'2012 Actuals_Auditor'!T727&amp;'2012 Actuals_Auditor'!S727,'Avoided Costs 2012-2020_EGD'!$K:$K)*N727</f>
        <v>0</v>
      </c>
      <c r="W727" s="65">
        <f>SUMIF('Avoided Costs 2012-2020_EGD'!$A:$A,'2012 Actuals_Auditor'!T727&amp;'2012 Actuals_Auditor'!S727,'Avoided Costs 2012-2020_EGD'!$M:$M)*R727</f>
        <v>0</v>
      </c>
      <c r="X727" s="65">
        <f t="shared" si="316"/>
        <v>4403.3461613998606</v>
      </c>
      <c r="Y727" s="146">
        <v>10000</v>
      </c>
      <c r="Z727" s="66">
        <f t="shared" si="317"/>
        <v>8000</v>
      </c>
      <c r="AA727" s="66">
        <v>252</v>
      </c>
      <c r="AB727" s="66"/>
      <c r="AC727" s="66"/>
      <c r="AD727" s="66">
        <f t="shared" si="318"/>
        <v>8000</v>
      </c>
      <c r="AE727" s="66">
        <f t="shared" si="319"/>
        <v>-3596.6538386001394</v>
      </c>
      <c r="AF727" s="101">
        <f t="shared" si="320"/>
        <v>28906.014129497722</v>
      </c>
      <c r="AG727" s="101">
        <f t="shared" si="321"/>
        <v>36132.517661872145</v>
      </c>
    </row>
    <row r="728" spans="1:33" s="68" customFormat="1" x14ac:dyDescent="0.2">
      <c r="A728" s="147" t="s">
        <v>408</v>
      </c>
      <c r="B728" s="147"/>
      <c r="C728" s="147"/>
      <c r="D728" s="148">
        <v>0</v>
      </c>
      <c r="E728" s="149"/>
      <c r="F728" s="150">
        <v>0.2</v>
      </c>
      <c r="G728" s="150"/>
      <c r="H728" s="67">
        <v>2534</v>
      </c>
      <c r="I728" s="67">
        <f t="shared" si="311"/>
        <v>2422.2169247403181</v>
      </c>
      <c r="J728" s="67">
        <f t="shared" si="313"/>
        <v>1937.7735397922545</v>
      </c>
      <c r="K728" s="63"/>
      <c r="L728" s="149">
        <v>0</v>
      </c>
      <c r="M728" s="63">
        <f t="shared" si="322"/>
        <v>0</v>
      </c>
      <c r="N728" s="63">
        <f t="shared" si="314"/>
        <v>0</v>
      </c>
      <c r="O728" s="69"/>
      <c r="P728" s="149">
        <v>0</v>
      </c>
      <c r="Q728" s="63">
        <f t="shared" si="312"/>
        <v>0</v>
      </c>
      <c r="R728" s="64">
        <f t="shared" si="315"/>
        <v>0</v>
      </c>
      <c r="S728" s="148">
        <v>15</v>
      </c>
      <c r="T728" s="151" t="s">
        <v>52</v>
      </c>
      <c r="U728" s="65">
        <f>SUMIF('Avoided Costs 2012-2020_EGD'!$A:$A,'2012 Actuals_Auditor'!T728&amp;'2012 Actuals_Auditor'!S728,'Avoided Costs 2012-2020_EGD'!$E:$E)*J728</f>
        <v>4427.8091956298595</v>
      </c>
      <c r="V728" s="65">
        <f>SUMIF('Avoided Costs 2012-2020_EGD'!$A:$A,'2012 Actuals_Auditor'!T728&amp;'2012 Actuals_Auditor'!S728,'Avoided Costs 2012-2020_EGD'!$K:$K)*N728</f>
        <v>0</v>
      </c>
      <c r="W728" s="65">
        <f>SUMIF('Avoided Costs 2012-2020_EGD'!$A:$A,'2012 Actuals_Auditor'!T728&amp;'2012 Actuals_Auditor'!S728,'Avoided Costs 2012-2020_EGD'!$M:$M)*R728</f>
        <v>0</v>
      </c>
      <c r="X728" s="65">
        <f t="shared" si="316"/>
        <v>4427.8091956298595</v>
      </c>
      <c r="Y728" s="146">
        <v>12316</v>
      </c>
      <c r="Z728" s="66">
        <f t="shared" si="317"/>
        <v>9852.8000000000011</v>
      </c>
      <c r="AA728" s="66">
        <v>253</v>
      </c>
      <c r="AB728" s="66"/>
      <c r="AC728" s="66"/>
      <c r="AD728" s="66">
        <f t="shared" si="318"/>
        <v>9852.8000000000011</v>
      </c>
      <c r="AE728" s="66">
        <f t="shared" si="319"/>
        <v>-5424.9908043701416</v>
      </c>
      <c r="AF728" s="101">
        <f t="shared" si="320"/>
        <v>29066.603096883817</v>
      </c>
      <c r="AG728" s="101">
        <f t="shared" si="321"/>
        <v>36333.253871104767</v>
      </c>
    </row>
    <row r="729" spans="1:33" s="68" customFormat="1" x14ac:dyDescent="0.2">
      <c r="A729" s="147" t="s">
        <v>409</v>
      </c>
      <c r="B729" s="147"/>
      <c r="C729" s="147"/>
      <c r="D729" s="148">
        <v>0</v>
      </c>
      <c r="E729" s="149"/>
      <c r="F729" s="150">
        <v>0.2</v>
      </c>
      <c r="G729" s="150"/>
      <c r="H729" s="67">
        <v>16213</v>
      </c>
      <c r="I729" s="67">
        <f t="shared" si="311"/>
        <v>15497.79123946913</v>
      </c>
      <c r="J729" s="67">
        <f t="shared" si="313"/>
        <v>12398.232991575305</v>
      </c>
      <c r="K729" s="63"/>
      <c r="L729" s="149">
        <v>0</v>
      </c>
      <c r="M729" s="63">
        <f t="shared" si="322"/>
        <v>0</v>
      </c>
      <c r="N729" s="63">
        <f t="shared" si="314"/>
        <v>0</v>
      </c>
      <c r="O729" s="69"/>
      <c r="P729" s="149">
        <v>0</v>
      </c>
      <c r="Q729" s="63">
        <f t="shared" si="312"/>
        <v>0</v>
      </c>
      <c r="R729" s="64">
        <f t="shared" si="315"/>
        <v>0</v>
      </c>
      <c r="S729" s="148">
        <v>15</v>
      </c>
      <c r="T729" s="151" t="s">
        <v>15</v>
      </c>
      <c r="U729" s="65">
        <f>SUMIF('Avoided Costs 2012-2020_EGD'!$A:$A,'2012 Actuals_Auditor'!T729&amp;'2012 Actuals_Auditor'!S729,'Avoided Costs 2012-2020_EGD'!$E:$E)*J729</f>
        <v>30126.514406136612</v>
      </c>
      <c r="V729" s="65">
        <f>SUMIF('Avoided Costs 2012-2020_EGD'!$A:$A,'2012 Actuals_Auditor'!T729&amp;'2012 Actuals_Auditor'!S729,'Avoided Costs 2012-2020_EGD'!$K:$K)*N729</f>
        <v>0</v>
      </c>
      <c r="W729" s="65">
        <f>SUMIF('Avoided Costs 2012-2020_EGD'!$A:$A,'2012 Actuals_Auditor'!T729&amp;'2012 Actuals_Auditor'!S729,'Avoided Costs 2012-2020_EGD'!$M:$M)*R729</f>
        <v>0</v>
      </c>
      <c r="X729" s="65">
        <f t="shared" si="316"/>
        <v>30126.514406136612</v>
      </c>
      <c r="Y729" s="146">
        <v>12318</v>
      </c>
      <c r="Z729" s="66">
        <f t="shared" si="317"/>
        <v>9854.4000000000015</v>
      </c>
      <c r="AA729" s="66">
        <v>1622</v>
      </c>
      <c r="AB729" s="66"/>
      <c r="AC729" s="66"/>
      <c r="AD729" s="66">
        <f t="shared" si="318"/>
        <v>9854.4000000000015</v>
      </c>
      <c r="AE729" s="66">
        <f t="shared" si="319"/>
        <v>20272.11440613661</v>
      </c>
      <c r="AF729" s="101">
        <f t="shared" si="320"/>
        <v>185973.49487362959</v>
      </c>
      <c r="AG729" s="101">
        <f t="shared" si="321"/>
        <v>232466.86859203695</v>
      </c>
    </row>
    <row r="730" spans="1:33" s="68" customFormat="1" x14ac:dyDescent="0.2">
      <c r="A730" s="147" t="s">
        <v>410</v>
      </c>
      <c r="B730" s="147"/>
      <c r="C730" s="147"/>
      <c r="D730" s="148">
        <v>1</v>
      </c>
      <c r="E730" s="149"/>
      <c r="F730" s="150">
        <v>0.2</v>
      </c>
      <c r="G730" s="150"/>
      <c r="H730" s="67">
        <v>33233</v>
      </c>
      <c r="I730" s="67">
        <f t="shared" si="311"/>
        <v>31766.983054417913</v>
      </c>
      <c r="J730" s="67">
        <f t="shared" si="313"/>
        <v>25413.586443534332</v>
      </c>
      <c r="K730" s="63"/>
      <c r="L730" s="149">
        <v>0</v>
      </c>
      <c r="M730" s="63">
        <f t="shared" si="322"/>
        <v>0</v>
      </c>
      <c r="N730" s="63">
        <f t="shared" si="314"/>
        <v>0</v>
      </c>
      <c r="O730" s="69"/>
      <c r="P730" s="149">
        <v>0</v>
      </c>
      <c r="Q730" s="63">
        <f t="shared" si="312"/>
        <v>0</v>
      </c>
      <c r="R730" s="64">
        <f t="shared" si="315"/>
        <v>0</v>
      </c>
      <c r="S730" s="148">
        <v>15</v>
      </c>
      <c r="T730" s="151" t="s">
        <v>15</v>
      </c>
      <c r="U730" s="65">
        <f>SUMIF('Avoided Costs 2012-2020_EGD'!$A:$A,'2012 Actuals_Auditor'!T730&amp;'2012 Actuals_Auditor'!S730,'Avoided Costs 2012-2020_EGD'!$E:$E)*J730</f>
        <v>61752.57221113539</v>
      </c>
      <c r="V730" s="65">
        <f>SUMIF('Avoided Costs 2012-2020_EGD'!$A:$A,'2012 Actuals_Auditor'!T730&amp;'2012 Actuals_Auditor'!S730,'Avoided Costs 2012-2020_EGD'!$K:$K)*N730</f>
        <v>0</v>
      </c>
      <c r="W730" s="65">
        <f>SUMIF('Avoided Costs 2012-2020_EGD'!$A:$A,'2012 Actuals_Auditor'!T730&amp;'2012 Actuals_Auditor'!S730,'Avoided Costs 2012-2020_EGD'!$M:$M)*R730</f>
        <v>0</v>
      </c>
      <c r="X730" s="65">
        <f t="shared" si="316"/>
        <v>61752.57221113539</v>
      </c>
      <c r="Y730" s="146">
        <v>12316</v>
      </c>
      <c r="Z730" s="66">
        <f t="shared" si="317"/>
        <v>9852.8000000000011</v>
      </c>
      <c r="AA730" s="66">
        <v>3323</v>
      </c>
      <c r="AB730" s="66"/>
      <c r="AC730" s="66"/>
      <c r="AD730" s="66">
        <f t="shared" si="318"/>
        <v>9852.8000000000011</v>
      </c>
      <c r="AE730" s="66">
        <f t="shared" si="319"/>
        <v>51899.772211135387</v>
      </c>
      <c r="AF730" s="101">
        <f t="shared" si="320"/>
        <v>381203.79665301496</v>
      </c>
      <c r="AG730" s="101">
        <f t="shared" si="321"/>
        <v>476504.74581626873</v>
      </c>
    </row>
    <row r="731" spans="1:33" s="68" customFormat="1" x14ac:dyDescent="0.2">
      <c r="A731" s="147" t="s">
        <v>411</v>
      </c>
      <c r="B731" s="147"/>
      <c r="C731" s="147"/>
      <c r="D731" s="148">
        <v>1</v>
      </c>
      <c r="E731" s="149"/>
      <c r="F731" s="150">
        <v>0.2</v>
      </c>
      <c r="G731" s="150"/>
      <c r="H731" s="67">
        <v>3209</v>
      </c>
      <c r="I731" s="67">
        <f t="shared" si="311"/>
        <v>3067.4404544166064</v>
      </c>
      <c r="J731" s="67">
        <f t="shared" si="313"/>
        <v>2453.9523635332853</v>
      </c>
      <c r="K731" s="63"/>
      <c r="L731" s="149">
        <v>0</v>
      </c>
      <c r="M731" s="63">
        <f t="shared" si="322"/>
        <v>0</v>
      </c>
      <c r="N731" s="63">
        <f t="shared" si="314"/>
        <v>0</v>
      </c>
      <c r="O731" s="69"/>
      <c r="P731" s="149">
        <v>0</v>
      </c>
      <c r="Q731" s="63">
        <f t="shared" si="312"/>
        <v>0</v>
      </c>
      <c r="R731" s="64">
        <f t="shared" si="315"/>
        <v>0</v>
      </c>
      <c r="S731" s="148">
        <v>15</v>
      </c>
      <c r="T731" s="151" t="s">
        <v>52</v>
      </c>
      <c r="U731" s="65">
        <f>SUMIF('Avoided Costs 2012-2020_EGD'!$A:$A,'2012 Actuals_Auditor'!T731&amp;'2012 Actuals_Auditor'!S731,'Avoided Costs 2012-2020_EGD'!$E:$E)*J731</f>
        <v>5607.2769174333944</v>
      </c>
      <c r="V731" s="65">
        <f>SUMIF('Avoided Costs 2012-2020_EGD'!$A:$A,'2012 Actuals_Auditor'!T731&amp;'2012 Actuals_Auditor'!S731,'Avoided Costs 2012-2020_EGD'!$K:$K)*N731</f>
        <v>0</v>
      </c>
      <c r="W731" s="65">
        <f>SUMIF('Avoided Costs 2012-2020_EGD'!$A:$A,'2012 Actuals_Auditor'!T731&amp;'2012 Actuals_Auditor'!S731,'Avoided Costs 2012-2020_EGD'!$M:$M)*R731</f>
        <v>0</v>
      </c>
      <c r="X731" s="65">
        <f t="shared" si="316"/>
        <v>5607.2769174333944</v>
      </c>
      <c r="Y731" s="146">
        <v>6500</v>
      </c>
      <c r="Z731" s="66">
        <f t="shared" si="317"/>
        <v>5200</v>
      </c>
      <c r="AA731" s="66">
        <v>321</v>
      </c>
      <c r="AB731" s="66"/>
      <c r="AC731" s="66"/>
      <c r="AD731" s="66">
        <f t="shared" si="318"/>
        <v>5200</v>
      </c>
      <c r="AE731" s="66">
        <f t="shared" si="319"/>
        <v>407.27691743339437</v>
      </c>
      <c r="AF731" s="101">
        <f t="shared" si="320"/>
        <v>36809.285452999276</v>
      </c>
      <c r="AG731" s="101">
        <f t="shared" si="321"/>
        <v>46011.606816249099</v>
      </c>
    </row>
    <row r="732" spans="1:33" s="68" customFormat="1" x14ac:dyDescent="0.2">
      <c r="A732" s="147" t="s">
        <v>412</v>
      </c>
      <c r="B732" s="147"/>
      <c r="C732" s="147"/>
      <c r="D732" s="148">
        <v>0</v>
      </c>
      <c r="E732" s="149"/>
      <c r="F732" s="150">
        <v>0.2</v>
      </c>
      <c r="G732" s="150"/>
      <c r="H732" s="67">
        <v>16576</v>
      </c>
      <c r="I732" s="67">
        <f t="shared" si="311"/>
        <v>15844.778115428378</v>
      </c>
      <c r="J732" s="67">
        <f t="shared" si="313"/>
        <v>12675.822492342704</v>
      </c>
      <c r="K732" s="63"/>
      <c r="L732" s="149">
        <v>0</v>
      </c>
      <c r="M732" s="63">
        <f t="shared" si="322"/>
        <v>0</v>
      </c>
      <c r="N732" s="63">
        <f t="shared" si="314"/>
        <v>0</v>
      </c>
      <c r="O732" s="69"/>
      <c r="P732" s="149">
        <v>0</v>
      </c>
      <c r="Q732" s="63">
        <f t="shared" si="312"/>
        <v>0</v>
      </c>
      <c r="R732" s="64">
        <f t="shared" si="315"/>
        <v>0</v>
      </c>
      <c r="S732" s="148">
        <v>25</v>
      </c>
      <c r="T732" s="151" t="s">
        <v>52</v>
      </c>
      <c r="U732" s="65">
        <f>SUMIF('Avoided Costs 2012-2020_EGD'!$A:$A,'2012 Actuals_Auditor'!T732&amp;'2012 Actuals_Auditor'!S732,'Avoided Costs 2012-2020_EGD'!$E:$E)*J732</f>
        <v>40902.237768300271</v>
      </c>
      <c r="V732" s="65">
        <f>SUMIF('Avoided Costs 2012-2020_EGD'!$A:$A,'2012 Actuals_Auditor'!T732&amp;'2012 Actuals_Auditor'!S732,'Avoided Costs 2012-2020_EGD'!$K:$K)*N732</f>
        <v>0</v>
      </c>
      <c r="W732" s="65">
        <f>SUMIF('Avoided Costs 2012-2020_EGD'!$A:$A,'2012 Actuals_Auditor'!T732&amp;'2012 Actuals_Auditor'!S732,'Avoided Costs 2012-2020_EGD'!$M:$M)*R732</f>
        <v>0</v>
      </c>
      <c r="X732" s="65">
        <f t="shared" si="316"/>
        <v>40902.237768300271</v>
      </c>
      <c r="Y732" s="146">
        <v>53987</v>
      </c>
      <c r="Z732" s="66">
        <f t="shared" si="317"/>
        <v>43189.600000000006</v>
      </c>
      <c r="AA732" s="66">
        <v>3869</v>
      </c>
      <c r="AB732" s="66"/>
      <c r="AC732" s="66"/>
      <c r="AD732" s="66">
        <f t="shared" si="318"/>
        <v>43189.600000000006</v>
      </c>
      <c r="AE732" s="66">
        <f t="shared" si="319"/>
        <v>-2287.3622316997353</v>
      </c>
      <c r="AF732" s="101">
        <f t="shared" si="320"/>
        <v>316895.56230856758</v>
      </c>
      <c r="AG732" s="101">
        <f t="shared" si="321"/>
        <v>396119.45288570947</v>
      </c>
    </row>
    <row r="733" spans="1:33" s="68" customFormat="1" x14ac:dyDescent="0.2">
      <c r="A733" s="141" t="s">
        <v>413</v>
      </c>
      <c r="B733" s="141"/>
      <c r="C733" s="141"/>
      <c r="D733" s="142">
        <v>1</v>
      </c>
      <c r="E733" s="143"/>
      <c r="F733" s="144">
        <v>0.2</v>
      </c>
      <c r="G733" s="144"/>
      <c r="H733" s="67">
        <v>68203</v>
      </c>
      <c r="I733" s="67">
        <f t="shared" si="311"/>
        <v>65194.341325202804</v>
      </c>
      <c r="J733" s="67">
        <f t="shared" si="313"/>
        <v>52155.473060162243</v>
      </c>
      <c r="K733" s="143"/>
      <c r="L733" s="143">
        <v>0</v>
      </c>
      <c r="M733" s="63">
        <f t="shared" si="322"/>
        <v>0</v>
      </c>
      <c r="N733" s="63">
        <f t="shared" si="314"/>
        <v>0</v>
      </c>
      <c r="O733" s="143"/>
      <c r="P733" s="143">
        <v>0</v>
      </c>
      <c r="Q733" s="63">
        <f t="shared" si="312"/>
        <v>0</v>
      </c>
      <c r="R733" s="64">
        <f t="shared" si="315"/>
        <v>0</v>
      </c>
      <c r="S733" s="142">
        <v>25</v>
      </c>
      <c r="T733" s="145" t="s">
        <v>15</v>
      </c>
      <c r="U733" s="65">
        <f>SUMIF('Avoided Costs 2012-2020_EGD'!$A:$A,'2012 Actuals_Auditor'!T733&amp;'2012 Actuals_Auditor'!S733,'Avoided Costs 2012-2020_EGD'!$E:$E)*J733</f>
        <v>179101.63365451456</v>
      </c>
      <c r="V733" s="65">
        <f>SUMIF('Avoided Costs 2012-2020_EGD'!$A:$A,'2012 Actuals_Auditor'!T733&amp;'2012 Actuals_Auditor'!S733,'Avoided Costs 2012-2020_EGD'!$K:$K)*N733</f>
        <v>0</v>
      </c>
      <c r="W733" s="65">
        <f>SUMIF('Avoided Costs 2012-2020_EGD'!$A:$A,'2012 Actuals_Auditor'!T733&amp;'2012 Actuals_Auditor'!S733,'Avoided Costs 2012-2020_EGD'!$M:$M)*R733</f>
        <v>0</v>
      </c>
      <c r="X733" s="65">
        <f t="shared" si="316"/>
        <v>179101.63365451456</v>
      </c>
      <c r="Y733" s="146">
        <v>18433</v>
      </c>
      <c r="Z733" s="66">
        <f t="shared" si="317"/>
        <v>14746.400000000001</v>
      </c>
      <c r="AA733" s="66">
        <v>11238</v>
      </c>
      <c r="AB733" s="66"/>
      <c r="AC733" s="66"/>
      <c r="AD733" s="66">
        <f t="shared" si="318"/>
        <v>14746.400000000001</v>
      </c>
      <c r="AE733" s="66">
        <f t="shared" si="319"/>
        <v>164355.23365451457</v>
      </c>
      <c r="AF733" s="101">
        <f t="shared" si="320"/>
        <v>1303886.8265040561</v>
      </c>
      <c r="AG733" s="101">
        <f t="shared" si="321"/>
        <v>1629858.5331300702</v>
      </c>
    </row>
    <row r="734" spans="1:33" s="68" customFormat="1" x14ac:dyDescent="0.2">
      <c r="A734" s="141" t="s">
        <v>414</v>
      </c>
      <c r="B734" s="141"/>
      <c r="C734" s="141"/>
      <c r="D734" s="142">
        <v>1</v>
      </c>
      <c r="E734" s="143"/>
      <c r="F734" s="144">
        <v>0.2</v>
      </c>
      <c r="G734" s="144"/>
      <c r="H734" s="67">
        <v>4372</v>
      </c>
      <c r="I734" s="67">
        <f t="shared" si="311"/>
        <v>4179.1366988810851</v>
      </c>
      <c r="J734" s="67">
        <f t="shared" si="313"/>
        <v>3343.3093591048682</v>
      </c>
      <c r="K734" s="143"/>
      <c r="L734" s="143">
        <v>0</v>
      </c>
      <c r="M734" s="63">
        <f t="shared" si="322"/>
        <v>0</v>
      </c>
      <c r="N734" s="63">
        <f t="shared" si="314"/>
        <v>0</v>
      </c>
      <c r="O734" s="143"/>
      <c r="P734" s="143">
        <v>0</v>
      </c>
      <c r="Q734" s="63">
        <f t="shared" si="312"/>
        <v>0</v>
      </c>
      <c r="R734" s="64">
        <f t="shared" si="315"/>
        <v>0</v>
      </c>
      <c r="S734" s="142">
        <v>15</v>
      </c>
      <c r="T734" s="145" t="s">
        <v>52</v>
      </c>
      <c r="U734" s="65">
        <f>SUMIF('Avoided Costs 2012-2020_EGD'!$A:$A,'2012 Actuals_Auditor'!T734&amp;'2012 Actuals_Auditor'!S734,'Avoided Costs 2012-2020_EGD'!$E:$E)*J734</f>
        <v>7639.4561181111858</v>
      </c>
      <c r="V734" s="65">
        <f>SUMIF('Avoided Costs 2012-2020_EGD'!$A:$A,'2012 Actuals_Auditor'!T734&amp;'2012 Actuals_Auditor'!S734,'Avoided Costs 2012-2020_EGD'!$K:$K)*N734</f>
        <v>0</v>
      </c>
      <c r="W734" s="65">
        <f>SUMIF('Avoided Costs 2012-2020_EGD'!$A:$A,'2012 Actuals_Auditor'!T734&amp;'2012 Actuals_Auditor'!S734,'Avoided Costs 2012-2020_EGD'!$M:$M)*R734</f>
        <v>0</v>
      </c>
      <c r="X734" s="65">
        <f t="shared" si="316"/>
        <v>7639.4561181111858</v>
      </c>
      <c r="Y734" s="146">
        <v>9750</v>
      </c>
      <c r="Z734" s="66">
        <f t="shared" si="317"/>
        <v>7800</v>
      </c>
      <c r="AA734" s="66">
        <v>437</v>
      </c>
      <c r="AB734" s="66"/>
      <c r="AC734" s="66"/>
      <c r="AD734" s="66">
        <f t="shared" si="318"/>
        <v>7800</v>
      </c>
      <c r="AE734" s="66">
        <f t="shared" si="319"/>
        <v>-160.54388188881421</v>
      </c>
      <c r="AF734" s="101">
        <f t="shared" si="320"/>
        <v>50149.640386573024</v>
      </c>
      <c r="AG734" s="101">
        <f t="shared" si="321"/>
        <v>62687.050483216277</v>
      </c>
    </row>
    <row r="735" spans="1:33" s="68" customFormat="1" x14ac:dyDescent="0.2">
      <c r="A735" s="141" t="s">
        <v>415</v>
      </c>
      <c r="B735" s="141"/>
      <c r="C735" s="141"/>
      <c r="D735" s="142">
        <v>1</v>
      </c>
      <c r="E735" s="143"/>
      <c r="F735" s="144">
        <v>0.2</v>
      </c>
      <c r="G735" s="144"/>
      <c r="H735" s="67">
        <v>79873</v>
      </c>
      <c r="I735" s="67">
        <f t="shared" ref="I735:I751" si="323">+$H$42*H735</f>
        <v>76349.539238272861</v>
      </c>
      <c r="J735" s="67">
        <f t="shared" si="313"/>
        <v>61079.631390618291</v>
      </c>
      <c r="K735" s="143"/>
      <c r="L735" s="143">
        <v>0</v>
      </c>
      <c r="M735" s="63">
        <f t="shared" si="322"/>
        <v>0</v>
      </c>
      <c r="N735" s="63">
        <f t="shared" si="314"/>
        <v>0</v>
      </c>
      <c r="O735" s="143"/>
      <c r="P735" s="143">
        <v>0</v>
      </c>
      <c r="Q735" s="63">
        <f t="shared" ref="Q735:Q751" si="324">+P735*$P$42</f>
        <v>0</v>
      </c>
      <c r="R735" s="64">
        <f t="shared" si="315"/>
        <v>0</v>
      </c>
      <c r="S735" s="142">
        <v>25</v>
      </c>
      <c r="T735" s="145" t="s">
        <v>15</v>
      </c>
      <c r="U735" s="65">
        <f>SUMIF('Avoided Costs 2012-2020_EGD'!$A:$A,'2012 Actuals_Auditor'!T735&amp;'2012 Actuals_Auditor'!S735,'Avoided Costs 2012-2020_EGD'!$E:$E)*J735</f>
        <v>209747.14873080427</v>
      </c>
      <c r="V735" s="65">
        <f>SUMIF('Avoided Costs 2012-2020_EGD'!$A:$A,'2012 Actuals_Auditor'!T735&amp;'2012 Actuals_Auditor'!S735,'Avoided Costs 2012-2020_EGD'!$K:$K)*N735</f>
        <v>0</v>
      </c>
      <c r="W735" s="65">
        <f>SUMIF('Avoided Costs 2012-2020_EGD'!$A:$A,'2012 Actuals_Auditor'!T735&amp;'2012 Actuals_Auditor'!S735,'Avoided Costs 2012-2020_EGD'!$M:$M)*R735</f>
        <v>0</v>
      </c>
      <c r="X735" s="65">
        <f t="shared" si="316"/>
        <v>209747.14873080427</v>
      </c>
      <c r="Y735" s="146">
        <v>18270</v>
      </c>
      <c r="Z735" s="66">
        <f t="shared" si="317"/>
        <v>14616</v>
      </c>
      <c r="AA735" s="66">
        <v>12459</v>
      </c>
      <c r="AB735" s="66"/>
      <c r="AC735" s="66"/>
      <c r="AD735" s="66">
        <f t="shared" si="318"/>
        <v>14616</v>
      </c>
      <c r="AE735" s="66">
        <f t="shared" si="319"/>
        <v>195131.14873080427</v>
      </c>
      <c r="AF735" s="101">
        <f t="shared" si="320"/>
        <v>1526990.7847654573</v>
      </c>
      <c r="AG735" s="101">
        <f t="shared" si="321"/>
        <v>1908738.4809568215</v>
      </c>
    </row>
    <row r="736" spans="1:33" s="68" customFormat="1" x14ac:dyDescent="0.2">
      <c r="A736" s="141" t="s">
        <v>416</v>
      </c>
      <c r="B736" s="141"/>
      <c r="C736" s="141"/>
      <c r="D736" s="142">
        <v>0</v>
      </c>
      <c r="E736" s="143"/>
      <c r="F736" s="144">
        <v>0.2</v>
      </c>
      <c r="G736" s="144"/>
      <c r="H736" s="67">
        <v>37955</v>
      </c>
      <c r="I736" s="67">
        <f t="shared" si="323"/>
        <v>36280.680102020036</v>
      </c>
      <c r="J736" s="67">
        <f t="shared" si="313"/>
        <v>29024.54408161603</v>
      </c>
      <c r="K736" s="143"/>
      <c r="L736" s="143">
        <v>0</v>
      </c>
      <c r="M736" s="63">
        <f t="shared" si="322"/>
        <v>0</v>
      </c>
      <c r="N736" s="63">
        <f t="shared" si="314"/>
        <v>0</v>
      </c>
      <c r="O736" s="143"/>
      <c r="P736" s="143">
        <v>0</v>
      </c>
      <c r="Q736" s="63">
        <f t="shared" si="324"/>
        <v>0</v>
      </c>
      <c r="R736" s="64">
        <f t="shared" si="315"/>
        <v>0</v>
      </c>
      <c r="S736" s="142">
        <v>25</v>
      </c>
      <c r="T736" s="145" t="s">
        <v>52</v>
      </c>
      <c r="U736" s="65">
        <f>SUMIF('Avoided Costs 2012-2020_EGD'!$A:$A,'2012 Actuals_Auditor'!T736&amp;'2012 Actuals_Auditor'!S736,'Avoided Costs 2012-2020_EGD'!$E:$E)*J736</f>
        <v>93656.155555974707</v>
      </c>
      <c r="V736" s="65">
        <f>SUMIF('Avoided Costs 2012-2020_EGD'!$A:$A,'2012 Actuals_Auditor'!T736&amp;'2012 Actuals_Auditor'!S736,'Avoided Costs 2012-2020_EGD'!$K:$K)*N736</f>
        <v>0</v>
      </c>
      <c r="W736" s="65">
        <f>SUMIF('Avoided Costs 2012-2020_EGD'!$A:$A,'2012 Actuals_Auditor'!T736&amp;'2012 Actuals_Auditor'!S736,'Avoided Costs 2012-2020_EGD'!$M:$M)*R736</f>
        <v>0</v>
      </c>
      <c r="X736" s="65">
        <f t="shared" si="316"/>
        <v>93656.155555974707</v>
      </c>
      <c r="Y736" s="146">
        <v>11784</v>
      </c>
      <c r="Z736" s="66">
        <f t="shared" si="317"/>
        <v>9427.2000000000007</v>
      </c>
      <c r="AA736" s="66">
        <v>6238</v>
      </c>
      <c r="AB736" s="66"/>
      <c r="AC736" s="66"/>
      <c r="AD736" s="66">
        <f t="shared" si="318"/>
        <v>9427.2000000000007</v>
      </c>
      <c r="AE736" s="66">
        <f t="shared" si="319"/>
        <v>84228.95555597471</v>
      </c>
      <c r="AF736" s="101">
        <f t="shared" si="320"/>
        <v>725613.60204040073</v>
      </c>
      <c r="AG736" s="101">
        <f t="shared" si="321"/>
        <v>907017.00255050091</v>
      </c>
    </row>
    <row r="737" spans="1:33" s="68" customFormat="1" x14ac:dyDescent="0.2">
      <c r="A737" s="147" t="s">
        <v>417</v>
      </c>
      <c r="B737" s="147"/>
      <c r="C737" s="147"/>
      <c r="D737" s="148">
        <v>1</v>
      </c>
      <c r="E737" s="149"/>
      <c r="F737" s="150">
        <v>0.2</v>
      </c>
      <c r="G737" s="150"/>
      <c r="H737" s="67">
        <v>141643</v>
      </c>
      <c r="I737" s="67">
        <f t="shared" si="323"/>
        <v>135394.66135398299</v>
      </c>
      <c r="J737" s="67">
        <f t="shared" si="313"/>
        <v>108315.72908318639</v>
      </c>
      <c r="K737" s="63"/>
      <c r="L737" s="149">
        <v>0</v>
      </c>
      <c r="M737" s="63">
        <f t="shared" si="322"/>
        <v>0</v>
      </c>
      <c r="N737" s="63">
        <f t="shared" si="314"/>
        <v>0</v>
      </c>
      <c r="O737" s="69"/>
      <c r="P737" s="149">
        <v>0</v>
      </c>
      <c r="Q737" s="63">
        <f t="shared" si="324"/>
        <v>0</v>
      </c>
      <c r="R737" s="64">
        <f t="shared" si="315"/>
        <v>0</v>
      </c>
      <c r="S737" s="148">
        <v>25</v>
      </c>
      <c r="T737" s="151" t="s">
        <v>15</v>
      </c>
      <c r="U737" s="65">
        <f>SUMIF('Avoided Costs 2012-2020_EGD'!$A:$A,'2012 Actuals_Auditor'!T737&amp;'2012 Actuals_Auditor'!S737,'Avoided Costs 2012-2020_EGD'!$E:$E)*J737</f>
        <v>371955.67197522707</v>
      </c>
      <c r="V737" s="65">
        <f>SUMIF('Avoided Costs 2012-2020_EGD'!$A:$A,'2012 Actuals_Auditor'!T737&amp;'2012 Actuals_Auditor'!S737,'Avoided Costs 2012-2020_EGD'!$K:$K)*N737</f>
        <v>0</v>
      </c>
      <c r="W737" s="65">
        <f>SUMIF('Avoided Costs 2012-2020_EGD'!$A:$A,'2012 Actuals_Auditor'!T737&amp;'2012 Actuals_Auditor'!S737,'Avoided Costs 2012-2020_EGD'!$M:$M)*R737</f>
        <v>0</v>
      </c>
      <c r="X737" s="65">
        <f t="shared" si="316"/>
        <v>371955.67197522707</v>
      </c>
      <c r="Y737" s="146">
        <v>27416</v>
      </c>
      <c r="Z737" s="66">
        <f t="shared" si="317"/>
        <v>21932.800000000003</v>
      </c>
      <c r="AA737" s="66">
        <v>25770</v>
      </c>
      <c r="AB737" s="66"/>
      <c r="AC737" s="66"/>
      <c r="AD737" s="66">
        <f t="shared" si="318"/>
        <v>21932.800000000003</v>
      </c>
      <c r="AE737" s="66">
        <f t="shared" si="319"/>
        <v>350022.87197522708</v>
      </c>
      <c r="AF737" s="101">
        <f t="shared" si="320"/>
        <v>2707893.2270796597</v>
      </c>
      <c r="AG737" s="101">
        <f t="shared" si="321"/>
        <v>3384866.5338495746</v>
      </c>
    </row>
    <row r="738" spans="1:33" s="68" customFormat="1" x14ac:dyDescent="0.2">
      <c r="A738" s="147" t="s">
        <v>418</v>
      </c>
      <c r="B738" s="147"/>
      <c r="C738" s="147"/>
      <c r="D738" s="148">
        <v>0</v>
      </c>
      <c r="E738" s="149"/>
      <c r="F738" s="150">
        <v>0.2</v>
      </c>
      <c r="G738" s="150"/>
      <c r="H738" s="67">
        <v>153444</v>
      </c>
      <c r="I738" s="67">
        <f t="shared" si="323"/>
        <v>146675.08042614575</v>
      </c>
      <c r="J738" s="67">
        <f t="shared" si="313"/>
        <v>117340.06434091661</v>
      </c>
      <c r="K738" s="63"/>
      <c r="L738" s="149">
        <v>0</v>
      </c>
      <c r="M738" s="63">
        <f t="shared" si="322"/>
        <v>0</v>
      </c>
      <c r="N738" s="63">
        <f t="shared" si="314"/>
        <v>0</v>
      </c>
      <c r="O738" s="69"/>
      <c r="P738" s="149">
        <v>0</v>
      </c>
      <c r="Q738" s="63">
        <f t="shared" si="324"/>
        <v>0</v>
      </c>
      <c r="R738" s="64">
        <f t="shared" si="315"/>
        <v>0</v>
      </c>
      <c r="S738" s="148">
        <v>25</v>
      </c>
      <c r="T738" s="151" t="s">
        <v>15</v>
      </c>
      <c r="U738" s="65">
        <f>SUMIF('Avoided Costs 2012-2020_EGD'!$A:$A,'2012 Actuals_Auditor'!T738&amp;'2012 Actuals_Auditor'!S738,'Avoided Costs 2012-2020_EGD'!$E:$E)*J738</f>
        <v>402945.1941187827</v>
      </c>
      <c r="V738" s="65">
        <f>SUMIF('Avoided Costs 2012-2020_EGD'!$A:$A,'2012 Actuals_Auditor'!T738&amp;'2012 Actuals_Auditor'!S738,'Avoided Costs 2012-2020_EGD'!$K:$K)*N738</f>
        <v>0</v>
      </c>
      <c r="W738" s="65">
        <f>SUMIF('Avoided Costs 2012-2020_EGD'!$A:$A,'2012 Actuals_Auditor'!T738&amp;'2012 Actuals_Auditor'!S738,'Avoided Costs 2012-2020_EGD'!$M:$M)*R738</f>
        <v>0</v>
      </c>
      <c r="X738" s="65">
        <f t="shared" si="316"/>
        <v>402945.1941187827</v>
      </c>
      <c r="Y738" s="146">
        <v>19554</v>
      </c>
      <c r="Z738" s="66">
        <f t="shared" si="317"/>
        <v>15643.2</v>
      </c>
      <c r="AA738" s="66">
        <v>30000</v>
      </c>
      <c r="AB738" s="66"/>
      <c r="AC738" s="66"/>
      <c r="AD738" s="66">
        <f t="shared" si="318"/>
        <v>15643.2</v>
      </c>
      <c r="AE738" s="66">
        <f t="shared" si="319"/>
        <v>387301.99411878269</v>
      </c>
      <c r="AF738" s="101">
        <f t="shared" si="320"/>
        <v>2933501.6085229153</v>
      </c>
      <c r="AG738" s="101">
        <f t="shared" si="321"/>
        <v>3666877.0106536439</v>
      </c>
    </row>
    <row r="739" spans="1:33" s="68" customFormat="1" x14ac:dyDescent="0.2">
      <c r="A739" s="147" t="s">
        <v>419</v>
      </c>
      <c r="B739" s="147"/>
      <c r="C739" s="147"/>
      <c r="D739" s="148">
        <v>0</v>
      </c>
      <c r="E739" s="149"/>
      <c r="F739" s="150">
        <v>0.2</v>
      </c>
      <c r="G739" s="150"/>
      <c r="H739" s="67">
        <v>21058</v>
      </c>
      <c r="I739" s="67">
        <f t="shared" si="323"/>
        <v>20129.062352478933</v>
      </c>
      <c r="J739" s="67">
        <f t="shared" si="313"/>
        <v>16103.249881983147</v>
      </c>
      <c r="K739" s="63"/>
      <c r="L739" s="149">
        <v>0</v>
      </c>
      <c r="M739" s="63">
        <f t="shared" si="322"/>
        <v>0</v>
      </c>
      <c r="N739" s="63">
        <f t="shared" si="314"/>
        <v>0</v>
      </c>
      <c r="O739" s="69"/>
      <c r="P739" s="149">
        <v>0</v>
      </c>
      <c r="Q739" s="63">
        <f t="shared" si="324"/>
        <v>0</v>
      </c>
      <c r="R739" s="64">
        <f t="shared" si="315"/>
        <v>0</v>
      </c>
      <c r="S739" s="148">
        <v>25</v>
      </c>
      <c r="T739" s="151" t="s">
        <v>52</v>
      </c>
      <c r="U739" s="65">
        <f>SUMIF('Avoided Costs 2012-2020_EGD'!$A:$A,'2012 Actuals_Auditor'!T739&amp;'2012 Actuals_Auditor'!S739,'Avoided Costs 2012-2020_EGD'!$E:$E)*J739</f>
        <v>51961.831740158486</v>
      </c>
      <c r="V739" s="65">
        <f>SUMIF('Avoided Costs 2012-2020_EGD'!$A:$A,'2012 Actuals_Auditor'!T739&amp;'2012 Actuals_Auditor'!S739,'Avoided Costs 2012-2020_EGD'!$K:$K)*N739</f>
        <v>0</v>
      </c>
      <c r="W739" s="65">
        <f>SUMIF('Avoided Costs 2012-2020_EGD'!$A:$A,'2012 Actuals_Auditor'!T739&amp;'2012 Actuals_Auditor'!S739,'Avoided Costs 2012-2020_EGD'!$M:$M)*R739</f>
        <v>0</v>
      </c>
      <c r="X739" s="65">
        <f t="shared" si="316"/>
        <v>51961.831740158486</v>
      </c>
      <c r="Y739" s="146">
        <v>12680</v>
      </c>
      <c r="Z739" s="66">
        <f t="shared" si="317"/>
        <v>10144</v>
      </c>
      <c r="AA739" s="66">
        <v>3460</v>
      </c>
      <c r="AB739" s="66"/>
      <c r="AC739" s="66"/>
      <c r="AD739" s="66">
        <f t="shared" si="318"/>
        <v>10144</v>
      </c>
      <c r="AE739" s="66">
        <f t="shared" si="319"/>
        <v>41817.831740158486</v>
      </c>
      <c r="AF739" s="101">
        <f t="shared" si="320"/>
        <v>402581.2470495787</v>
      </c>
      <c r="AG739" s="101">
        <f t="shared" si="321"/>
        <v>503226.55881197331</v>
      </c>
    </row>
    <row r="740" spans="1:33" s="68" customFormat="1" x14ac:dyDescent="0.2">
      <c r="A740" s="147" t="s">
        <v>420</v>
      </c>
      <c r="B740" s="147"/>
      <c r="C740" s="147"/>
      <c r="D740" s="148">
        <v>1</v>
      </c>
      <c r="E740" s="149"/>
      <c r="F740" s="150">
        <v>0.2</v>
      </c>
      <c r="G740" s="150"/>
      <c r="H740" s="67">
        <v>36883</v>
      </c>
      <c r="I740" s="67">
        <f t="shared" si="323"/>
        <v>35255.969548223024</v>
      </c>
      <c r="J740" s="67">
        <f t="shared" si="313"/>
        <v>28204.77563857842</v>
      </c>
      <c r="K740" s="63"/>
      <c r="L740" s="149">
        <v>43105</v>
      </c>
      <c r="M740" s="63">
        <f t="shared" si="322"/>
        <v>43105</v>
      </c>
      <c r="N740" s="63">
        <f t="shared" si="314"/>
        <v>34484</v>
      </c>
      <c r="O740" s="69"/>
      <c r="P740" s="149">
        <v>0</v>
      </c>
      <c r="Q740" s="63">
        <f t="shared" si="324"/>
        <v>0</v>
      </c>
      <c r="R740" s="64">
        <f t="shared" si="315"/>
        <v>0</v>
      </c>
      <c r="S740" s="148">
        <v>15</v>
      </c>
      <c r="T740" s="151" t="s">
        <v>15</v>
      </c>
      <c r="U740" s="65">
        <f>SUMIF('Avoided Costs 2012-2020_EGD'!$A:$A,'2012 Actuals_Auditor'!T740&amp;'2012 Actuals_Auditor'!S740,'Avoided Costs 2012-2020_EGD'!$E:$E)*J740</f>
        <v>68534.893655803156</v>
      </c>
      <c r="V740" s="65">
        <f>SUMIF('Avoided Costs 2012-2020_EGD'!$A:$A,'2012 Actuals_Auditor'!T740&amp;'2012 Actuals_Auditor'!S740,'Avoided Costs 2012-2020_EGD'!$K:$K)*N740</f>
        <v>35511.05165851643</v>
      </c>
      <c r="W740" s="65">
        <f>SUMIF('Avoided Costs 2012-2020_EGD'!$A:$A,'2012 Actuals_Auditor'!T740&amp;'2012 Actuals_Auditor'!S740,'Avoided Costs 2012-2020_EGD'!$M:$M)*R740</f>
        <v>0</v>
      </c>
      <c r="X740" s="65">
        <f t="shared" si="316"/>
        <v>104045.94531431959</v>
      </c>
      <c r="Y740" s="146">
        <v>30000</v>
      </c>
      <c r="Z740" s="66">
        <f t="shared" si="317"/>
        <v>24000</v>
      </c>
      <c r="AA740" s="66">
        <v>7377</v>
      </c>
      <c r="AB740" s="66"/>
      <c r="AC740" s="66"/>
      <c r="AD740" s="66">
        <f t="shared" si="318"/>
        <v>24000</v>
      </c>
      <c r="AE740" s="66">
        <f t="shared" si="319"/>
        <v>80045.945314319586</v>
      </c>
      <c r="AF740" s="101">
        <f t="shared" si="320"/>
        <v>423071.63457867631</v>
      </c>
      <c r="AG740" s="101">
        <f t="shared" si="321"/>
        <v>528839.5432233453</v>
      </c>
    </row>
    <row r="741" spans="1:33" s="68" customFormat="1" x14ac:dyDescent="0.2">
      <c r="A741" s="147" t="s">
        <v>421</v>
      </c>
      <c r="B741" s="147"/>
      <c r="C741" s="147"/>
      <c r="D741" s="148">
        <v>1</v>
      </c>
      <c r="E741" s="149"/>
      <c r="F741" s="150">
        <v>0.2</v>
      </c>
      <c r="G741" s="150"/>
      <c r="H741" s="67">
        <v>9001</v>
      </c>
      <c r="I741" s="67">
        <f t="shared" si="323"/>
        <v>8603.9362823944757</v>
      </c>
      <c r="J741" s="67">
        <f t="shared" si="313"/>
        <v>6883.1490259155808</v>
      </c>
      <c r="K741" s="63"/>
      <c r="L741" s="149">
        <v>0</v>
      </c>
      <c r="M741" s="63">
        <f t="shared" si="322"/>
        <v>0</v>
      </c>
      <c r="N741" s="63">
        <f t="shared" si="314"/>
        <v>0</v>
      </c>
      <c r="O741" s="69"/>
      <c r="P741" s="149">
        <v>0</v>
      </c>
      <c r="Q741" s="63">
        <f t="shared" si="324"/>
        <v>0</v>
      </c>
      <c r="R741" s="64">
        <f t="shared" si="315"/>
        <v>0</v>
      </c>
      <c r="S741" s="148">
        <v>15</v>
      </c>
      <c r="T741" s="151" t="s">
        <v>15</v>
      </c>
      <c r="U741" s="65">
        <f>SUMIF('Avoided Costs 2012-2020_EGD'!$A:$A,'2012 Actuals_Auditor'!T741&amp;'2012 Actuals_Auditor'!S741,'Avoided Costs 2012-2020_EGD'!$E:$E)*J741</f>
        <v>16725.390499576613</v>
      </c>
      <c r="V741" s="65">
        <f>SUMIF('Avoided Costs 2012-2020_EGD'!$A:$A,'2012 Actuals_Auditor'!T741&amp;'2012 Actuals_Auditor'!S741,'Avoided Costs 2012-2020_EGD'!$K:$K)*N741</f>
        <v>0</v>
      </c>
      <c r="W741" s="65">
        <f>SUMIF('Avoided Costs 2012-2020_EGD'!$A:$A,'2012 Actuals_Auditor'!T741&amp;'2012 Actuals_Auditor'!S741,'Avoided Costs 2012-2020_EGD'!$M:$M)*R741</f>
        <v>0</v>
      </c>
      <c r="X741" s="65">
        <f t="shared" si="316"/>
        <v>16725.390499576613</v>
      </c>
      <c r="Y741" s="146">
        <v>9000</v>
      </c>
      <c r="Z741" s="66">
        <f t="shared" si="317"/>
        <v>7200</v>
      </c>
      <c r="AA741" s="66">
        <v>1300</v>
      </c>
      <c r="AB741" s="66"/>
      <c r="AC741" s="66"/>
      <c r="AD741" s="66">
        <f t="shared" si="318"/>
        <v>7200</v>
      </c>
      <c r="AE741" s="66">
        <f t="shared" si="319"/>
        <v>9525.3904995766134</v>
      </c>
      <c r="AF741" s="101">
        <f t="shared" si="320"/>
        <v>103247.23538873371</v>
      </c>
      <c r="AG741" s="101">
        <f t="shared" si="321"/>
        <v>129059.04423591713</v>
      </c>
    </row>
    <row r="742" spans="1:33" s="68" customFormat="1" x14ac:dyDescent="0.2">
      <c r="A742" s="147" t="s">
        <v>422</v>
      </c>
      <c r="B742" s="147"/>
      <c r="C742" s="147"/>
      <c r="D742" s="148">
        <v>0</v>
      </c>
      <c r="E742" s="149"/>
      <c r="F742" s="150">
        <v>0.2</v>
      </c>
      <c r="G742" s="150"/>
      <c r="H742" s="67">
        <v>39382</v>
      </c>
      <c r="I742" s="67">
        <f t="shared" si="323"/>
        <v>37644.730438091239</v>
      </c>
      <c r="J742" s="67">
        <f t="shared" si="313"/>
        <v>30115.784350472994</v>
      </c>
      <c r="K742" s="63"/>
      <c r="L742" s="149">
        <v>37185</v>
      </c>
      <c r="M742" s="63">
        <f t="shared" si="322"/>
        <v>37185</v>
      </c>
      <c r="N742" s="63">
        <f t="shared" si="314"/>
        <v>29748</v>
      </c>
      <c r="O742" s="69"/>
      <c r="P742" s="149">
        <v>0</v>
      </c>
      <c r="Q742" s="63">
        <f t="shared" si="324"/>
        <v>0</v>
      </c>
      <c r="R742" s="64">
        <f t="shared" si="315"/>
        <v>0</v>
      </c>
      <c r="S742" s="148">
        <v>15</v>
      </c>
      <c r="T742" s="151" t="s">
        <v>15</v>
      </c>
      <c r="U742" s="65">
        <f>SUMIF('Avoided Costs 2012-2020_EGD'!$A:$A,'2012 Actuals_Auditor'!T742&amp;'2012 Actuals_Auditor'!S742,'Avoided Costs 2012-2020_EGD'!$E:$E)*J742</f>
        <v>73178.461132577067</v>
      </c>
      <c r="V742" s="65">
        <f>SUMIF('Avoided Costs 2012-2020_EGD'!$A:$A,'2012 Actuals_Auditor'!T742&amp;'2012 Actuals_Auditor'!S742,'Avoided Costs 2012-2020_EGD'!$K:$K)*N742</f>
        <v>30633.99735348413</v>
      </c>
      <c r="W742" s="65">
        <f>SUMIF('Avoided Costs 2012-2020_EGD'!$A:$A,'2012 Actuals_Auditor'!T742&amp;'2012 Actuals_Auditor'!S742,'Avoided Costs 2012-2020_EGD'!$M:$M)*R742</f>
        <v>0</v>
      </c>
      <c r="X742" s="65">
        <f t="shared" si="316"/>
        <v>103812.45848606119</v>
      </c>
      <c r="Y742" s="146">
        <v>12000</v>
      </c>
      <c r="Z742" s="66">
        <f t="shared" si="317"/>
        <v>9600</v>
      </c>
      <c r="AA742" s="66">
        <v>7876</v>
      </c>
      <c r="AB742" s="66"/>
      <c r="AC742" s="66"/>
      <c r="AD742" s="66">
        <f t="shared" si="318"/>
        <v>9600</v>
      </c>
      <c r="AE742" s="66">
        <f t="shared" si="319"/>
        <v>94212.458486061194</v>
      </c>
      <c r="AF742" s="101">
        <f t="shared" si="320"/>
        <v>451736.76525709493</v>
      </c>
      <c r="AG742" s="101">
        <f t="shared" si="321"/>
        <v>564670.95657136862</v>
      </c>
    </row>
    <row r="743" spans="1:33" s="68" customFormat="1" x14ac:dyDescent="0.2">
      <c r="A743" s="147" t="s">
        <v>423</v>
      </c>
      <c r="B743" s="147"/>
      <c r="C743" s="147"/>
      <c r="D743" s="148">
        <v>0</v>
      </c>
      <c r="E743" s="149"/>
      <c r="F743" s="150">
        <v>0.2</v>
      </c>
      <c r="G743" s="150"/>
      <c r="H743" s="67">
        <v>5368</v>
      </c>
      <c r="I743" s="67">
        <f t="shared" si="323"/>
        <v>5131.1998626700979</v>
      </c>
      <c r="J743" s="67">
        <f t="shared" si="313"/>
        <v>4104.9598901360787</v>
      </c>
      <c r="K743" s="63"/>
      <c r="L743" s="149">
        <v>0</v>
      </c>
      <c r="M743" s="63">
        <f t="shared" si="322"/>
        <v>0</v>
      </c>
      <c r="N743" s="63">
        <f t="shared" si="314"/>
        <v>0</v>
      </c>
      <c r="O743" s="69"/>
      <c r="P743" s="149">
        <v>0</v>
      </c>
      <c r="Q743" s="63">
        <f t="shared" si="324"/>
        <v>0</v>
      </c>
      <c r="R743" s="64">
        <f t="shared" si="315"/>
        <v>0</v>
      </c>
      <c r="S743" s="148">
        <v>15</v>
      </c>
      <c r="T743" s="151" t="s">
        <v>52</v>
      </c>
      <c r="U743" s="65">
        <f>SUMIF('Avoided Costs 2012-2020_EGD'!$A:$A,'2012 Actuals_Auditor'!T743&amp;'2012 Actuals_Auditor'!S743,'Avoided Costs 2012-2020_EGD'!$E:$E)*J743</f>
        <v>9379.826267616847</v>
      </c>
      <c r="V743" s="65">
        <f>SUMIF('Avoided Costs 2012-2020_EGD'!$A:$A,'2012 Actuals_Auditor'!T743&amp;'2012 Actuals_Auditor'!S743,'Avoided Costs 2012-2020_EGD'!$K:$K)*N743</f>
        <v>0</v>
      </c>
      <c r="W743" s="65">
        <f>SUMIF('Avoided Costs 2012-2020_EGD'!$A:$A,'2012 Actuals_Auditor'!T743&amp;'2012 Actuals_Auditor'!S743,'Avoided Costs 2012-2020_EGD'!$M:$M)*R743</f>
        <v>0</v>
      </c>
      <c r="X743" s="65">
        <f t="shared" si="316"/>
        <v>9379.826267616847</v>
      </c>
      <c r="Y743" s="146">
        <v>9000</v>
      </c>
      <c r="Z743" s="66">
        <f t="shared" si="317"/>
        <v>7200</v>
      </c>
      <c r="AA743" s="66">
        <v>747</v>
      </c>
      <c r="AB743" s="66"/>
      <c r="AC743" s="66"/>
      <c r="AD743" s="66">
        <f t="shared" si="318"/>
        <v>7200</v>
      </c>
      <c r="AE743" s="66">
        <f t="shared" si="319"/>
        <v>2179.826267616847</v>
      </c>
      <c r="AF743" s="101">
        <f t="shared" si="320"/>
        <v>61574.398352041178</v>
      </c>
      <c r="AG743" s="101">
        <f t="shared" si="321"/>
        <v>76967.997940051471</v>
      </c>
    </row>
    <row r="744" spans="1:33" s="68" customFormat="1" x14ac:dyDescent="0.2">
      <c r="A744" s="147" t="s">
        <v>424</v>
      </c>
      <c r="B744" s="147"/>
      <c r="C744" s="147"/>
      <c r="D744" s="148">
        <v>1</v>
      </c>
      <c r="E744" s="149"/>
      <c r="F744" s="150">
        <v>0.2</v>
      </c>
      <c r="G744" s="150"/>
      <c r="H744" s="67">
        <v>101611</v>
      </c>
      <c r="I744" s="67">
        <f t="shared" si="323"/>
        <v>97128.604553981233</v>
      </c>
      <c r="J744" s="67">
        <f t="shared" si="313"/>
        <v>77702.883643184992</v>
      </c>
      <c r="K744" s="63"/>
      <c r="L744" s="149">
        <v>0</v>
      </c>
      <c r="M744" s="63">
        <f t="shared" si="322"/>
        <v>0</v>
      </c>
      <c r="N744" s="63">
        <f t="shared" si="314"/>
        <v>0</v>
      </c>
      <c r="O744" s="69"/>
      <c r="P744" s="149">
        <v>0</v>
      </c>
      <c r="Q744" s="63">
        <f t="shared" si="324"/>
        <v>0</v>
      </c>
      <c r="R744" s="64">
        <f t="shared" si="315"/>
        <v>0</v>
      </c>
      <c r="S744" s="148">
        <v>25</v>
      </c>
      <c r="T744" s="151" t="s">
        <v>15</v>
      </c>
      <c r="U744" s="65">
        <f>SUMIF('Avoided Costs 2012-2020_EGD'!$A:$A,'2012 Actuals_Auditor'!T744&amp;'2012 Actuals_Auditor'!S744,'Avoided Costs 2012-2020_EGD'!$E:$E)*J744</f>
        <v>266831.31383177987</v>
      </c>
      <c r="V744" s="65">
        <f>SUMIF('Avoided Costs 2012-2020_EGD'!$A:$A,'2012 Actuals_Auditor'!T744&amp;'2012 Actuals_Auditor'!S744,'Avoided Costs 2012-2020_EGD'!$K:$K)*N744</f>
        <v>0</v>
      </c>
      <c r="W744" s="65">
        <f>SUMIF('Avoided Costs 2012-2020_EGD'!$A:$A,'2012 Actuals_Auditor'!T744&amp;'2012 Actuals_Auditor'!S744,'Avoided Costs 2012-2020_EGD'!$M:$M)*R744</f>
        <v>0</v>
      </c>
      <c r="X744" s="65">
        <f t="shared" si="316"/>
        <v>266831.31383177987</v>
      </c>
      <c r="Y744" s="146">
        <v>50717</v>
      </c>
      <c r="Z744" s="66">
        <f t="shared" si="317"/>
        <v>40573.600000000006</v>
      </c>
      <c r="AA744" s="66">
        <v>17539</v>
      </c>
      <c r="AB744" s="66"/>
      <c r="AC744" s="66"/>
      <c r="AD744" s="66">
        <f t="shared" si="318"/>
        <v>40573.600000000006</v>
      </c>
      <c r="AE744" s="66">
        <f t="shared" si="319"/>
        <v>226257.71383177987</v>
      </c>
      <c r="AF744" s="101">
        <f t="shared" si="320"/>
        <v>1942572.0910796248</v>
      </c>
      <c r="AG744" s="101">
        <f t="shared" si="321"/>
        <v>2428215.1138495309</v>
      </c>
    </row>
    <row r="745" spans="1:33" s="68" customFormat="1" x14ac:dyDescent="0.2">
      <c r="A745" s="147" t="s">
        <v>425</v>
      </c>
      <c r="B745" s="147"/>
      <c r="C745" s="147"/>
      <c r="D745" s="148">
        <v>1</v>
      </c>
      <c r="E745" s="149"/>
      <c r="F745" s="150">
        <v>0.2</v>
      </c>
      <c r="G745" s="150"/>
      <c r="H745" s="67">
        <v>5193</v>
      </c>
      <c r="I745" s="67">
        <f t="shared" si="323"/>
        <v>4963.9196883095783</v>
      </c>
      <c r="J745" s="67">
        <f t="shared" si="313"/>
        <v>3971.1357506476629</v>
      </c>
      <c r="K745" s="63"/>
      <c r="L745" s="149">
        <v>0</v>
      </c>
      <c r="M745" s="63">
        <f t="shared" si="322"/>
        <v>0</v>
      </c>
      <c r="N745" s="63">
        <f t="shared" si="314"/>
        <v>0</v>
      </c>
      <c r="O745" s="69"/>
      <c r="P745" s="149">
        <v>0</v>
      </c>
      <c r="Q745" s="63">
        <f t="shared" si="324"/>
        <v>0</v>
      </c>
      <c r="R745" s="64">
        <f t="shared" si="315"/>
        <v>0</v>
      </c>
      <c r="S745" s="148">
        <v>15</v>
      </c>
      <c r="T745" s="151" t="s">
        <v>15</v>
      </c>
      <c r="U745" s="65">
        <f>SUMIF('Avoided Costs 2012-2020_EGD'!$A:$A,'2012 Actuals_Auditor'!T745&amp;'2012 Actuals_Auditor'!S745,'Avoided Costs 2012-2020_EGD'!$E:$E)*J745</f>
        <v>9649.4781540163713</v>
      </c>
      <c r="V745" s="65">
        <f>SUMIF('Avoided Costs 2012-2020_EGD'!$A:$A,'2012 Actuals_Auditor'!T745&amp;'2012 Actuals_Auditor'!S745,'Avoided Costs 2012-2020_EGD'!$K:$K)*N745</f>
        <v>0</v>
      </c>
      <c r="W745" s="65">
        <f>SUMIF('Avoided Costs 2012-2020_EGD'!$A:$A,'2012 Actuals_Auditor'!T745&amp;'2012 Actuals_Auditor'!S745,'Avoided Costs 2012-2020_EGD'!$M:$M)*R745</f>
        <v>0</v>
      </c>
      <c r="X745" s="65">
        <f t="shared" si="316"/>
        <v>9649.4781540163713</v>
      </c>
      <c r="Y745" s="146">
        <v>1130</v>
      </c>
      <c r="Z745" s="66">
        <f t="shared" si="317"/>
        <v>904</v>
      </c>
      <c r="AA745" s="66">
        <v>519</v>
      </c>
      <c r="AB745" s="66"/>
      <c r="AC745" s="66"/>
      <c r="AD745" s="66">
        <f t="shared" si="318"/>
        <v>904</v>
      </c>
      <c r="AE745" s="66">
        <f t="shared" si="319"/>
        <v>8745.4781540163713</v>
      </c>
      <c r="AF745" s="101">
        <f t="shared" si="320"/>
        <v>59567.036259714943</v>
      </c>
      <c r="AG745" s="101">
        <f t="shared" si="321"/>
        <v>74458.795324643681</v>
      </c>
    </row>
    <row r="746" spans="1:33" s="68" customFormat="1" x14ac:dyDescent="0.2">
      <c r="A746" s="147" t="s">
        <v>426</v>
      </c>
      <c r="B746" s="147"/>
      <c r="C746" s="147"/>
      <c r="D746" s="148">
        <v>1</v>
      </c>
      <c r="E746" s="149"/>
      <c r="F746" s="150">
        <v>0.2</v>
      </c>
      <c r="G746" s="150"/>
      <c r="H746" s="67">
        <v>39428</v>
      </c>
      <c r="I746" s="67">
        <f t="shared" si="323"/>
        <v>37688.701226780293</v>
      </c>
      <c r="J746" s="67">
        <f t="shared" si="313"/>
        <v>30150.960981424236</v>
      </c>
      <c r="K746" s="63"/>
      <c r="L746" s="149">
        <v>59091</v>
      </c>
      <c r="M746" s="63">
        <f t="shared" si="322"/>
        <v>59091</v>
      </c>
      <c r="N746" s="63">
        <f t="shared" si="314"/>
        <v>47272.800000000003</v>
      </c>
      <c r="O746" s="69"/>
      <c r="P746" s="149">
        <v>0</v>
      </c>
      <c r="Q746" s="63">
        <f t="shared" si="324"/>
        <v>0</v>
      </c>
      <c r="R746" s="64">
        <f t="shared" si="315"/>
        <v>0</v>
      </c>
      <c r="S746" s="148">
        <v>15</v>
      </c>
      <c r="T746" s="151" t="s">
        <v>15</v>
      </c>
      <c r="U746" s="65">
        <f>SUMIF('Avoided Costs 2012-2020_EGD'!$A:$A,'2012 Actuals_Auditor'!T746&amp;'2012 Actuals_Auditor'!S746,'Avoided Costs 2012-2020_EGD'!$E:$E)*J746</f>
        <v>73263.936964482476</v>
      </c>
      <c r="V746" s="65">
        <f>SUMIF('Avoided Costs 2012-2020_EGD'!$A:$A,'2012 Actuals_Auditor'!T746&amp;'2012 Actuals_Auditor'!S746,'Avoided Costs 2012-2020_EGD'!$K:$K)*N746</f>
        <v>48680.745935585066</v>
      </c>
      <c r="W746" s="65">
        <f>SUMIF('Avoided Costs 2012-2020_EGD'!$A:$A,'2012 Actuals_Auditor'!T746&amp;'2012 Actuals_Auditor'!S746,'Avoided Costs 2012-2020_EGD'!$M:$M)*R746</f>
        <v>0</v>
      </c>
      <c r="X746" s="65">
        <f t="shared" si="316"/>
        <v>121944.68290006754</v>
      </c>
      <c r="Y746" s="146">
        <v>6018</v>
      </c>
      <c r="Z746" s="66">
        <f t="shared" si="317"/>
        <v>4814.4000000000005</v>
      </c>
      <c r="AA746" s="66">
        <v>7886</v>
      </c>
      <c r="AB746" s="66"/>
      <c r="AC746" s="66"/>
      <c r="AD746" s="66">
        <f t="shared" si="318"/>
        <v>4814.4000000000005</v>
      </c>
      <c r="AE746" s="66">
        <f t="shared" si="319"/>
        <v>117130.28290006754</v>
      </c>
      <c r="AF746" s="101">
        <f t="shared" si="320"/>
        <v>452264.41472136352</v>
      </c>
      <c r="AG746" s="101">
        <f t="shared" si="321"/>
        <v>565330.51840170438</v>
      </c>
    </row>
    <row r="747" spans="1:33" s="68" customFormat="1" x14ac:dyDescent="0.2">
      <c r="A747" s="147" t="s">
        <v>427</v>
      </c>
      <c r="B747" s="147"/>
      <c r="C747" s="147"/>
      <c r="D747" s="148">
        <v>0</v>
      </c>
      <c r="E747" s="149"/>
      <c r="F747" s="150">
        <v>0.2</v>
      </c>
      <c r="G747" s="150"/>
      <c r="H747" s="67">
        <v>27486</v>
      </c>
      <c r="I747" s="67">
        <f t="shared" si="323"/>
        <v>26273.502128418462</v>
      </c>
      <c r="J747" s="67">
        <f t="shared" si="313"/>
        <v>21018.801702734771</v>
      </c>
      <c r="K747" s="63"/>
      <c r="L747" s="149">
        <v>0</v>
      </c>
      <c r="M747" s="63">
        <f t="shared" si="322"/>
        <v>0</v>
      </c>
      <c r="N747" s="63">
        <f t="shared" si="314"/>
        <v>0</v>
      </c>
      <c r="O747" s="69"/>
      <c r="P747" s="149">
        <v>0</v>
      </c>
      <c r="Q747" s="63">
        <f t="shared" si="324"/>
        <v>0</v>
      </c>
      <c r="R747" s="64">
        <f t="shared" si="315"/>
        <v>0</v>
      </c>
      <c r="S747" s="148">
        <v>25</v>
      </c>
      <c r="T747" s="151" t="s">
        <v>52</v>
      </c>
      <c r="U747" s="65">
        <f>SUMIF('Avoided Costs 2012-2020_EGD'!$A:$A,'2012 Actuals_Auditor'!T747&amp;'2012 Actuals_Auditor'!S747,'Avoided Costs 2012-2020_EGD'!$E:$E)*J747</f>
        <v>67823.293152720871</v>
      </c>
      <c r="V747" s="65">
        <f>SUMIF('Avoided Costs 2012-2020_EGD'!$A:$A,'2012 Actuals_Auditor'!T747&amp;'2012 Actuals_Auditor'!S747,'Avoided Costs 2012-2020_EGD'!$K:$K)*N747</f>
        <v>0</v>
      </c>
      <c r="W747" s="65">
        <f>SUMIF('Avoided Costs 2012-2020_EGD'!$A:$A,'2012 Actuals_Auditor'!T747&amp;'2012 Actuals_Auditor'!S747,'Avoided Costs 2012-2020_EGD'!$M:$M)*R747</f>
        <v>0</v>
      </c>
      <c r="X747" s="65">
        <f t="shared" si="316"/>
        <v>67823.293152720871</v>
      </c>
      <c r="Y747" s="146">
        <v>16480</v>
      </c>
      <c r="Z747" s="66">
        <f t="shared" si="317"/>
        <v>13184</v>
      </c>
      <c r="AA747" s="66">
        <v>5747</v>
      </c>
      <c r="AB747" s="66"/>
      <c r="AC747" s="66"/>
      <c r="AD747" s="66">
        <f t="shared" si="318"/>
        <v>13184</v>
      </c>
      <c r="AE747" s="66">
        <f t="shared" si="319"/>
        <v>54639.293152720871</v>
      </c>
      <c r="AF747" s="101">
        <f t="shared" si="320"/>
        <v>525470.0425683693</v>
      </c>
      <c r="AG747" s="101">
        <f t="shared" si="321"/>
        <v>656837.55321046151</v>
      </c>
    </row>
    <row r="748" spans="1:33" s="68" customFormat="1" x14ac:dyDescent="0.2">
      <c r="A748" s="147" t="s">
        <v>428</v>
      </c>
      <c r="B748" s="147"/>
      <c r="C748" s="147"/>
      <c r="D748" s="148">
        <v>1</v>
      </c>
      <c r="E748" s="149"/>
      <c r="F748" s="150">
        <v>0.2</v>
      </c>
      <c r="G748" s="150"/>
      <c r="H748" s="67">
        <v>84981</v>
      </c>
      <c r="I748" s="67">
        <f t="shared" si="323"/>
        <v>81232.208556178753</v>
      </c>
      <c r="J748" s="67">
        <f t="shared" si="313"/>
        <v>64985.766844943006</v>
      </c>
      <c r="K748" s="63"/>
      <c r="L748" s="149">
        <v>0</v>
      </c>
      <c r="M748" s="63">
        <f t="shared" si="322"/>
        <v>0</v>
      </c>
      <c r="N748" s="63">
        <f t="shared" si="314"/>
        <v>0</v>
      </c>
      <c r="O748" s="69"/>
      <c r="P748" s="149">
        <v>0</v>
      </c>
      <c r="Q748" s="63">
        <f t="shared" si="324"/>
        <v>0</v>
      </c>
      <c r="R748" s="64">
        <f t="shared" si="315"/>
        <v>0</v>
      </c>
      <c r="S748" s="148">
        <v>25</v>
      </c>
      <c r="T748" s="151" t="s">
        <v>15</v>
      </c>
      <c r="U748" s="65">
        <f>SUMIF('Avoided Costs 2012-2020_EGD'!$A:$A,'2012 Actuals_Auditor'!T748&amp;'2012 Actuals_Auditor'!S748,'Avoided Costs 2012-2020_EGD'!$E:$E)*J748</f>
        <v>223160.79834603029</v>
      </c>
      <c r="V748" s="65">
        <f>SUMIF('Avoided Costs 2012-2020_EGD'!$A:$A,'2012 Actuals_Auditor'!T748&amp;'2012 Actuals_Auditor'!S748,'Avoided Costs 2012-2020_EGD'!$K:$K)*N748</f>
        <v>0</v>
      </c>
      <c r="W748" s="65">
        <f>SUMIF('Avoided Costs 2012-2020_EGD'!$A:$A,'2012 Actuals_Auditor'!T748&amp;'2012 Actuals_Auditor'!S748,'Avoided Costs 2012-2020_EGD'!$M:$M)*R748</f>
        <v>0</v>
      </c>
      <c r="X748" s="65">
        <f t="shared" si="316"/>
        <v>223160.79834603029</v>
      </c>
      <c r="Y748" s="146">
        <v>11186</v>
      </c>
      <c r="Z748" s="66">
        <f t="shared" si="317"/>
        <v>8948.8000000000011</v>
      </c>
      <c r="AA748" s="66">
        <v>14623</v>
      </c>
      <c r="AB748" s="66"/>
      <c r="AC748" s="66"/>
      <c r="AD748" s="66">
        <f t="shared" si="318"/>
        <v>8948.8000000000011</v>
      </c>
      <c r="AE748" s="66">
        <f t="shared" si="319"/>
        <v>214211.9983460303</v>
      </c>
      <c r="AF748" s="101">
        <f t="shared" si="320"/>
        <v>1624644.1711235752</v>
      </c>
      <c r="AG748" s="101">
        <f t="shared" si="321"/>
        <v>2030805.2139044688</v>
      </c>
    </row>
    <row r="749" spans="1:33" s="68" customFormat="1" x14ac:dyDescent="0.2">
      <c r="A749" s="147" t="s">
        <v>429</v>
      </c>
      <c r="B749" s="147"/>
      <c r="C749" s="147"/>
      <c r="D749" s="148">
        <v>1</v>
      </c>
      <c r="E749" s="149"/>
      <c r="F749" s="150">
        <v>0.2</v>
      </c>
      <c r="G749" s="150"/>
      <c r="H749" s="67">
        <v>6272</v>
      </c>
      <c r="I749" s="67">
        <f t="shared" si="323"/>
        <v>5995.3214490810078</v>
      </c>
      <c r="J749" s="67">
        <f t="shared" si="313"/>
        <v>4796.2571592648064</v>
      </c>
      <c r="K749" s="63"/>
      <c r="L749" s="149">
        <v>0</v>
      </c>
      <c r="M749" s="63">
        <f t="shared" si="322"/>
        <v>0</v>
      </c>
      <c r="N749" s="63">
        <f t="shared" si="314"/>
        <v>0</v>
      </c>
      <c r="O749" s="69"/>
      <c r="P749" s="149">
        <v>0</v>
      </c>
      <c r="Q749" s="63">
        <f t="shared" si="324"/>
        <v>0</v>
      </c>
      <c r="R749" s="64">
        <f t="shared" si="315"/>
        <v>0</v>
      </c>
      <c r="S749" s="148">
        <v>25</v>
      </c>
      <c r="T749" s="151" t="s">
        <v>15</v>
      </c>
      <c r="U749" s="65">
        <f>SUMIF('Avoided Costs 2012-2020_EGD'!$A:$A,'2012 Actuals_Auditor'!T749&amp;'2012 Actuals_Auditor'!S749,'Avoided Costs 2012-2020_EGD'!$E:$E)*J749</f>
        <v>16470.323098413784</v>
      </c>
      <c r="V749" s="65">
        <f>SUMIF('Avoided Costs 2012-2020_EGD'!$A:$A,'2012 Actuals_Auditor'!T749&amp;'2012 Actuals_Auditor'!S749,'Avoided Costs 2012-2020_EGD'!$K:$K)*N749</f>
        <v>0</v>
      </c>
      <c r="W749" s="65">
        <f>SUMIF('Avoided Costs 2012-2020_EGD'!$A:$A,'2012 Actuals_Auditor'!T749&amp;'2012 Actuals_Auditor'!S749,'Avoided Costs 2012-2020_EGD'!$M:$M)*R749</f>
        <v>0</v>
      </c>
      <c r="X749" s="65">
        <f t="shared" si="316"/>
        <v>16470.323098413784</v>
      </c>
      <c r="Y749" s="146">
        <v>798</v>
      </c>
      <c r="Z749" s="66">
        <f t="shared" si="317"/>
        <v>638.40000000000009</v>
      </c>
      <c r="AA749" s="66">
        <v>1347</v>
      </c>
      <c r="AB749" s="66"/>
      <c r="AC749" s="66"/>
      <c r="AD749" s="66">
        <f t="shared" si="318"/>
        <v>638.40000000000009</v>
      </c>
      <c r="AE749" s="66">
        <f t="shared" si="319"/>
        <v>15831.923098413785</v>
      </c>
      <c r="AF749" s="101">
        <f t="shared" si="320"/>
        <v>119906.42898162016</v>
      </c>
      <c r="AG749" s="101">
        <f t="shared" si="321"/>
        <v>149883.03622702521</v>
      </c>
    </row>
    <row r="750" spans="1:33" s="68" customFormat="1" x14ac:dyDescent="0.2">
      <c r="A750" s="147" t="s">
        <v>430</v>
      </c>
      <c r="B750" s="147"/>
      <c r="C750" s="147"/>
      <c r="D750" s="148">
        <v>1</v>
      </c>
      <c r="E750" s="149"/>
      <c r="F750" s="150">
        <v>0.2</v>
      </c>
      <c r="G750" s="150"/>
      <c r="H750" s="67">
        <v>36007</v>
      </c>
      <c r="I750" s="67">
        <f t="shared" si="323"/>
        <v>34418.612789709798</v>
      </c>
      <c r="J750" s="67">
        <f t="shared" si="313"/>
        <v>27534.89023176784</v>
      </c>
      <c r="K750" s="63"/>
      <c r="L750" s="149">
        <v>7901</v>
      </c>
      <c r="M750" s="63">
        <f t="shared" si="322"/>
        <v>7901</v>
      </c>
      <c r="N750" s="63">
        <f t="shared" si="314"/>
        <v>6320.8</v>
      </c>
      <c r="O750" s="69"/>
      <c r="P750" s="149">
        <v>0</v>
      </c>
      <c r="Q750" s="63">
        <f t="shared" si="324"/>
        <v>0</v>
      </c>
      <c r="R750" s="64">
        <f t="shared" si="315"/>
        <v>0</v>
      </c>
      <c r="S750" s="148">
        <v>15</v>
      </c>
      <c r="T750" s="151" t="s">
        <v>15</v>
      </c>
      <c r="U750" s="65">
        <f>SUMIF('Avoided Costs 2012-2020_EGD'!$A:$A,'2012 Actuals_Auditor'!T750&amp;'2012 Actuals_Auditor'!S750,'Avoided Costs 2012-2020_EGD'!$E:$E)*J750</f>
        <v>66907.136509082891</v>
      </c>
      <c r="V750" s="65">
        <f>SUMIF('Avoided Costs 2012-2020_EGD'!$A:$A,'2012 Actuals_Auditor'!T750&amp;'2012 Actuals_Auditor'!S750,'Avoided Costs 2012-2020_EGD'!$K:$K)*N750</f>
        <v>6509.0550783885465</v>
      </c>
      <c r="W750" s="65">
        <f>SUMIF('Avoided Costs 2012-2020_EGD'!$A:$A,'2012 Actuals_Auditor'!T750&amp;'2012 Actuals_Auditor'!S750,'Avoided Costs 2012-2020_EGD'!$M:$M)*R750</f>
        <v>0</v>
      </c>
      <c r="X750" s="65">
        <f t="shared" si="316"/>
        <v>73416.191587471432</v>
      </c>
      <c r="Y750" s="146">
        <v>22500</v>
      </c>
      <c r="Z750" s="66">
        <f t="shared" si="317"/>
        <v>18000</v>
      </c>
      <c r="AA750" s="66">
        <v>7202</v>
      </c>
      <c r="AB750" s="66"/>
      <c r="AC750" s="66"/>
      <c r="AD750" s="66">
        <f t="shared" si="318"/>
        <v>18000</v>
      </c>
      <c r="AE750" s="66">
        <f t="shared" si="319"/>
        <v>55416.191587471432</v>
      </c>
      <c r="AF750" s="101">
        <f t="shared" si="320"/>
        <v>413023.3534765176</v>
      </c>
      <c r="AG750" s="101">
        <f t="shared" si="321"/>
        <v>516279.19184564694</v>
      </c>
    </row>
    <row r="751" spans="1:33" s="68" customFormat="1" x14ac:dyDescent="0.2">
      <c r="A751" s="147" t="s">
        <v>431</v>
      </c>
      <c r="B751" s="147"/>
      <c r="C751" s="147"/>
      <c r="D751" s="148">
        <v>1</v>
      </c>
      <c r="E751" s="149"/>
      <c r="F751" s="150">
        <v>0.2</v>
      </c>
      <c r="G751" s="150"/>
      <c r="H751" s="67">
        <v>18642</v>
      </c>
      <c r="I751" s="67">
        <f t="shared" si="323"/>
        <v>17819.640059593137</v>
      </c>
      <c r="J751" s="67">
        <f t="shared" si="313"/>
        <v>14255.712047674511</v>
      </c>
      <c r="K751" s="63"/>
      <c r="L751" s="149">
        <v>26825</v>
      </c>
      <c r="M751" s="63">
        <f t="shared" si="322"/>
        <v>26825</v>
      </c>
      <c r="N751" s="63">
        <f t="shared" si="314"/>
        <v>21460</v>
      </c>
      <c r="O751" s="69"/>
      <c r="P751" s="149">
        <v>0</v>
      </c>
      <c r="Q751" s="63">
        <f t="shared" si="324"/>
        <v>0</v>
      </c>
      <c r="R751" s="64">
        <f t="shared" si="315"/>
        <v>0</v>
      </c>
      <c r="S751" s="148">
        <v>15</v>
      </c>
      <c r="T751" s="151" t="s">
        <v>15</v>
      </c>
      <c r="U751" s="65">
        <f>SUMIF('Avoided Costs 2012-2020_EGD'!$A:$A,'2012 Actuals_Auditor'!T751&amp;'2012 Actuals_Auditor'!S751,'Avoided Costs 2012-2020_EGD'!$E:$E)*J751</f>
        <v>34640.009964793608</v>
      </c>
      <c r="V751" s="65">
        <f>SUMIF('Avoided Costs 2012-2020_EGD'!$A:$A,'2012 Actuals_Auditor'!T751&amp;'2012 Actuals_Auditor'!S751,'Avoided Costs 2012-2020_EGD'!$K:$K)*N751</f>
        <v>22099.152319677607</v>
      </c>
      <c r="W751" s="65">
        <f>SUMIF('Avoided Costs 2012-2020_EGD'!$A:$A,'2012 Actuals_Auditor'!T751&amp;'2012 Actuals_Auditor'!S751,'Avoided Costs 2012-2020_EGD'!$M:$M)*R751</f>
        <v>0</v>
      </c>
      <c r="X751" s="65">
        <f t="shared" si="316"/>
        <v>56739.162284471211</v>
      </c>
      <c r="Y751" s="146">
        <v>2500</v>
      </c>
      <c r="Z751" s="66">
        <f t="shared" si="317"/>
        <v>2000</v>
      </c>
      <c r="AA751" s="66">
        <v>3728</v>
      </c>
      <c r="AB751" s="66"/>
      <c r="AC751" s="66"/>
      <c r="AD751" s="66">
        <f t="shared" si="318"/>
        <v>2000</v>
      </c>
      <c r="AE751" s="66">
        <f t="shared" si="319"/>
        <v>54739.162284471211</v>
      </c>
      <c r="AF751" s="101">
        <f t="shared" si="320"/>
        <v>213835.68071511766</v>
      </c>
      <c r="AG751" s="101">
        <f t="shared" si="321"/>
        <v>267294.60089389706</v>
      </c>
    </row>
    <row r="752" spans="1:33" s="68" customFormat="1" x14ac:dyDescent="0.2">
      <c r="A752" s="147" t="s">
        <v>432</v>
      </c>
      <c r="B752" s="147"/>
      <c r="C752" s="147"/>
      <c r="D752" s="148">
        <v>0</v>
      </c>
      <c r="E752" s="149"/>
      <c r="F752" s="150">
        <v>0.2</v>
      </c>
      <c r="G752" s="150"/>
      <c r="H752" s="67">
        <v>109300</v>
      </c>
      <c r="I752" s="67">
        <f>H752</f>
        <v>109300</v>
      </c>
      <c r="J752" s="67">
        <f t="shared" si="313"/>
        <v>87440</v>
      </c>
      <c r="K752" s="63"/>
      <c r="L752" s="149">
        <v>0</v>
      </c>
      <c r="M752" s="63">
        <f>L752</f>
        <v>0</v>
      </c>
      <c r="N752" s="63">
        <f t="shared" si="314"/>
        <v>0</v>
      </c>
      <c r="O752" s="69"/>
      <c r="P752" s="149">
        <v>0</v>
      </c>
      <c r="Q752" s="63">
        <f>+P752</f>
        <v>0</v>
      </c>
      <c r="R752" s="64">
        <f t="shared" si="315"/>
        <v>0</v>
      </c>
      <c r="S752" s="148">
        <v>25</v>
      </c>
      <c r="T752" s="151" t="s">
        <v>15</v>
      </c>
      <c r="U752" s="65">
        <f>SUMIF('Avoided Costs 2012-2020_EGD'!$A:$A,'2012 Actuals_Auditor'!T752&amp;'2012 Actuals_Auditor'!S752,'Avoided Costs 2012-2020_EGD'!$E:$E)*J752</f>
        <v>300268.52270491206</v>
      </c>
      <c r="V752" s="65">
        <f>SUMIF('Avoided Costs 2012-2020_EGD'!$A:$A,'2012 Actuals_Auditor'!T752&amp;'2012 Actuals_Auditor'!S752,'Avoided Costs 2012-2020_EGD'!$K:$K)*N752</f>
        <v>0</v>
      </c>
      <c r="W752" s="65">
        <f>SUMIF('Avoided Costs 2012-2020_EGD'!$A:$A,'2012 Actuals_Auditor'!T752&amp;'2012 Actuals_Auditor'!S752,'Avoided Costs 2012-2020_EGD'!$M:$M)*R752</f>
        <v>0</v>
      </c>
      <c r="X752" s="65">
        <f t="shared" si="316"/>
        <v>300268.52270491206</v>
      </c>
      <c r="Y752" s="146">
        <v>28200</v>
      </c>
      <c r="Z752" s="66">
        <f t="shared" si="317"/>
        <v>22560</v>
      </c>
      <c r="AA752" s="66">
        <v>8800</v>
      </c>
      <c r="AB752" s="66"/>
      <c r="AC752" s="66"/>
      <c r="AD752" s="66">
        <f t="shared" si="318"/>
        <v>22560</v>
      </c>
      <c r="AE752" s="66">
        <f t="shared" si="319"/>
        <v>277708.52270491206</v>
      </c>
      <c r="AF752" s="101">
        <f t="shared" si="320"/>
        <v>2186000</v>
      </c>
      <c r="AG752" s="101">
        <f t="shared" si="321"/>
        <v>2732500</v>
      </c>
    </row>
    <row r="753" spans="1:33" s="68" customFormat="1" x14ac:dyDescent="0.2">
      <c r="A753" s="147" t="s">
        <v>433</v>
      </c>
      <c r="B753" s="147"/>
      <c r="C753" s="147"/>
      <c r="D753" s="148">
        <v>1</v>
      </c>
      <c r="E753" s="149"/>
      <c r="F753" s="150">
        <v>0.2</v>
      </c>
      <c r="G753" s="150"/>
      <c r="H753" s="67">
        <v>14951</v>
      </c>
      <c r="I753" s="67">
        <f>H753</f>
        <v>14951</v>
      </c>
      <c r="J753" s="67">
        <f t="shared" si="313"/>
        <v>11960.800000000001</v>
      </c>
      <c r="K753" s="63"/>
      <c r="L753" s="149">
        <v>0</v>
      </c>
      <c r="M753" s="63">
        <f>L753</f>
        <v>0</v>
      </c>
      <c r="N753" s="63">
        <f t="shared" si="314"/>
        <v>0</v>
      </c>
      <c r="O753" s="69"/>
      <c r="P753" s="149">
        <v>0</v>
      </c>
      <c r="Q753" s="63">
        <f>+P753</f>
        <v>0</v>
      </c>
      <c r="R753" s="64">
        <f t="shared" si="315"/>
        <v>0</v>
      </c>
      <c r="S753" s="148">
        <v>25</v>
      </c>
      <c r="T753" s="151" t="s">
        <v>52</v>
      </c>
      <c r="U753" s="65">
        <f>SUMIF('Avoided Costs 2012-2020_EGD'!$A:$A,'2012 Actuals_Auditor'!T753&amp;'2012 Actuals_Auditor'!S753,'Avoided Costs 2012-2020_EGD'!$E:$E)*J753</f>
        <v>38595.009183397713</v>
      </c>
      <c r="V753" s="65">
        <f>SUMIF('Avoided Costs 2012-2020_EGD'!$A:$A,'2012 Actuals_Auditor'!T753&amp;'2012 Actuals_Auditor'!S753,'Avoided Costs 2012-2020_EGD'!$K:$K)*N753</f>
        <v>0</v>
      </c>
      <c r="W753" s="65">
        <f>SUMIF('Avoided Costs 2012-2020_EGD'!$A:$A,'2012 Actuals_Auditor'!T753&amp;'2012 Actuals_Auditor'!S753,'Avoided Costs 2012-2020_EGD'!$M:$M)*R753</f>
        <v>0</v>
      </c>
      <c r="X753" s="65">
        <f t="shared" si="316"/>
        <v>38595.009183397713</v>
      </c>
      <c r="Y753" s="146">
        <v>14800</v>
      </c>
      <c r="Z753" s="66">
        <f t="shared" si="317"/>
        <v>11840</v>
      </c>
      <c r="AA753" s="66">
        <v>2800</v>
      </c>
      <c r="AB753" s="66"/>
      <c r="AC753" s="66"/>
      <c r="AD753" s="66">
        <f t="shared" si="318"/>
        <v>11840</v>
      </c>
      <c r="AE753" s="66">
        <f t="shared" si="319"/>
        <v>26755.009183397713</v>
      </c>
      <c r="AF753" s="101">
        <f t="shared" si="320"/>
        <v>299020</v>
      </c>
      <c r="AG753" s="101">
        <f t="shared" si="321"/>
        <v>373775</v>
      </c>
    </row>
    <row r="754" spans="1:33" s="68" customFormat="1" x14ac:dyDescent="0.2">
      <c r="A754" s="147" t="s">
        <v>434</v>
      </c>
      <c r="B754" s="147"/>
      <c r="C754" s="147"/>
      <c r="D754" s="148">
        <v>1</v>
      </c>
      <c r="E754" s="149"/>
      <c r="F754" s="150">
        <v>0.2</v>
      </c>
      <c r="G754" s="150"/>
      <c r="H754" s="67">
        <v>89702</v>
      </c>
      <c r="I754" s="67">
        <f t="shared" ref="I754:I772" si="325">+$H$42*H754</f>
        <v>85744.949717070253</v>
      </c>
      <c r="J754" s="67">
        <f t="shared" si="313"/>
        <v>68595.959773656199</v>
      </c>
      <c r="K754" s="63"/>
      <c r="L754" s="149">
        <v>98673</v>
      </c>
      <c r="M754" s="63">
        <f t="shared" ref="M754:M789" si="326">+$L$42*L754</f>
        <v>98673</v>
      </c>
      <c r="N754" s="63">
        <f t="shared" si="314"/>
        <v>78938.400000000009</v>
      </c>
      <c r="O754" s="69"/>
      <c r="P754" s="149">
        <v>0</v>
      </c>
      <c r="Q754" s="63">
        <f t="shared" ref="Q754:Q772" si="327">+P754*$P$42</f>
        <v>0</v>
      </c>
      <c r="R754" s="64">
        <f t="shared" si="315"/>
        <v>0</v>
      </c>
      <c r="S754" s="148">
        <v>15</v>
      </c>
      <c r="T754" s="151" t="s">
        <v>15</v>
      </c>
      <c r="U754" s="65">
        <f>SUMIF('Avoided Costs 2012-2020_EGD'!$A:$A,'2012 Actuals_Auditor'!T754&amp;'2012 Actuals_Auditor'!S754,'Avoided Costs 2012-2020_EGD'!$E:$E)*J754</f>
        <v>166681.58855605172</v>
      </c>
      <c r="V754" s="65">
        <f>SUMIF('Avoided Costs 2012-2020_EGD'!$A:$A,'2012 Actuals_Auditor'!T754&amp;'2012 Actuals_Auditor'!S754,'Avoided Costs 2012-2020_EGD'!$K:$K)*N754</f>
        <v>81289.455986562854</v>
      </c>
      <c r="W754" s="65">
        <f>SUMIF('Avoided Costs 2012-2020_EGD'!$A:$A,'2012 Actuals_Auditor'!T754&amp;'2012 Actuals_Auditor'!S754,'Avoided Costs 2012-2020_EGD'!$M:$M)*R754</f>
        <v>0</v>
      </c>
      <c r="X754" s="65">
        <f t="shared" si="316"/>
        <v>247971.04454261457</v>
      </c>
      <c r="Y754" s="146">
        <v>3824</v>
      </c>
      <c r="Z754" s="66">
        <f t="shared" si="317"/>
        <v>3059.2000000000003</v>
      </c>
      <c r="AA754" s="66">
        <v>7943</v>
      </c>
      <c r="AB754" s="66"/>
      <c r="AC754" s="66"/>
      <c r="AD754" s="66">
        <f t="shared" si="318"/>
        <v>3059.2000000000003</v>
      </c>
      <c r="AE754" s="66">
        <f t="shared" si="319"/>
        <v>244911.84454261456</v>
      </c>
      <c r="AF754" s="101">
        <f t="shared" si="320"/>
        <v>1028939.396604843</v>
      </c>
      <c r="AG754" s="101">
        <f t="shared" si="321"/>
        <v>1286174.2457560538</v>
      </c>
    </row>
    <row r="755" spans="1:33" s="68" customFormat="1" x14ac:dyDescent="0.2">
      <c r="A755" s="147" t="s">
        <v>435</v>
      </c>
      <c r="B755" s="147"/>
      <c r="C755" s="147"/>
      <c r="D755" s="148">
        <v>1</v>
      </c>
      <c r="E755" s="149"/>
      <c r="F755" s="150">
        <v>0.2</v>
      </c>
      <c r="G755" s="150"/>
      <c r="H755" s="67">
        <v>113541</v>
      </c>
      <c r="I755" s="67">
        <f t="shared" si="325"/>
        <v>108532.33301181548</v>
      </c>
      <c r="J755" s="67">
        <f t="shared" si="313"/>
        <v>86825.866409452399</v>
      </c>
      <c r="K755" s="63"/>
      <c r="L755" s="149">
        <v>162900</v>
      </c>
      <c r="M755" s="63">
        <f t="shared" si="326"/>
        <v>162900</v>
      </c>
      <c r="N755" s="63">
        <f t="shared" si="314"/>
        <v>130320</v>
      </c>
      <c r="O755" s="69"/>
      <c r="P755" s="149">
        <v>0</v>
      </c>
      <c r="Q755" s="63">
        <f t="shared" si="327"/>
        <v>0</v>
      </c>
      <c r="R755" s="64">
        <f t="shared" si="315"/>
        <v>0</v>
      </c>
      <c r="S755" s="148">
        <v>15</v>
      </c>
      <c r="T755" s="151" t="s">
        <v>15</v>
      </c>
      <c r="U755" s="65">
        <f>SUMIF('Avoided Costs 2012-2020_EGD'!$A:$A,'2012 Actuals_Auditor'!T755&amp;'2012 Actuals_Auditor'!S755,'Avoided Costs 2012-2020_EGD'!$E:$E)*J755</f>
        <v>210978.50935589694</v>
      </c>
      <c r="V755" s="65">
        <f>SUMIF('Avoided Costs 2012-2020_EGD'!$A:$A,'2012 Actuals_Auditor'!T755&amp;'2012 Actuals_Auditor'!S755,'Avoided Costs 2012-2020_EGD'!$K:$K)*N755</f>
        <v>134201.37606245972</v>
      </c>
      <c r="W755" s="65">
        <f>SUMIF('Avoided Costs 2012-2020_EGD'!$A:$A,'2012 Actuals_Auditor'!T755&amp;'2012 Actuals_Auditor'!S755,'Avoided Costs 2012-2020_EGD'!$M:$M)*R755</f>
        <v>0</v>
      </c>
      <c r="X755" s="65">
        <f t="shared" si="316"/>
        <v>345179.88541835663</v>
      </c>
      <c r="Y755" s="146">
        <v>3824</v>
      </c>
      <c r="Z755" s="66">
        <f t="shared" si="317"/>
        <v>3059.2000000000003</v>
      </c>
      <c r="AA755" s="66">
        <v>9845</v>
      </c>
      <c r="AB755" s="66"/>
      <c r="AC755" s="66"/>
      <c r="AD755" s="66">
        <f t="shared" si="318"/>
        <v>3059.2000000000003</v>
      </c>
      <c r="AE755" s="66">
        <f t="shared" si="319"/>
        <v>342120.68541835662</v>
      </c>
      <c r="AF755" s="101">
        <f t="shared" si="320"/>
        <v>1302387.996141786</v>
      </c>
      <c r="AG755" s="101">
        <f t="shared" si="321"/>
        <v>1627984.9951772322</v>
      </c>
    </row>
    <row r="756" spans="1:33" s="68" customFormat="1" x14ac:dyDescent="0.2">
      <c r="A756" s="147" t="s">
        <v>436</v>
      </c>
      <c r="B756" s="147"/>
      <c r="C756" s="147"/>
      <c r="D756" s="148">
        <v>1</v>
      </c>
      <c r="E756" s="149"/>
      <c r="F756" s="150">
        <v>0.2</v>
      </c>
      <c r="G756" s="150"/>
      <c r="H756" s="67">
        <v>32844</v>
      </c>
      <c r="I756" s="67">
        <f t="shared" si="325"/>
        <v>31395.143123982245</v>
      </c>
      <c r="J756" s="67">
        <f t="shared" si="313"/>
        <v>25116.114499185798</v>
      </c>
      <c r="K756" s="63"/>
      <c r="L756" s="149">
        <v>25319</v>
      </c>
      <c r="M756" s="63">
        <f t="shared" si="326"/>
        <v>25319</v>
      </c>
      <c r="N756" s="63">
        <f t="shared" si="314"/>
        <v>20255.2</v>
      </c>
      <c r="O756" s="69"/>
      <c r="P756" s="149">
        <v>0</v>
      </c>
      <c r="Q756" s="63">
        <f t="shared" si="327"/>
        <v>0</v>
      </c>
      <c r="R756" s="64">
        <f t="shared" si="315"/>
        <v>0</v>
      </c>
      <c r="S756" s="148">
        <v>15</v>
      </c>
      <c r="T756" s="151" t="s">
        <v>15</v>
      </c>
      <c r="U756" s="65">
        <f>SUMIF('Avoided Costs 2012-2020_EGD'!$A:$A,'2012 Actuals_Auditor'!T756&amp;'2012 Actuals_Auditor'!S756,'Avoided Costs 2012-2020_EGD'!$E:$E)*J756</f>
        <v>61029.743980457104</v>
      </c>
      <c r="V756" s="65">
        <f>SUMIF('Avoided Costs 2012-2020_EGD'!$A:$A,'2012 Actuals_Auditor'!T756&amp;'2012 Actuals_Auditor'!S756,'Avoided Costs 2012-2020_EGD'!$K:$K)*N756</f>
        <v>20858.469248160945</v>
      </c>
      <c r="W756" s="65">
        <f>SUMIF('Avoided Costs 2012-2020_EGD'!$A:$A,'2012 Actuals_Auditor'!T756&amp;'2012 Actuals_Auditor'!S756,'Avoided Costs 2012-2020_EGD'!$M:$M)*R756</f>
        <v>0</v>
      </c>
      <c r="X756" s="65">
        <f t="shared" si="316"/>
        <v>81888.213228618057</v>
      </c>
      <c r="Y756" s="146">
        <v>18500</v>
      </c>
      <c r="Z756" s="66">
        <f t="shared" si="317"/>
        <v>14800</v>
      </c>
      <c r="AA756" s="66">
        <v>6569</v>
      </c>
      <c r="AB756" s="66"/>
      <c r="AC756" s="66"/>
      <c r="AD756" s="66">
        <f t="shared" si="318"/>
        <v>14800</v>
      </c>
      <c r="AE756" s="66">
        <f t="shared" si="319"/>
        <v>67088.213228618057</v>
      </c>
      <c r="AF756" s="101">
        <f t="shared" si="320"/>
        <v>376741.71748778695</v>
      </c>
      <c r="AG756" s="101">
        <f t="shared" si="321"/>
        <v>470927.14685973368</v>
      </c>
    </row>
    <row r="757" spans="1:33" s="68" customFormat="1" x14ac:dyDescent="0.2">
      <c r="A757" s="147" t="s">
        <v>437</v>
      </c>
      <c r="B757" s="147"/>
      <c r="C757" s="147"/>
      <c r="D757" s="148">
        <v>1</v>
      </c>
      <c r="E757" s="149"/>
      <c r="F757" s="150">
        <v>0.2</v>
      </c>
      <c r="G757" s="150"/>
      <c r="H757" s="67">
        <v>9496</v>
      </c>
      <c r="I757" s="67">
        <f t="shared" si="325"/>
        <v>9077.1002041570882</v>
      </c>
      <c r="J757" s="67">
        <f t="shared" si="313"/>
        <v>7261.6801633256709</v>
      </c>
      <c r="K757" s="63"/>
      <c r="L757" s="149">
        <v>0</v>
      </c>
      <c r="M757" s="63">
        <f t="shared" si="326"/>
        <v>0</v>
      </c>
      <c r="N757" s="63">
        <f t="shared" si="314"/>
        <v>0</v>
      </c>
      <c r="O757" s="69"/>
      <c r="P757" s="149">
        <v>0</v>
      </c>
      <c r="Q757" s="63">
        <f t="shared" si="327"/>
        <v>0</v>
      </c>
      <c r="R757" s="64">
        <f t="shared" si="315"/>
        <v>0</v>
      </c>
      <c r="S757" s="148">
        <v>25</v>
      </c>
      <c r="T757" s="151" t="s">
        <v>15</v>
      </c>
      <c r="U757" s="65">
        <f>SUMIF('Avoided Costs 2012-2020_EGD'!$A:$A,'2012 Actuals_Auditor'!T757&amp;'2012 Actuals_Auditor'!S757,'Avoided Costs 2012-2020_EGD'!$E:$E)*J757</f>
        <v>24936.573364562712</v>
      </c>
      <c r="V757" s="65">
        <f>SUMIF('Avoided Costs 2012-2020_EGD'!$A:$A,'2012 Actuals_Auditor'!T757&amp;'2012 Actuals_Auditor'!S757,'Avoided Costs 2012-2020_EGD'!$K:$K)*N757</f>
        <v>0</v>
      </c>
      <c r="W757" s="65">
        <f>SUMIF('Avoided Costs 2012-2020_EGD'!$A:$A,'2012 Actuals_Auditor'!T757&amp;'2012 Actuals_Auditor'!S757,'Avoided Costs 2012-2020_EGD'!$M:$M)*R757</f>
        <v>0</v>
      </c>
      <c r="X757" s="65">
        <f t="shared" si="316"/>
        <v>24936.573364562712</v>
      </c>
      <c r="Y757" s="146">
        <v>9510</v>
      </c>
      <c r="Z757" s="66">
        <f t="shared" si="317"/>
        <v>7608</v>
      </c>
      <c r="AA757" s="66">
        <v>2350</v>
      </c>
      <c r="AB757" s="66"/>
      <c r="AC757" s="66"/>
      <c r="AD757" s="66">
        <f t="shared" si="318"/>
        <v>7608</v>
      </c>
      <c r="AE757" s="66">
        <f t="shared" si="319"/>
        <v>17328.573364562712</v>
      </c>
      <c r="AF757" s="101">
        <f t="shared" si="320"/>
        <v>181542.00408314177</v>
      </c>
      <c r="AG757" s="101">
        <f t="shared" si="321"/>
        <v>226927.50510392719</v>
      </c>
    </row>
    <row r="758" spans="1:33" s="68" customFormat="1" x14ac:dyDescent="0.2">
      <c r="A758" s="147" t="s">
        <v>438</v>
      </c>
      <c r="B758" s="147"/>
      <c r="C758" s="147"/>
      <c r="D758" s="148">
        <v>1</v>
      </c>
      <c r="E758" s="149"/>
      <c r="F758" s="150">
        <v>0.2</v>
      </c>
      <c r="G758" s="150"/>
      <c r="H758" s="67">
        <v>3937</v>
      </c>
      <c r="I758" s="67">
        <f t="shared" si="325"/>
        <v>3763.3259797563665</v>
      </c>
      <c r="J758" s="67">
        <f t="shared" si="313"/>
        <v>3010.6607838050932</v>
      </c>
      <c r="K758" s="63"/>
      <c r="L758" s="149">
        <v>0</v>
      </c>
      <c r="M758" s="63">
        <f t="shared" si="326"/>
        <v>0</v>
      </c>
      <c r="N758" s="63">
        <f t="shared" si="314"/>
        <v>0</v>
      </c>
      <c r="O758" s="69"/>
      <c r="P758" s="149">
        <v>0</v>
      </c>
      <c r="Q758" s="63">
        <f t="shared" si="327"/>
        <v>0</v>
      </c>
      <c r="R758" s="64">
        <f t="shared" si="315"/>
        <v>0</v>
      </c>
      <c r="S758" s="148">
        <v>15</v>
      </c>
      <c r="T758" s="151" t="s">
        <v>52</v>
      </c>
      <c r="U758" s="65">
        <f>SUMIF('Avoided Costs 2012-2020_EGD'!$A:$A,'2012 Actuals_Auditor'!T758&amp;'2012 Actuals_Auditor'!S758,'Avoided Costs 2012-2020_EGD'!$E:$E)*J758</f>
        <v>6879.3546973933535</v>
      </c>
      <c r="V758" s="65">
        <f>SUMIF('Avoided Costs 2012-2020_EGD'!$A:$A,'2012 Actuals_Auditor'!T758&amp;'2012 Actuals_Auditor'!S758,'Avoided Costs 2012-2020_EGD'!$K:$K)*N758</f>
        <v>0</v>
      </c>
      <c r="W758" s="65">
        <f>SUMIF('Avoided Costs 2012-2020_EGD'!$A:$A,'2012 Actuals_Auditor'!T758&amp;'2012 Actuals_Auditor'!S758,'Avoided Costs 2012-2020_EGD'!$M:$M)*R758</f>
        <v>0</v>
      </c>
      <c r="X758" s="65">
        <f t="shared" si="316"/>
        <v>6879.3546973933535</v>
      </c>
      <c r="Y758" s="146">
        <v>7150</v>
      </c>
      <c r="Z758" s="66">
        <f t="shared" si="317"/>
        <v>5720</v>
      </c>
      <c r="AA758" s="66">
        <v>394</v>
      </c>
      <c r="AB758" s="66"/>
      <c r="AC758" s="66"/>
      <c r="AD758" s="66">
        <f t="shared" si="318"/>
        <v>5720</v>
      </c>
      <c r="AE758" s="66">
        <f t="shared" si="319"/>
        <v>1159.3546973933535</v>
      </c>
      <c r="AF758" s="101">
        <f t="shared" si="320"/>
        <v>45159.911757076399</v>
      </c>
      <c r="AG758" s="101">
        <f t="shared" si="321"/>
        <v>56449.889696345497</v>
      </c>
    </row>
    <row r="759" spans="1:33" s="68" customFormat="1" x14ac:dyDescent="0.2">
      <c r="A759" s="147" t="s">
        <v>439</v>
      </c>
      <c r="B759" s="147"/>
      <c r="C759" s="147"/>
      <c r="D759" s="148">
        <v>1</v>
      </c>
      <c r="E759" s="149"/>
      <c r="F759" s="150">
        <v>0.2</v>
      </c>
      <c r="G759" s="150"/>
      <c r="H759" s="67">
        <v>7737</v>
      </c>
      <c r="I759" s="67">
        <f t="shared" si="325"/>
        <v>7395.6954801562115</v>
      </c>
      <c r="J759" s="67">
        <f t="shared" si="313"/>
        <v>5916.5563841249696</v>
      </c>
      <c r="K759" s="63"/>
      <c r="L759" s="149">
        <v>0</v>
      </c>
      <c r="M759" s="63">
        <f t="shared" si="326"/>
        <v>0</v>
      </c>
      <c r="N759" s="63">
        <f t="shared" si="314"/>
        <v>0</v>
      </c>
      <c r="O759" s="69"/>
      <c r="P759" s="149">
        <v>0</v>
      </c>
      <c r="Q759" s="63">
        <f t="shared" si="327"/>
        <v>0</v>
      </c>
      <c r="R759" s="64">
        <f t="shared" si="315"/>
        <v>0</v>
      </c>
      <c r="S759" s="148">
        <v>25</v>
      </c>
      <c r="T759" s="151" t="s">
        <v>15</v>
      </c>
      <c r="U759" s="65">
        <f>SUMIF('Avoided Costs 2012-2020_EGD'!$A:$A,'2012 Actuals_Auditor'!T759&amp;'2012 Actuals_Auditor'!S759,'Avoided Costs 2012-2020_EGD'!$E:$E)*J759</f>
        <v>20317.425033869175</v>
      </c>
      <c r="V759" s="65">
        <f>SUMIF('Avoided Costs 2012-2020_EGD'!$A:$A,'2012 Actuals_Auditor'!T759&amp;'2012 Actuals_Auditor'!S759,'Avoided Costs 2012-2020_EGD'!$K:$K)*N759</f>
        <v>0</v>
      </c>
      <c r="W759" s="65">
        <f>SUMIF('Avoided Costs 2012-2020_EGD'!$A:$A,'2012 Actuals_Auditor'!T759&amp;'2012 Actuals_Auditor'!S759,'Avoided Costs 2012-2020_EGD'!$M:$M)*R759</f>
        <v>0</v>
      </c>
      <c r="X759" s="65">
        <f t="shared" si="316"/>
        <v>20317.425033869175</v>
      </c>
      <c r="Y759" s="146">
        <v>15855</v>
      </c>
      <c r="Z759" s="66">
        <f t="shared" si="317"/>
        <v>12684</v>
      </c>
      <c r="AA759" s="66">
        <v>998</v>
      </c>
      <c r="AB759" s="66"/>
      <c r="AC759" s="66"/>
      <c r="AD759" s="66">
        <f t="shared" si="318"/>
        <v>12684</v>
      </c>
      <c r="AE759" s="66">
        <f t="shared" si="319"/>
        <v>7633.4250338691745</v>
      </c>
      <c r="AF759" s="101">
        <f t="shared" si="320"/>
        <v>147913.90960312425</v>
      </c>
      <c r="AG759" s="101">
        <f t="shared" si="321"/>
        <v>184892.38700390529</v>
      </c>
    </row>
    <row r="760" spans="1:33" s="68" customFormat="1" x14ac:dyDescent="0.2">
      <c r="A760" s="147" t="s">
        <v>440</v>
      </c>
      <c r="B760" s="147"/>
      <c r="C760" s="147"/>
      <c r="D760" s="148">
        <v>0</v>
      </c>
      <c r="E760" s="149"/>
      <c r="F760" s="150">
        <v>0.2</v>
      </c>
      <c r="G760" s="150"/>
      <c r="H760" s="67">
        <v>4141</v>
      </c>
      <c r="I760" s="67">
        <f t="shared" si="325"/>
        <v>3958.3268687252003</v>
      </c>
      <c r="J760" s="67">
        <f t="shared" si="313"/>
        <v>3166.6614949801606</v>
      </c>
      <c r="K760" s="63"/>
      <c r="L760" s="149">
        <v>0</v>
      </c>
      <c r="M760" s="63">
        <f t="shared" si="326"/>
        <v>0</v>
      </c>
      <c r="N760" s="63">
        <f t="shared" si="314"/>
        <v>0</v>
      </c>
      <c r="O760" s="69"/>
      <c r="P760" s="149">
        <v>0</v>
      </c>
      <c r="Q760" s="63">
        <f t="shared" si="327"/>
        <v>0</v>
      </c>
      <c r="R760" s="64">
        <f t="shared" si="315"/>
        <v>0</v>
      </c>
      <c r="S760" s="148">
        <v>25</v>
      </c>
      <c r="T760" s="151" t="s">
        <v>52</v>
      </c>
      <c r="U760" s="65">
        <f>SUMIF('Avoided Costs 2012-2020_EGD'!$A:$A,'2012 Actuals_Auditor'!T760&amp;'2012 Actuals_Auditor'!S760,'Avoided Costs 2012-2020_EGD'!$E:$E)*J760</f>
        <v>10218.156768733797</v>
      </c>
      <c r="V760" s="65">
        <f>SUMIF('Avoided Costs 2012-2020_EGD'!$A:$A,'2012 Actuals_Auditor'!T760&amp;'2012 Actuals_Auditor'!S760,'Avoided Costs 2012-2020_EGD'!$K:$K)*N760</f>
        <v>0</v>
      </c>
      <c r="W760" s="65">
        <f>SUMIF('Avoided Costs 2012-2020_EGD'!$A:$A,'2012 Actuals_Auditor'!T760&amp;'2012 Actuals_Auditor'!S760,'Avoided Costs 2012-2020_EGD'!$M:$M)*R760</f>
        <v>0</v>
      </c>
      <c r="X760" s="65">
        <f t="shared" si="316"/>
        <v>10218.156768733797</v>
      </c>
      <c r="Y760" s="146">
        <v>5531</v>
      </c>
      <c r="Z760" s="66">
        <f t="shared" si="317"/>
        <v>4424.8</v>
      </c>
      <c r="AA760" s="66">
        <v>978</v>
      </c>
      <c r="AB760" s="66"/>
      <c r="AC760" s="66"/>
      <c r="AD760" s="66">
        <f t="shared" si="318"/>
        <v>4424.8</v>
      </c>
      <c r="AE760" s="66">
        <f t="shared" si="319"/>
        <v>5793.3567687337973</v>
      </c>
      <c r="AF760" s="101">
        <f t="shared" si="320"/>
        <v>79166.537374504012</v>
      </c>
      <c r="AG760" s="101">
        <f t="shared" si="321"/>
        <v>98958.171718130005</v>
      </c>
    </row>
    <row r="761" spans="1:33" s="68" customFormat="1" x14ac:dyDescent="0.2">
      <c r="A761" s="141" t="s">
        <v>441</v>
      </c>
      <c r="B761" s="141"/>
      <c r="C761" s="141"/>
      <c r="D761" s="142">
        <v>1</v>
      </c>
      <c r="E761" s="143"/>
      <c r="F761" s="144">
        <v>0.2</v>
      </c>
      <c r="G761" s="144"/>
      <c r="H761" s="67">
        <v>13813</v>
      </c>
      <c r="I761" s="67">
        <f t="shared" si="325"/>
        <v>13203.663133953438</v>
      </c>
      <c r="J761" s="67">
        <f t="shared" si="313"/>
        <v>10562.930507162751</v>
      </c>
      <c r="K761" s="143"/>
      <c r="L761" s="143">
        <v>0</v>
      </c>
      <c r="M761" s="63">
        <f t="shared" si="326"/>
        <v>0</v>
      </c>
      <c r="N761" s="63">
        <f t="shared" si="314"/>
        <v>0</v>
      </c>
      <c r="O761" s="143"/>
      <c r="P761" s="143">
        <v>0</v>
      </c>
      <c r="Q761" s="63">
        <f t="shared" si="327"/>
        <v>0</v>
      </c>
      <c r="R761" s="64">
        <f t="shared" si="315"/>
        <v>0</v>
      </c>
      <c r="S761" s="142">
        <v>25</v>
      </c>
      <c r="T761" s="145" t="s">
        <v>15</v>
      </c>
      <c r="U761" s="65">
        <f>SUMIF('Avoided Costs 2012-2020_EGD'!$A:$A,'2012 Actuals_Auditor'!T761&amp;'2012 Actuals_Auditor'!S761,'Avoided Costs 2012-2020_EGD'!$E:$E)*J761</f>
        <v>36273.050535457529</v>
      </c>
      <c r="V761" s="65">
        <f>SUMIF('Avoided Costs 2012-2020_EGD'!$A:$A,'2012 Actuals_Auditor'!T761&amp;'2012 Actuals_Auditor'!S761,'Avoided Costs 2012-2020_EGD'!$K:$K)*N761</f>
        <v>0</v>
      </c>
      <c r="W761" s="65">
        <f>SUMIF('Avoided Costs 2012-2020_EGD'!$A:$A,'2012 Actuals_Auditor'!T761&amp;'2012 Actuals_Auditor'!S761,'Avoided Costs 2012-2020_EGD'!$M:$M)*R761</f>
        <v>0</v>
      </c>
      <c r="X761" s="65">
        <f t="shared" si="316"/>
        <v>36273.050535457529</v>
      </c>
      <c r="Y761" s="146">
        <v>12557</v>
      </c>
      <c r="Z761" s="66">
        <f t="shared" si="317"/>
        <v>10045.6</v>
      </c>
      <c r="AA761" s="66">
        <v>3260</v>
      </c>
      <c r="AB761" s="66"/>
      <c r="AC761" s="66"/>
      <c r="AD761" s="66">
        <f t="shared" si="318"/>
        <v>10045.6</v>
      </c>
      <c r="AE761" s="66">
        <f t="shared" si="319"/>
        <v>26227.45053545753</v>
      </c>
      <c r="AF761" s="101">
        <f t="shared" si="320"/>
        <v>264073.26267906878</v>
      </c>
      <c r="AG761" s="101">
        <f t="shared" si="321"/>
        <v>330091.57834883593</v>
      </c>
    </row>
    <row r="762" spans="1:33" s="68" customFormat="1" x14ac:dyDescent="0.2">
      <c r="A762" s="147" t="s">
        <v>442</v>
      </c>
      <c r="B762" s="147"/>
      <c r="C762" s="147"/>
      <c r="D762" s="148">
        <v>1</v>
      </c>
      <c r="E762" s="149"/>
      <c r="F762" s="150">
        <v>0.2</v>
      </c>
      <c r="G762" s="150"/>
      <c r="H762" s="67">
        <v>18625</v>
      </c>
      <c r="I762" s="67">
        <f t="shared" si="325"/>
        <v>17803.3899855124</v>
      </c>
      <c r="J762" s="67">
        <f t="shared" si="313"/>
        <v>14242.711988409921</v>
      </c>
      <c r="K762" s="63"/>
      <c r="L762" s="149">
        <v>35649</v>
      </c>
      <c r="M762" s="63">
        <f t="shared" si="326"/>
        <v>35649</v>
      </c>
      <c r="N762" s="63">
        <f t="shared" si="314"/>
        <v>28519.200000000001</v>
      </c>
      <c r="O762" s="69"/>
      <c r="P762" s="149">
        <v>0</v>
      </c>
      <c r="Q762" s="63">
        <f t="shared" si="327"/>
        <v>0</v>
      </c>
      <c r="R762" s="64">
        <f t="shared" si="315"/>
        <v>0</v>
      </c>
      <c r="S762" s="148">
        <v>15</v>
      </c>
      <c r="T762" s="151" t="s">
        <v>15</v>
      </c>
      <c r="U762" s="65">
        <f>SUMIF('Avoided Costs 2012-2020_EGD'!$A:$A,'2012 Actuals_Auditor'!T762&amp;'2012 Actuals_Auditor'!S762,'Avoided Costs 2012-2020_EGD'!$E:$E)*J762</f>
        <v>34608.421070393786</v>
      </c>
      <c r="V762" s="65">
        <f>SUMIF('Avoided Costs 2012-2020_EGD'!$A:$A,'2012 Actuals_Auditor'!T762&amp;'2012 Actuals_Auditor'!S762,'Avoided Costs 2012-2020_EGD'!$K:$K)*N762</f>
        <v>29368.599479746019</v>
      </c>
      <c r="W762" s="65">
        <f>SUMIF('Avoided Costs 2012-2020_EGD'!$A:$A,'2012 Actuals_Auditor'!T762&amp;'2012 Actuals_Auditor'!S762,'Avoided Costs 2012-2020_EGD'!$M:$M)*R762</f>
        <v>0</v>
      </c>
      <c r="X762" s="65">
        <f t="shared" si="316"/>
        <v>63977.020550139801</v>
      </c>
      <c r="Y762" s="146">
        <v>5200</v>
      </c>
      <c r="Z762" s="66">
        <f t="shared" si="317"/>
        <v>4160</v>
      </c>
      <c r="AA762" s="66">
        <v>3725</v>
      </c>
      <c r="AB762" s="66"/>
      <c r="AC762" s="66"/>
      <c r="AD762" s="66">
        <f t="shared" si="318"/>
        <v>4160</v>
      </c>
      <c r="AE762" s="66">
        <f t="shared" si="319"/>
        <v>59817.020550139801</v>
      </c>
      <c r="AF762" s="101">
        <f t="shared" si="320"/>
        <v>213640.67982614881</v>
      </c>
      <c r="AG762" s="101">
        <f t="shared" si="321"/>
        <v>267050.84978268598</v>
      </c>
    </row>
    <row r="763" spans="1:33" s="68" customFormat="1" x14ac:dyDescent="0.2">
      <c r="A763" s="147" t="s">
        <v>443</v>
      </c>
      <c r="B763" s="147"/>
      <c r="C763" s="147"/>
      <c r="D763" s="148">
        <v>1</v>
      </c>
      <c r="E763" s="149"/>
      <c r="F763" s="150">
        <v>0.2</v>
      </c>
      <c r="G763" s="150"/>
      <c r="H763" s="67">
        <v>53717</v>
      </c>
      <c r="I763" s="67">
        <f t="shared" si="325"/>
        <v>51347.366434994343</v>
      </c>
      <c r="J763" s="67">
        <f t="shared" si="313"/>
        <v>41077.893147995477</v>
      </c>
      <c r="K763" s="63"/>
      <c r="L763" s="149">
        <v>0</v>
      </c>
      <c r="M763" s="63">
        <f t="shared" si="326"/>
        <v>0</v>
      </c>
      <c r="N763" s="63">
        <f t="shared" si="314"/>
        <v>0</v>
      </c>
      <c r="O763" s="69"/>
      <c r="P763" s="149">
        <v>0</v>
      </c>
      <c r="Q763" s="63">
        <f t="shared" si="327"/>
        <v>0</v>
      </c>
      <c r="R763" s="64">
        <f t="shared" si="315"/>
        <v>0</v>
      </c>
      <c r="S763" s="148">
        <v>25</v>
      </c>
      <c r="T763" s="151" t="s">
        <v>15</v>
      </c>
      <c r="U763" s="65">
        <f>SUMIF('Avoided Costs 2012-2020_EGD'!$A:$A,'2012 Actuals_Auditor'!T763&amp;'2012 Actuals_Auditor'!S763,'Avoided Costs 2012-2020_EGD'!$E:$E)*J763</f>
        <v>141061.27963607994</v>
      </c>
      <c r="V763" s="65">
        <f>SUMIF('Avoided Costs 2012-2020_EGD'!$A:$A,'2012 Actuals_Auditor'!T763&amp;'2012 Actuals_Auditor'!S763,'Avoided Costs 2012-2020_EGD'!$K:$K)*N763</f>
        <v>0</v>
      </c>
      <c r="W763" s="65">
        <f>SUMIF('Avoided Costs 2012-2020_EGD'!$A:$A,'2012 Actuals_Auditor'!T763&amp;'2012 Actuals_Auditor'!S763,'Avoided Costs 2012-2020_EGD'!$M:$M)*R763</f>
        <v>0</v>
      </c>
      <c r="X763" s="65">
        <f t="shared" si="316"/>
        <v>141061.27963607994</v>
      </c>
      <c r="Y763" s="146">
        <v>6144</v>
      </c>
      <c r="Z763" s="66">
        <f t="shared" si="317"/>
        <v>4915.2000000000007</v>
      </c>
      <c r="AA763" s="66">
        <v>8530.6</v>
      </c>
      <c r="AB763" s="66"/>
      <c r="AC763" s="66"/>
      <c r="AD763" s="66">
        <f t="shared" si="318"/>
        <v>4915.2000000000007</v>
      </c>
      <c r="AE763" s="66">
        <f t="shared" si="319"/>
        <v>136146.07963607993</v>
      </c>
      <c r="AF763" s="101">
        <f t="shared" si="320"/>
        <v>1026947.3286998869</v>
      </c>
      <c r="AG763" s="101">
        <f t="shared" si="321"/>
        <v>1283684.1608748585</v>
      </c>
    </row>
    <row r="764" spans="1:33" s="68" customFormat="1" x14ac:dyDescent="0.2">
      <c r="A764" s="147" t="s">
        <v>444</v>
      </c>
      <c r="B764" s="147"/>
      <c r="C764" s="147"/>
      <c r="D764" s="148">
        <v>1</v>
      </c>
      <c r="E764" s="149"/>
      <c r="F764" s="150">
        <v>0.2</v>
      </c>
      <c r="G764" s="150"/>
      <c r="H764" s="67">
        <v>52175</v>
      </c>
      <c r="I764" s="67">
        <f t="shared" si="325"/>
        <v>49873.389127200513</v>
      </c>
      <c r="J764" s="67">
        <f t="shared" si="313"/>
        <v>39898.711301760413</v>
      </c>
      <c r="K764" s="63"/>
      <c r="L764" s="149">
        <v>53673</v>
      </c>
      <c r="M764" s="63">
        <f t="shared" si="326"/>
        <v>53673</v>
      </c>
      <c r="N764" s="63">
        <f t="shared" si="314"/>
        <v>42938.400000000001</v>
      </c>
      <c r="O764" s="69"/>
      <c r="P764" s="149">
        <v>0</v>
      </c>
      <c r="Q764" s="63">
        <f t="shared" si="327"/>
        <v>0</v>
      </c>
      <c r="R764" s="64">
        <f t="shared" si="315"/>
        <v>0</v>
      </c>
      <c r="S764" s="148">
        <v>15</v>
      </c>
      <c r="T764" s="151" t="s">
        <v>15</v>
      </c>
      <c r="U764" s="65">
        <f>SUMIF('Avoided Costs 2012-2020_EGD'!$A:$A,'2012 Actuals_Auditor'!T764&amp;'2012 Actuals_Auditor'!S764,'Avoided Costs 2012-2020_EGD'!$E:$E)*J764</f>
        <v>96950.033253572925</v>
      </c>
      <c r="V764" s="65">
        <f>SUMIF('Avoided Costs 2012-2020_EGD'!$A:$A,'2012 Actuals_Auditor'!T764&amp;'2012 Actuals_Auditor'!S764,'Avoided Costs 2012-2020_EGD'!$K:$K)*N764</f>
        <v>44217.252654391654</v>
      </c>
      <c r="W764" s="65">
        <f>SUMIF('Avoided Costs 2012-2020_EGD'!$A:$A,'2012 Actuals_Auditor'!T764&amp;'2012 Actuals_Auditor'!S764,'Avoided Costs 2012-2020_EGD'!$M:$M)*R764</f>
        <v>0</v>
      </c>
      <c r="X764" s="65">
        <f t="shared" si="316"/>
        <v>141167.28590796457</v>
      </c>
      <c r="Y764" s="146">
        <v>4750</v>
      </c>
      <c r="Z764" s="66">
        <f t="shared" si="317"/>
        <v>3800</v>
      </c>
      <c r="AA764" s="66">
        <v>10435</v>
      </c>
      <c r="AB764" s="66"/>
      <c r="AC764" s="66"/>
      <c r="AD764" s="66">
        <f t="shared" si="318"/>
        <v>3800</v>
      </c>
      <c r="AE764" s="66">
        <f t="shared" si="319"/>
        <v>137367.28590796457</v>
      </c>
      <c r="AF764" s="101">
        <f t="shared" si="320"/>
        <v>598480.66952640621</v>
      </c>
      <c r="AG764" s="101">
        <f t="shared" si="321"/>
        <v>748100.83690800774</v>
      </c>
    </row>
    <row r="765" spans="1:33" s="68" customFormat="1" x14ac:dyDescent="0.2">
      <c r="A765" s="147" t="s">
        <v>445</v>
      </c>
      <c r="B765" s="147"/>
      <c r="C765" s="147"/>
      <c r="D765" s="148">
        <v>1</v>
      </c>
      <c r="E765" s="149"/>
      <c r="F765" s="150">
        <v>0.2</v>
      </c>
      <c r="G765" s="150"/>
      <c r="H765" s="67">
        <v>11590</v>
      </c>
      <c r="I765" s="67">
        <f t="shared" si="325"/>
        <v>11078.726976219528</v>
      </c>
      <c r="J765" s="67">
        <f t="shared" si="313"/>
        <v>8862.9815809756237</v>
      </c>
      <c r="K765" s="63"/>
      <c r="L765" s="149">
        <v>0</v>
      </c>
      <c r="M765" s="63">
        <f t="shared" si="326"/>
        <v>0</v>
      </c>
      <c r="N765" s="63">
        <f t="shared" si="314"/>
        <v>0</v>
      </c>
      <c r="O765" s="69"/>
      <c r="P765" s="149">
        <v>0</v>
      </c>
      <c r="Q765" s="63">
        <f t="shared" si="327"/>
        <v>0</v>
      </c>
      <c r="R765" s="64">
        <f t="shared" si="315"/>
        <v>0</v>
      </c>
      <c r="S765" s="148">
        <v>15</v>
      </c>
      <c r="T765" s="151" t="s">
        <v>15</v>
      </c>
      <c r="U765" s="65">
        <f>SUMIF('Avoided Costs 2012-2020_EGD'!$A:$A,'2012 Actuals_Auditor'!T765&amp;'2012 Actuals_Auditor'!S765,'Avoided Costs 2012-2020_EGD'!$E:$E)*J765</f>
        <v>21536.193299643703</v>
      </c>
      <c r="V765" s="65">
        <f>SUMIF('Avoided Costs 2012-2020_EGD'!$A:$A,'2012 Actuals_Auditor'!T765&amp;'2012 Actuals_Auditor'!S765,'Avoided Costs 2012-2020_EGD'!$K:$K)*N765</f>
        <v>0</v>
      </c>
      <c r="W765" s="65">
        <f>SUMIF('Avoided Costs 2012-2020_EGD'!$A:$A,'2012 Actuals_Auditor'!T765&amp;'2012 Actuals_Auditor'!S765,'Avoided Costs 2012-2020_EGD'!$M:$M)*R765</f>
        <v>0</v>
      </c>
      <c r="X765" s="65">
        <f t="shared" si="316"/>
        <v>21536.193299643703</v>
      </c>
      <c r="Y765" s="146">
        <v>8237.2999999999993</v>
      </c>
      <c r="Z765" s="66">
        <f t="shared" si="317"/>
        <v>6589.84</v>
      </c>
      <c r="AA765" s="66">
        <v>1159</v>
      </c>
      <c r="AB765" s="66"/>
      <c r="AC765" s="66"/>
      <c r="AD765" s="66">
        <f t="shared" si="318"/>
        <v>6589.84</v>
      </c>
      <c r="AE765" s="66">
        <f t="shared" si="319"/>
        <v>14946.353299643702</v>
      </c>
      <c r="AF765" s="101">
        <f t="shared" si="320"/>
        <v>132944.72371463437</v>
      </c>
      <c r="AG765" s="101">
        <f t="shared" si="321"/>
        <v>166180.90464329292</v>
      </c>
    </row>
    <row r="766" spans="1:33" s="68" customFormat="1" x14ac:dyDescent="0.2">
      <c r="A766" s="141" t="s">
        <v>446</v>
      </c>
      <c r="B766" s="141"/>
      <c r="C766" s="141"/>
      <c r="D766" s="142">
        <v>1</v>
      </c>
      <c r="E766" s="143"/>
      <c r="F766" s="144">
        <v>0.2</v>
      </c>
      <c r="G766" s="144"/>
      <c r="H766" s="67">
        <v>28634</v>
      </c>
      <c r="I766" s="67">
        <f t="shared" si="325"/>
        <v>27370.860072223466</v>
      </c>
      <c r="J766" s="67">
        <f t="shared" si="313"/>
        <v>21896.688057778774</v>
      </c>
      <c r="K766" s="143"/>
      <c r="L766" s="143">
        <v>0</v>
      </c>
      <c r="M766" s="63">
        <f t="shared" si="326"/>
        <v>0</v>
      </c>
      <c r="N766" s="63">
        <f t="shared" si="314"/>
        <v>0</v>
      </c>
      <c r="O766" s="143"/>
      <c r="P766" s="143">
        <v>0</v>
      </c>
      <c r="Q766" s="63">
        <f t="shared" si="327"/>
        <v>0</v>
      </c>
      <c r="R766" s="64">
        <f t="shared" si="315"/>
        <v>0</v>
      </c>
      <c r="S766" s="142">
        <v>15</v>
      </c>
      <c r="T766" s="145" t="s">
        <v>15</v>
      </c>
      <c r="U766" s="65">
        <f>SUMIF('Avoided Costs 2012-2020_EGD'!$A:$A,'2012 Actuals_Auditor'!T766&amp;'2012 Actuals_Auditor'!S766,'Avoided Costs 2012-2020_EGD'!$E:$E)*J766</f>
        <v>53206.847190853987</v>
      </c>
      <c r="V766" s="65">
        <f>SUMIF('Avoided Costs 2012-2020_EGD'!$A:$A,'2012 Actuals_Auditor'!T766&amp;'2012 Actuals_Auditor'!S766,'Avoided Costs 2012-2020_EGD'!$K:$K)*N766</f>
        <v>0</v>
      </c>
      <c r="W766" s="65">
        <f>SUMIF('Avoided Costs 2012-2020_EGD'!$A:$A,'2012 Actuals_Auditor'!T766&amp;'2012 Actuals_Auditor'!S766,'Avoided Costs 2012-2020_EGD'!$M:$M)*R766</f>
        <v>0</v>
      </c>
      <c r="X766" s="65">
        <f t="shared" si="316"/>
        <v>53206.847190853987</v>
      </c>
      <c r="Y766" s="146">
        <v>33319.620000000003</v>
      </c>
      <c r="Z766" s="66">
        <f t="shared" si="317"/>
        <v>26655.696000000004</v>
      </c>
      <c r="AA766" s="66">
        <v>2863</v>
      </c>
      <c r="AB766" s="66"/>
      <c r="AC766" s="66"/>
      <c r="AD766" s="66">
        <f t="shared" si="318"/>
        <v>26655.696000000004</v>
      </c>
      <c r="AE766" s="66">
        <f t="shared" si="319"/>
        <v>26551.151190853983</v>
      </c>
      <c r="AF766" s="101">
        <f t="shared" si="320"/>
        <v>328450.32086668164</v>
      </c>
      <c r="AG766" s="101">
        <f t="shared" si="321"/>
        <v>410562.90108335199</v>
      </c>
    </row>
    <row r="767" spans="1:33" s="68" customFormat="1" x14ac:dyDescent="0.2">
      <c r="A767" s="147" t="s">
        <v>447</v>
      </c>
      <c r="B767" s="147"/>
      <c r="C767" s="147"/>
      <c r="D767" s="148">
        <v>1</v>
      </c>
      <c r="E767" s="149"/>
      <c r="F767" s="150">
        <v>0.2</v>
      </c>
      <c r="G767" s="150"/>
      <c r="H767" s="67">
        <v>67100</v>
      </c>
      <c r="I767" s="67">
        <f t="shared" si="325"/>
        <v>64139.998283376219</v>
      </c>
      <c r="J767" s="67">
        <f t="shared" si="313"/>
        <v>51311.998626700981</v>
      </c>
      <c r="K767" s="63"/>
      <c r="L767" s="149">
        <v>0</v>
      </c>
      <c r="M767" s="63">
        <f t="shared" si="326"/>
        <v>0</v>
      </c>
      <c r="N767" s="63">
        <f t="shared" si="314"/>
        <v>0</v>
      </c>
      <c r="O767" s="69"/>
      <c r="P767" s="149">
        <v>0</v>
      </c>
      <c r="Q767" s="63">
        <f t="shared" si="327"/>
        <v>0</v>
      </c>
      <c r="R767" s="64">
        <f t="shared" si="315"/>
        <v>0</v>
      </c>
      <c r="S767" s="148">
        <v>25</v>
      </c>
      <c r="T767" s="151" t="s">
        <v>15</v>
      </c>
      <c r="U767" s="65">
        <f>SUMIF('Avoided Costs 2012-2020_EGD'!$A:$A,'2012 Actuals_Auditor'!T767&amp;'2012 Actuals_Auditor'!S767,'Avoided Costs 2012-2020_EGD'!$E:$E)*J767</f>
        <v>176205.14666829802</v>
      </c>
      <c r="V767" s="65">
        <f>SUMIF('Avoided Costs 2012-2020_EGD'!$A:$A,'2012 Actuals_Auditor'!T767&amp;'2012 Actuals_Auditor'!S767,'Avoided Costs 2012-2020_EGD'!$K:$K)*N767</f>
        <v>0</v>
      </c>
      <c r="W767" s="65">
        <f>SUMIF('Avoided Costs 2012-2020_EGD'!$A:$A,'2012 Actuals_Auditor'!T767&amp;'2012 Actuals_Auditor'!S767,'Avoided Costs 2012-2020_EGD'!$M:$M)*R767</f>
        <v>0</v>
      </c>
      <c r="X767" s="65">
        <f t="shared" si="316"/>
        <v>176205.14666829802</v>
      </c>
      <c r="Y767" s="146">
        <v>9618</v>
      </c>
      <c r="Z767" s="66">
        <f t="shared" si="317"/>
        <v>7694.4000000000005</v>
      </c>
      <c r="AA767" s="66">
        <v>8354.4</v>
      </c>
      <c r="AB767" s="66"/>
      <c r="AC767" s="66"/>
      <c r="AD767" s="66">
        <f t="shared" si="318"/>
        <v>7694.4000000000005</v>
      </c>
      <c r="AE767" s="66">
        <f t="shared" si="319"/>
        <v>168510.74666829803</v>
      </c>
      <c r="AF767" s="101">
        <f t="shared" si="320"/>
        <v>1282799.9656675246</v>
      </c>
      <c r="AG767" s="101">
        <f t="shared" si="321"/>
        <v>1603499.9570844055</v>
      </c>
    </row>
    <row r="768" spans="1:33" s="68" customFormat="1" x14ac:dyDescent="0.2">
      <c r="A768" s="147" t="s">
        <v>448</v>
      </c>
      <c r="B768" s="147"/>
      <c r="C768" s="147"/>
      <c r="D768" s="148">
        <v>1</v>
      </c>
      <c r="E768" s="149"/>
      <c r="F768" s="150">
        <v>0.2</v>
      </c>
      <c r="G768" s="150"/>
      <c r="H768" s="67">
        <v>122296</v>
      </c>
      <c r="I768" s="67">
        <f t="shared" si="325"/>
        <v>116901.12116339461</v>
      </c>
      <c r="J768" s="67">
        <f t="shared" si="313"/>
        <v>93520.896930715695</v>
      </c>
      <c r="K768" s="63"/>
      <c r="L768" s="149">
        <v>0</v>
      </c>
      <c r="M768" s="63">
        <f t="shared" si="326"/>
        <v>0</v>
      </c>
      <c r="N768" s="63">
        <f t="shared" si="314"/>
        <v>0</v>
      </c>
      <c r="O768" s="69"/>
      <c r="P768" s="149">
        <v>0</v>
      </c>
      <c r="Q768" s="63">
        <f t="shared" si="327"/>
        <v>0</v>
      </c>
      <c r="R768" s="64">
        <f t="shared" si="315"/>
        <v>0</v>
      </c>
      <c r="S768" s="148">
        <v>25</v>
      </c>
      <c r="T768" s="151" t="s">
        <v>15</v>
      </c>
      <c r="U768" s="65">
        <f>SUMIF('Avoided Costs 2012-2020_EGD'!$A:$A,'2012 Actuals_Auditor'!T768&amp;'2012 Actuals_Auditor'!S768,'Avoided Costs 2012-2020_EGD'!$E:$E)*J768</f>
        <v>321150.29235389229</v>
      </c>
      <c r="V768" s="65">
        <f>SUMIF('Avoided Costs 2012-2020_EGD'!$A:$A,'2012 Actuals_Auditor'!T768&amp;'2012 Actuals_Auditor'!S768,'Avoided Costs 2012-2020_EGD'!$K:$K)*N768</f>
        <v>0</v>
      </c>
      <c r="W768" s="65">
        <f>SUMIF('Avoided Costs 2012-2020_EGD'!$A:$A,'2012 Actuals_Auditor'!T768&amp;'2012 Actuals_Auditor'!S768,'Avoided Costs 2012-2020_EGD'!$M:$M)*R768</f>
        <v>0</v>
      </c>
      <c r="X768" s="65">
        <f t="shared" si="316"/>
        <v>321150.29235389229</v>
      </c>
      <c r="Y768" s="146">
        <v>41309</v>
      </c>
      <c r="Z768" s="66">
        <f t="shared" si="317"/>
        <v>33047.200000000004</v>
      </c>
      <c r="AA768" s="66">
        <v>10525</v>
      </c>
      <c r="AB768" s="66"/>
      <c r="AC768" s="66"/>
      <c r="AD768" s="66">
        <f t="shared" si="318"/>
        <v>33047.200000000004</v>
      </c>
      <c r="AE768" s="66">
        <f t="shared" si="319"/>
        <v>288103.09235389228</v>
      </c>
      <c r="AF768" s="101">
        <f t="shared" si="320"/>
        <v>2338022.4232678926</v>
      </c>
      <c r="AG768" s="101">
        <f t="shared" si="321"/>
        <v>2922528.029084865</v>
      </c>
    </row>
    <row r="769" spans="1:33" s="68" customFormat="1" x14ac:dyDescent="0.2">
      <c r="A769" s="147" t="s">
        <v>449</v>
      </c>
      <c r="B769" s="147"/>
      <c r="C769" s="147"/>
      <c r="D769" s="148">
        <v>1</v>
      </c>
      <c r="E769" s="149"/>
      <c r="F769" s="150">
        <v>0.2</v>
      </c>
      <c r="G769" s="150"/>
      <c r="H769" s="67">
        <v>8124</v>
      </c>
      <c r="I769" s="67">
        <f t="shared" si="325"/>
        <v>7765.6236371706173</v>
      </c>
      <c r="J769" s="67">
        <f t="shared" si="313"/>
        <v>6212.4989097364942</v>
      </c>
      <c r="K769" s="63"/>
      <c r="L769" s="149">
        <v>0</v>
      </c>
      <c r="M769" s="63">
        <f t="shared" si="326"/>
        <v>0</v>
      </c>
      <c r="N769" s="63">
        <f t="shared" si="314"/>
        <v>0</v>
      </c>
      <c r="O769" s="69"/>
      <c r="P769" s="149">
        <v>0</v>
      </c>
      <c r="Q769" s="63">
        <f t="shared" si="327"/>
        <v>0</v>
      </c>
      <c r="R769" s="64">
        <f t="shared" si="315"/>
        <v>0</v>
      </c>
      <c r="S769" s="148">
        <v>15</v>
      </c>
      <c r="T769" s="151" t="s">
        <v>15</v>
      </c>
      <c r="U769" s="65">
        <f>SUMIF('Avoided Costs 2012-2020_EGD'!$A:$A,'2012 Actuals_Auditor'!T769&amp;'2012 Actuals_Auditor'!S769,'Avoided Costs 2012-2020_EGD'!$E:$E)*J769</f>
        <v>15095.775182597536</v>
      </c>
      <c r="V769" s="65">
        <f>SUMIF('Avoided Costs 2012-2020_EGD'!$A:$A,'2012 Actuals_Auditor'!T769&amp;'2012 Actuals_Auditor'!S769,'Avoided Costs 2012-2020_EGD'!$K:$K)*N769</f>
        <v>0</v>
      </c>
      <c r="W769" s="65">
        <f>SUMIF('Avoided Costs 2012-2020_EGD'!$A:$A,'2012 Actuals_Auditor'!T769&amp;'2012 Actuals_Auditor'!S769,'Avoided Costs 2012-2020_EGD'!$M:$M)*R769</f>
        <v>0</v>
      </c>
      <c r="X769" s="65">
        <f t="shared" si="316"/>
        <v>15095.775182597536</v>
      </c>
      <c r="Y769" s="146">
        <v>4480.8999999999996</v>
      </c>
      <c r="Z769" s="66">
        <f t="shared" si="317"/>
        <v>3584.72</v>
      </c>
      <c r="AA769" s="66">
        <v>812</v>
      </c>
      <c r="AB769" s="66"/>
      <c r="AC769" s="66"/>
      <c r="AD769" s="66">
        <f t="shared" si="318"/>
        <v>3584.72</v>
      </c>
      <c r="AE769" s="66">
        <f t="shared" si="319"/>
        <v>11511.055182597536</v>
      </c>
      <c r="AF769" s="101">
        <f t="shared" si="320"/>
        <v>93187.483646047418</v>
      </c>
      <c r="AG769" s="101">
        <f t="shared" si="321"/>
        <v>116484.35455755926</v>
      </c>
    </row>
    <row r="770" spans="1:33" s="68" customFormat="1" x14ac:dyDescent="0.2">
      <c r="A770" s="147" t="s">
        <v>450</v>
      </c>
      <c r="B770" s="147"/>
      <c r="C770" s="147"/>
      <c r="D770" s="148">
        <v>1</v>
      </c>
      <c r="E770" s="149"/>
      <c r="F770" s="150">
        <v>0.2</v>
      </c>
      <c r="G770" s="150"/>
      <c r="H770" s="67">
        <v>23588</v>
      </c>
      <c r="I770" s="67">
        <f t="shared" si="325"/>
        <v>22547.455730376725</v>
      </c>
      <c r="J770" s="67">
        <f t="shared" si="313"/>
        <v>18037.964584301382</v>
      </c>
      <c r="K770" s="63"/>
      <c r="L770" s="149">
        <v>0</v>
      </c>
      <c r="M770" s="63">
        <f t="shared" si="326"/>
        <v>0</v>
      </c>
      <c r="N770" s="63">
        <f t="shared" si="314"/>
        <v>0</v>
      </c>
      <c r="O770" s="69"/>
      <c r="P770" s="149">
        <v>0</v>
      </c>
      <c r="Q770" s="63">
        <f t="shared" si="327"/>
        <v>0</v>
      </c>
      <c r="R770" s="64">
        <f t="shared" si="315"/>
        <v>0</v>
      </c>
      <c r="S770" s="148">
        <v>15</v>
      </c>
      <c r="T770" s="151" t="s">
        <v>15</v>
      </c>
      <c r="U770" s="65">
        <f>SUMIF('Avoided Costs 2012-2020_EGD'!$A:$A,'2012 Actuals_Auditor'!T770&amp;'2012 Actuals_Auditor'!S770,'Avoided Costs 2012-2020_EGD'!$E:$E)*J770</f>
        <v>43830.520064883145</v>
      </c>
      <c r="V770" s="65">
        <f>SUMIF('Avoided Costs 2012-2020_EGD'!$A:$A,'2012 Actuals_Auditor'!T770&amp;'2012 Actuals_Auditor'!S770,'Avoided Costs 2012-2020_EGD'!$K:$K)*N770</f>
        <v>0</v>
      </c>
      <c r="W770" s="65">
        <f>SUMIF('Avoided Costs 2012-2020_EGD'!$A:$A,'2012 Actuals_Auditor'!T770&amp;'2012 Actuals_Auditor'!S770,'Avoided Costs 2012-2020_EGD'!$M:$M)*R770</f>
        <v>0</v>
      </c>
      <c r="X770" s="65">
        <f t="shared" si="316"/>
        <v>43830.520064883145</v>
      </c>
      <c r="Y770" s="146">
        <v>13174.35</v>
      </c>
      <c r="Z770" s="66">
        <f t="shared" si="317"/>
        <v>10539.480000000001</v>
      </c>
      <c r="AA770" s="66">
        <v>2359</v>
      </c>
      <c r="AB770" s="66"/>
      <c r="AC770" s="66"/>
      <c r="AD770" s="66">
        <f t="shared" si="318"/>
        <v>10539.480000000001</v>
      </c>
      <c r="AE770" s="66">
        <f t="shared" si="319"/>
        <v>33291.040064883142</v>
      </c>
      <c r="AF770" s="101">
        <f t="shared" si="320"/>
        <v>270569.46876452072</v>
      </c>
      <c r="AG770" s="101">
        <f t="shared" si="321"/>
        <v>338211.83595565089</v>
      </c>
    </row>
    <row r="771" spans="1:33" s="68" customFormat="1" x14ac:dyDescent="0.2">
      <c r="A771" s="147" t="s">
        <v>451</v>
      </c>
      <c r="B771" s="147"/>
      <c r="C771" s="147"/>
      <c r="D771" s="148">
        <v>1</v>
      </c>
      <c r="E771" s="149"/>
      <c r="F771" s="150">
        <v>0.2</v>
      </c>
      <c r="G771" s="150"/>
      <c r="H771" s="67">
        <v>24244</v>
      </c>
      <c r="I771" s="67">
        <f t="shared" si="325"/>
        <v>23174.517412551013</v>
      </c>
      <c r="J771" s="67">
        <f t="shared" si="313"/>
        <v>18539.61393004081</v>
      </c>
      <c r="K771" s="63"/>
      <c r="L771" s="149">
        <v>0</v>
      </c>
      <c r="M771" s="63">
        <f t="shared" si="326"/>
        <v>0</v>
      </c>
      <c r="N771" s="63">
        <f t="shared" si="314"/>
        <v>0</v>
      </c>
      <c r="O771" s="69"/>
      <c r="P771" s="149">
        <v>0</v>
      </c>
      <c r="Q771" s="63">
        <f t="shared" si="327"/>
        <v>0</v>
      </c>
      <c r="R771" s="64">
        <f t="shared" si="315"/>
        <v>0</v>
      </c>
      <c r="S771" s="148">
        <v>15</v>
      </c>
      <c r="T771" s="151" t="s">
        <v>15</v>
      </c>
      <c r="U771" s="65">
        <f>SUMIF('Avoided Costs 2012-2020_EGD'!$A:$A,'2012 Actuals_Auditor'!T771&amp;'2012 Actuals_Auditor'!S771,'Avoided Costs 2012-2020_EGD'!$E:$E)*J771</f>
        <v>45049.479754664528</v>
      </c>
      <c r="V771" s="65">
        <f>SUMIF('Avoided Costs 2012-2020_EGD'!$A:$A,'2012 Actuals_Auditor'!T771&amp;'2012 Actuals_Auditor'!S771,'Avoided Costs 2012-2020_EGD'!$K:$K)*N771</f>
        <v>0</v>
      </c>
      <c r="W771" s="65">
        <f>SUMIF('Avoided Costs 2012-2020_EGD'!$A:$A,'2012 Actuals_Auditor'!T771&amp;'2012 Actuals_Auditor'!S771,'Avoided Costs 2012-2020_EGD'!$M:$M)*R771</f>
        <v>0</v>
      </c>
      <c r="X771" s="65">
        <f t="shared" si="316"/>
        <v>45049.479754664528</v>
      </c>
      <c r="Y771" s="146">
        <v>18926.05</v>
      </c>
      <c r="Z771" s="66">
        <f t="shared" si="317"/>
        <v>15140.84</v>
      </c>
      <c r="AA771" s="66">
        <v>2424</v>
      </c>
      <c r="AB771" s="66"/>
      <c r="AC771" s="66"/>
      <c r="AD771" s="66">
        <f t="shared" si="318"/>
        <v>15140.84</v>
      </c>
      <c r="AE771" s="66">
        <f t="shared" si="319"/>
        <v>29908.639754664528</v>
      </c>
      <c r="AF771" s="101">
        <f t="shared" si="320"/>
        <v>278094.20895061217</v>
      </c>
      <c r="AG771" s="101">
        <f t="shared" si="321"/>
        <v>347617.76118826517</v>
      </c>
    </row>
    <row r="772" spans="1:33" s="68" customFormat="1" x14ac:dyDescent="0.2">
      <c r="A772" s="147" t="s">
        <v>452</v>
      </c>
      <c r="B772" s="147"/>
      <c r="C772" s="147"/>
      <c r="D772" s="148">
        <v>1</v>
      </c>
      <c r="E772" s="149"/>
      <c r="F772" s="150">
        <v>0.2</v>
      </c>
      <c r="G772" s="150"/>
      <c r="H772" s="67">
        <v>19329</v>
      </c>
      <c r="I772" s="67">
        <f t="shared" si="325"/>
        <v>18476.334229797005</v>
      </c>
      <c r="J772" s="67">
        <f t="shared" si="313"/>
        <v>14781.067383837604</v>
      </c>
      <c r="K772" s="63"/>
      <c r="L772" s="149">
        <v>0</v>
      </c>
      <c r="M772" s="63">
        <f t="shared" si="326"/>
        <v>0</v>
      </c>
      <c r="N772" s="63">
        <f t="shared" si="314"/>
        <v>0</v>
      </c>
      <c r="O772" s="69"/>
      <c r="P772" s="149">
        <v>0</v>
      </c>
      <c r="Q772" s="63">
        <f t="shared" si="327"/>
        <v>0</v>
      </c>
      <c r="R772" s="64">
        <f t="shared" si="315"/>
        <v>0</v>
      </c>
      <c r="S772" s="148">
        <v>15</v>
      </c>
      <c r="T772" s="151" t="s">
        <v>15</v>
      </c>
      <c r="U772" s="65">
        <f>SUMIF('Avoided Costs 2012-2020_EGD'!$A:$A,'2012 Actuals_Auditor'!T772&amp;'2012 Actuals_Auditor'!S772,'Avoided Costs 2012-2020_EGD'!$E:$E)*J772</f>
        <v>35916.572932598196</v>
      </c>
      <c r="V772" s="65">
        <f>SUMIF('Avoided Costs 2012-2020_EGD'!$A:$A,'2012 Actuals_Auditor'!T772&amp;'2012 Actuals_Auditor'!S772,'Avoided Costs 2012-2020_EGD'!$K:$K)*N772</f>
        <v>0</v>
      </c>
      <c r="W772" s="65">
        <f>SUMIF('Avoided Costs 2012-2020_EGD'!$A:$A,'2012 Actuals_Auditor'!T772&amp;'2012 Actuals_Auditor'!S772,'Avoided Costs 2012-2020_EGD'!$M:$M)*R772</f>
        <v>0</v>
      </c>
      <c r="X772" s="65">
        <f t="shared" si="316"/>
        <v>35916.572932598196</v>
      </c>
      <c r="Y772" s="146">
        <v>16691.150000000001</v>
      </c>
      <c r="Z772" s="66">
        <f t="shared" si="317"/>
        <v>13352.920000000002</v>
      </c>
      <c r="AA772" s="66">
        <v>1933</v>
      </c>
      <c r="AB772" s="66"/>
      <c r="AC772" s="66"/>
      <c r="AD772" s="66">
        <f t="shared" si="318"/>
        <v>13352.920000000002</v>
      </c>
      <c r="AE772" s="66">
        <f t="shared" si="319"/>
        <v>22563.652932598194</v>
      </c>
      <c r="AF772" s="101">
        <f t="shared" si="320"/>
        <v>221716.01075756407</v>
      </c>
      <c r="AG772" s="101">
        <f t="shared" si="321"/>
        <v>277145.01344695507</v>
      </c>
    </row>
    <row r="773" spans="1:33" s="68" customFormat="1" x14ac:dyDescent="0.2">
      <c r="A773" s="147" t="s">
        <v>453</v>
      </c>
      <c r="B773" s="147"/>
      <c r="C773" s="147"/>
      <c r="D773" s="148">
        <v>1</v>
      </c>
      <c r="E773" s="149"/>
      <c r="F773" s="150">
        <v>0.2</v>
      </c>
      <c r="G773" s="150"/>
      <c r="H773" s="67">
        <v>6633</v>
      </c>
      <c r="I773" s="67">
        <f>H773</f>
        <v>6633</v>
      </c>
      <c r="J773" s="67">
        <f t="shared" si="313"/>
        <v>5306.4000000000005</v>
      </c>
      <c r="K773" s="63"/>
      <c r="L773" s="149">
        <v>0</v>
      </c>
      <c r="M773" s="63">
        <f>L773</f>
        <v>0</v>
      </c>
      <c r="N773" s="63">
        <f t="shared" si="314"/>
        <v>0</v>
      </c>
      <c r="O773" s="69"/>
      <c r="P773" s="149">
        <v>0</v>
      </c>
      <c r="Q773" s="63">
        <f>+P773</f>
        <v>0</v>
      </c>
      <c r="R773" s="64">
        <f t="shared" si="315"/>
        <v>0</v>
      </c>
      <c r="S773" s="148">
        <v>25</v>
      </c>
      <c r="T773" s="151" t="s">
        <v>15</v>
      </c>
      <c r="U773" s="65">
        <f>SUMIF('Avoided Costs 2012-2020_EGD'!$A:$A,'2012 Actuals_Auditor'!T773&amp;'2012 Actuals_Auditor'!S773,'Avoided Costs 2012-2020_EGD'!$E:$E)*J773</f>
        <v>18222.151062229477</v>
      </c>
      <c r="V773" s="65">
        <f>SUMIF('Avoided Costs 2012-2020_EGD'!$A:$A,'2012 Actuals_Auditor'!T773&amp;'2012 Actuals_Auditor'!S773,'Avoided Costs 2012-2020_EGD'!$K:$K)*N773</f>
        <v>0</v>
      </c>
      <c r="W773" s="65">
        <f>SUMIF('Avoided Costs 2012-2020_EGD'!$A:$A,'2012 Actuals_Auditor'!T773&amp;'2012 Actuals_Auditor'!S773,'Avoided Costs 2012-2020_EGD'!$M:$M)*R773</f>
        <v>0</v>
      </c>
      <c r="X773" s="65">
        <f t="shared" si="316"/>
        <v>18222.151062229477</v>
      </c>
      <c r="Y773" s="146">
        <v>6000</v>
      </c>
      <c r="Z773" s="66">
        <f t="shared" si="317"/>
        <v>4800</v>
      </c>
      <c r="AA773" s="66">
        <v>850</v>
      </c>
      <c r="AB773" s="66"/>
      <c r="AC773" s="66"/>
      <c r="AD773" s="66">
        <f t="shared" si="318"/>
        <v>4800</v>
      </c>
      <c r="AE773" s="66">
        <f t="shared" si="319"/>
        <v>13422.151062229477</v>
      </c>
      <c r="AF773" s="101">
        <f t="shared" si="320"/>
        <v>132660</v>
      </c>
      <c r="AG773" s="101">
        <f t="shared" si="321"/>
        <v>165825</v>
      </c>
    </row>
    <row r="774" spans="1:33" s="68" customFormat="1" x14ac:dyDescent="0.2">
      <c r="A774" s="147" t="s">
        <v>454</v>
      </c>
      <c r="B774" s="147"/>
      <c r="C774" s="147"/>
      <c r="D774" s="148">
        <v>0</v>
      </c>
      <c r="E774" s="149"/>
      <c r="F774" s="150">
        <v>0.2</v>
      </c>
      <c r="G774" s="150"/>
      <c r="H774" s="67">
        <v>4002</v>
      </c>
      <c r="I774" s="67">
        <f t="shared" ref="I774:I805" si="328">+$H$42*H774</f>
        <v>3825.4586159474161</v>
      </c>
      <c r="J774" s="67">
        <f t="shared" si="313"/>
        <v>3060.3668927579329</v>
      </c>
      <c r="K774" s="63"/>
      <c r="L774" s="149">
        <v>0</v>
      </c>
      <c r="M774" s="63">
        <f t="shared" si="326"/>
        <v>0</v>
      </c>
      <c r="N774" s="63">
        <f t="shared" si="314"/>
        <v>0</v>
      </c>
      <c r="O774" s="69"/>
      <c r="P774" s="149">
        <v>0</v>
      </c>
      <c r="Q774" s="63">
        <f t="shared" ref="Q774:Q805" si="329">+P774*$P$42</f>
        <v>0</v>
      </c>
      <c r="R774" s="64">
        <f t="shared" si="315"/>
        <v>0</v>
      </c>
      <c r="S774" s="148">
        <v>25</v>
      </c>
      <c r="T774" s="151" t="s">
        <v>52</v>
      </c>
      <c r="U774" s="65">
        <f>SUMIF('Avoided Costs 2012-2020_EGD'!$A:$A,'2012 Actuals_Auditor'!T774&amp;'2012 Actuals_Auditor'!S774,'Avoided Costs 2012-2020_EGD'!$E:$E)*J774</f>
        <v>9875.1662372549272</v>
      </c>
      <c r="V774" s="65">
        <f>SUMIF('Avoided Costs 2012-2020_EGD'!$A:$A,'2012 Actuals_Auditor'!T774&amp;'2012 Actuals_Auditor'!S774,'Avoided Costs 2012-2020_EGD'!$K:$K)*N774</f>
        <v>0</v>
      </c>
      <c r="W774" s="65">
        <f>SUMIF('Avoided Costs 2012-2020_EGD'!$A:$A,'2012 Actuals_Auditor'!T774&amp;'2012 Actuals_Auditor'!S774,'Avoided Costs 2012-2020_EGD'!$M:$M)*R774</f>
        <v>0</v>
      </c>
      <c r="X774" s="65">
        <f t="shared" si="316"/>
        <v>9875.1662372549272</v>
      </c>
      <c r="Y774" s="146">
        <v>3512</v>
      </c>
      <c r="Z774" s="66">
        <f t="shared" si="317"/>
        <v>2809.6000000000004</v>
      </c>
      <c r="AA774" s="66">
        <v>878</v>
      </c>
      <c r="AB774" s="66"/>
      <c r="AC774" s="66"/>
      <c r="AD774" s="66">
        <f t="shared" si="318"/>
        <v>2809.6000000000004</v>
      </c>
      <c r="AE774" s="66">
        <f t="shared" si="319"/>
        <v>7065.5662372549268</v>
      </c>
      <c r="AF774" s="101">
        <f t="shared" si="320"/>
        <v>76509.172318948316</v>
      </c>
      <c r="AG774" s="101">
        <f t="shared" si="321"/>
        <v>95636.465398685395</v>
      </c>
    </row>
    <row r="775" spans="1:33" s="68" customFormat="1" x14ac:dyDescent="0.2">
      <c r="A775" s="147" t="s">
        <v>455</v>
      </c>
      <c r="B775" s="147"/>
      <c r="C775" s="147"/>
      <c r="D775" s="148">
        <v>1</v>
      </c>
      <c r="E775" s="149"/>
      <c r="F775" s="150">
        <v>0.2</v>
      </c>
      <c r="G775" s="150"/>
      <c r="H775" s="67">
        <v>18252</v>
      </c>
      <c r="I775" s="67">
        <f t="shared" si="328"/>
        <v>17446.844242446838</v>
      </c>
      <c r="J775" s="67">
        <f t="shared" si="313"/>
        <v>13957.475393957471</v>
      </c>
      <c r="K775" s="63"/>
      <c r="L775" s="149">
        <v>0</v>
      </c>
      <c r="M775" s="63">
        <f t="shared" si="326"/>
        <v>0</v>
      </c>
      <c r="N775" s="63">
        <f t="shared" si="314"/>
        <v>0</v>
      </c>
      <c r="O775" s="69"/>
      <c r="P775" s="149">
        <v>0</v>
      </c>
      <c r="Q775" s="63">
        <f t="shared" si="329"/>
        <v>0</v>
      </c>
      <c r="R775" s="64">
        <f t="shared" si="315"/>
        <v>0</v>
      </c>
      <c r="S775" s="148">
        <v>25</v>
      </c>
      <c r="T775" s="151" t="s">
        <v>15</v>
      </c>
      <c r="U775" s="65">
        <f>SUMIF('Avoided Costs 2012-2020_EGD'!$A:$A,'2012 Actuals_Auditor'!T775&amp;'2012 Actuals_Auditor'!S775,'Avoided Costs 2012-2020_EGD'!$E:$E)*J775</f>
        <v>47929.900700294718</v>
      </c>
      <c r="V775" s="65">
        <f>SUMIF('Avoided Costs 2012-2020_EGD'!$A:$A,'2012 Actuals_Auditor'!T775&amp;'2012 Actuals_Auditor'!S775,'Avoided Costs 2012-2020_EGD'!$K:$K)*N775</f>
        <v>0</v>
      </c>
      <c r="W775" s="65">
        <f>SUMIF('Avoided Costs 2012-2020_EGD'!$A:$A,'2012 Actuals_Auditor'!T775&amp;'2012 Actuals_Auditor'!S775,'Avoided Costs 2012-2020_EGD'!$M:$M)*R775</f>
        <v>0</v>
      </c>
      <c r="X775" s="65">
        <f t="shared" si="316"/>
        <v>47929.900700294718</v>
      </c>
      <c r="Y775" s="146">
        <v>1632</v>
      </c>
      <c r="Z775" s="66">
        <f t="shared" si="317"/>
        <v>1305.6000000000001</v>
      </c>
      <c r="AA775" s="66">
        <v>3329</v>
      </c>
      <c r="AB775" s="66"/>
      <c r="AC775" s="66"/>
      <c r="AD775" s="66">
        <f t="shared" si="318"/>
        <v>1305.6000000000001</v>
      </c>
      <c r="AE775" s="66">
        <f t="shared" si="319"/>
        <v>46624.30070029472</v>
      </c>
      <c r="AF775" s="101">
        <f t="shared" si="320"/>
        <v>348936.88484893675</v>
      </c>
      <c r="AG775" s="101">
        <f t="shared" si="321"/>
        <v>436171.10606117093</v>
      </c>
    </row>
    <row r="776" spans="1:33" s="68" customFormat="1" x14ac:dyDescent="0.2">
      <c r="A776" s="147" t="s">
        <v>456</v>
      </c>
      <c r="B776" s="147"/>
      <c r="C776" s="147"/>
      <c r="D776" s="148">
        <v>1</v>
      </c>
      <c r="E776" s="149"/>
      <c r="F776" s="150">
        <v>0.2</v>
      </c>
      <c r="G776" s="150"/>
      <c r="H776" s="67">
        <v>141697</v>
      </c>
      <c r="I776" s="67">
        <f t="shared" si="328"/>
        <v>135446.27923635708</v>
      </c>
      <c r="J776" s="67">
        <f t="shared" si="313"/>
        <v>108357.02338908566</v>
      </c>
      <c r="K776" s="63"/>
      <c r="L776" s="149">
        <v>0</v>
      </c>
      <c r="M776" s="63">
        <f t="shared" si="326"/>
        <v>0</v>
      </c>
      <c r="N776" s="63">
        <f t="shared" si="314"/>
        <v>0</v>
      </c>
      <c r="O776" s="69"/>
      <c r="P776" s="149">
        <v>0</v>
      </c>
      <c r="Q776" s="63">
        <f t="shared" si="329"/>
        <v>0</v>
      </c>
      <c r="R776" s="64">
        <f t="shared" si="315"/>
        <v>0</v>
      </c>
      <c r="S776" s="148">
        <v>25</v>
      </c>
      <c r="T776" s="151" t="s">
        <v>15</v>
      </c>
      <c r="U776" s="65">
        <f>SUMIF('Avoided Costs 2012-2020_EGD'!$A:$A,'2012 Actuals_Auditor'!T776&amp;'2012 Actuals_Auditor'!S776,'Avoided Costs 2012-2020_EGD'!$E:$E)*J776</f>
        <v>372097.47641516873</v>
      </c>
      <c r="V776" s="65">
        <f>SUMIF('Avoided Costs 2012-2020_EGD'!$A:$A,'2012 Actuals_Auditor'!T776&amp;'2012 Actuals_Auditor'!S776,'Avoided Costs 2012-2020_EGD'!$K:$K)*N776</f>
        <v>0</v>
      </c>
      <c r="W776" s="65">
        <f>SUMIF('Avoided Costs 2012-2020_EGD'!$A:$A,'2012 Actuals_Auditor'!T776&amp;'2012 Actuals_Auditor'!S776,'Avoided Costs 2012-2020_EGD'!$M:$M)*R776</f>
        <v>0</v>
      </c>
      <c r="X776" s="65">
        <f t="shared" si="316"/>
        <v>372097.47641516873</v>
      </c>
      <c r="Y776" s="146">
        <v>40548</v>
      </c>
      <c r="Z776" s="66">
        <f t="shared" si="317"/>
        <v>32438.400000000001</v>
      </c>
      <c r="AA776" s="66">
        <v>23317</v>
      </c>
      <c r="AB776" s="66"/>
      <c r="AC776" s="66"/>
      <c r="AD776" s="66">
        <f t="shared" si="318"/>
        <v>32438.400000000001</v>
      </c>
      <c r="AE776" s="66">
        <f t="shared" si="319"/>
        <v>339659.0764151687</v>
      </c>
      <c r="AF776" s="101">
        <f t="shared" si="320"/>
        <v>2708925.5847271415</v>
      </c>
      <c r="AG776" s="101">
        <f t="shared" si="321"/>
        <v>3386156.980908927</v>
      </c>
    </row>
    <row r="777" spans="1:33" s="68" customFormat="1" x14ac:dyDescent="0.2">
      <c r="A777" s="147" t="s">
        <v>457</v>
      </c>
      <c r="B777" s="147"/>
      <c r="C777" s="147"/>
      <c r="D777" s="148">
        <v>1</v>
      </c>
      <c r="E777" s="149"/>
      <c r="F777" s="150">
        <v>0.2</v>
      </c>
      <c r="G777" s="150"/>
      <c r="H777" s="67">
        <v>73840</v>
      </c>
      <c r="I777" s="67">
        <f t="shared" si="328"/>
        <v>70582.674713032786</v>
      </c>
      <c r="J777" s="67">
        <f t="shared" si="313"/>
        <v>56466.139770426234</v>
      </c>
      <c r="K777" s="63"/>
      <c r="L777" s="149">
        <v>0</v>
      </c>
      <c r="M777" s="63">
        <f t="shared" si="326"/>
        <v>0</v>
      </c>
      <c r="N777" s="63">
        <f t="shared" si="314"/>
        <v>0</v>
      </c>
      <c r="O777" s="69"/>
      <c r="P777" s="149">
        <v>0</v>
      </c>
      <c r="Q777" s="63">
        <f t="shared" si="329"/>
        <v>0</v>
      </c>
      <c r="R777" s="64">
        <f t="shared" si="315"/>
        <v>0</v>
      </c>
      <c r="S777" s="148">
        <v>25</v>
      </c>
      <c r="T777" s="151" t="s">
        <v>15</v>
      </c>
      <c r="U777" s="65">
        <f>SUMIF('Avoided Costs 2012-2020_EGD'!$A:$A,'2012 Actuals_Auditor'!T777&amp;'2012 Actuals_Auditor'!S777,'Avoided Costs 2012-2020_EGD'!$E:$E)*J777</f>
        <v>193904.44157953988</v>
      </c>
      <c r="V777" s="65">
        <f>SUMIF('Avoided Costs 2012-2020_EGD'!$A:$A,'2012 Actuals_Auditor'!T777&amp;'2012 Actuals_Auditor'!S777,'Avoided Costs 2012-2020_EGD'!$K:$K)*N777</f>
        <v>0</v>
      </c>
      <c r="W777" s="65">
        <f>SUMIF('Avoided Costs 2012-2020_EGD'!$A:$A,'2012 Actuals_Auditor'!T777&amp;'2012 Actuals_Auditor'!S777,'Avoided Costs 2012-2020_EGD'!$M:$M)*R777</f>
        <v>0</v>
      </c>
      <c r="X777" s="65">
        <f t="shared" si="316"/>
        <v>193904.44157953988</v>
      </c>
      <c r="Y777" s="146">
        <v>28894</v>
      </c>
      <c r="Z777" s="66">
        <f t="shared" si="317"/>
        <v>23115.200000000001</v>
      </c>
      <c r="AA777" s="66">
        <v>14749.29</v>
      </c>
      <c r="AB777" s="66"/>
      <c r="AC777" s="66"/>
      <c r="AD777" s="66">
        <f t="shared" si="318"/>
        <v>23115.200000000001</v>
      </c>
      <c r="AE777" s="66">
        <f t="shared" si="319"/>
        <v>170789.24157953987</v>
      </c>
      <c r="AF777" s="101">
        <f t="shared" si="320"/>
        <v>1411653.4942606559</v>
      </c>
      <c r="AG777" s="101">
        <f t="shared" si="321"/>
        <v>1764566.8678258196</v>
      </c>
    </row>
    <row r="778" spans="1:33" s="68" customFormat="1" x14ac:dyDescent="0.2">
      <c r="A778" s="147" t="s">
        <v>458</v>
      </c>
      <c r="B778" s="147"/>
      <c r="C778" s="147"/>
      <c r="D778" s="148">
        <v>1</v>
      </c>
      <c r="E778" s="149"/>
      <c r="F778" s="150">
        <v>0.2</v>
      </c>
      <c r="G778" s="150"/>
      <c r="H778" s="67">
        <v>116243</v>
      </c>
      <c r="I778" s="67">
        <f t="shared" si="328"/>
        <v>111115.1389039419</v>
      </c>
      <c r="J778" s="67">
        <f t="shared" si="313"/>
        <v>88892.111123153532</v>
      </c>
      <c r="K778" s="63"/>
      <c r="L778" s="149">
        <v>0</v>
      </c>
      <c r="M778" s="63">
        <f t="shared" si="326"/>
        <v>0</v>
      </c>
      <c r="N778" s="63">
        <f t="shared" si="314"/>
        <v>0</v>
      </c>
      <c r="O778" s="69"/>
      <c r="P778" s="149">
        <v>0</v>
      </c>
      <c r="Q778" s="63">
        <f t="shared" si="329"/>
        <v>0</v>
      </c>
      <c r="R778" s="64">
        <f t="shared" si="315"/>
        <v>0</v>
      </c>
      <c r="S778" s="148">
        <v>25</v>
      </c>
      <c r="T778" s="151" t="s">
        <v>15</v>
      </c>
      <c r="U778" s="65">
        <f>SUMIF('Avoided Costs 2012-2020_EGD'!$A:$A,'2012 Actuals_Auditor'!T778&amp;'2012 Actuals_Auditor'!S778,'Avoided Costs 2012-2020_EGD'!$E:$E)*J778</f>
        <v>305255.06503968651</v>
      </c>
      <c r="V778" s="65">
        <f>SUMIF('Avoided Costs 2012-2020_EGD'!$A:$A,'2012 Actuals_Auditor'!T778&amp;'2012 Actuals_Auditor'!S778,'Avoided Costs 2012-2020_EGD'!$K:$K)*N778</f>
        <v>0</v>
      </c>
      <c r="W778" s="65">
        <f>SUMIF('Avoided Costs 2012-2020_EGD'!$A:$A,'2012 Actuals_Auditor'!T778&amp;'2012 Actuals_Auditor'!S778,'Avoided Costs 2012-2020_EGD'!$M:$M)*R778</f>
        <v>0</v>
      </c>
      <c r="X778" s="65">
        <f t="shared" si="316"/>
        <v>305255.06503968651</v>
      </c>
      <c r="Y778" s="146">
        <v>60950</v>
      </c>
      <c r="Z778" s="66">
        <f t="shared" si="317"/>
        <v>48760</v>
      </c>
      <c r="AA778" s="66">
        <v>19099</v>
      </c>
      <c r="AB778" s="66"/>
      <c r="AC778" s="66"/>
      <c r="AD778" s="66">
        <f t="shared" si="318"/>
        <v>48760</v>
      </c>
      <c r="AE778" s="66">
        <f t="shared" si="319"/>
        <v>256495.06503968651</v>
      </c>
      <c r="AF778" s="101">
        <f t="shared" si="320"/>
        <v>2222302.7780788383</v>
      </c>
      <c r="AG778" s="101">
        <f t="shared" si="321"/>
        <v>2777878.4725985476</v>
      </c>
    </row>
    <row r="779" spans="1:33" s="68" customFormat="1" x14ac:dyDescent="0.2">
      <c r="A779" s="147" t="s">
        <v>459</v>
      </c>
      <c r="B779" s="147"/>
      <c r="C779" s="147"/>
      <c r="D779" s="148">
        <v>1</v>
      </c>
      <c r="E779" s="149"/>
      <c r="F779" s="150">
        <v>0.2</v>
      </c>
      <c r="G779" s="150"/>
      <c r="H779" s="67">
        <v>18890</v>
      </c>
      <c r="I779" s="67">
        <f t="shared" si="328"/>
        <v>18056.699963829757</v>
      </c>
      <c r="J779" s="67">
        <f t="shared" si="313"/>
        <v>14445.359971063806</v>
      </c>
      <c r="K779" s="63"/>
      <c r="L779" s="149">
        <v>0</v>
      </c>
      <c r="M779" s="63">
        <f t="shared" si="326"/>
        <v>0</v>
      </c>
      <c r="N779" s="63">
        <f t="shared" si="314"/>
        <v>0</v>
      </c>
      <c r="O779" s="69"/>
      <c r="P779" s="149">
        <v>0</v>
      </c>
      <c r="Q779" s="63">
        <f t="shared" si="329"/>
        <v>0</v>
      </c>
      <c r="R779" s="64">
        <f t="shared" si="315"/>
        <v>0</v>
      </c>
      <c r="S779" s="148">
        <v>25</v>
      </c>
      <c r="T779" s="151" t="s">
        <v>15</v>
      </c>
      <c r="U779" s="65">
        <f>SUMIF('Avoided Costs 2012-2020_EGD'!$A:$A,'2012 Actuals_Auditor'!T779&amp;'2012 Actuals_Auditor'!S779,'Avoided Costs 2012-2020_EGD'!$E:$E)*J779</f>
        <v>49605.29389812443</v>
      </c>
      <c r="V779" s="65">
        <f>SUMIF('Avoided Costs 2012-2020_EGD'!$A:$A,'2012 Actuals_Auditor'!T779&amp;'2012 Actuals_Auditor'!S779,'Avoided Costs 2012-2020_EGD'!$K:$K)*N779</f>
        <v>0</v>
      </c>
      <c r="W779" s="65">
        <f>SUMIF('Avoided Costs 2012-2020_EGD'!$A:$A,'2012 Actuals_Auditor'!T779&amp;'2012 Actuals_Auditor'!S779,'Avoided Costs 2012-2020_EGD'!$M:$M)*R779</f>
        <v>0</v>
      </c>
      <c r="X779" s="65">
        <f t="shared" si="316"/>
        <v>49605.29389812443</v>
      </c>
      <c r="Y779" s="146">
        <v>3421</v>
      </c>
      <c r="Z779" s="66">
        <f t="shared" si="317"/>
        <v>2736.8</v>
      </c>
      <c r="AA779" s="66">
        <v>3485</v>
      </c>
      <c r="AB779" s="66"/>
      <c r="AC779" s="66"/>
      <c r="AD779" s="66">
        <f t="shared" si="318"/>
        <v>2736.8</v>
      </c>
      <c r="AE779" s="66">
        <f t="shared" si="319"/>
        <v>46868.493898124427</v>
      </c>
      <c r="AF779" s="101">
        <f t="shared" si="320"/>
        <v>361133.99927659513</v>
      </c>
      <c r="AG779" s="101">
        <f t="shared" si="321"/>
        <v>451417.49909574393</v>
      </c>
    </row>
    <row r="780" spans="1:33" s="68" customFormat="1" x14ac:dyDescent="0.2">
      <c r="A780" s="147" t="s">
        <v>460</v>
      </c>
      <c r="B780" s="147"/>
      <c r="C780" s="147"/>
      <c r="D780" s="148">
        <v>1</v>
      </c>
      <c r="E780" s="149"/>
      <c r="F780" s="150">
        <v>0.2</v>
      </c>
      <c r="G780" s="150"/>
      <c r="H780" s="67">
        <v>12372</v>
      </c>
      <c r="I780" s="67">
        <f t="shared" si="328"/>
        <v>11826.230383933393</v>
      </c>
      <c r="J780" s="67">
        <f t="shared" si="313"/>
        <v>9460.9843071467149</v>
      </c>
      <c r="K780" s="63"/>
      <c r="L780" s="149">
        <v>0</v>
      </c>
      <c r="M780" s="63">
        <f t="shared" si="326"/>
        <v>0</v>
      </c>
      <c r="N780" s="63">
        <f t="shared" si="314"/>
        <v>0</v>
      </c>
      <c r="O780" s="69"/>
      <c r="P780" s="149">
        <v>0</v>
      </c>
      <c r="Q780" s="63">
        <f t="shared" si="329"/>
        <v>0</v>
      </c>
      <c r="R780" s="64">
        <f t="shared" si="315"/>
        <v>0</v>
      </c>
      <c r="S780" s="148">
        <v>25</v>
      </c>
      <c r="T780" s="151" t="s">
        <v>15</v>
      </c>
      <c r="U780" s="65">
        <f>SUMIF('Avoided Costs 2012-2020_EGD'!$A:$A,'2012 Actuals_Auditor'!T780&amp;'2012 Actuals_Auditor'!S780,'Avoided Costs 2012-2020_EGD'!$E:$E)*J780</f>
        <v>32488.97279553179</v>
      </c>
      <c r="V780" s="65">
        <f>SUMIF('Avoided Costs 2012-2020_EGD'!$A:$A,'2012 Actuals_Auditor'!T780&amp;'2012 Actuals_Auditor'!S780,'Avoided Costs 2012-2020_EGD'!$K:$K)*N780</f>
        <v>0</v>
      </c>
      <c r="W780" s="65">
        <f>SUMIF('Avoided Costs 2012-2020_EGD'!$A:$A,'2012 Actuals_Auditor'!T780&amp;'2012 Actuals_Auditor'!S780,'Avoided Costs 2012-2020_EGD'!$M:$M)*R780</f>
        <v>0</v>
      </c>
      <c r="X780" s="65">
        <f t="shared" si="316"/>
        <v>32488.97279553179</v>
      </c>
      <c r="Y780" s="146">
        <v>12607</v>
      </c>
      <c r="Z780" s="66">
        <f t="shared" si="317"/>
        <v>10085.6</v>
      </c>
      <c r="AA780" s="66">
        <v>2789</v>
      </c>
      <c r="AB780" s="66"/>
      <c r="AC780" s="66"/>
      <c r="AD780" s="66">
        <f t="shared" si="318"/>
        <v>10085.6</v>
      </c>
      <c r="AE780" s="66">
        <f t="shared" si="319"/>
        <v>22403.372795531788</v>
      </c>
      <c r="AF780" s="101">
        <f t="shared" si="320"/>
        <v>236524.60767866788</v>
      </c>
      <c r="AG780" s="101">
        <f t="shared" si="321"/>
        <v>295655.75959833484</v>
      </c>
    </row>
    <row r="781" spans="1:33" s="68" customFormat="1" x14ac:dyDescent="0.2">
      <c r="A781" s="147" t="s">
        <v>461</v>
      </c>
      <c r="B781" s="147"/>
      <c r="C781" s="147"/>
      <c r="D781" s="148">
        <v>0</v>
      </c>
      <c r="E781" s="149"/>
      <c r="F781" s="150">
        <v>0.2</v>
      </c>
      <c r="G781" s="150"/>
      <c r="H781" s="67">
        <v>3023</v>
      </c>
      <c r="I781" s="67">
        <f t="shared" si="328"/>
        <v>2889.6455262391401</v>
      </c>
      <c r="J781" s="67">
        <f t="shared" si="313"/>
        <v>2311.7164209913121</v>
      </c>
      <c r="K781" s="63"/>
      <c r="L781" s="149">
        <v>0</v>
      </c>
      <c r="M781" s="63">
        <f t="shared" si="326"/>
        <v>0</v>
      </c>
      <c r="N781" s="63">
        <f t="shared" si="314"/>
        <v>0</v>
      </c>
      <c r="O781" s="69"/>
      <c r="P781" s="149">
        <v>0</v>
      </c>
      <c r="Q781" s="63">
        <f t="shared" si="329"/>
        <v>0</v>
      </c>
      <c r="R781" s="64">
        <f t="shared" si="315"/>
        <v>0</v>
      </c>
      <c r="S781" s="148">
        <v>15</v>
      </c>
      <c r="T781" s="151" t="s">
        <v>52</v>
      </c>
      <c r="U781" s="65">
        <f>SUMIF('Avoided Costs 2012-2020_EGD'!$A:$A,'2012 Actuals_Auditor'!T781&amp;'2012 Actuals_Auditor'!S781,'Avoided Costs 2012-2020_EGD'!$E:$E)*J781</f>
        <v>5282.2680340919751</v>
      </c>
      <c r="V781" s="65">
        <f>SUMIF('Avoided Costs 2012-2020_EGD'!$A:$A,'2012 Actuals_Auditor'!T781&amp;'2012 Actuals_Auditor'!S781,'Avoided Costs 2012-2020_EGD'!$K:$K)*N781</f>
        <v>0</v>
      </c>
      <c r="W781" s="65">
        <f>SUMIF('Avoided Costs 2012-2020_EGD'!$A:$A,'2012 Actuals_Auditor'!T781&amp;'2012 Actuals_Auditor'!S781,'Avoided Costs 2012-2020_EGD'!$M:$M)*R781</f>
        <v>0</v>
      </c>
      <c r="X781" s="65">
        <f t="shared" si="316"/>
        <v>5282.2680340919751</v>
      </c>
      <c r="Y781" s="146">
        <v>4240</v>
      </c>
      <c r="Z781" s="66">
        <f t="shared" si="317"/>
        <v>3392</v>
      </c>
      <c r="AA781" s="66">
        <v>303</v>
      </c>
      <c r="AB781" s="66"/>
      <c r="AC781" s="66"/>
      <c r="AD781" s="66">
        <f t="shared" si="318"/>
        <v>3392</v>
      </c>
      <c r="AE781" s="66">
        <f t="shared" si="319"/>
        <v>1890.2680340919751</v>
      </c>
      <c r="AF781" s="101">
        <f t="shared" si="320"/>
        <v>34675.746314869684</v>
      </c>
      <c r="AG781" s="101">
        <f t="shared" si="321"/>
        <v>43344.682893587102</v>
      </c>
    </row>
    <row r="782" spans="1:33" s="68" customFormat="1" x14ac:dyDescent="0.2">
      <c r="A782" s="147" t="s">
        <v>462</v>
      </c>
      <c r="B782" s="147"/>
      <c r="C782" s="147"/>
      <c r="D782" s="148">
        <v>1</v>
      </c>
      <c r="E782" s="149"/>
      <c r="F782" s="150">
        <v>0.2</v>
      </c>
      <c r="G782" s="150"/>
      <c r="H782" s="67">
        <v>17503</v>
      </c>
      <c r="I782" s="67">
        <f t="shared" si="328"/>
        <v>16730.885096183814</v>
      </c>
      <c r="J782" s="67">
        <f t="shared" si="313"/>
        <v>13384.708076947052</v>
      </c>
      <c r="K782" s="63"/>
      <c r="L782" s="149">
        <v>0</v>
      </c>
      <c r="M782" s="63">
        <f t="shared" si="326"/>
        <v>0</v>
      </c>
      <c r="N782" s="63">
        <f t="shared" si="314"/>
        <v>0</v>
      </c>
      <c r="O782" s="69"/>
      <c r="P782" s="149">
        <v>0</v>
      </c>
      <c r="Q782" s="63">
        <f t="shared" si="329"/>
        <v>0</v>
      </c>
      <c r="R782" s="64">
        <f t="shared" si="315"/>
        <v>0</v>
      </c>
      <c r="S782" s="148">
        <v>15</v>
      </c>
      <c r="T782" s="151" t="s">
        <v>15</v>
      </c>
      <c r="U782" s="65">
        <f>SUMIF('Avoided Costs 2012-2020_EGD'!$A:$A,'2012 Actuals_Auditor'!T782&amp;'2012 Actuals_Auditor'!S782,'Avoided Costs 2012-2020_EGD'!$E:$E)*J782</f>
        <v>32523.554040005496</v>
      </c>
      <c r="V782" s="65">
        <f>SUMIF('Avoided Costs 2012-2020_EGD'!$A:$A,'2012 Actuals_Auditor'!T782&amp;'2012 Actuals_Auditor'!S782,'Avoided Costs 2012-2020_EGD'!$K:$K)*N782</f>
        <v>0</v>
      </c>
      <c r="W782" s="65">
        <f>SUMIF('Avoided Costs 2012-2020_EGD'!$A:$A,'2012 Actuals_Auditor'!T782&amp;'2012 Actuals_Auditor'!S782,'Avoided Costs 2012-2020_EGD'!$M:$M)*R782</f>
        <v>0</v>
      </c>
      <c r="X782" s="65">
        <f t="shared" si="316"/>
        <v>32523.554040005496</v>
      </c>
      <c r="Y782" s="146">
        <v>8000</v>
      </c>
      <c r="Z782" s="66">
        <f t="shared" si="317"/>
        <v>6400</v>
      </c>
      <c r="AA782" s="66">
        <v>1750</v>
      </c>
      <c r="AB782" s="66"/>
      <c r="AC782" s="66"/>
      <c r="AD782" s="66">
        <f t="shared" si="318"/>
        <v>6400</v>
      </c>
      <c r="AE782" s="66">
        <f t="shared" si="319"/>
        <v>26123.554040005496</v>
      </c>
      <c r="AF782" s="101">
        <f t="shared" si="320"/>
        <v>200770.62115420579</v>
      </c>
      <c r="AG782" s="101">
        <f t="shared" si="321"/>
        <v>250963.27644275723</v>
      </c>
    </row>
    <row r="783" spans="1:33" s="68" customFormat="1" x14ac:dyDescent="0.2">
      <c r="A783" s="147" t="s">
        <v>463</v>
      </c>
      <c r="B783" s="147"/>
      <c r="C783" s="147"/>
      <c r="D783" s="148">
        <v>0</v>
      </c>
      <c r="E783" s="149"/>
      <c r="F783" s="150">
        <v>0.2</v>
      </c>
      <c r="G783" s="150"/>
      <c r="H783" s="67">
        <v>2772</v>
      </c>
      <c r="I783" s="67">
        <f t="shared" si="328"/>
        <v>2649.7179618706241</v>
      </c>
      <c r="J783" s="67">
        <f t="shared" si="313"/>
        <v>2119.7743694964993</v>
      </c>
      <c r="K783" s="63"/>
      <c r="L783" s="149">
        <v>0</v>
      </c>
      <c r="M783" s="63">
        <f t="shared" si="326"/>
        <v>0</v>
      </c>
      <c r="N783" s="63">
        <f t="shared" si="314"/>
        <v>0</v>
      </c>
      <c r="O783" s="69"/>
      <c r="P783" s="149">
        <v>0</v>
      </c>
      <c r="Q783" s="63">
        <f t="shared" si="329"/>
        <v>0</v>
      </c>
      <c r="R783" s="64">
        <f t="shared" si="315"/>
        <v>0</v>
      </c>
      <c r="S783" s="148">
        <v>15</v>
      </c>
      <c r="T783" s="151" t="s">
        <v>52</v>
      </c>
      <c r="U783" s="65">
        <f>SUMIF('Avoided Costs 2012-2020_EGD'!$A:$A,'2012 Actuals_Auditor'!T783&amp;'2012 Actuals_Auditor'!S783,'Avoided Costs 2012-2020_EGD'!$E:$E)*J783</f>
        <v>4843.6807775398465</v>
      </c>
      <c r="V783" s="65">
        <f>SUMIF('Avoided Costs 2012-2020_EGD'!$A:$A,'2012 Actuals_Auditor'!T783&amp;'2012 Actuals_Auditor'!S783,'Avoided Costs 2012-2020_EGD'!$K:$K)*N783</f>
        <v>0</v>
      </c>
      <c r="W783" s="65">
        <f>SUMIF('Avoided Costs 2012-2020_EGD'!$A:$A,'2012 Actuals_Auditor'!T783&amp;'2012 Actuals_Auditor'!S783,'Avoided Costs 2012-2020_EGD'!$M:$M)*R783</f>
        <v>0</v>
      </c>
      <c r="X783" s="65">
        <f t="shared" si="316"/>
        <v>4843.6807775398465</v>
      </c>
      <c r="Y783" s="146">
        <v>4240</v>
      </c>
      <c r="Z783" s="66">
        <f t="shared" si="317"/>
        <v>3392</v>
      </c>
      <c r="AA783" s="66">
        <v>277</v>
      </c>
      <c r="AB783" s="66"/>
      <c r="AC783" s="66"/>
      <c r="AD783" s="66">
        <f t="shared" si="318"/>
        <v>3392</v>
      </c>
      <c r="AE783" s="66">
        <f t="shared" si="319"/>
        <v>1451.6807775398465</v>
      </c>
      <c r="AF783" s="101">
        <f t="shared" si="320"/>
        <v>31796.615542447489</v>
      </c>
      <c r="AG783" s="101">
        <f t="shared" si="321"/>
        <v>39745.769428059364</v>
      </c>
    </row>
    <row r="784" spans="1:33" s="68" customFormat="1" x14ac:dyDescent="0.2">
      <c r="A784" s="147" t="s">
        <v>464</v>
      </c>
      <c r="B784" s="147"/>
      <c r="C784" s="147"/>
      <c r="D784" s="148">
        <v>1</v>
      </c>
      <c r="E784" s="149"/>
      <c r="F784" s="150">
        <v>0.2</v>
      </c>
      <c r="G784" s="150"/>
      <c r="H784" s="67">
        <v>19130</v>
      </c>
      <c r="I784" s="67">
        <f t="shared" si="328"/>
        <v>18286.112774381327</v>
      </c>
      <c r="J784" s="67">
        <f t="shared" si="313"/>
        <v>14628.890219505061</v>
      </c>
      <c r="K784" s="63"/>
      <c r="L784" s="149">
        <v>0</v>
      </c>
      <c r="M784" s="63">
        <f t="shared" si="326"/>
        <v>0</v>
      </c>
      <c r="N784" s="63">
        <f t="shared" si="314"/>
        <v>0</v>
      </c>
      <c r="O784" s="69"/>
      <c r="P784" s="149">
        <v>0</v>
      </c>
      <c r="Q784" s="63">
        <f t="shared" si="329"/>
        <v>0</v>
      </c>
      <c r="R784" s="64">
        <f t="shared" si="315"/>
        <v>0</v>
      </c>
      <c r="S784" s="148">
        <v>15</v>
      </c>
      <c r="T784" s="151" t="s">
        <v>15</v>
      </c>
      <c r="U784" s="65">
        <f>SUMIF('Avoided Costs 2012-2020_EGD'!$A:$A,'2012 Actuals_Auditor'!T784&amp;'2012 Actuals_Auditor'!S784,'Avoided Costs 2012-2020_EGD'!$E:$E)*J784</f>
        <v>35546.797051094392</v>
      </c>
      <c r="V784" s="65">
        <f>SUMIF('Avoided Costs 2012-2020_EGD'!$A:$A,'2012 Actuals_Auditor'!T784&amp;'2012 Actuals_Auditor'!S784,'Avoided Costs 2012-2020_EGD'!$K:$K)*N784</f>
        <v>0</v>
      </c>
      <c r="W784" s="65">
        <f>SUMIF('Avoided Costs 2012-2020_EGD'!$A:$A,'2012 Actuals_Auditor'!T784&amp;'2012 Actuals_Auditor'!S784,'Avoided Costs 2012-2020_EGD'!$M:$M)*R784</f>
        <v>0</v>
      </c>
      <c r="X784" s="65">
        <f t="shared" si="316"/>
        <v>35546.797051094392</v>
      </c>
      <c r="Y784" s="146">
        <v>8000</v>
      </c>
      <c r="Z784" s="66">
        <f t="shared" si="317"/>
        <v>6400</v>
      </c>
      <c r="AA784" s="66">
        <v>1913</v>
      </c>
      <c r="AB784" s="66"/>
      <c r="AC784" s="66"/>
      <c r="AD784" s="66">
        <f t="shared" si="318"/>
        <v>6400</v>
      </c>
      <c r="AE784" s="66">
        <f t="shared" si="319"/>
        <v>29146.797051094392</v>
      </c>
      <c r="AF784" s="101">
        <f t="shared" si="320"/>
        <v>219433.35329257592</v>
      </c>
      <c r="AG784" s="101">
        <f t="shared" si="321"/>
        <v>274291.69161571993</v>
      </c>
    </row>
    <row r="785" spans="1:33" s="68" customFormat="1" x14ac:dyDescent="0.2">
      <c r="A785" s="147" t="s">
        <v>465</v>
      </c>
      <c r="B785" s="147"/>
      <c r="C785" s="147"/>
      <c r="D785" s="148">
        <v>0</v>
      </c>
      <c r="E785" s="149"/>
      <c r="F785" s="150">
        <v>0.2</v>
      </c>
      <c r="G785" s="150"/>
      <c r="H785" s="67">
        <v>3564</v>
      </c>
      <c r="I785" s="67">
        <f t="shared" si="328"/>
        <v>3406.7802366908027</v>
      </c>
      <c r="J785" s="67">
        <f t="shared" si="313"/>
        <v>2725.4241893526423</v>
      </c>
      <c r="K785" s="63"/>
      <c r="L785" s="149">
        <v>0</v>
      </c>
      <c r="M785" s="63">
        <f t="shared" si="326"/>
        <v>0</v>
      </c>
      <c r="N785" s="63">
        <f t="shared" si="314"/>
        <v>0</v>
      </c>
      <c r="O785" s="69"/>
      <c r="P785" s="149">
        <v>0</v>
      </c>
      <c r="Q785" s="63">
        <f t="shared" si="329"/>
        <v>0</v>
      </c>
      <c r="R785" s="64">
        <f t="shared" si="315"/>
        <v>0</v>
      </c>
      <c r="S785" s="148">
        <v>15</v>
      </c>
      <c r="T785" s="151" t="s">
        <v>52</v>
      </c>
      <c r="U785" s="65">
        <f>SUMIF('Avoided Costs 2012-2020_EGD'!$A:$A,'2012 Actuals_Auditor'!T785&amp;'2012 Actuals_Auditor'!S785,'Avoided Costs 2012-2020_EGD'!$E:$E)*J785</f>
        <v>6227.5895711226603</v>
      </c>
      <c r="V785" s="65">
        <f>SUMIF('Avoided Costs 2012-2020_EGD'!$A:$A,'2012 Actuals_Auditor'!T785&amp;'2012 Actuals_Auditor'!S785,'Avoided Costs 2012-2020_EGD'!$K:$K)*N785</f>
        <v>0</v>
      </c>
      <c r="W785" s="65">
        <f>SUMIF('Avoided Costs 2012-2020_EGD'!$A:$A,'2012 Actuals_Auditor'!T785&amp;'2012 Actuals_Auditor'!S785,'Avoided Costs 2012-2020_EGD'!$M:$M)*R785</f>
        <v>0</v>
      </c>
      <c r="X785" s="65">
        <f t="shared" si="316"/>
        <v>6227.5895711226603</v>
      </c>
      <c r="Y785" s="146">
        <v>4240</v>
      </c>
      <c r="Z785" s="66">
        <f t="shared" si="317"/>
        <v>3392</v>
      </c>
      <c r="AA785" s="66">
        <v>357</v>
      </c>
      <c r="AB785" s="66"/>
      <c r="AC785" s="66"/>
      <c r="AD785" s="66">
        <f t="shared" si="318"/>
        <v>3392</v>
      </c>
      <c r="AE785" s="66">
        <f t="shared" si="319"/>
        <v>2835.5895711226603</v>
      </c>
      <c r="AF785" s="101">
        <f t="shared" si="320"/>
        <v>40881.362840289636</v>
      </c>
      <c r="AG785" s="101">
        <f t="shared" si="321"/>
        <v>51101.703550362043</v>
      </c>
    </row>
    <row r="786" spans="1:33" s="68" customFormat="1" x14ac:dyDescent="0.2">
      <c r="A786" s="147" t="s">
        <v>466</v>
      </c>
      <c r="B786" s="147"/>
      <c r="C786" s="147"/>
      <c r="D786" s="148">
        <v>1</v>
      </c>
      <c r="E786" s="149"/>
      <c r="F786" s="150">
        <v>0.2</v>
      </c>
      <c r="G786" s="150"/>
      <c r="H786" s="67">
        <v>18235</v>
      </c>
      <c r="I786" s="67">
        <f t="shared" si="328"/>
        <v>17430.5941683661</v>
      </c>
      <c r="J786" s="67">
        <f t="shared" ref="J786:J849" si="330">I786*(1-F786)</f>
        <v>13944.475334692881</v>
      </c>
      <c r="K786" s="63"/>
      <c r="L786" s="149">
        <v>0</v>
      </c>
      <c r="M786" s="63">
        <f t="shared" si="326"/>
        <v>0</v>
      </c>
      <c r="N786" s="63">
        <f t="shared" ref="N786:N849" si="331">M786*(1-F786)</f>
        <v>0</v>
      </c>
      <c r="O786" s="69"/>
      <c r="P786" s="149">
        <v>0</v>
      </c>
      <c r="Q786" s="63">
        <f t="shared" si="329"/>
        <v>0</v>
      </c>
      <c r="R786" s="64">
        <f t="shared" ref="R786:R849" si="332">Q786*(1-F786)</f>
        <v>0</v>
      </c>
      <c r="S786" s="148">
        <v>15</v>
      </c>
      <c r="T786" s="151" t="s">
        <v>15</v>
      </c>
      <c r="U786" s="65">
        <f>SUMIF('Avoided Costs 2012-2020_EGD'!$A:$A,'2012 Actuals_Auditor'!T786&amp;'2012 Actuals_Auditor'!S786,'Avoided Costs 2012-2020_EGD'!$E:$E)*J786</f>
        <v>33883.73466945668</v>
      </c>
      <c r="V786" s="65">
        <f>SUMIF('Avoided Costs 2012-2020_EGD'!$A:$A,'2012 Actuals_Auditor'!T786&amp;'2012 Actuals_Auditor'!S786,'Avoided Costs 2012-2020_EGD'!$K:$K)*N786</f>
        <v>0</v>
      </c>
      <c r="W786" s="65">
        <f>SUMIF('Avoided Costs 2012-2020_EGD'!$A:$A,'2012 Actuals_Auditor'!T786&amp;'2012 Actuals_Auditor'!S786,'Avoided Costs 2012-2020_EGD'!$M:$M)*R786</f>
        <v>0</v>
      </c>
      <c r="X786" s="65">
        <f t="shared" ref="X786:X846" si="333">SUM(U786:W786)</f>
        <v>33883.73466945668</v>
      </c>
      <c r="Y786" s="146">
        <v>8000</v>
      </c>
      <c r="Z786" s="66">
        <f t="shared" ref="Z786:Z849" si="334">Y786*(1-F786)</f>
        <v>6400</v>
      </c>
      <c r="AA786" s="66">
        <v>1823</v>
      </c>
      <c r="AB786" s="66"/>
      <c r="AC786" s="66"/>
      <c r="AD786" s="66">
        <f t="shared" ref="AD786:AD849" si="335">Z786+AB786</f>
        <v>6400</v>
      </c>
      <c r="AE786" s="66">
        <f t="shared" ref="AE786:AE849" si="336">X786-AD786</f>
        <v>27483.73466945668</v>
      </c>
      <c r="AF786" s="101">
        <f t="shared" ref="AF786:AF849" si="337">J786*S786</f>
        <v>209167.1300203932</v>
      </c>
      <c r="AG786" s="101">
        <f t="shared" ref="AG786:AG849" si="338">(I786*S786)</f>
        <v>261458.9125254915</v>
      </c>
    </row>
    <row r="787" spans="1:33" s="68" customFormat="1" x14ac:dyDescent="0.2">
      <c r="A787" s="147" t="s">
        <v>467</v>
      </c>
      <c r="B787" s="147"/>
      <c r="C787" s="147"/>
      <c r="D787" s="148">
        <v>0</v>
      </c>
      <c r="E787" s="149"/>
      <c r="F787" s="150">
        <v>0.2</v>
      </c>
      <c r="G787" s="150"/>
      <c r="H787" s="67">
        <v>5843</v>
      </c>
      <c r="I787" s="67">
        <f t="shared" si="328"/>
        <v>5585.2460502200784</v>
      </c>
      <c r="J787" s="67">
        <f t="shared" si="330"/>
        <v>4468.1968401760632</v>
      </c>
      <c r="K787" s="63"/>
      <c r="L787" s="149">
        <v>0</v>
      </c>
      <c r="M787" s="63">
        <f t="shared" si="326"/>
        <v>0</v>
      </c>
      <c r="N787" s="63">
        <f t="shared" si="331"/>
        <v>0</v>
      </c>
      <c r="O787" s="69"/>
      <c r="P787" s="149">
        <v>0</v>
      </c>
      <c r="Q787" s="63">
        <f t="shared" si="329"/>
        <v>0</v>
      </c>
      <c r="R787" s="64">
        <f t="shared" si="332"/>
        <v>0</v>
      </c>
      <c r="S787" s="148">
        <v>15</v>
      </c>
      <c r="T787" s="151" t="s">
        <v>52</v>
      </c>
      <c r="U787" s="65">
        <f>SUMIF('Avoided Costs 2012-2020_EGD'!$A:$A,'2012 Actuals_Auditor'!T787&amp;'2012 Actuals_Auditor'!S787,'Avoided Costs 2012-2020_EGD'!$E:$E)*J787</f>
        <v>10209.822071848963</v>
      </c>
      <c r="V787" s="65">
        <f>SUMIF('Avoided Costs 2012-2020_EGD'!$A:$A,'2012 Actuals_Auditor'!T787&amp;'2012 Actuals_Auditor'!S787,'Avoided Costs 2012-2020_EGD'!$K:$K)*N787</f>
        <v>0</v>
      </c>
      <c r="W787" s="65">
        <f>SUMIF('Avoided Costs 2012-2020_EGD'!$A:$A,'2012 Actuals_Auditor'!T787&amp;'2012 Actuals_Auditor'!S787,'Avoided Costs 2012-2020_EGD'!$M:$M)*R787</f>
        <v>0</v>
      </c>
      <c r="X787" s="65">
        <f t="shared" si="333"/>
        <v>10209.822071848963</v>
      </c>
      <c r="Y787" s="146">
        <v>4240</v>
      </c>
      <c r="Z787" s="66">
        <f t="shared" si="334"/>
        <v>3392</v>
      </c>
      <c r="AA787" s="66">
        <v>584</v>
      </c>
      <c r="AB787" s="66"/>
      <c r="AC787" s="66"/>
      <c r="AD787" s="66">
        <f t="shared" si="335"/>
        <v>3392</v>
      </c>
      <c r="AE787" s="66">
        <f t="shared" si="336"/>
        <v>6817.8220718489629</v>
      </c>
      <c r="AF787" s="101">
        <f t="shared" si="337"/>
        <v>67022.952602640944</v>
      </c>
      <c r="AG787" s="101">
        <f t="shared" si="338"/>
        <v>83778.690753301169</v>
      </c>
    </row>
    <row r="788" spans="1:33" s="68" customFormat="1" x14ac:dyDescent="0.2">
      <c r="A788" s="147" t="s">
        <v>468</v>
      </c>
      <c r="B788" s="147"/>
      <c r="C788" s="147"/>
      <c r="D788" s="148">
        <v>1</v>
      </c>
      <c r="E788" s="149"/>
      <c r="F788" s="150">
        <v>0.2</v>
      </c>
      <c r="G788" s="150"/>
      <c r="H788" s="67">
        <v>26402</v>
      </c>
      <c r="I788" s="67">
        <f t="shared" si="328"/>
        <v>25237.320934093874</v>
      </c>
      <c r="J788" s="67">
        <f t="shared" si="330"/>
        <v>20189.856747275102</v>
      </c>
      <c r="K788" s="63"/>
      <c r="L788" s="149">
        <v>0</v>
      </c>
      <c r="M788" s="63">
        <f t="shared" si="326"/>
        <v>0</v>
      </c>
      <c r="N788" s="63">
        <f t="shared" si="331"/>
        <v>0</v>
      </c>
      <c r="O788" s="69"/>
      <c r="P788" s="149">
        <v>0</v>
      </c>
      <c r="Q788" s="63">
        <f t="shared" si="329"/>
        <v>0</v>
      </c>
      <c r="R788" s="64">
        <f t="shared" si="332"/>
        <v>0</v>
      </c>
      <c r="S788" s="148">
        <v>15</v>
      </c>
      <c r="T788" s="151" t="s">
        <v>15</v>
      </c>
      <c r="U788" s="65">
        <f>SUMIF('Avoided Costs 2012-2020_EGD'!$A:$A,'2012 Actuals_Auditor'!T788&amp;'2012 Actuals_Auditor'!S788,'Avoided Costs 2012-2020_EGD'!$E:$E)*J788</f>
        <v>49059.41117318318</v>
      </c>
      <c r="V788" s="65">
        <f>SUMIF('Avoided Costs 2012-2020_EGD'!$A:$A,'2012 Actuals_Auditor'!T788&amp;'2012 Actuals_Auditor'!S788,'Avoided Costs 2012-2020_EGD'!$K:$K)*N788</f>
        <v>0</v>
      </c>
      <c r="W788" s="65">
        <f>SUMIF('Avoided Costs 2012-2020_EGD'!$A:$A,'2012 Actuals_Auditor'!T788&amp;'2012 Actuals_Auditor'!S788,'Avoided Costs 2012-2020_EGD'!$M:$M)*R788</f>
        <v>0</v>
      </c>
      <c r="X788" s="65">
        <f t="shared" si="333"/>
        <v>49059.41117318318</v>
      </c>
      <c r="Y788" s="146">
        <v>8000</v>
      </c>
      <c r="Z788" s="66">
        <f t="shared" si="334"/>
        <v>6400</v>
      </c>
      <c r="AA788" s="66">
        <v>2640</v>
      </c>
      <c r="AB788" s="66"/>
      <c r="AC788" s="66"/>
      <c r="AD788" s="66">
        <f t="shared" si="335"/>
        <v>6400</v>
      </c>
      <c r="AE788" s="66">
        <f t="shared" si="336"/>
        <v>42659.41117318318</v>
      </c>
      <c r="AF788" s="101">
        <f t="shared" si="337"/>
        <v>302847.85120912653</v>
      </c>
      <c r="AG788" s="101">
        <f t="shared" si="338"/>
        <v>378559.81401140813</v>
      </c>
    </row>
    <row r="789" spans="1:33" s="68" customFormat="1" x14ac:dyDescent="0.2">
      <c r="A789" s="147" t="s">
        <v>469</v>
      </c>
      <c r="B789" s="147"/>
      <c r="C789" s="147"/>
      <c r="D789" s="148">
        <v>0</v>
      </c>
      <c r="E789" s="149"/>
      <c r="F789" s="150">
        <v>0.2</v>
      </c>
      <c r="G789" s="150"/>
      <c r="H789" s="67">
        <v>15159</v>
      </c>
      <c r="I789" s="67">
        <f t="shared" si="328"/>
        <v>14490.28664646349</v>
      </c>
      <c r="J789" s="67">
        <f t="shared" si="330"/>
        <v>11592.229317170793</v>
      </c>
      <c r="K789" s="63"/>
      <c r="L789" s="149">
        <v>0</v>
      </c>
      <c r="M789" s="63">
        <f t="shared" si="326"/>
        <v>0</v>
      </c>
      <c r="N789" s="63">
        <f t="shared" si="331"/>
        <v>0</v>
      </c>
      <c r="O789" s="69"/>
      <c r="P789" s="149">
        <v>0</v>
      </c>
      <c r="Q789" s="63">
        <f t="shared" si="329"/>
        <v>0</v>
      </c>
      <c r="R789" s="64">
        <f t="shared" si="332"/>
        <v>0</v>
      </c>
      <c r="S789" s="148">
        <v>15</v>
      </c>
      <c r="T789" s="151" t="s">
        <v>52</v>
      </c>
      <c r="U789" s="65">
        <f>SUMIF('Avoided Costs 2012-2020_EGD'!$A:$A,'2012 Actuals_Auditor'!T789&amp;'2012 Actuals_Auditor'!S789,'Avoided Costs 2012-2020_EGD'!$E:$E)*J789</f>
        <v>26488.223992325595</v>
      </c>
      <c r="V789" s="65">
        <f>SUMIF('Avoided Costs 2012-2020_EGD'!$A:$A,'2012 Actuals_Auditor'!T789&amp;'2012 Actuals_Auditor'!S789,'Avoided Costs 2012-2020_EGD'!$K:$K)*N789</f>
        <v>0</v>
      </c>
      <c r="W789" s="65">
        <f>SUMIF('Avoided Costs 2012-2020_EGD'!$A:$A,'2012 Actuals_Auditor'!T789&amp;'2012 Actuals_Auditor'!S789,'Avoided Costs 2012-2020_EGD'!$M:$M)*R789</f>
        <v>0</v>
      </c>
      <c r="X789" s="65">
        <f t="shared" si="333"/>
        <v>26488.223992325595</v>
      </c>
      <c r="Y789" s="146">
        <v>2945</v>
      </c>
      <c r="Z789" s="66">
        <f t="shared" si="334"/>
        <v>2356</v>
      </c>
      <c r="AA789" s="66">
        <v>1516</v>
      </c>
      <c r="AB789" s="66"/>
      <c r="AC789" s="66"/>
      <c r="AD789" s="66">
        <f t="shared" si="335"/>
        <v>2356</v>
      </c>
      <c r="AE789" s="66">
        <f t="shared" si="336"/>
        <v>24132.223992325595</v>
      </c>
      <c r="AF789" s="101">
        <f t="shared" si="337"/>
        <v>173883.43975756189</v>
      </c>
      <c r="AG789" s="101">
        <f t="shared" si="338"/>
        <v>217354.29969695234</v>
      </c>
    </row>
    <row r="790" spans="1:33" s="68" customFormat="1" x14ac:dyDescent="0.2">
      <c r="A790" s="147" t="s">
        <v>470</v>
      </c>
      <c r="B790" s="147"/>
      <c r="C790" s="147"/>
      <c r="D790" s="148">
        <v>1</v>
      </c>
      <c r="E790" s="149"/>
      <c r="F790" s="150">
        <v>0.2</v>
      </c>
      <c r="G790" s="150"/>
      <c r="H790" s="67">
        <v>69022</v>
      </c>
      <c r="I790" s="67">
        <f t="shared" si="328"/>
        <v>65977.212541210043</v>
      </c>
      <c r="J790" s="67">
        <f t="shared" si="330"/>
        <v>52781.770032968037</v>
      </c>
      <c r="K790" s="63"/>
      <c r="L790" s="149">
        <v>0</v>
      </c>
      <c r="M790" s="63">
        <f t="shared" ref="M790:M853" si="339">+$L$42*L790</f>
        <v>0</v>
      </c>
      <c r="N790" s="63">
        <f t="shared" si="331"/>
        <v>0</v>
      </c>
      <c r="O790" s="69"/>
      <c r="P790" s="149">
        <v>0</v>
      </c>
      <c r="Q790" s="63">
        <f t="shared" si="329"/>
        <v>0</v>
      </c>
      <c r="R790" s="64">
        <f t="shared" si="332"/>
        <v>0</v>
      </c>
      <c r="S790" s="148">
        <v>15</v>
      </c>
      <c r="T790" s="151" t="s">
        <v>15</v>
      </c>
      <c r="U790" s="65">
        <f>SUMIF('Avoided Costs 2012-2020_EGD'!$A:$A,'2012 Actuals_Auditor'!T790&amp;'2012 Actuals_Auditor'!S790,'Avoided Costs 2012-2020_EGD'!$E:$E)*J790</f>
        <v>128254.62760379704</v>
      </c>
      <c r="V790" s="65">
        <f>SUMIF('Avoided Costs 2012-2020_EGD'!$A:$A,'2012 Actuals_Auditor'!T790&amp;'2012 Actuals_Auditor'!S790,'Avoided Costs 2012-2020_EGD'!$K:$K)*N790</f>
        <v>0</v>
      </c>
      <c r="W790" s="65">
        <f>SUMIF('Avoided Costs 2012-2020_EGD'!$A:$A,'2012 Actuals_Auditor'!T790&amp;'2012 Actuals_Auditor'!S790,'Avoided Costs 2012-2020_EGD'!$M:$M)*R790</f>
        <v>0</v>
      </c>
      <c r="X790" s="65">
        <f t="shared" si="333"/>
        <v>128254.62760379704</v>
      </c>
      <c r="Y790" s="146">
        <v>12555</v>
      </c>
      <c r="Z790" s="66">
        <f t="shared" si="334"/>
        <v>10044</v>
      </c>
      <c r="AA790" s="66">
        <v>6902</v>
      </c>
      <c r="AB790" s="66"/>
      <c r="AC790" s="66"/>
      <c r="AD790" s="66">
        <f t="shared" si="335"/>
        <v>10044</v>
      </c>
      <c r="AE790" s="66">
        <f t="shared" si="336"/>
        <v>118210.62760379704</v>
      </c>
      <c r="AF790" s="101">
        <f t="shared" si="337"/>
        <v>791726.55049452058</v>
      </c>
      <c r="AG790" s="101">
        <f t="shared" si="338"/>
        <v>989658.18811815069</v>
      </c>
    </row>
    <row r="791" spans="1:33" s="68" customFormat="1" x14ac:dyDescent="0.2">
      <c r="A791" s="147" t="s">
        <v>471</v>
      </c>
      <c r="B791" s="147"/>
      <c r="C791" s="147"/>
      <c r="D791" s="148">
        <v>0</v>
      </c>
      <c r="E791" s="149"/>
      <c r="F791" s="150">
        <v>0.2</v>
      </c>
      <c r="G791" s="150"/>
      <c r="H791" s="67">
        <v>8253</v>
      </c>
      <c r="I791" s="67">
        <f t="shared" si="328"/>
        <v>7888.9330228420858</v>
      </c>
      <c r="J791" s="67">
        <f t="shared" si="330"/>
        <v>6311.146418273669</v>
      </c>
      <c r="K791" s="63"/>
      <c r="L791" s="149">
        <v>0</v>
      </c>
      <c r="M791" s="63">
        <f t="shared" si="339"/>
        <v>0</v>
      </c>
      <c r="N791" s="63">
        <f t="shared" si="331"/>
        <v>0</v>
      </c>
      <c r="O791" s="69"/>
      <c r="P791" s="149">
        <v>0</v>
      </c>
      <c r="Q791" s="63">
        <f t="shared" si="329"/>
        <v>0</v>
      </c>
      <c r="R791" s="64">
        <f t="shared" si="332"/>
        <v>0</v>
      </c>
      <c r="S791" s="148">
        <v>15</v>
      </c>
      <c r="T791" s="151" t="s">
        <v>52</v>
      </c>
      <c r="U791" s="65">
        <f>SUMIF('Avoided Costs 2012-2020_EGD'!$A:$A,'2012 Actuals_Auditor'!T791&amp;'2012 Actuals_Auditor'!S791,'Avoided Costs 2012-2020_EGD'!$E:$E)*J791</f>
        <v>14420.958678584544</v>
      </c>
      <c r="V791" s="65">
        <f>SUMIF('Avoided Costs 2012-2020_EGD'!$A:$A,'2012 Actuals_Auditor'!T791&amp;'2012 Actuals_Auditor'!S791,'Avoided Costs 2012-2020_EGD'!$K:$K)*N791</f>
        <v>0</v>
      </c>
      <c r="W791" s="65">
        <f>SUMIF('Avoided Costs 2012-2020_EGD'!$A:$A,'2012 Actuals_Auditor'!T791&amp;'2012 Actuals_Auditor'!S791,'Avoided Costs 2012-2020_EGD'!$M:$M)*R791</f>
        <v>0</v>
      </c>
      <c r="X791" s="65">
        <f t="shared" si="333"/>
        <v>14420.958678584544</v>
      </c>
      <c r="Y791" s="146">
        <v>3672</v>
      </c>
      <c r="Z791" s="66">
        <f t="shared" si="334"/>
        <v>2937.6000000000004</v>
      </c>
      <c r="AA791" s="66">
        <v>825</v>
      </c>
      <c r="AB791" s="66"/>
      <c r="AC791" s="66"/>
      <c r="AD791" s="66">
        <f t="shared" si="335"/>
        <v>2937.6000000000004</v>
      </c>
      <c r="AE791" s="66">
        <f t="shared" si="336"/>
        <v>11483.358678584544</v>
      </c>
      <c r="AF791" s="101">
        <f t="shared" si="337"/>
        <v>94667.196274105037</v>
      </c>
      <c r="AG791" s="101">
        <f t="shared" si="338"/>
        <v>118333.99534263129</v>
      </c>
    </row>
    <row r="792" spans="1:33" s="68" customFormat="1" x14ac:dyDescent="0.2">
      <c r="A792" s="147" t="s">
        <v>472</v>
      </c>
      <c r="B792" s="147"/>
      <c r="C792" s="147"/>
      <c r="D792" s="148">
        <v>1</v>
      </c>
      <c r="E792" s="149"/>
      <c r="F792" s="150">
        <v>0.2</v>
      </c>
      <c r="G792" s="150"/>
      <c r="H792" s="67">
        <v>27859</v>
      </c>
      <c r="I792" s="67">
        <f t="shared" si="328"/>
        <v>26630.047871484025</v>
      </c>
      <c r="J792" s="67">
        <f t="shared" si="330"/>
        <v>21304.03829718722</v>
      </c>
      <c r="K792" s="63"/>
      <c r="L792" s="149">
        <v>0</v>
      </c>
      <c r="M792" s="63">
        <f t="shared" si="339"/>
        <v>0</v>
      </c>
      <c r="N792" s="63">
        <f t="shared" si="331"/>
        <v>0</v>
      </c>
      <c r="O792" s="69"/>
      <c r="P792" s="149">
        <v>0</v>
      </c>
      <c r="Q792" s="63">
        <f t="shared" si="329"/>
        <v>0</v>
      </c>
      <c r="R792" s="64">
        <f t="shared" si="332"/>
        <v>0</v>
      </c>
      <c r="S792" s="148">
        <v>15</v>
      </c>
      <c r="T792" s="151" t="s">
        <v>15</v>
      </c>
      <c r="U792" s="65">
        <f>SUMIF('Avoided Costs 2012-2020_EGD'!$A:$A,'2012 Actuals_Auditor'!T792&amp;'2012 Actuals_Auditor'!S792,'Avoided Costs 2012-2020_EGD'!$E:$E)*J792</f>
        <v>51766.765240273846</v>
      </c>
      <c r="V792" s="65">
        <f>SUMIF('Avoided Costs 2012-2020_EGD'!$A:$A,'2012 Actuals_Auditor'!T792&amp;'2012 Actuals_Auditor'!S792,'Avoided Costs 2012-2020_EGD'!$K:$K)*N792</f>
        <v>0</v>
      </c>
      <c r="W792" s="65">
        <f>SUMIF('Avoided Costs 2012-2020_EGD'!$A:$A,'2012 Actuals_Auditor'!T792&amp;'2012 Actuals_Auditor'!S792,'Avoided Costs 2012-2020_EGD'!$M:$M)*R792</f>
        <v>0</v>
      </c>
      <c r="X792" s="65">
        <f t="shared" si="333"/>
        <v>51766.765240273846</v>
      </c>
      <c r="Y792" s="146">
        <v>8568</v>
      </c>
      <c r="Z792" s="66">
        <f t="shared" si="334"/>
        <v>6854.4000000000005</v>
      </c>
      <c r="AA792" s="66">
        <v>2786</v>
      </c>
      <c r="AB792" s="66"/>
      <c r="AC792" s="66"/>
      <c r="AD792" s="66">
        <f t="shared" si="335"/>
        <v>6854.4000000000005</v>
      </c>
      <c r="AE792" s="66">
        <f t="shared" si="336"/>
        <v>44912.365240273844</v>
      </c>
      <c r="AF792" s="101">
        <f t="shared" si="337"/>
        <v>319560.57445780828</v>
      </c>
      <c r="AG792" s="101">
        <f t="shared" si="338"/>
        <v>399450.71807226038</v>
      </c>
    </row>
    <row r="793" spans="1:33" s="68" customFormat="1" x14ac:dyDescent="0.2">
      <c r="A793" s="147" t="s">
        <v>473</v>
      </c>
      <c r="B793" s="147"/>
      <c r="C793" s="147"/>
      <c r="D793" s="148">
        <v>1</v>
      </c>
      <c r="E793" s="149"/>
      <c r="F793" s="150">
        <v>0.2</v>
      </c>
      <c r="G793" s="150"/>
      <c r="H793" s="67">
        <v>113118</v>
      </c>
      <c r="I793" s="67">
        <f t="shared" si="328"/>
        <v>108127.99293321835</v>
      </c>
      <c r="J793" s="67">
        <f t="shared" si="330"/>
        <v>86502.394346574685</v>
      </c>
      <c r="K793" s="63"/>
      <c r="L793" s="149">
        <v>158796</v>
      </c>
      <c r="M793" s="63">
        <f t="shared" si="339"/>
        <v>158796</v>
      </c>
      <c r="N793" s="63">
        <f t="shared" si="331"/>
        <v>127036.8</v>
      </c>
      <c r="O793" s="69"/>
      <c r="P793" s="149">
        <v>0</v>
      </c>
      <c r="Q793" s="63">
        <f t="shared" si="329"/>
        <v>0</v>
      </c>
      <c r="R793" s="64">
        <f t="shared" si="332"/>
        <v>0</v>
      </c>
      <c r="S793" s="148">
        <v>15</v>
      </c>
      <c r="T793" s="151" t="s">
        <v>15</v>
      </c>
      <c r="U793" s="65">
        <f>SUMIF('Avoided Costs 2012-2020_EGD'!$A:$A,'2012 Actuals_Auditor'!T793&amp;'2012 Actuals_Auditor'!S793,'Avoided Costs 2012-2020_EGD'!$E:$E)*J793</f>
        <v>210192.503336419</v>
      </c>
      <c r="V793" s="65">
        <f>SUMIF('Avoided Costs 2012-2020_EGD'!$A:$A,'2012 Actuals_Auditor'!T793&amp;'2012 Actuals_Auditor'!S793,'Avoided Costs 2012-2020_EGD'!$K:$K)*N793</f>
        <v>130820.39111856571</v>
      </c>
      <c r="W793" s="65">
        <f>SUMIF('Avoided Costs 2012-2020_EGD'!$A:$A,'2012 Actuals_Auditor'!T793&amp;'2012 Actuals_Auditor'!S793,'Avoided Costs 2012-2020_EGD'!$M:$M)*R793</f>
        <v>0</v>
      </c>
      <c r="X793" s="65">
        <f t="shared" si="333"/>
        <v>341012.89445498469</v>
      </c>
      <c r="Y793" s="146">
        <v>21200</v>
      </c>
      <c r="Z793" s="66">
        <f t="shared" si="334"/>
        <v>16960</v>
      </c>
      <c r="AA793" s="66">
        <v>10600</v>
      </c>
      <c r="AB793" s="66"/>
      <c r="AC793" s="66"/>
      <c r="AD793" s="66">
        <f t="shared" si="335"/>
        <v>16960</v>
      </c>
      <c r="AE793" s="66">
        <f t="shared" si="336"/>
        <v>324052.89445498469</v>
      </c>
      <c r="AF793" s="101">
        <f t="shared" si="337"/>
        <v>1297535.9151986202</v>
      </c>
      <c r="AG793" s="101">
        <f t="shared" si="338"/>
        <v>1621919.8939982753</v>
      </c>
    </row>
    <row r="794" spans="1:33" s="68" customFormat="1" x14ac:dyDescent="0.2">
      <c r="A794" s="147" t="s">
        <v>474</v>
      </c>
      <c r="B794" s="147"/>
      <c r="C794" s="147"/>
      <c r="D794" s="148">
        <v>1</v>
      </c>
      <c r="E794" s="149"/>
      <c r="F794" s="150">
        <v>0.2</v>
      </c>
      <c r="G794" s="150"/>
      <c r="H794" s="67">
        <v>17023</v>
      </c>
      <c r="I794" s="67">
        <f t="shared" si="328"/>
        <v>16272.059475080676</v>
      </c>
      <c r="J794" s="67">
        <f t="shared" si="330"/>
        <v>13017.647580064542</v>
      </c>
      <c r="K794" s="63"/>
      <c r="L794" s="149">
        <v>39548</v>
      </c>
      <c r="M794" s="63">
        <f t="shared" si="339"/>
        <v>39548</v>
      </c>
      <c r="N794" s="63">
        <f t="shared" si="331"/>
        <v>31638.400000000001</v>
      </c>
      <c r="O794" s="69"/>
      <c r="P794" s="149">
        <v>0</v>
      </c>
      <c r="Q794" s="63">
        <f t="shared" si="329"/>
        <v>0</v>
      </c>
      <c r="R794" s="64">
        <f t="shared" si="332"/>
        <v>0</v>
      </c>
      <c r="S794" s="148">
        <v>15</v>
      </c>
      <c r="T794" s="151" t="s">
        <v>15</v>
      </c>
      <c r="U794" s="65">
        <f>SUMIF('Avoided Costs 2012-2020_EGD'!$A:$A,'2012 Actuals_Auditor'!T794&amp;'2012 Actuals_Auditor'!S794,'Avoided Costs 2012-2020_EGD'!$E:$E)*J794</f>
        <v>31631.632315775216</v>
      </c>
      <c r="V794" s="65">
        <f>SUMIF('Avoided Costs 2012-2020_EGD'!$A:$A,'2012 Actuals_Auditor'!T794&amp;'2012 Actuals_Auditor'!S794,'Avoided Costs 2012-2020_EGD'!$K:$K)*N794</f>
        <v>32580.699941793475</v>
      </c>
      <c r="W794" s="65">
        <f>SUMIF('Avoided Costs 2012-2020_EGD'!$A:$A,'2012 Actuals_Auditor'!T794&amp;'2012 Actuals_Auditor'!S794,'Avoided Costs 2012-2020_EGD'!$M:$M)*R794</f>
        <v>0</v>
      </c>
      <c r="X794" s="65">
        <f t="shared" si="333"/>
        <v>64212.332257568691</v>
      </c>
      <c r="Y794" s="146">
        <v>3000</v>
      </c>
      <c r="Z794" s="66">
        <f t="shared" si="334"/>
        <v>2400</v>
      </c>
      <c r="AA794" s="66">
        <v>3405</v>
      </c>
      <c r="AB794" s="66"/>
      <c r="AC794" s="66"/>
      <c r="AD794" s="66">
        <f t="shared" si="335"/>
        <v>2400</v>
      </c>
      <c r="AE794" s="66">
        <f t="shared" si="336"/>
        <v>61812.332257568691</v>
      </c>
      <c r="AF794" s="101">
        <f t="shared" si="337"/>
        <v>195264.71370096813</v>
      </c>
      <c r="AG794" s="101">
        <f t="shared" si="338"/>
        <v>244080.89212621015</v>
      </c>
    </row>
    <row r="795" spans="1:33" s="68" customFormat="1" x14ac:dyDescent="0.2">
      <c r="A795" s="147" t="s">
        <v>475</v>
      </c>
      <c r="B795" s="147"/>
      <c r="C795" s="147"/>
      <c r="D795" s="148">
        <v>1</v>
      </c>
      <c r="E795" s="149"/>
      <c r="F795" s="150">
        <v>0.2</v>
      </c>
      <c r="G795" s="150"/>
      <c r="H795" s="67">
        <v>42100</v>
      </c>
      <c r="I795" s="67">
        <f t="shared" si="328"/>
        <v>40242.830517587761</v>
      </c>
      <c r="J795" s="67">
        <f t="shared" si="330"/>
        <v>32194.26441407021</v>
      </c>
      <c r="K795" s="63"/>
      <c r="L795" s="149">
        <v>81318</v>
      </c>
      <c r="M795" s="63">
        <f t="shared" si="339"/>
        <v>81318</v>
      </c>
      <c r="N795" s="63">
        <f t="shared" si="331"/>
        <v>65054.400000000001</v>
      </c>
      <c r="O795" s="69"/>
      <c r="P795" s="149">
        <v>0</v>
      </c>
      <c r="Q795" s="63">
        <f t="shared" si="329"/>
        <v>0</v>
      </c>
      <c r="R795" s="64">
        <f t="shared" si="332"/>
        <v>0</v>
      </c>
      <c r="S795" s="148">
        <v>15</v>
      </c>
      <c r="T795" s="151" t="s">
        <v>15</v>
      </c>
      <c r="U795" s="65">
        <f>SUMIF('Avoided Costs 2012-2020_EGD'!$A:$A,'2012 Actuals_Auditor'!T795&amp;'2012 Actuals_Auditor'!S795,'Avoided Costs 2012-2020_EGD'!$E:$E)*J795</f>
        <v>78228.967896031041</v>
      </c>
      <c r="V795" s="65">
        <f>SUMIF('Avoided Costs 2012-2020_EGD'!$A:$A,'2012 Actuals_Auditor'!T795&amp;'2012 Actuals_Auditor'!S795,'Avoided Costs 2012-2020_EGD'!$K:$K)*N795</f>
        <v>66991.942901455492</v>
      </c>
      <c r="W795" s="65">
        <f>SUMIF('Avoided Costs 2012-2020_EGD'!$A:$A,'2012 Actuals_Auditor'!T795&amp;'2012 Actuals_Auditor'!S795,'Avoided Costs 2012-2020_EGD'!$M:$M)*R795</f>
        <v>0</v>
      </c>
      <c r="X795" s="65">
        <f t="shared" si="333"/>
        <v>145220.91079748655</v>
      </c>
      <c r="Y795" s="146">
        <v>16925</v>
      </c>
      <c r="Z795" s="66">
        <f t="shared" si="334"/>
        <v>13540</v>
      </c>
      <c r="AA795" s="66">
        <v>8420</v>
      </c>
      <c r="AB795" s="66"/>
      <c r="AC795" s="66"/>
      <c r="AD795" s="66">
        <f t="shared" si="335"/>
        <v>13540</v>
      </c>
      <c r="AE795" s="66">
        <f t="shared" si="336"/>
        <v>131680.91079748655</v>
      </c>
      <c r="AF795" s="101">
        <f t="shared" si="337"/>
        <v>482913.96621105314</v>
      </c>
      <c r="AG795" s="101">
        <f t="shared" si="338"/>
        <v>603642.45776381646</v>
      </c>
    </row>
    <row r="796" spans="1:33" s="68" customFormat="1" x14ac:dyDescent="0.2">
      <c r="A796" s="147" t="s">
        <v>476</v>
      </c>
      <c r="B796" s="147"/>
      <c r="C796" s="147"/>
      <c r="D796" s="148">
        <v>1</v>
      </c>
      <c r="E796" s="149"/>
      <c r="F796" s="150">
        <v>0.2</v>
      </c>
      <c r="G796" s="150"/>
      <c r="H796" s="67">
        <v>14033</v>
      </c>
      <c r="I796" s="67">
        <f t="shared" si="328"/>
        <v>13413.958210292378</v>
      </c>
      <c r="J796" s="67">
        <f t="shared" si="330"/>
        <v>10731.166568233903</v>
      </c>
      <c r="K796" s="63"/>
      <c r="L796" s="149">
        <v>0</v>
      </c>
      <c r="M796" s="63">
        <f t="shared" si="339"/>
        <v>0</v>
      </c>
      <c r="N796" s="63">
        <f t="shared" si="331"/>
        <v>0</v>
      </c>
      <c r="O796" s="69"/>
      <c r="P796" s="149">
        <v>0</v>
      </c>
      <c r="Q796" s="63">
        <f t="shared" si="329"/>
        <v>0</v>
      </c>
      <c r="R796" s="64">
        <f t="shared" si="332"/>
        <v>0</v>
      </c>
      <c r="S796" s="148">
        <v>25</v>
      </c>
      <c r="T796" s="151" t="s">
        <v>52</v>
      </c>
      <c r="U796" s="65">
        <f>SUMIF('Avoided Costs 2012-2020_EGD'!$A:$A,'2012 Actuals_Auditor'!T796&amp;'2012 Actuals_Auditor'!S796,'Avoided Costs 2012-2020_EGD'!$E:$E)*J796</f>
        <v>34627.238332683257</v>
      </c>
      <c r="V796" s="65">
        <f>SUMIF('Avoided Costs 2012-2020_EGD'!$A:$A,'2012 Actuals_Auditor'!T796&amp;'2012 Actuals_Auditor'!S796,'Avoided Costs 2012-2020_EGD'!$K:$K)*N796</f>
        <v>0</v>
      </c>
      <c r="W796" s="65">
        <f>SUMIF('Avoided Costs 2012-2020_EGD'!$A:$A,'2012 Actuals_Auditor'!T796&amp;'2012 Actuals_Auditor'!S796,'Avoided Costs 2012-2020_EGD'!$M:$M)*R796</f>
        <v>0</v>
      </c>
      <c r="X796" s="65">
        <f t="shared" si="333"/>
        <v>34627.238332683257</v>
      </c>
      <c r="Y796" s="146">
        <v>6751</v>
      </c>
      <c r="Z796" s="66">
        <f t="shared" si="334"/>
        <v>5400.8</v>
      </c>
      <c r="AA796" s="66">
        <v>3248</v>
      </c>
      <c r="AB796" s="66"/>
      <c r="AC796" s="66"/>
      <c r="AD796" s="66">
        <f t="shared" si="335"/>
        <v>5400.8</v>
      </c>
      <c r="AE796" s="66">
        <f t="shared" si="336"/>
        <v>29226.438332683258</v>
      </c>
      <c r="AF796" s="101">
        <f t="shared" si="337"/>
        <v>268279.16420584754</v>
      </c>
      <c r="AG796" s="101">
        <f t="shared" si="338"/>
        <v>335348.95525730943</v>
      </c>
    </row>
    <row r="797" spans="1:33" s="68" customFormat="1" x14ac:dyDescent="0.2">
      <c r="A797" s="147" t="s">
        <v>477</v>
      </c>
      <c r="B797" s="147"/>
      <c r="C797" s="147"/>
      <c r="D797" s="148">
        <v>1</v>
      </c>
      <c r="E797" s="149"/>
      <c r="F797" s="150">
        <v>0.2</v>
      </c>
      <c r="G797" s="150"/>
      <c r="H797" s="67">
        <v>9097</v>
      </c>
      <c r="I797" s="67">
        <f t="shared" si="328"/>
        <v>8695.7014066151041</v>
      </c>
      <c r="J797" s="67">
        <f t="shared" si="330"/>
        <v>6956.5611252920835</v>
      </c>
      <c r="K797" s="63"/>
      <c r="L797" s="149">
        <v>0</v>
      </c>
      <c r="M797" s="63">
        <f t="shared" si="339"/>
        <v>0</v>
      </c>
      <c r="N797" s="63">
        <f t="shared" si="331"/>
        <v>0</v>
      </c>
      <c r="O797" s="69"/>
      <c r="P797" s="149">
        <v>0</v>
      </c>
      <c r="Q797" s="63">
        <f t="shared" si="329"/>
        <v>0</v>
      </c>
      <c r="R797" s="64">
        <f t="shared" si="332"/>
        <v>0</v>
      </c>
      <c r="S797" s="148">
        <v>25</v>
      </c>
      <c r="T797" s="151" t="s">
        <v>52</v>
      </c>
      <c r="U797" s="65">
        <f>SUMIF('Avoided Costs 2012-2020_EGD'!$A:$A,'2012 Actuals_Auditor'!T797&amp;'2012 Actuals_Auditor'!S797,'Avoided Costs 2012-2020_EGD'!$E:$E)*J797</f>
        <v>22447.373128512761</v>
      </c>
      <c r="V797" s="65">
        <f>SUMIF('Avoided Costs 2012-2020_EGD'!$A:$A,'2012 Actuals_Auditor'!T797&amp;'2012 Actuals_Auditor'!S797,'Avoided Costs 2012-2020_EGD'!$K:$K)*N797</f>
        <v>0</v>
      </c>
      <c r="W797" s="65">
        <f>SUMIF('Avoided Costs 2012-2020_EGD'!$A:$A,'2012 Actuals_Auditor'!T797&amp;'2012 Actuals_Auditor'!S797,'Avoided Costs 2012-2020_EGD'!$M:$M)*R797</f>
        <v>0</v>
      </c>
      <c r="X797" s="65">
        <f t="shared" si="333"/>
        <v>22447.373128512761</v>
      </c>
      <c r="Y797" s="146">
        <v>5249</v>
      </c>
      <c r="Z797" s="66">
        <f t="shared" si="334"/>
        <v>4199.2</v>
      </c>
      <c r="AA797" s="66">
        <v>1555</v>
      </c>
      <c r="AB797" s="66"/>
      <c r="AC797" s="66"/>
      <c r="AD797" s="66">
        <f t="shared" si="335"/>
        <v>4199.2</v>
      </c>
      <c r="AE797" s="66">
        <f t="shared" si="336"/>
        <v>18248.173128512761</v>
      </c>
      <c r="AF797" s="101">
        <f t="shared" si="337"/>
        <v>173914.02813230208</v>
      </c>
      <c r="AG797" s="101">
        <f t="shared" si="338"/>
        <v>217392.5351653776</v>
      </c>
    </row>
    <row r="798" spans="1:33" s="68" customFormat="1" x14ac:dyDescent="0.2">
      <c r="A798" s="141" t="s">
        <v>478</v>
      </c>
      <c r="B798" s="141"/>
      <c r="C798" s="141"/>
      <c r="D798" s="142">
        <v>1</v>
      </c>
      <c r="E798" s="143"/>
      <c r="F798" s="144">
        <v>0.2</v>
      </c>
      <c r="G798" s="144"/>
      <c r="H798" s="67">
        <v>18792</v>
      </c>
      <c r="I798" s="67">
        <f t="shared" si="328"/>
        <v>17963.023066187867</v>
      </c>
      <c r="J798" s="67">
        <f t="shared" si="330"/>
        <v>14370.418452950295</v>
      </c>
      <c r="K798" s="143"/>
      <c r="L798" s="143">
        <v>0</v>
      </c>
      <c r="M798" s="63">
        <f t="shared" si="339"/>
        <v>0</v>
      </c>
      <c r="N798" s="63">
        <f t="shared" si="331"/>
        <v>0</v>
      </c>
      <c r="O798" s="143"/>
      <c r="P798" s="143">
        <v>0</v>
      </c>
      <c r="Q798" s="63">
        <f t="shared" si="329"/>
        <v>0</v>
      </c>
      <c r="R798" s="64">
        <f t="shared" si="332"/>
        <v>0</v>
      </c>
      <c r="S798" s="142">
        <v>25</v>
      </c>
      <c r="T798" s="145" t="s">
        <v>52</v>
      </c>
      <c r="U798" s="65">
        <f>SUMIF('Avoided Costs 2012-2020_EGD'!$A:$A,'2012 Actuals_Auditor'!T798&amp;'2012 Actuals_Auditor'!S798,'Avoided Costs 2012-2020_EGD'!$E:$E)*J798</f>
        <v>46370.34580971879</v>
      </c>
      <c r="V798" s="65">
        <f>SUMIF('Avoided Costs 2012-2020_EGD'!$A:$A,'2012 Actuals_Auditor'!T798&amp;'2012 Actuals_Auditor'!S798,'Avoided Costs 2012-2020_EGD'!$K:$K)*N798</f>
        <v>0</v>
      </c>
      <c r="W798" s="65">
        <f>SUMIF('Avoided Costs 2012-2020_EGD'!$A:$A,'2012 Actuals_Auditor'!T798&amp;'2012 Actuals_Auditor'!S798,'Avoided Costs 2012-2020_EGD'!$M:$M)*R798</f>
        <v>0</v>
      </c>
      <c r="X798" s="65">
        <f t="shared" si="333"/>
        <v>46370.34580971879</v>
      </c>
      <c r="Y798" s="146">
        <v>6751</v>
      </c>
      <c r="Z798" s="66">
        <f t="shared" si="334"/>
        <v>5400.8</v>
      </c>
      <c r="AA798" s="66">
        <v>1894</v>
      </c>
      <c r="AB798" s="66"/>
      <c r="AC798" s="66"/>
      <c r="AD798" s="66">
        <f t="shared" si="335"/>
        <v>5400.8</v>
      </c>
      <c r="AE798" s="66">
        <f t="shared" si="336"/>
        <v>40969.545809718787</v>
      </c>
      <c r="AF798" s="101">
        <f t="shared" si="337"/>
        <v>359260.46132375736</v>
      </c>
      <c r="AG798" s="101">
        <f t="shared" si="338"/>
        <v>449075.57665469666</v>
      </c>
    </row>
    <row r="799" spans="1:33" s="68" customFormat="1" x14ac:dyDescent="0.2">
      <c r="A799" s="147" t="s">
        <v>479</v>
      </c>
      <c r="B799" s="147"/>
      <c r="C799" s="147"/>
      <c r="D799" s="148">
        <v>0</v>
      </c>
      <c r="E799" s="149"/>
      <c r="F799" s="150">
        <v>0.2</v>
      </c>
      <c r="G799" s="150"/>
      <c r="H799" s="67">
        <v>6073</v>
      </c>
      <c r="I799" s="67">
        <f t="shared" si="328"/>
        <v>5805.0999936653325</v>
      </c>
      <c r="J799" s="67">
        <f t="shared" si="330"/>
        <v>4644.0799949322663</v>
      </c>
      <c r="K799" s="63"/>
      <c r="L799" s="149">
        <v>0</v>
      </c>
      <c r="M799" s="63">
        <f t="shared" si="339"/>
        <v>0</v>
      </c>
      <c r="N799" s="63">
        <f t="shared" si="331"/>
        <v>0</v>
      </c>
      <c r="O799" s="69"/>
      <c r="P799" s="149">
        <v>0</v>
      </c>
      <c r="Q799" s="63">
        <f t="shared" si="329"/>
        <v>0</v>
      </c>
      <c r="R799" s="64">
        <f t="shared" si="332"/>
        <v>0</v>
      </c>
      <c r="S799" s="148">
        <v>15</v>
      </c>
      <c r="T799" s="151" t="s">
        <v>52</v>
      </c>
      <c r="U799" s="65">
        <f>SUMIF('Avoided Costs 2012-2020_EGD'!$A:$A,'2012 Actuals_Auditor'!T799&amp;'2012 Actuals_Auditor'!S799,'Avoided Costs 2012-2020_EGD'!$E:$E)*J799</f>
        <v>10611.714777056093</v>
      </c>
      <c r="V799" s="65">
        <f>SUMIF('Avoided Costs 2012-2020_EGD'!$A:$A,'2012 Actuals_Auditor'!T799&amp;'2012 Actuals_Auditor'!S799,'Avoided Costs 2012-2020_EGD'!$K:$K)*N799</f>
        <v>0</v>
      </c>
      <c r="W799" s="65">
        <f>SUMIF('Avoided Costs 2012-2020_EGD'!$A:$A,'2012 Actuals_Auditor'!T799&amp;'2012 Actuals_Auditor'!S799,'Avoided Costs 2012-2020_EGD'!$M:$M)*R799</f>
        <v>0</v>
      </c>
      <c r="X799" s="65">
        <f t="shared" si="333"/>
        <v>10611.714777056093</v>
      </c>
      <c r="Y799" s="146">
        <v>2995</v>
      </c>
      <c r="Z799" s="66">
        <f t="shared" si="334"/>
        <v>2396</v>
      </c>
      <c r="AA799" s="66">
        <v>608</v>
      </c>
      <c r="AB799" s="66"/>
      <c r="AC799" s="66"/>
      <c r="AD799" s="66">
        <f t="shared" si="335"/>
        <v>2396</v>
      </c>
      <c r="AE799" s="66">
        <f t="shared" si="336"/>
        <v>8215.7147770560932</v>
      </c>
      <c r="AF799" s="101">
        <f t="shared" si="337"/>
        <v>69661.199923983993</v>
      </c>
      <c r="AG799" s="101">
        <f t="shared" si="338"/>
        <v>87076.499904979981</v>
      </c>
    </row>
    <row r="800" spans="1:33" s="68" customFormat="1" x14ac:dyDescent="0.2">
      <c r="A800" s="147" t="s">
        <v>480</v>
      </c>
      <c r="B800" s="147"/>
      <c r="C800" s="147"/>
      <c r="D800" s="148">
        <v>1</v>
      </c>
      <c r="E800" s="149"/>
      <c r="F800" s="150">
        <v>0.2</v>
      </c>
      <c r="G800" s="150"/>
      <c r="H800" s="67">
        <v>11953</v>
      </c>
      <c r="I800" s="67">
        <f t="shared" si="328"/>
        <v>11425.713852178777</v>
      </c>
      <c r="J800" s="67">
        <f t="shared" si="330"/>
        <v>9140.5710817430208</v>
      </c>
      <c r="K800" s="63"/>
      <c r="L800" s="149">
        <v>0</v>
      </c>
      <c r="M800" s="63">
        <f t="shared" si="339"/>
        <v>0</v>
      </c>
      <c r="N800" s="63">
        <f t="shared" si="331"/>
        <v>0</v>
      </c>
      <c r="O800" s="69"/>
      <c r="P800" s="149">
        <v>0</v>
      </c>
      <c r="Q800" s="63">
        <f t="shared" si="329"/>
        <v>0</v>
      </c>
      <c r="R800" s="64">
        <f t="shared" si="332"/>
        <v>0</v>
      </c>
      <c r="S800" s="148">
        <v>15</v>
      </c>
      <c r="T800" s="151" t="s">
        <v>15</v>
      </c>
      <c r="U800" s="65">
        <f>SUMIF('Avoided Costs 2012-2020_EGD'!$A:$A,'2012 Actuals_Auditor'!T800&amp;'2012 Actuals_Auditor'!S800,'Avoided Costs 2012-2020_EGD'!$E:$E)*J800</f>
        <v>22210.70910359285</v>
      </c>
      <c r="V800" s="65">
        <f>SUMIF('Avoided Costs 2012-2020_EGD'!$A:$A,'2012 Actuals_Auditor'!T800&amp;'2012 Actuals_Auditor'!S800,'Avoided Costs 2012-2020_EGD'!$K:$K)*N800</f>
        <v>0</v>
      </c>
      <c r="W800" s="65">
        <f>SUMIF('Avoided Costs 2012-2020_EGD'!$A:$A,'2012 Actuals_Auditor'!T800&amp;'2012 Actuals_Auditor'!S800,'Avoided Costs 2012-2020_EGD'!$M:$M)*R800</f>
        <v>0</v>
      </c>
      <c r="X800" s="65">
        <f t="shared" si="333"/>
        <v>22210.70910359285</v>
      </c>
      <c r="Y800" s="146">
        <v>4295</v>
      </c>
      <c r="Z800" s="66">
        <f t="shared" si="334"/>
        <v>3436</v>
      </c>
      <c r="AA800" s="66">
        <v>1195</v>
      </c>
      <c r="AB800" s="66"/>
      <c r="AC800" s="66"/>
      <c r="AD800" s="66">
        <f t="shared" si="335"/>
        <v>3436</v>
      </c>
      <c r="AE800" s="66">
        <f t="shared" si="336"/>
        <v>18774.70910359285</v>
      </c>
      <c r="AF800" s="101">
        <f t="shared" si="337"/>
        <v>137108.56622614531</v>
      </c>
      <c r="AG800" s="101">
        <f t="shared" si="338"/>
        <v>171385.70778268165</v>
      </c>
    </row>
    <row r="801" spans="1:33" s="68" customFormat="1" x14ac:dyDescent="0.2">
      <c r="A801" s="147" t="s">
        <v>481</v>
      </c>
      <c r="B801" s="147"/>
      <c r="C801" s="147"/>
      <c r="D801" s="148">
        <v>1</v>
      </c>
      <c r="E801" s="149"/>
      <c r="F801" s="150">
        <v>0.2</v>
      </c>
      <c r="G801" s="150"/>
      <c r="H801" s="67">
        <v>34450</v>
      </c>
      <c r="I801" s="67">
        <f t="shared" si="328"/>
        <v>32930.297181256494</v>
      </c>
      <c r="J801" s="67">
        <f t="shared" si="330"/>
        <v>26344.237745005197</v>
      </c>
      <c r="K801" s="63"/>
      <c r="L801" s="149">
        <v>26588</v>
      </c>
      <c r="M801" s="63">
        <f t="shared" si="339"/>
        <v>26588</v>
      </c>
      <c r="N801" s="63">
        <f t="shared" si="331"/>
        <v>21270.400000000001</v>
      </c>
      <c r="O801" s="69"/>
      <c r="P801" s="149">
        <v>0</v>
      </c>
      <c r="Q801" s="63">
        <f t="shared" si="329"/>
        <v>0</v>
      </c>
      <c r="R801" s="64">
        <f t="shared" si="332"/>
        <v>0</v>
      </c>
      <c r="S801" s="148">
        <v>15</v>
      </c>
      <c r="T801" s="151" t="s">
        <v>15</v>
      </c>
      <c r="U801" s="65">
        <f>SUMIF('Avoided Costs 2012-2020_EGD'!$A:$A,'2012 Actuals_Auditor'!T801&amp;'2012 Actuals_Auditor'!S801,'Avoided Costs 2012-2020_EGD'!$E:$E)*J801</f>
        <v>64013.965416110921</v>
      </c>
      <c r="V801" s="65">
        <f>SUMIF('Avoided Costs 2012-2020_EGD'!$A:$A,'2012 Actuals_Auditor'!T801&amp;'2012 Actuals_Auditor'!S801,'Avoided Costs 2012-2020_EGD'!$K:$K)*N801</f>
        <v>21903.90538212817</v>
      </c>
      <c r="W801" s="65">
        <f>SUMIF('Avoided Costs 2012-2020_EGD'!$A:$A,'2012 Actuals_Auditor'!T801&amp;'2012 Actuals_Auditor'!S801,'Avoided Costs 2012-2020_EGD'!$M:$M)*R801</f>
        <v>0</v>
      </c>
      <c r="X801" s="65">
        <f t="shared" si="333"/>
        <v>85917.870798239092</v>
      </c>
      <c r="Y801" s="146">
        <v>18500</v>
      </c>
      <c r="Z801" s="66">
        <f t="shared" si="334"/>
        <v>14800</v>
      </c>
      <c r="AA801" s="66">
        <v>6890</v>
      </c>
      <c r="AB801" s="66"/>
      <c r="AC801" s="66"/>
      <c r="AD801" s="66">
        <f t="shared" si="335"/>
        <v>14800</v>
      </c>
      <c r="AE801" s="66">
        <f t="shared" si="336"/>
        <v>71117.870798239092</v>
      </c>
      <c r="AF801" s="101">
        <f t="shared" si="337"/>
        <v>395163.56617507798</v>
      </c>
      <c r="AG801" s="101">
        <f t="shared" si="338"/>
        <v>493954.45771884744</v>
      </c>
    </row>
    <row r="802" spans="1:33" s="68" customFormat="1" x14ac:dyDescent="0.2">
      <c r="A802" s="147" t="s">
        <v>482</v>
      </c>
      <c r="B802" s="147"/>
      <c r="C802" s="147"/>
      <c r="D802" s="148">
        <v>1</v>
      </c>
      <c r="E802" s="149"/>
      <c r="F802" s="150">
        <v>0.2</v>
      </c>
      <c r="G802" s="150"/>
      <c r="H802" s="67">
        <v>9541</v>
      </c>
      <c r="I802" s="67">
        <f t="shared" si="328"/>
        <v>9120.1151061355067</v>
      </c>
      <c r="J802" s="67">
        <f t="shared" si="330"/>
        <v>7296.0920849084059</v>
      </c>
      <c r="K802" s="63"/>
      <c r="L802" s="149">
        <v>10635</v>
      </c>
      <c r="M802" s="63">
        <f t="shared" si="339"/>
        <v>10635</v>
      </c>
      <c r="N802" s="63">
        <f t="shared" si="331"/>
        <v>8508</v>
      </c>
      <c r="O802" s="69"/>
      <c r="P802" s="149">
        <v>0</v>
      </c>
      <c r="Q802" s="63">
        <f t="shared" si="329"/>
        <v>0</v>
      </c>
      <c r="R802" s="64">
        <f t="shared" si="332"/>
        <v>0</v>
      </c>
      <c r="S802" s="148">
        <v>15</v>
      </c>
      <c r="T802" s="151" t="s">
        <v>15</v>
      </c>
      <c r="U802" s="65">
        <f>SUMIF('Avoided Costs 2012-2020_EGD'!$A:$A,'2012 Actuals_Auditor'!T802&amp;'2012 Actuals_Auditor'!S802,'Avoided Costs 2012-2020_EGD'!$E:$E)*J802</f>
        <v>17728.802439335683</v>
      </c>
      <c r="V802" s="65">
        <f>SUMIF('Avoided Costs 2012-2020_EGD'!$A:$A,'2012 Actuals_Auditor'!T802&amp;'2012 Actuals_Auditor'!S802,'Avoided Costs 2012-2020_EGD'!$K:$K)*N802</f>
        <v>8761.3973875031261</v>
      </c>
      <c r="W802" s="65">
        <f>SUMIF('Avoided Costs 2012-2020_EGD'!$A:$A,'2012 Actuals_Auditor'!T802&amp;'2012 Actuals_Auditor'!S802,'Avoided Costs 2012-2020_EGD'!$M:$M)*R802</f>
        <v>0</v>
      </c>
      <c r="X802" s="65">
        <f t="shared" si="333"/>
        <v>26490.199826838809</v>
      </c>
      <c r="Y802" s="146">
        <v>24800</v>
      </c>
      <c r="Z802" s="66">
        <f t="shared" si="334"/>
        <v>19840</v>
      </c>
      <c r="AA802" s="66">
        <v>1908</v>
      </c>
      <c r="AB802" s="66"/>
      <c r="AC802" s="66"/>
      <c r="AD802" s="66">
        <f t="shared" si="335"/>
        <v>19840</v>
      </c>
      <c r="AE802" s="66">
        <f t="shared" si="336"/>
        <v>6650.1998268388088</v>
      </c>
      <c r="AF802" s="101">
        <f t="shared" si="337"/>
        <v>109441.38127362609</v>
      </c>
      <c r="AG802" s="101">
        <f t="shared" si="338"/>
        <v>136801.72659203259</v>
      </c>
    </row>
    <row r="803" spans="1:33" s="68" customFormat="1" x14ac:dyDescent="0.2">
      <c r="A803" s="147" t="s">
        <v>483</v>
      </c>
      <c r="B803" s="147"/>
      <c r="C803" s="147"/>
      <c r="D803" s="148">
        <v>1</v>
      </c>
      <c r="E803" s="149"/>
      <c r="F803" s="150">
        <v>0.2</v>
      </c>
      <c r="G803" s="150"/>
      <c r="H803" s="67">
        <v>14312</v>
      </c>
      <c r="I803" s="67">
        <f t="shared" si="328"/>
        <v>13680.650602558577</v>
      </c>
      <c r="J803" s="67">
        <f t="shared" si="330"/>
        <v>10944.520482046863</v>
      </c>
      <c r="K803" s="63"/>
      <c r="L803" s="149">
        <v>15953</v>
      </c>
      <c r="M803" s="63">
        <f t="shared" si="339"/>
        <v>15953</v>
      </c>
      <c r="N803" s="63">
        <f t="shared" si="331"/>
        <v>12762.400000000001</v>
      </c>
      <c r="O803" s="69"/>
      <c r="P803" s="149">
        <v>0</v>
      </c>
      <c r="Q803" s="63">
        <f t="shared" si="329"/>
        <v>0</v>
      </c>
      <c r="R803" s="64">
        <f t="shared" si="332"/>
        <v>0</v>
      </c>
      <c r="S803" s="148">
        <v>15</v>
      </c>
      <c r="T803" s="151" t="s">
        <v>15</v>
      </c>
      <c r="U803" s="65">
        <f>SUMIF('Avoided Costs 2012-2020_EGD'!$A:$A,'2012 Actuals_Auditor'!T803&amp;'2012 Actuals_Auditor'!S803,'Avoided Costs 2012-2020_EGD'!$E:$E)*J803</f>
        <v>26594.132744132934</v>
      </c>
      <c r="V803" s="65">
        <f>SUMIF('Avoided Costs 2012-2020_EGD'!$A:$A,'2012 Actuals_Auditor'!T803&amp;'2012 Actuals_Auditor'!S803,'Avoided Costs 2012-2020_EGD'!$K:$K)*N803</f>
        <v>13142.507994625046</v>
      </c>
      <c r="W803" s="65">
        <f>SUMIF('Avoided Costs 2012-2020_EGD'!$A:$A,'2012 Actuals_Auditor'!T803&amp;'2012 Actuals_Auditor'!S803,'Avoided Costs 2012-2020_EGD'!$M:$M)*R803</f>
        <v>0</v>
      </c>
      <c r="X803" s="65">
        <f t="shared" si="333"/>
        <v>39736.640738757982</v>
      </c>
      <c r="Y803" s="146">
        <v>24800</v>
      </c>
      <c r="Z803" s="66">
        <f t="shared" si="334"/>
        <v>19840</v>
      </c>
      <c r="AA803" s="66">
        <v>2862</v>
      </c>
      <c r="AB803" s="66"/>
      <c r="AC803" s="66"/>
      <c r="AD803" s="66">
        <f t="shared" si="335"/>
        <v>19840</v>
      </c>
      <c r="AE803" s="66">
        <f t="shared" si="336"/>
        <v>19896.640738757982</v>
      </c>
      <c r="AF803" s="101">
        <f t="shared" si="337"/>
        <v>164167.80723070295</v>
      </c>
      <c r="AG803" s="101">
        <f t="shared" si="338"/>
        <v>205209.75903837866</v>
      </c>
    </row>
    <row r="804" spans="1:33" s="68" customFormat="1" x14ac:dyDescent="0.2">
      <c r="A804" s="141" t="s">
        <v>484</v>
      </c>
      <c r="B804" s="141"/>
      <c r="C804" s="141"/>
      <c r="D804" s="142">
        <v>1</v>
      </c>
      <c r="E804" s="143"/>
      <c r="F804" s="144">
        <v>0.2</v>
      </c>
      <c r="G804" s="144"/>
      <c r="H804" s="67">
        <v>5824</v>
      </c>
      <c r="I804" s="67">
        <f t="shared" si="328"/>
        <v>5567.0842027180788</v>
      </c>
      <c r="J804" s="67">
        <f t="shared" si="330"/>
        <v>4453.6673621744631</v>
      </c>
      <c r="K804" s="143"/>
      <c r="L804" s="143">
        <v>0</v>
      </c>
      <c r="M804" s="63">
        <f t="shared" si="339"/>
        <v>0</v>
      </c>
      <c r="N804" s="63">
        <f t="shared" si="331"/>
        <v>0</v>
      </c>
      <c r="O804" s="143"/>
      <c r="P804" s="143">
        <v>0</v>
      </c>
      <c r="Q804" s="63">
        <f t="shared" si="329"/>
        <v>0</v>
      </c>
      <c r="R804" s="64">
        <f t="shared" si="332"/>
        <v>0</v>
      </c>
      <c r="S804" s="142">
        <v>25</v>
      </c>
      <c r="T804" s="145" t="s">
        <v>52</v>
      </c>
      <c r="U804" s="65">
        <f>SUMIF('Avoided Costs 2012-2020_EGD'!$A:$A,'2012 Actuals_Auditor'!T804&amp;'2012 Actuals_Auditor'!S804,'Avoided Costs 2012-2020_EGD'!$E:$E)*J804</f>
        <v>14371.056513186581</v>
      </c>
      <c r="V804" s="65">
        <f>SUMIF('Avoided Costs 2012-2020_EGD'!$A:$A,'2012 Actuals_Auditor'!T804&amp;'2012 Actuals_Auditor'!S804,'Avoided Costs 2012-2020_EGD'!$K:$K)*N804</f>
        <v>0</v>
      </c>
      <c r="W804" s="65">
        <f>SUMIF('Avoided Costs 2012-2020_EGD'!$A:$A,'2012 Actuals_Auditor'!T804&amp;'2012 Actuals_Auditor'!S804,'Avoided Costs 2012-2020_EGD'!$M:$M)*R804</f>
        <v>0</v>
      </c>
      <c r="X804" s="65">
        <f t="shared" si="333"/>
        <v>14371.056513186581</v>
      </c>
      <c r="Y804" s="146">
        <v>6096</v>
      </c>
      <c r="Z804" s="66">
        <f t="shared" si="334"/>
        <v>4876.8</v>
      </c>
      <c r="AA804" s="66">
        <v>1060</v>
      </c>
      <c r="AB804" s="66"/>
      <c r="AC804" s="66"/>
      <c r="AD804" s="66">
        <f t="shared" si="335"/>
        <v>4876.8</v>
      </c>
      <c r="AE804" s="66">
        <f t="shared" si="336"/>
        <v>9494.2565131865813</v>
      </c>
      <c r="AF804" s="101">
        <f t="shared" si="337"/>
        <v>111341.68405436157</v>
      </c>
      <c r="AG804" s="101">
        <f t="shared" si="338"/>
        <v>139177.10506795198</v>
      </c>
    </row>
    <row r="805" spans="1:33" s="68" customFormat="1" x14ac:dyDescent="0.2">
      <c r="A805" s="147" t="s">
        <v>485</v>
      </c>
      <c r="B805" s="147"/>
      <c r="C805" s="147"/>
      <c r="D805" s="148">
        <v>1</v>
      </c>
      <c r="E805" s="149"/>
      <c r="F805" s="150">
        <v>0.2</v>
      </c>
      <c r="G805" s="150"/>
      <c r="H805" s="67">
        <v>35087</v>
      </c>
      <c r="I805" s="67">
        <f t="shared" si="328"/>
        <v>33539.197015928781</v>
      </c>
      <c r="J805" s="67">
        <f t="shared" si="330"/>
        <v>26831.357612743028</v>
      </c>
      <c r="K805" s="63"/>
      <c r="L805" s="149">
        <v>37224</v>
      </c>
      <c r="M805" s="63">
        <f t="shared" si="339"/>
        <v>37224</v>
      </c>
      <c r="N805" s="63">
        <f t="shared" si="331"/>
        <v>29779.200000000001</v>
      </c>
      <c r="O805" s="69"/>
      <c r="P805" s="149">
        <v>0</v>
      </c>
      <c r="Q805" s="63">
        <f t="shared" si="329"/>
        <v>0</v>
      </c>
      <c r="R805" s="64">
        <f t="shared" si="332"/>
        <v>0</v>
      </c>
      <c r="S805" s="148">
        <v>15</v>
      </c>
      <c r="T805" s="151" t="s">
        <v>15</v>
      </c>
      <c r="U805" s="65">
        <f>SUMIF('Avoided Costs 2012-2020_EGD'!$A:$A,'2012 Actuals_Auditor'!T805&amp;'2012 Actuals_Auditor'!S805,'Avoided Costs 2012-2020_EGD'!$E:$E)*J805</f>
        <v>65197.61987097485</v>
      </c>
      <c r="V805" s="65">
        <f>SUMIF('Avoided Costs 2012-2020_EGD'!$A:$A,'2012 Actuals_Auditor'!T805&amp;'2012 Actuals_Auditor'!S805,'Avoided Costs 2012-2020_EGD'!$K:$K)*N805</f>
        <v>30666.126596372011</v>
      </c>
      <c r="W805" s="65">
        <f>SUMIF('Avoided Costs 2012-2020_EGD'!$A:$A,'2012 Actuals_Auditor'!T805&amp;'2012 Actuals_Auditor'!S805,'Avoided Costs 2012-2020_EGD'!$M:$M)*R805</f>
        <v>0</v>
      </c>
      <c r="X805" s="65">
        <f t="shared" si="333"/>
        <v>95863.746467346864</v>
      </c>
      <c r="Y805" s="146">
        <v>18500</v>
      </c>
      <c r="Z805" s="66">
        <f t="shared" si="334"/>
        <v>14800</v>
      </c>
      <c r="AA805" s="66">
        <v>7017</v>
      </c>
      <c r="AB805" s="66"/>
      <c r="AC805" s="66"/>
      <c r="AD805" s="66">
        <f t="shared" si="335"/>
        <v>14800</v>
      </c>
      <c r="AE805" s="66">
        <f t="shared" si="336"/>
        <v>81063.746467346864</v>
      </c>
      <c r="AF805" s="101">
        <f t="shared" si="337"/>
        <v>402470.3641911454</v>
      </c>
      <c r="AG805" s="101">
        <f t="shared" si="338"/>
        <v>503087.9552389317</v>
      </c>
    </row>
    <row r="806" spans="1:33" s="68" customFormat="1" x14ac:dyDescent="0.2">
      <c r="A806" s="147" t="s">
        <v>486</v>
      </c>
      <c r="B806" s="147"/>
      <c r="C806" s="147"/>
      <c r="D806" s="148">
        <v>1</v>
      </c>
      <c r="E806" s="149"/>
      <c r="F806" s="150">
        <v>0.2</v>
      </c>
      <c r="G806" s="150"/>
      <c r="H806" s="67">
        <v>1142</v>
      </c>
      <c r="I806" s="67">
        <f t="shared" ref="I806:I833" si="340">+$H$42*H806</f>
        <v>1091.6226235412166</v>
      </c>
      <c r="J806" s="67">
        <f t="shared" si="330"/>
        <v>873.29809883297332</v>
      </c>
      <c r="K806" s="63"/>
      <c r="L806" s="149">
        <v>0</v>
      </c>
      <c r="M806" s="63">
        <f t="shared" si="339"/>
        <v>0</v>
      </c>
      <c r="N806" s="63">
        <f t="shared" si="331"/>
        <v>0</v>
      </c>
      <c r="O806" s="69"/>
      <c r="P806" s="149">
        <v>0</v>
      </c>
      <c r="Q806" s="63">
        <f t="shared" ref="Q806:Q833" si="341">+P806*$P$42</f>
        <v>0</v>
      </c>
      <c r="R806" s="64">
        <f t="shared" si="332"/>
        <v>0</v>
      </c>
      <c r="S806" s="148">
        <v>15</v>
      </c>
      <c r="T806" s="151" t="s">
        <v>15</v>
      </c>
      <c r="U806" s="65">
        <f>SUMIF('Avoided Costs 2012-2020_EGD'!$A:$A,'2012 Actuals_Auditor'!T806&amp;'2012 Actuals_Auditor'!S806,'Avoided Costs 2012-2020_EGD'!$E:$E)*J806</f>
        <v>2122.0304355645476</v>
      </c>
      <c r="V806" s="65">
        <f>SUMIF('Avoided Costs 2012-2020_EGD'!$A:$A,'2012 Actuals_Auditor'!T806&amp;'2012 Actuals_Auditor'!S806,'Avoided Costs 2012-2020_EGD'!$K:$K)*N806</f>
        <v>0</v>
      </c>
      <c r="W806" s="65">
        <f>SUMIF('Avoided Costs 2012-2020_EGD'!$A:$A,'2012 Actuals_Auditor'!T806&amp;'2012 Actuals_Auditor'!S806,'Avoided Costs 2012-2020_EGD'!$M:$M)*R806</f>
        <v>0</v>
      </c>
      <c r="X806" s="65">
        <f t="shared" si="333"/>
        <v>2122.0304355645476</v>
      </c>
      <c r="Y806" s="146">
        <v>2200</v>
      </c>
      <c r="Z806" s="66">
        <f t="shared" si="334"/>
        <v>1760</v>
      </c>
      <c r="AA806" s="66">
        <v>114</v>
      </c>
      <c r="AB806" s="66"/>
      <c r="AC806" s="66"/>
      <c r="AD806" s="66">
        <f t="shared" si="335"/>
        <v>1760</v>
      </c>
      <c r="AE806" s="66">
        <f t="shared" si="336"/>
        <v>362.03043556454759</v>
      </c>
      <c r="AF806" s="101">
        <f t="shared" si="337"/>
        <v>13099.4714824946</v>
      </c>
      <c r="AG806" s="101">
        <f t="shared" si="338"/>
        <v>16374.33935311825</v>
      </c>
    </row>
    <row r="807" spans="1:33" s="68" customFormat="1" x14ac:dyDescent="0.2">
      <c r="A807" s="147" t="s">
        <v>487</v>
      </c>
      <c r="B807" s="147"/>
      <c r="C807" s="147"/>
      <c r="D807" s="148">
        <v>1</v>
      </c>
      <c r="E807" s="149"/>
      <c r="F807" s="150">
        <v>0.2</v>
      </c>
      <c r="G807" s="150"/>
      <c r="H807" s="67">
        <v>24000</v>
      </c>
      <c r="I807" s="67">
        <f t="shared" si="340"/>
        <v>22941.28105515692</v>
      </c>
      <c r="J807" s="67">
        <f t="shared" si="330"/>
        <v>18353.024844125535</v>
      </c>
      <c r="K807" s="63"/>
      <c r="L807" s="149">
        <v>0</v>
      </c>
      <c r="M807" s="63">
        <f t="shared" si="339"/>
        <v>0</v>
      </c>
      <c r="N807" s="63">
        <f t="shared" si="331"/>
        <v>0</v>
      </c>
      <c r="O807" s="69"/>
      <c r="P807" s="149">
        <v>0</v>
      </c>
      <c r="Q807" s="63">
        <f t="shared" si="341"/>
        <v>0</v>
      </c>
      <c r="R807" s="64">
        <f t="shared" si="332"/>
        <v>0</v>
      </c>
      <c r="S807" s="148">
        <v>15</v>
      </c>
      <c r="T807" s="151" t="s">
        <v>15</v>
      </c>
      <c r="U807" s="65">
        <f>SUMIF('Avoided Costs 2012-2020_EGD'!$A:$A,'2012 Actuals_Auditor'!T807&amp;'2012 Actuals_Auditor'!S807,'Avoided Costs 2012-2020_EGD'!$E:$E)*J807</f>
        <v>44596.086211514135</v>
      </c>
      <c r="V807" s="65">
        <f>SUMIF('Avoided Costs 2012-2020_EGD'!$A:$A,'2012 Actuals_Auditor'!T807&amp;'2012 Actuals_Auditor'!S807,'Avoided Costs 2012-2020_EGD'!$K:$K)*N807</f>
        <v>0</v>
      </c>
      <c r="W807" s="65">
        <f>SUMIF('Avoided Costs 2012-2020_EGD'!$A:$A,'2012 Actuals_Auditor'!T807&amp;'2012 Actuals_Auditor'!S807,'Avoided Costs 2012-2020_EGD'!$M:$M)*R807</f>
        <v>0</v>
      </c>
      <c r="X807" s="65">
        <f t="shared" si="333"/>
        <v>44596.086211514135</v>
      </c>
      <c r="Y807" s="146">
        <v>48228.35</v>
      </c>
      <c r="Z807" s="66">
        <f t="shared" si="334"/>
        <v>38582.68</v>
      </c>
      <c r="AA807" s="66">
        <v>2400</v>
      </c>
      <c r="AB807" s="66"/>
      <c r="AC807" s="66"/>
      <c r="AD807" s="66">
        <f t="shared" si="335"/>
        <v>38582.68</v>
      </c>
      <c r="AE807" s="66">
        <f t="shared" si="336"/>
        <v>6013.4062115141351</v>
      </c>
      <c r="AF807" s="101">
        <f t="shared" si="337"/>
        <v>275295.37266188301</v>
      </c>
      <c r="AG807" s="101">
        <f t="shared" si="338"/>
        <v>344119.21582735382</v>
      </c>
    </row>
    <row r="808" spans="1:33" s="68" customFormat="1" x14ac:dyDescent="0.2">
      <c r="A808" s="147" t="s">
        <v>488</v>
      </c>
      <c r="B808" s="147"/>
      <c r="C808" s="147"/>
      <c r="D808" s="148">
        <v>1</v>
      </c>
      <c r="E808" s="149"/>
      <c r="F808" s="150">
        <v>0.2</v>
      </c>
      <c r="G808" s="150"/>
      <c r="H808" s="67">
        <v>48561</v>
      </c>
      <c r="I808" s="67">
        <f t="shared" si="340"/>
        <v>46418.814554978133</v>
      </c>
      <c r="J808" s="67">
        <f t="shared" si="330"/>
        <v>37135.051643982508</v>
      </c>
      <c r="K808" s="63"/>
      <c r="L808" s="149">
        <v>0</v>
      </c>
      <c r="M808" s="63">
        <f t="shared" si="339"/>
        <v>0</v>
      </c>
      <c r="N808" s="63">
        <f t="shared" si="331"/>
        <v>0</v>
      </c>
      <c r="O808" s="69"/>
      <c r="P808" s="149">
        <v>0</v>
      </c>
      <c r="Q808" s="63">
        <f t="shared" si="341"/>
        <v>0</v>
      </c>
      <c r="R808" s="64">
        <f t="shared" si="332"/>
        <v>0</v>
      </c>
      <c r="S808" s="148">
        <v>25</v>
      </c>
      <c r="T808" s="151" t="s">
        <v>52</v>
      </c>
      <c r="U808" s="65">
        <f>SUMIF('Avoided Costs 2012-2020_EGD'!$A:$A,'2012 Actuals_Auditor'!T808&amp;'2012 Actuals_Auditor'!S808,'Avoided Costs 2012-2020_EGD'!$E:$E)*J808</f>
        <v>119827.07337514656</v>
      </c>
      <c r="V808" s="65">
        <f>SUMIF('Avoided Costs 2012-2020_EGD'!$A:$A,'2012 Actuals_Auditor'!T808&amp;'2012 Actuals_Auditor'!S808,'Avoided Costs 2012-2020_EGD'!$K:$K)*N808</f>
        <v>0</v>
      </c>
      <c r="W808" s="65">
        <f>SUMIF('Avoided Costs 2012-2020_EGD'!$A:$A,'2012 Actuals_Auditor'!T808&amp;'2012 Actuals_Auditor'!S808,'Avoided Costs 2012-2020_EGD'!$M:$M)*R808</f>
        <v>0</v>
      </c>
      <c r="X808" s="65">
        <f t="shared" si="333"/>
        <v>119827.07337514656</v>
      </c>
      <c r="Y808" s="146">
        <v>4390</v>
      </c>
      <c r="Z808" s="66">
        <f t="shared" si="334"/>
        <v>3512</v>
      </c>
      <c r="AA808" s="66">
        <v>8121.43</v>
      </c>
      <c r="AB808" s="66"/>
      <c r="AC808" s="66"/>
      <c r="AD808" s="66">
        <f t="shared" si="335"/>
        <v>3512</v>
      </c>
      <c r="AE808" s="66">
        <f t="shared" si="336"/>
        <v>116315.07337514656</v>
      </c>
      <c r="AF808" s="101">
        <f t="shared" si="337"/>
        <v>928376.29109956266</v>
      </c>
      <c r="AG808" s="101">
        <f t="shared" si="338"/>
        <v>1160470.3638744534</v>
      </c>
    </row>
    <row r="809" spans="1:33" s="68" customFormat="1" x14ac:dyDescent="0.2">
      <c r="A809" s="147" t="s">
        <v>489</v>
      </c>
      <c r="B809" s="147"/>
      <c r="C809" s="147"/>
      <c r="D809" s="148">
        <v>1</v>
      </c>
      <c r="E809" s="149"/>
      <c r="F809" s="150">
        <v>0.2</v>
      </c>
      <c r="G809" s="150"/>
      <c r="H809" s="67">
        <v>7403</v>
      </c>
      <c r="I809" s="67">
        <f t="shared" si="340"/>
        <v>7076.4293188052779</v>
      </c>
      <c r="J809" s="67">
        <f t="shared" si="330"/>
        <v>5661.1434550442227</v>
      </c>
      <c r="K809" s="63"/>
      <c r="L809" s="149">
        <v>0</v>
      </c>
      <c r="M809" s="63">
        <f t="shared" si="339"/>
        <v>0</v>
      </c>
      <c r="N809" s="63">
        <f t="shared" si="331"/>
        <v>0</v>
      </c>
      <c r="O809" s="69"/>
      <c r="P809" s="149">
        <v>0</v>
      </c>
      <c r="Q809" s="63">
        <f t="shared" si="341"/>
        <v>0</v>
      </c>
      <c r="R809" s="64">
        <f t="shared" si="332"/>
        <v>0</v>
      </c>
      <c r="S809" s="148">
        <v>25</v>
      </c>
      <c r="T809" s="151" t="s">
        <v>52</v>
      </c>
      <c r="U809" s="65">
        <f>SUMIF('Avoided Costs 2012-2020_EGD'!$A:$A,'2012 Actuals_Auditor'!T809&amp;'2012 Actuals_Auditor'!S809,'Avoided Costs 2012-2020_EGD'!$E:$E)*J809</f>
        <v>18267.330248475319</v>
      </c>
      <c r="V809" s="65">
        <f>SUMIF('Avoided Costs 2012-2020_EGD'!$A:$A,'2012 Actuals_Auditor'!T809&amp;'2012 Actuals_Auditor'!S809,'Avoided Costs 2012-2020_EGD'!$K:$K)*N809</f>
        <v>0</v>
      </c>
      <c r="W809" s="65">
        <f>SUMIF('Avoided Costs 2012-2020_EGD'!$A:$A,'2012 Actuals_Auditor'!T809&amp;'2012 Actuals_Auditor'!S809,'Avoided Costs 2012-2020_EGD'!$M:$M)*R809</f>
        <v>0</v>
      </c>
      <c r="X809" s="65">
        <f t="shared" si="333"/>
        <v>18267.330248475319</v>
      </c>
      <c r="Y809" s="146">
        <v>8909</v>
      </c>
      <c r="Z809" s="66">
        <f t="shared" si="334"/>
        <v>7127.2000000000007</v>
      </c>
      <c r="AA809" s="66">
        <v>1538</v>
      </c>
      <c r="AB809" s="66"/>
      <c r="AC809" s="66"/>
      <c r="AD809" s="66">
        <f t="shared" si="335"/>
        <v>7127.2000000000007</v>
      </c>
      <c r="AE809" s="66">
        <f t="shared" si="336"/>
        <v>11140.130248475318</v>
      </c>
      <c r="AF809" s="101">
        <f t="shared" si="337"/>
        <v>141528.58637610558</v>
      </c>
      <c r="AG809" s="101">
        <f t="shared" si="338"/>
        <v>176910.73297013194</v>
      </c>
    </row>
    <row r="810" spans="1:33" s="68" customFormat="1" x14ac:dyDescent="0.2">
      <c r="A810" s="147" t="s">
        <v>490</v>
      </c>
      <c r="B810" s="147"/>
      <c r="C810" s="147"/>
      <c r="D810" s="148">
        <v>1</v>
      </c>
      <c r="E810" s="149"/>
      <c r="F810" s="150">
        <v>0.2</v>
      </c>
      <c r="G810" s="150"/>
      <c r="H810" s="67">
        <v>8487</v>
      </c>
      <c r="I810" s="67">
        <f t="shared" si="340"/>
        <v>8112.6105131298655</v>
      </c>
      <c r="J810" s="67">
        <f t="shared" si="330"/>
        <v>6490.0884105038931</v>
      </c>
      <c r="K810" s="63"/>
      <c r="L810" s="149">
        <v>0</v>
      </c>
      <c r="M810" s="63">
        <f t="shared" si="339"/>
        <v>0</v>
      </c>
      <c r="N810" s="63">
        <f t="shared" si="331"/>
        <v>0</v>
      </c>
      <c r="O810" s="69"/>
      <c r="P810" s="149">
        <v>0</v>
      </c>
      <c r="Q810" s="63">
        <f t="shared" si="341"/>
        <v>0</v>
      </c>
      <c r="R810" s="64">
        <f t="shared" si="332"/>
        <v>0</v>
      </c>
      <c r="S810" s="148">
        <v>25</v>
      </c>
      <c r="T810" s="151" t="s">
        <v>15</v>
      </c>
      <c r="U810" s="65">
        <f>SUMIF('Avoided Costs 2012-2020_EGD'!$A:$A,'2012 Actuals_Auditor'!T810&amp;'2012 Actuals_Auditor'!S810,'Avoided Costs 2012-2020_EGD'!$E:$E)*J810</f>
        <v>22286.931144170569</v>
      </c>
      <c r="V810" s="65">
        <f>SUMIF('Avoided Costs 2012-2020_EGD'!$A:$A,'2012 Actuals_Auditor'!T810&amp;'2012 Actuals_Auditor'!S810,'Avoided Costs 2012-2020_EGD'!$K:$K)*N810</f>
        <v>0</v>
      </c>
      <c r="W810" s="65">
        <f>SUMIF('Avoided Costs 2012-2020_EGD'!$A:$A,'2012 Actuals_Auditor'!T810&amp;'2012 Actuals_Auditor'!S810,'Avoided Costs 2012-2020_EGD'!$M:$M)*R810</f>
        <v>0</v>
      </c>
      <c r="X810" s="65">
        <f t="shared" si="333"/>
        <v>22286.931144170569</v>
      </c>
      <c r="Y810" s="146">
        <v>4634</v>
      </c>
      <c r="Z810" s="66">
        <f t="shared" si="334"/>
        <v>3707.2000000000003</v>
      </c>
      <c r="AA810" s="66">
        <v>1785</v>
      </c>
      <c r="AB810" s="66"/>
      <c r="AC810" s="66"/>
      <c r="AD810" s="66">
        <f t="shared" si="335"/>
        <v>3707.2000000000003</v>
      </c>
      <c r="AE810" s="66">
        <f t="shared" si="336"/>
        <v>18579.731144170568</v>
      </c>
      <c r="AF810" s="101">
        <f t="shared" si="337"/>
        <v>162252.21026259733</v>
      </c>
      <c r="AG810" s="101">
        <f t="shared" si="338"/>
        <v>202815.26282824663</v>
      </c>
    </row>
    <row r="811" spans="1:33" s="68" customFormat="1" x14ac:dyDescent="0.2">
      <c r="A811" s="147" t="s">
        <v>491</v>
      </c>
      <c r="B811" s="147"/>
      <c r="C811" s="147"/>
      <c r="D811" s="148">
        <v>1</v>
      </c>
      <c r="E811" s="149"/>
      <c r="F811" s="150">
        <v>0.2</v>
      </c>
      <c r="G811" s="150"/>
      <c r="H811" s="67">
        <v>40320</v>
      </c>
      <c r="I811" s="67">
        <f t="shared" si="340"/>
        <v>38541.352172663625</v>
      </c>
      <c r="J811" s="67">
        <f t="shared" si="330"/>
        <v>30833.081738130903</v>
      </c>
      <c r="K811" s="63"/>
      <c r="L811" s="149">
        <v>0</v>
      </c>
      <c r="M811" s="63">
        <f t="shared" si="339"/>
        <v>0</v>
      </c>
      <c r="N811" s="63">
        <f t="shared" si="331"/>
        <v>0</v>
      </c>
      <c r="O811" s="69"/>
      <c r="P811" s="149">
        <v>0</v>
      </c>
      <c r="Q811" s="63">
        <f t="shared" si="341"/>
        <v>0</v>
      </c>
      <c r="R811" s="64">
        <f t="shared" si="332"/>
        <v>0</v>
      </c>
      <c r="S811" s="148">
        <v>25</v>
      </c>
      <c r="T811" s="151" t="s">
        <v>15</v>
      </c>
      <c r="U811" s="65">
        <f>SUMIF('Avoided Costs 2012-2020_EGD'!$A:$A,'2012 Actuals_Auditor'!T811&amp;'2012 Actuals_Auditor'!S811,'Avoided Costs 2012-2020_EGD'!$E:$E)*J811</f>
        <v>105880.64848980292</v>
      </c>
      <c r="V811" s="65">
        <f>SUMIF('Avoided Costs 2012-2020_EGD'!$A:$A,'2012 Actuals_Auditor'!T811&amp;'2012 Actuals_Auditor'!S811,'Avoided Costs 2012-2020_EGD'!$K:$K)*N811</f>
        <v>0</v>
      </c>
      <c r="W811" s="65">
        <f>SUMIF('Avoided Costs 2012-2020_EGD'!$A:$A,'2012 Actuals_Auditor'!T811&amp;'2012 Actuals_Auditor'!S811,'Avoided Costs 2012-2020_EGD'!$M:$M)*R811</f>
        <v>0</v>
      </c>
      <c r="X811" s="65">
        <f t="shared" si="333"/>
        <v>105880.64848980292</v>
      </c>
      <c r="Y811" s="146">
        <v>2216</v>
      </c>
      <c r="Z811" s="66">
        <f t="shared" si="334"/>
        <v>1772.8000000000002</v>
      </c>
      <c r="AA811" s="66">
        <v>5352.7</v>
      </c>
      <c r="AB811" s="66"/>
      <c r="AC811" s="66"/>
      <c r="AD811" s="66">
        <f t="shared" si="335"/>
        <v>1772.8000000000002</v>
      </c>
      <c r="AE811" s="66">
        <f t="shared" si="336"/>
        <v>104107.84848980291</v>
      </c>
      <c r="AF811" s="101">
        <f t="shared" si="337"/>
        <v>770827.04345327255</v>
      </c>
      <c r="AG811" s="101">
        <f t="shared" si="338"/>
        <v>963533.80431659066</v>
      </c>
    </row>
    <row r="812" spans="1:33" s="68" customFormat="1" x14ac:dyDescent="0.2">
      <c r="A812" s="147" t="s">
        <v>492</v>
      </c>
      <c r="B812" s="147"/>
      <c r="C812" s="147"/>
      <c r="D812" s="148">
        <v>1</v>
      </c>
      <c r="E812" s="149"/>
      <c r="F812" s="150">
        <v>0.2</v>
      </c>
      <c r="G812" s="150"/>
      <c r="H812" s="67">
        <v>48679</v>
      </c>
      <c r="I812" s="67">
        <f t="shared" si="340"/>
        <v>46531.609186832655</v>
      </c>
      <c r="J812" s="67">
        <f t="shared" si="330"/>
        <v>37225.287349466125</v>
      </c>
      <c r="K812" s="63"/>
      <c r="L812" s="149">
        <v>0</v>
      </c>
      <c r="M812" s="63">
        <f t="shared" si="339"/>
        <v>0</v>
      </c>
      <c r="N812" s="63">
        <f t="shared" si="331"/>
        <v>0</v>
      </c>
      <c r="O812" s="69"/>
      <c r="P812" s="149">
        <v>0</v>
      </c>
      <c r="Q812" s="63">
        <f t="shared" si="341"/>
        <v>0</v>
      </c>
      <c r="R812" s="64">
        <f t="shared" si="332"/>
        <v>0</v>
      </c>
      <c r="S812" s="148">
        <v>15</v>
      </c>
      <c r="T812" s="151" t="s">
        <v>15</v>
      </c>
      <c r="U812" s="65">
        <f>SUMIF('Avoided Costs 2012-2020_EGD'!$A:$A,'2012 Actuals_Auditor'!T812&amp;'2012 Actuals_Auditor'!S812,'Avoided Costs 2012-2020_EGD'!$E:$E)*J812</f>
        <v>90453.870028762365</v>
      </c>
      <c r="V812" s="65">
        <f>SUMIF('Avoided Costs 2012-2020_EGD'!$A:$A,'2012 Actuals_Auditor'!T812&amp;'2012 Actuals_Auditor'!S812,'Avoided Costs 2012-2020_EGD'!$K:$K)*N812</f>
        <v>0</v>
      </c>
      <c r="W812" s="65">
        <f>SUMIF('Avoided Costs 2012-2020_EGD'!$A:$A,'2012 Actuals_Auditor'!T812&amp;'2012 Actuals_Auditor'!S812,'Avoided Costs 2012-2020_EGD'!$M:$M)*R812</f>
        <v>0</v>
      </c>
      <c r="X812" s="65">
        <f t="shared" si="333"/>
        <v>90453.870028762365</v>
      </c>
      <c r="Y812" s="146">
        <v>43740</v>
      </c>
      <c r="Z812" s="66">
        <f t="shared" si="334"/>
        <v>34992</v>
      </c>
      <c r="AA812" s="66">
        <v>4868</v>
      </c>
      <c r="AB812" s="66"/>
      <c r="AC812" s="66"/>
      <c r="AD812" s="66">
        <f t="shared" si="335"/>
        <v>34992</v>
      </c>
      <c r="AE812" s="66">
        <f t="shared" si="336"/>
        <v>55461.870028762365</v>
      </c>
      <c r="AF812" s="101">
        <f t="shared" si="337"/>
        <v>558379.31024199189</v>
      </c>
      <c r="AG812" s="101">
        <f t="shared" si="338"/>
        <v>697974.1378024898</v>
      </c>
    </row>
    <row r="813" spans="1:33" s="68" customFormat="1" x14ac:dyDescent="0.2">
      <c r="A813" s="147" t="s">
        <v>493</v>
      </c>
      <c r="B813" s="147"/>
      <c r="C813" s="147"/>
      <c r="D813" s="148">
        <v>1</v>
      </c>
      <c r="E813" s="149"/>
      <c r="F813" s="150">
        <v>0.2</v>
      </c>
      <c r="G813" s="150"/>
      <c r="H813" s="67">
        <v>48679</v>
      </c>
      <c r="I813" s="67">
        <f t="shared" si="340"/>
        <v>46531.609186832655</v>
      </c>
      <c r="J813" s="67">
        <f t="shared" si="330"/>
        <v>37225.287349466125</v>
      </c>
      <c r="K813" s="63"/>
      <c r="L813" s="149">
        <v>0</v>
      </c>
      <c r="M813" s="63">
        <f t="shared" si="339"/>
        <v>0</v>
      </c>
      <c r="N813" s="63">
        <f t="shared" si="331"/>
        <v>0</v>
      </c>
      <c r="O813" s="69"/>
      <c r="P813" s="149">
        <v>0</v>
      </c>
      <c r="Q813" s="63">
        <f t="shared" si="341"/>
        <v>0</v>
      </c>
      <c r="R813" s="64">
        <f t="shared" si="332"/>
        <v>0</v>
      </c>
      <c r="S813" s="148">
        <v>15</v>
      </c>
      <c r="T813" s="151" t="s">
        <v>15</v>
      </c>
      <c r="U813" s="65">
        <f>SUMIF('Avoided Costs 2012-2020_EGD'!$A:$A,'2012 Actuals_Auditor'!T813&amp;'2012 Actuals_Auditor'!S813,'Avoided Costs 2012-2020_EGD'!$E:$E)*J813</f>
        <v>90453.870028762365</v>
      </c>
      <c r="V813" s="65">
        <f>SUMIF('Avoided Costs 2012-2020_EGD'!$A:$A,'2012 Actuals_Auditor'!T813&amp;'2012 Actuals_Auditor'!S813,'Avoided Costs 2012-2020_EGD'!$K:$K)*N813</f>
        <v>0</v>
      </c>
      <c r="W813" s="65">
        <f>SUMIF('Avoided Costs 2012-2020_EGD'!$A:$A,'2012 Actuals_Auditor'!T813&amp;'2012 Actuals_Auditor'!S813,'Avoided Costs 2012-2020_EGD'!$M:$M)*R813</f>
        <v>0</v>
      </c>
      <c r="X813" s="65">
        <f t="shared" si="333"/>
        <v>90453.870028762365</v>
      </c>
      <c r="Y813" s="146">
        <v>43740</v>
      </c>
      <c r="Z813" s="66">
        <f t="shared" si="334"/>
        <v>34992</v>
      </c>
      <c r="AA813" s="66">
        <v>4868</v>
      </c>
      <c r="AB813" s="66"/>
      <c r="AC813" s="66"/>
      <c r="AD813" s="66">
        <f t="shared" si="335"/>
        <v>34992</v>
      </c>
      <c r="AE813" s="66">
        <f t="shared" si="336"/>
        <v>55461.870028762365</v>
      </c>
      <c r="AF813" s="101">
        <f t="shared" si="337"/>
        <v>558379.31024199189</v>
      </c>
      <c r="AG813" s="101">
        <f t="shared" si="338"/>
        <v>697974.1378024898</v>
      </c>
    </row>
    <row r="814" spans="1:33" s="68" customFormat="1" x14ac:dyDescent="0.2">
      <c r="A814" s="147" t="s">
        <v>494</v>
      </c>
      <c r="B814" s="147"/>
      <c r="C814" s="147"/>
      <c r="D814" s="148">
        <v>1</v>
      </c>
      <c r="E814" s="149"/>
      <c r="F814" s="150">
        <v>0.2</v>
      </c>
      <c r="G814" s="150"/>
      <c r="H814" s="67">
        <v>22674</v>
      </c>
      <c r="I814" s="67">
        <f t="shared" si="340"/>
        <v>21673.775276859498</v>
      </c>
      <c r="J814" s="67">
        <f t="shared" si="330"/>
        <v>17339.020221487601</v>
      </c>
      <c r="K814" s="63"/>
      <c r="L814" s="149">
        <v>0</v>
      </c>
      <c r="M814" s="63">
        <f t="shared" si="339"/>
        <v>0</v>
      </c>
      <c r="N814" s="63">
        <f t="shared" si="331"/>
        <v>0</v>
      </c>
      <c r="O814" s="69"/>
      <c r="P814" s="149">
        <v>0</v>
      </c>
      <c r="Q814" s="63">
        <f t="shared" si="341"/>
        <v>0</v>
      </c>
      <c r="R814" s="64">
        <f t="shared" si="332"/>
        <v>0</v>
      </c>
      <c r="S814" s="148">
        <v>25</v>
      </c>
      <c r="T814" s="151" t="s">
        <v>52</v>
      </c>
      <c r="U814" s="65">
        <f>SUMIF('Avoided Costs 2012-2020_EGD'!$A:$A,'2012 Actuals_Auditor'!T814&amp;'2012 Actuals_Auditor'!S814,'Avoided Costs 2012-2020_EGD'!$E:$E)*J814</f>
        <v>55949.4051133229</v>
      </c>
      <c r="V814" s="65">
        <f>SUMIF('Avoided Costs 2012-2020_EGD'!$A:$A,'2012 Actuals_Auditor'!T814&amp;'2012 Actuals_Auditor'!S814,'Avoided Costs 2012-2020_EGD'!$K:$K)*N814</f>
        <v>0</v>
      </c>
      <c r="W814" s="65">
        <f>SUMIF('Avoided Costs 2012-2020_EGD'!$A:$A,'2012 Actuals_Auditor'!T814&amp;'2012 Actuals_Auditor'!S814,'Avoided Costs 2012-2020_EGD'!$M:$M)*R814</f>
        <v>0</v>
      </c>
      <c r="X814" s="65">
        <f t="shared" si="333"/>
        <v>55949.4051133229</v>
      </c>
      <c r="Y814" s="146">
        <v>8420</v>
      </c>
      <c r="Z814" s="66">
        <f t="shared" si="334"/>
        <v>6736</v>
      </c>
      <c r="AA814" s="66">
        <v>4478.5200000000004</v>
      </c>
      <c r="AB814" s="66"/>
      <c r="AC814" s="66"/>
      <c r="AD814" s="66">
        <f t="shared" si="335"/>
        <v>6736</v>
      </c>
      <c r="AE814" s="66">
        <f t="shared" si="336"/>
        <v>49213.4051133229</v>
      </c>
      <c r="AF814" s="101">
        <f t="shared" si="337"/>
        <v>433475.50553719001</v>
      </c>
      <c r="AG814" s="101">
        <f t="shared" si="338"/>
        <v>541844.38192148751</v>
      </c>
    </row>
    <row r="815" spans="1:33" s="68" customFormat="1" x14ac:dyDescent="0.2">
      <c r="A815" s="147" t="s">
        <v>495</v>
      </c>
      <c r="B815" s="147"/>
      <c r="C815" s="147"/>
      <c r="D815" s="148">
        <v>1</v>
      </c>
      <c r="E815" s="149"/>
      <c r="F815" s="150">
        <v>0.2</v>
      </c>
      <c r="G815" s="150"/>
      <c r="H815" s="67">
        <v>21556</v>
      </c>
      <c r="I815" s="67">
        <f t="shared" si="340"/>
        <v>20605.093934373439</v>
      </c>
      <c r="J815" s="67">
        <f t="shared" si="330"/>
        <v>16484.075147498752</v>
      </c>
      <c r="K815" s="63"/>
      <c r="L815" s="149">
        <v>0</v>
      </c>
      <c r="M815" s="63">
        <f t="shared" si="339"/>
        <v>0</v>
      </c>
      <c r="N815" s="63">
        <f t="shared" si="331"/>
        <v>0</v>
      </c>
      <c r="O815" s="69"/>
      <c r="P815" s="149">
        <v>0</v>
      </c>
      <c r="Q815" s="63">
        <f t="shared" si="341"/>
        <v>0</v>
      </c>
      <c r="R815" s="64">
        <f t="shared" si="332"/>
        <v>0</v>
      </c>
      <c r="S815" s="148">
        <v>25</v>
      </c>
      <c r="T815" s="151" t="s">
        <v>52</v>
      </c>
      <c r="U815" s="65">
        <f>SUMIF('Avoided Costs 2012-2020_EGD'!$A:$A,'2012 Actuals_Auditor'!T815&amp;'2012 Actuals_Auditor'!S815,'Avoided Costs 2012-2020_EGD'!$E:$E)*J815</f>
        <v>53190.675514809402</v>
      </c>
      <c r="V815" s="65">
        <f>SUMIF('Avoided Costs 2012-2020_EGD'!$A:$A,'2012 Actuals_Auditor'!T815&amp;'2012 Actuals_Auditor'!S815,'Avoided Costs 2012-2020_EGD'!$K:$K)*N815</f>
        <v>0</v>
      </c>
      <c r="W815" s="65">
        <f>SUMIF('Avoided Costs 2012-2020_EGD'!$A:$A,'2012 Actuals_Auditor'!T815&amp;'2012 Actuals_Auditor'!S815,'Avoided Costs 2012-2020_EGD'!$M:$M)*R815</f>
        <v>0</v>
      </c>
      <c r="X815" s="65">
        <f t="shared" si="333"/>
        <v>53190.675514809402</v>
      </c>
      <c r="Y815" s="146">
        <v>11496</v>
      </c>
      <c r="Z815" s="66">
        <f t="shared" si="334"/>
        <v>9196.8000000000011</v>
      </c>
      <c r="AA815" s="66">
        <v>5144.95</v>
      </c>
      <c r="AB815" s="66"/>
      <c r="AC815" s="66"/>
      <c r="AD815" s="66">
        <f t="shared" si="335"/>
        <v>9196.8000000000011</v>
      </c>
      <c r="AE815" s="66">
        <f t="shared" si="336"/>
        <v>43993.875514809399</v>
      </c>
      <c r="AF815" s="101">
        <f t="shared" si="337"/>
        <v>412101.87868746882</v>
      </c>
      <c r="AG815" s="101">
        <f t="shared" si="338"/>
        <v>515127.34835933597</v>
      </c>
    </row>
    <row r="816" spans="1:33" s="68" customFormat="1" x14ac:dyDescent="0.2">
      <c r="A816" s="147" t="s">
        <v>496</v>
      </c>
      <c r="B816" s="147"/>
      <c r="C816" s="147"/>
      <c r="D816" s="148">
        <v>0</v>
      </c>
      <c r="E816" s="149"/>
      <c r="F816" s="150">
        <v>0.2</v>
      </c>
      <c r="G816" s="150"/>
      <c r="H816" s="67">
        <v>20150</v>
      </c>
      <c r="I816" s="67">
        <f t="shared" si="340"/>
        <v>19261.117219225496</v>
      </c>
      <c r="J816" s="67">
        <f t="shared" si="330"/>
        <v>15408.893775380398</v>
      </c>
      <c r="K816" s="63"/>
      <c r="L816" s="149">
        <v>0</v>
      </c>
      <c r="M816" s="63">
        <f t="shared" si="339"/>
        <v>0</v>
      </c>
      <c r="N816" s="63">
        <f t="shared" si="331"/>
        <v>0</v>
      </c>
      <c r="O816" s="69"/>
      <c r="P816" s="149">
        <v>0</v>
      </c>
      <c r="Q816" s="63">
        <f t="shared" si="341"/>
        <v>0</v>
      </c>
      <c r="R816" s="64">
        <f t="shared" si="332"/>
        <v>0</v>
      </c>
      <c r="S816" s="148">
        <v>25</v>
      </c>
      <c r="T816" s="151" t="s">
        <v>52</v>
      </c>
      <c r="U816" s="65">
        <f>SUMIF('Avoided Costs 2012-2020_EGD'!$A:$A,'2012 Actuals_Auditor'!T816&amp;'2012 Actuals_Auditor'!S816,'Avoided Costs 2012-2020_EGD'!$E:$E)*J816</f>
        <v>49721.289275533934</v>
      </c>
      <c r="V816" s="65">
        <f>SUMIF('Avoided Costs 2012-2020_EGD'!$A:$A,'2012 Actuals_Auditor'!T816&amp;'2012 Actuals_Auditor'!S816,'Avoided Costs 2012-2020_EGD'!$K:$K)*N816</f>
        <v>0</v>
      </c>
      <c r="W816" s="65">
        <f>SUMIF('Avoided Costs 2012-2020_EGD'!$A:$A,'2012 Actuals_Auditor'!T816&amp;'2012 Actuals_Auditor'!S816,'Avoided Costs 2012-2020_EGD'!$M:$M)*R816</f>
        <v>0</v>
      </c>
      <c r="X816" s="65">
        <f t="shared" si="333"/>
        <v>49721.289275533934</v>
      </c>
      <c r="Y816" s="146">
        <v>16172</v>
      </c>
      <c r="Z816" s="66">
        <f t="shared" si="334"/>
        <v>12937.6</v>
      </c>
      <c r="AA816" s="66">
        <v>4964</v>
      </c>
      <c r="AB816" s="66"/>
      <c r="AC816" s="66"/>
      <c r="AD816" s="66">
        <f t="shared" si="335"/>
        <v>12937.6</v>
      </c>
      <c r="AE816" s="66">
        <f t="shared" si="336"/>
        <v>36783.689275533936</v>
      </c>
      <c r="AF816" s="101">
        <f t="shared" si="337"/>
        <v>385222.34438450995</v>
      </c>
      <c r="AG816" s="101">
        <f t="shared" si="338"/>
        <v>481527.93048063741</v>
      </c>
    </row>
    <row r="817" spans="1:33" s="68" customFormat="1" x14ac:dyDescent="0.2">
      <c r="A817" s="147" t="s">
        <v>497</v>
      </c>
      <c r="B817" s="147"/>
      <c r="C817" s="147"/>
      <c r="D817" s="148">
        <v>1</v>
      </c>
      <c r="E817" s="149"/>
      <c r="F817" s="150">
        <v>0.2</v>
      </c>
      <c r="G817" s="150"/>
      <c r="H817" s="67">
        <v>78791</v>
      </c>
      <c r="I817" s="67">
        <f t="shared" si="340"/>
        <v>75315.269817369539</v>
      </c>
      <c r="J817" s="67">
        <f t="shared" si="330"/>
        <v>60252.215853895636</v>
      </c>
      <c r="K817" s="63"/>
      <c r="L817" s="149">
        <v>79963</v>
      </c>
      <c r="M817" s="63">
        <f t="shared" si="339"/>
        <v>79963</v>
      </c>
      <c r="N817" s="63">
        <f t="shared" si="331"/>
        <v>63970.400000000001</v>
      </c>
      <c r="O817" s="69"/>
      <c r="P817" s="149">
        <v>0</v>
      </c>
      <c r="Q817" s="63">
        <f t="shared" si="341"/>
        <v>0</v>
      </c>
      <c r="R817" s="64">
        <f t="shared" si="332"/>
        <v>0</v>
      </c>
      <c r="S817" s="148">
        <v>15</v>
      </c>
      <c r="T817" s="151" t="s">
        <v>15</v>
      </c>
      <c r="U817" s="65">
        <f>SUMIF('Avoided Costs 2012-2020_EGD'!$A:$A,'2012 Actuals_Auditor'!T817&amp;'2012 Actuals_Auditor'!S817,'Avoided Costs 2012-2020_EGD'!$E:$E)*J817</f>
        <v>146407.0928621421</v>
      </c>
      <c r="V817" s="65">
        <f>SUMIF('Avoided Costs 2012-2020_EGD'!$A:$A,'2012 Actuals_Auditor'!T817&amp;'2012 Actuals_Auditor'!S817,'Avoided Costs 2012-2020_EGD'!$K:$K)*N817</f>
        <v>65875.657667786785</v>
      </c>
      <c r="W817" s="65">
        <f>SUMIF('Avoided Costs 2012-2020_EGD'!$A:$A,'2012 Actuals_Auditor'!T817&amp;'2012 Actuals_Auditor'!S817,'Avoided Costs 2012-2020_EGD'!$M:$M)*R817</f>
        <v>0</v>
      </c>
      <c r="X817" s="65">
        <f t="shared" si="333"/>
        <v>212282.75052992889</v>
      </c>
      <c r="Y817" s="146">
        <v>25000</v>
      </c>
      <c r="Z817" s="66">
        <f t="shared" si="334"/>
        <v>20000</v>
      </c>
      <c r="AA817" s="66">
        <v>15758</v>
      </c>
      <c r="AB817" s="66"/>
      <c r="AC817" s="66"/>
      <c r="AD817" s="66">
        <f t="shared" si="335"/>
        <v>20000</v>
      </c>
      <c r="AE817" s="66">
        <f t="shared" si="336"/>
        <v>192282.75052992889</v>
      </c>
      <c r="AF817" s="101">
        <f t="shared" si="337"/>
        <v>903783.23780843453</v>
      </c>
      <c r="AG817" s="101">
        <f t="shared" si="338"/>
        <v>1129729.0472605431</v>
      </c>
    </row>
    <row r="818" spans="1:33" s="68" customFormat="1" x14ac:dyDescent="0.2">
      <c r="A818" s="147" t="s">
        <v>498</v>
      </c>
      <c r="B818" s="147"/>
      <c r="C818" s="147"/>
      <c r="D818" s="148">
        <v>0</v>
      </c>
      <c r="E818" s="149"/>
      <c r="F818" s="150">
        <v>0.2</v>
      </c>
      <c r="G818" s="150"/>
      <c r="H818" s="67">
        <v>8679</v>
      </c>
      <c r="I818" s="67">
        <f t="shared" si="340"/>
        <v>8296.1407615711214</v>
      </c>
      <c r="J818" s="67">
        <f t="shared" si="330"/>
        <v>6636.9126092568977</v>
      </c>
      <c r="K818" s="63"/>
      <c r="L818" s="149">
        <v>0</v>
      </c>
      <c r="M818" s="63">
        <f t="shared" si="339"/>
        <v>0</v>
      </c>
      <c r="N818" s="63">
        <f t="shared" si="331"/>
        <v>0</v>
      </c>
      <c r="O818" s="69"/>
      <c r="P818" s="149">
        <v>0</v>
      </c>
      <c r="Q818" s="63">
        <f t="shared" si="341"/>
        <v>0</v>
      </c>
      <c r="R818" s="64">
        <f t="shared" si="332"/>
        <v>0</v>
      </c>
      <c r="S818" s="148">
        <v>25</v>
      </c>
      <c r="T818" s="151" t="s">
        <v>52</v>
      </c>
      <c r="U818" s="65">
        <f>SUMIF('Avoided Costs 2012-2020_EGD'!$A:$A,'2012 Actuals_Auditor'!T818&amp;'2012 Actuals_Auditor'!S818,'Avoided Costs 2012-2020_EGD'!$E:$E)*J818</f>
        <v>21415.933976295735</v>
      </c>
      <c r="V818" s="65">
        <f>SUMIF('Avoided Costs 2012-2020_EGD'!$A:$A,'2012 Actuals_Auditor'!T818&amp;'2012 Actuals_Auditor'!S818,'Avoided Costs 2012-2020_EGD'!$K:$K)*N818</f>
        <v>0</v>
      </c>
      <c r="W818" s="65">
        <f>SUMIF('Avoided Costs 2012-2020_EGD'!$A:$A,'2012 Actuals_Auditor'!T818&amp;'2012 Actuals_Auditor'!S818,'Avoided Costs 2012-2020_EGD'!$M:$M)*R818</f>
        <v>0</v>
      </c>
      <c r="X818" s="65">
        <f t="shared" si="333"/>
        <v>21415.933976295735</v>
      </c>
      <c r="Y818" s="146">
        <v>16246</v>
      </c>
      <c r="Z818" s="66">
        <f t="shared" si="334"/>
        <v>12996.800000000001</v>
      </c>
      <c r="AA818" s="66">
        <v>1548</v>
      </c>
      <c r="AB818" s="66"/>
      <c r="AC818" s="66"/>
      <c r="AD818" s="66">
        <f t="shared" si="335"/>
        <v>12996.800000000001</v>
      </c>
      <c r="AE818" s="66">
        <f t="shared" si="336"/>
        <v>8419.1339762957341</v>
      </c>
      <c r="AF818" s="101">
        <f t="shared" si="337"/>
        <v>165922.81523142243</v>
      </c>
      <c r="AG818" s="101">
        <f t="shared" si="338"/>
        <v>207403.51903927804</v>
      </c>
    </row>
    <row r="819" spans="1:33" s="68" customFormat="1" x14ac:dyDescent="0.2">
      <c r="A819" s="147" t="s">
        <v>499</v>
      </c>
      <c r="B819" s="147"/>
      <c r="C819" s="147"/>
      <c r="D819" s="148">
        <v>1</v>
      </c>
      <c r="E819" s="149"/>
      <c r="F819" s="150">
        <v>0.2</v>
      </c>
      <c r="G819" s="150"/>
      <c r="H819" s="67">
        <v>65665</v>
      </c>
      <c r="I819" s="67">
        <f t="shared" si="340"/>
        <v>62768.300853619963</v>
      </c>
      <c r="J819" s="67">
        <f t="shared" si="330"/>
        <v>50214.640682895973</v>
      </c>
      <c r="K819" s="63"/>
      <c r="L819" s="149">
        <v>0</v>
      </c>
      <c r="M819" s="63">
        <f t="shared" si="339"/>
        <v>0</v>
      </c>
      <c r="N819" s="63">
        <f t="shared" si="331"/>
        <v>0</v>
      </c>
      <c r="O819" s="69"/>
      <c r="P819" s="149">
        <v>0</v>
      </c>
      <c r="Q819" s="63">
        <f t="shared" si="341"/>
        <v>0</v>
      </c>
      <c r="R819" s="64">
        <f t="shared" si="332"/>
        <v>0</v>
      </c>
      <c r="S819" s="148">
        <v>25</v>
      </c>
      <c r="T819" s="151" t="s">
        <v>15</v>
      </c>
      <c r="U819" s="65">
        <f>SUMIF('Avoided Costs 2012-2020_EGD'!$A:$A,'2012 Actuals_Auditor'!T819&amp;'2012 Actuals_Auditor'!S819,'Avoided Costs 2012-2020_EGD'!$E:$E)*J819</f>
        <v>172436.82497725467</v>
      </c>
      <c r="V819" s="65">
        <f>SUMIF('Avoided Costs 2012-2020_EGD'!$A:$A,'2012 Actuals_Auditor'!T819&amp;'2012 Actuals_Auditor'!S819,'Avoided Costs 2012-2020_EGD'!$K:$K)*N819</f>
        <v>0</v>
      </c>
      <c r="W819" s="65">
        <f>SUMIF('Avoided Costs 2012-2020_EGD'!$A:$A,'2012 Actuals_Auditor'!T819&amp;'2012 Actuals_Auditor'!S819,'Avoided Costs 2012-2020_EGD'!$M:$M)*R819</f>
        <v>0</v>
      </c>
      <c r="X819" s="65">
        <f t="shared" si="333"/>
        <v>172436.82497725467</v>
      </c>
      <c r="Y819" s="146">
        <v>18274</v>
      </c>
      <c r="Z819" s="66">
        <f t="shared" si="334"/>
        <v>14619.2</v>
      </c>
      <c r="AA819" s="66">
        <v>10714</v>
      </c>
      <c r="AB819" s="66"/>
      <c r="AC819" s="66"/>
      <c r="AD819" s="66">
        <f t="shared" si="335"/>
        <v>14619.2</v>
      </c>
      <c r="AE819" s="66">
        <f t="shared" si="336"/>
        <v>157817.62497725466</v>
      </c>
      <c r="AF819" s="101">
        <f t="shared" si="337"/>
        <v>1255366.0170723994</v>
      </c>
      <c r="AG819" s="101">
        <f t="shared" si="338"/>
        <v>1569207.5213404992</v>
      </c>
    </row>
    <row r="820" spans="1:33" s="68" customFormat="1" x14ac:dyDescent="0.2">
      <c r="A820" s="147" t="s">
        <v>500</v>
      </c>
      <c r="B820" s="147"/>
      <c r="C820" s="147"/>
      <c r="D820" s="148">
        <v>0</v>
      </c>
      <c r="E820" s="149"/>
      <c r="F820" s="150">
        <v>0.2</v>
      </c>
      <c r="G820" s="150"/>
      <c r="H820" s="67">
        <v>14174</v>
      </c>
      <c r="I820" s="67">
        <f t="shared" si="340"/>
        <v>13548.738236491425</v>
      </c>
      <c r="J820" s="67">
        <f t="shared" si="330"/>
        <v>10838.990589193141</v>
      </c>
      <c r="K820" s="63"/>
      <c r="L820" s="149">
        <v>0</v>
      </c>
      <c r="M820" s="63">
        <f t="shared" si="339"/>
        <v>0</v>
      </c>
      <c r="N820" s="63">
        <f t="shared" si="331"/>
        <v>0</v>
      </c>
      <c r="O820" s="69"/>
      <c r="P820" s="149">
        <v>0</v>
      </c>
      <c r="Q820" s="63">
        <f t="shared" si="341"/>
        <v>0</v>
      </c>
      <c r="R820" s="64">
        <f t="shared" si="332"/>
        <v>0</v>
      </c>
      <c r="S820" s="148">
        <v>15</v>
      </c>
      <c r="T820" s="151" t="s">
        <v>15</v>
      </c>
      <c r="U820" s="65">
        <f>SUMIF('Avoided Costs 2012-2020_EGD'!$A:$A,'2012 Actuals_Auditor'!T820&amp;'2012 Actuals_Auditor'!S820,'Avoided Costs 2012-2020_EGD'!$E:$E)*J820</f>
        <v>26337.705248416729</v>
      </c>
      <c r="V820" s="65">
        <f>SUMIF('Avoided Costs 2012-2020_EGD'!$A:$A,'2012 Actuals_Auditor'!T820&amp;'2012 Actuals_Auditor'!S820,'Avoided Costs 2012-2020_EGD'!$K:$K)*N820</f>
        <v>0</v>
      </c>
      <c r="W820" s="65">
        <f>SUMIF('Avoided Costs 2012-2020_EGD'!$A:$A,'2012 Actuals_Auditor'!T820&amp;'2012 Actuals_Auditor'!S820,'Avoided Costs 2012-2020_EGD'!$M:$M)*R820</f>
        <v>0</v>
      </c>
      <c r="X820" s="65">
        <f t="shared" si="333"/>
        <v>26337.705248416729</v>
      </c>
      <c r="Y820" s="146">
        <v>18700</v>
      </c>
      <c r="Z820" s="66">
        <f t="shared" si="334"/>
        <v>14960</v>
      </c>
      <c r="AA820" s="66">
        <v>1417</v>
      </c>
      <c r="AB820" s="66"/>
      <c r="AC820" s="66"/>
      <c r="AD820" s="66">
        <f t="shared" si="335"/>
        <v>14960</v>
      </c>
      <c r="AE820" s="66">
        <f t="shared" si="336"/>
        <v>11377.705248416729</v>
      </c>
      <c r="AF820" s="101">
        <f t="shared" si="337"/>
        <v>162584.85883789713</v>
      </c>
      <c r="AG820" s="101">
        <f t="shared" si="338"/>
        <v>203231.07354737137</v>
      </c>
    </row>
    <row r="821" spans="1:33" s="68" customFormat="1" x14ac:dyDescent="0.2">
      <c r="A821" s="147" t="s">
        <v>501</v>
      </c>
      <c r="B821" s="147"/>
      <c r="C821" s="147"/>
      <c r="D821" s="148">
        <v>1</v>
      </c>
      <c r="E821" s="149"/>
      <c r="F821" s="150">
        <v>0.2</v>
      </c>
      <c r="G821" s="150"/>
      <c r="H821" s="67">
        <v>18213</v>
      </c>
      <c r="I821" s="67">
        <f t="shared" si="340"/>
        <v>17409.564660732209</v>
      </c>
      <c r="J821" s="67">
        <f t="shared" si="330"/>
        <v>13927.651728585768</v>
      </c>
      <c r="K821" s="63"/>
      <c r="L821" s="149">
        <v>0</v>
      </c>
      <c r="M821" s="63">
        <f t="shared" si="339"/>
        <v>0</v>
      </c>
      <c r="N821" s="63">
        <f t="shared" si="331"/>
        <v>0</v>
      </c>
      <c r="O821" s="69"/>
      <c r="P821" s="149">
        <v>0</v>
      </c>
      <c r="Q821" s="63">
        <f t="shared" si="341"/>
        <v>0</v>
      </c>
      <c r="R821" s="64">
        <f t="shared" si="332"/>
        <v>0</v>
      </c>
      <c r="S821" s="148">
        <v>15</v>
      </c>
      <c r="T821" s="151" t="s">
        <v>15</v>
      </c>
      <c r="U821" s="65">
        <f>SUMIF('Avoided Costs 2012-2020_EGD'!$A:$A,'2012 Actuals_Auditor'!T821&amp;'2012 Actuals_Auditor'!S821,'Avoided Costs 2012-2020_EGD'!$E:$E)*J821</f>
        <v>33842.854923762796</v>
      </c>
      <c r="V821" s="65">
        <f>SUMIF('Avoided Costs 2012-2020_EGD'!$A:$A,'2012 Actuals_Auditor'!T821&amp;'2012 Actuals_Auditor'!S821,'Avoided Costs 2012-2020_EGD'!$K:$K)*N821</f>
        <v>0</v>
      </c>
      <c r="W821" s="65">
        <f>SUMIF('Avoided Costs 2012-2020_EGD'!$A:$A,'2012 Actuals_Auditor'!T821&amp;'2012 Actuals_Auditor'!S821,'Avoided Costs 2012-2020_EGD'!$M:$M)*R821</f>
        <v>0</v>
      </c>
      <c r="X821" s="65">
        <f t="shared" si="333"/>
        <v>33842.854923762796</v>
      </c>
      <c r="Y821" s="146">
        <v>19000</v>
      </c>
      <c r="Z821" s="66">
        <f t="shared" si="334"/>
        <v>15200</v>
      </c>
      <c r="AA821" s="66">
        <v>1821</v>
      </c>
      <c r="AB821" s="66"/>
      <c r="AC821" s="66"/>
      <c r="AD821" s="66">
        <f t="shared" si="335"/>
        <v>15200</v>
      </c>
      <c r="AE821" s="66">
        <f t="shared" si="336"/>
        <v>18642.854923762796</v>
      </c>
      <c r="AF821" s="101">
        <f t="shared" si="337"/>
        <v>208914.77592878652</v>
      </c>
      <c r="AG821" s="101">
        <f t="shared" si="338"/>
        <v>261143.46991098314</v>
      </c>
    </row>
    <row r="822" spans="1:33" s="68" customFormat="1" x14ac:dyDescent="0.2">
      <c r="A822" s="147" t="s">
        <v>502</v>
      </c>
      <c r="B822" s="147"/>
      <c r="C822" s="147"/>
      <c r="D822" s="148">
        <v>0</v>
      </c>
      <c r="E822" s="149"/>
      <c r="F822" s="150">
        <v>0.2</v>
      </c>
      <c r="G822" s="150"/>
      <c r="H822" s="67">
        <v>83376</v>
      </c>
      <c r="I822" s="67">
        <f t="shared" si="340"/>
        <v>79698.01038561514</v>
      </c>
      <c r="J822" s="67">
        <f t="shared" si="330"/>
        <v>63758.408308492115</v>
      </c>
      <c r="K822" s="63"/>
      <c r="L822" s="149">
        <v>41630</v>
      </c>
      <c r="M822" s="63">
        <f t="shared" si="339"/>
        <v>41630</v>
      </c>
      <c r="N822" s="63">
        <f t="shared" si="331"/>
        <v>33304</v>
      </c>
      <c r="O822" s="69"/>
      <c r="P822" s="149">
        <v>0</v>
      </c>
      <c r="Q822" s="63">
        <f t="shared" si="341"/>
        <v>0</v>
      </c>
      <c r="R822" s="64">
        <f t="shared" si="332"/>
        <v>0</v>
      </c>
      <c r="S822" s="148">
        <v>15</v>
      </c>
      <c r="T822" s="151" t="s">
        <v>15</v>
      </c>
      <c r="U822" s="65">
        <f>SUMIF('Avoided Costs 2012-2020_EGD'!$A:$A,'2012 Actuals_Auditor'!T822&amp;'2012 Actuals_Auditor'!S822,'Avoided Costs 2012-2020_EGD'!$E:$E)*J822</f>
        <v>154926.80349880012</v>
      </c>
      <c r="V822" s="65">
        <f>SUMIF('Avoided Costs 2012-2020_EGD'!$A:$A,'2012 Actuals_Auditor'!T822&amp;'2012 Actuals_Auditor'!S822,'Avoided Costs 2012-2020_EGD'!$K:$K)*N822</f>
        <v>34295.907215961925</v>
      </c>
      <c r="W822" s="65">
        <f>SUMIF('Avoided Costs 2012-2020_EGD'!$A:$A,'2012 Actuals_Auditor'!T822&amp;'2012 Actuals_Auditor'!S822,'Avoided Costs 2012-2020_EGD'!$M:$M)*R822</f>
        <v>0</v>
      </c>
      <c r="X822" s="65">
        <f t="shared" si="333"/>
        <v>189222.71071476204</v>
      </c>
      <c r="Y822" s="146">
        <v>34500</v>
      </c>
      <c r="Z822" s="66">
        <f t="shared" si="334"/>
        <v>27600</v>
      </c>
      <c r="AA822" s="66">
        <v>16675.2</v>
      </c>
      <c r="AB822" s="66"/>
      <c r="AC822" s="66"/>
      <c r="AD822" s="66">
        <f t="shared" si="335"/>
        <v>27600</v>
      </c>
      <c r="AE822" s="66">
        <f t="shared" si="336"/>
        <v>161622.71071476204</v>
      </c>
      <c r="AF822" s="101">
        <f t="shared" si="337"/>
        <v>956376.12462738168</v>
      </c>
      <c r="AG822" s="101">
        <f t="shared" si="338"/>
        <v>1195470.1557842272</v>
      </c>
    </row>
    <row r="823" spans="1:33" s="68" customFormat="1" x14ac:dyDescent="0.2">
      <c r="A823" s="147" t="s">
        <v>503</v>
      </c>
      <c r="B823" s="147"/>
      <c r="C823" s="147"/>
      <c r="D823" s="148">
        <v>1</v>
      </c>
      <c r="E823" s="149"/>
      <c r="F823" s="150">
        <v>0.2</v>
      </c>
      <c r="G823" s="150"/>
      <c r="H823" s="67">
        <v>67620</v>
      </c>
      <c r="I823" s="67">
        <f t="shared" si="340"/>
        <v>64637.059372904616</v>
      </c>
      <c r="J823" s="67">
        <f t="shared" si="330"/>
        <v>51709.647498323699</v>
      </c>
      <c r="K823" s="63"/>
      <c r="L823" s="149">
        <v>0</v>
      </c>
      <c r="M823" s="63">
        <f t="shared" si="339"/>
        <v>0</v>
      </c>
      <c r="N823" s="63">
        <f t="shared" si="331"/>
        <v>0</v>
      </c>
      <c r="O823" s="69"/>
      <c r="P823" s="149">
        <v>0</v>
      </c>
      <c r="Q823" s="63">
        <f t="shared" si="341"/>
        <v>0</v>
      </c>
      <c r="R823" s="64">
        <f t="shared" si="332"/>
        <v>0</v>
      </c>
      <c r="S823" s="148">
        <v>15</v>
      </c>
      <c r="T823" s="151" t="s">
        <v>15</v>
      </c>
      <c r="U823" s="65">
        <f>SUMIF('Avoided Costs 2012-2020_EGD'!$A:$A,'2012 Actuals_Auditor'!T823&amp;'2012 Actuals_Auditor'!S823,'Avoided Costs 2012-2020_EGD'!$E:$E)*J823</f>
        <v>125649.47290094108</v>
      </c>
      <c r="V823" s="65">
        <f>SUMIF('Avoided Costs 2012-2020_EGD'!$A:$A,'2012 Actuals_Auditor'!T823&amp;'2012 Actuals_Auditor'!S823,'Avoided Costs 2012-2020_EGD'!$K:$K)*N823</f>
        <v>0</v>
      </c>
      <c r="W823" s="65">
        <f>SUMIF('Avoided Costs 2012-2020_EGD'!$A:$A,'2012 Actuals_Auditor'!T823&amp;'2012 Actuals_Auditor'!S823,'Avoided Costs 2012-2020_EGD'!$M:$M)*R823</f>
        <v>0</v>
      </c>
      <c r="X823" s="65">
        <f t="shared" si="333"/>
        <v>125649.47290094108</v>
      </c>
      <c r="Y823" s="146">
        <v>11500</v>
      </c>
      <c r="Z823" s="66">
        <f t="shared" si="334"/>
        <v>9200</v>
      </c>
      <c r="AA823" s="66">
        <v>6762</v>
      </c>
      <c r="AB823" s="66"/>
      <c r="AC823" s="66"/>
      <c r="AD823" s="66">
        <f t="shared" si="335"/>
        <v>9200</v>
      </c>
      <c r="AE823" s="66">
        <f t="shared" si="336"/>
        <v>116449.47290094108</v>
      </c>
      <c r="AF823" s="101">
        <f t="shared" si="337"/>
        <v>775644.71247485548</v>
      </c>
      <c r="AG823" s="101">
        <f t="shared" si="338"/>
        <v>969555.89059356926</v>
      </c>
    </row>
    <row r="824" spans="1:33" s="68" customFormat="1" x14ac:dyDescent="0.2">
      <c r="A824" s="147" t="s">
        <v>504</v>
      </c>
      <c r="B824" s="147"/>
      <c r="C824" s="147"/>
      <c r="D824" s="148">
        <v>0</v>
      </c>
      <c r="E824" s="149"/>
      <c r="F824" s="150">
        <v>0.2</v>
      </c>
      <c r="G824" s="150"/>
      <c r="H824" s="67">
        <v>19998</v>
      </c>
      <c r="I824" s="67">
        <f t="shared" si="340"/>
        <v>19115.822439209504</v>
      </c>
      <c r="J824" s="67">
        <f t="shared" si="330"/>
        <v>15292.657951367604</v>
      </c>
      <c r="K824" s="63"/>
      <c r="L824" s="149">
        <v>0</v>
      </c>
      <c r="M824" s="63">
        <f t="shared" si="339"/>
        <v>0</v>
      </c>
      <c r="N824" s="63">
        <f t="shared" si="331"/>
        <v>0</v>
      </c>
      <c r="O824" s="69"/>
      <c r="P824" s="149">
        <v>0</v>
      </c>
      <c r="Q824" s="63">
        <f t="shared" si="341"/>
        <v>0</v>
      </c>
      <c r="R824" s="64">
        <f t="shared" si="332"/>
        <v>0</v>
      </c>
      <c r="S824" s="148">
        <v>25</v>
      </c>
      <c r="T824" s="151" t="s">
        <v>52</v>
      </c>
      <c r="U824" s="65">
        <f>SUMIF('Avoided Costs 2012-2020_EGD'!$A:$A,'2012 Actuals_Auditor'!T824&amp;'2012 Actuals_Auditor'!S824,'Avoided Costs 2012-2020_EGD'!$E:$E)*J824</f>
        <v>49346.220492909561</v>
      </c>
      <c r="V824" s="65">
        <f>SUMIF('Avoided Costs 2012-2020_EGD'!$A:$A,'2012 Actuals_Auditor'!T824&amp;'2012 Actuals_Auditor'!S824,'Avoided Costs 2012-2020_EGD'!$K:$K)*N824</f>
        <v>0</v>
      </c>
      <c r="W824" s="65">
        <f>SUMIF('Avoided Costs 2012-2020_EGD'!$A:$A,'2012 Actuals_Auditor'!T824&amp;'2012 Actuals_Auditor'!S824,'Avoided Costs 2012-2020_EGD'!$M:$M)*R824</f>
        <v>0</v>
      </c>
      <c r="X824" s="65">
        <f t="shared" si="333"/>
        <v>49346.220492909561</v>
      </c>
      <c r="Y824" s="146">
        <v>16246</v>
      </c>
      <c r="Z824" s="66">
        <f t="shared" si="334"/>
        <v>12996.800000000001</v>
      </c>
      <c r="AA824" s="66">
        <v>3568</v>
      </c>
      <c r="AB824" s="66"/>
      <c r="AC824" s="66"/>
      <c r="AD824" s="66">
        <f t="shared" si="335"/>
        <v>12996.800000000001</v>
      </c>
      <c r="AE824" s="66">
        <f t="shared" si="336"/>
        <v>36349.420492909558</v>
      </c>
      <c r="AF824" s="101">
        <f t="shared" si="337"/>
        <v>382316.44878419011</v>
      </c>
      <c r="AG824" s="101">
        <f t="shared" si="338"/>
        <v>477895.56098023761</v>
      </c>
    </row>
    <row r="825" spans="1:33" s="68" customFormat="1" x14ac:dyDescent="0.2">
      <c r="A825" s="147" t="s">
        <v>505</v>
      </c>
      <c r="B825" s="147"/>
      <c r="C825" s="147"/>
      <c r="D825" s="148">
        <v>1</v>
      </c>
      <c r="E825" s="149"/>
      <c r="F825" s="150">
        <v>0.2</v>
      </c>
      <c r="G825" s="150"/>
      <c r="H825" s="67">
        <v>48481</v>
      </c>
      <c r="I825" s="67">
        <f t="shared" si="340"/>
        <v>46342.343618127605</v>
      </c>
      <c r="J825" s="67">
        <f t="shared" si="330"/>
        <v>37073.874894502085</v>
      </c>
      <c r="K825" s="63"/>
      <c r="L825" s="149">
        <v>0</v>
      </c>
      <c r="M825" s="63">
        <f t="shared" si="339"/>
        <v>0</v>
      </c>
      <c r="N825" s="63">
        <f t="shared" si="331"/>
        <v>0</v>
      </c>
      <c r="O825" s="69"/>
      <c r="P825" s="149">
        <v>0</v>
      </c>
      <c r="Q825" s="63">
        <f t="shared" si="341"/>
        <v>0</v>
      </c>
      <c r="R825" s="64">
        <f t="shared" si="332"/>
        <v>0</v>
      </c>
      <c r="S825" s="148">
        <v>25</v>
      </c>
      <c r="T825" s="151" t="s">
        <v>15</v>
      </c>
      <c r="U825" s="65">
        <f>SUMIF('Avoided Costs 2012-2020_EGD'!$A:$A,'2012 Actuals_Auditor'!T825&amp;'2012 Actuals_Auditor'!S825,'Avoided Costs 2012-2020_EGD'!$E:$E)*J825</f>
        <v>127311.50097802913</v>
      </c>
      <c r="V825" s="65">
        <f>SUMIF('Avoided Costs 2012-2020_EGD'!$A:$A,'2012 Actuals_Auditor'!T825&amp;'2012 Actuals_Auditor'!S825,'Avoided Costs 2012-2020_EGD'!$K:$K)*N825</f>
        <v>0</v>
      </c>
      <c r="W825" s="65">
        <f>SUMIF('Avoided Costs 2012-2020_EGD'!$A:$A,'2012 Actuals_Auditor'!T825&amp;'2012 Actuals_Auditor'!S825,'Avoided Costs 2012-2020_EGD'!$M:$M)*R825</f>
        <v>0</v>
      </c>
      <c r="X825" s="65">
        <f t="shared" si="333"/>
        <v>127311.50097802913</v>
      </c>
      <c r="Y825" s="146">
        <v>19912</v>
      </c>
      <c r="Z825" s="66">
        <f t="shared" si="334"/>
        <v>15929.6</v>
      </c>
      <c r="AA825" s="66">
        <v>7697</v>
      </c>
      <c r="AB825" s="66"/>
      <c r="AC825" s="66"/>
      <c r="AD825" s="66">
        <f t="shared" si="335"/>
        <v>15929.6</v>
      </c>
      <c r="AE825" s="66">
        <f t="shared" si="336"/>
        <v>111381.90097802912</v>
      </c>
      <c r="AF825" s="101">
        <f t="shared" si="337"/>
        <v>926846.87236255209</v>
      </c>
      <c r="AG825" s="101">
        <f t="shared" si="338"/>
        <v>1158558.59045319</v>
      </c>
    </row>
    <row r="826" spans="1:33" s="68" customFormat="1" x14ac:dyDescent="0.2">
      <c r="A826" s="147" t="s">
        <v>506</v>
      </c>
      <c r="B826" s="147"/>
      <c r="C826" s="147"/>
      <c r="D826" s="148">
        <v>1</v>
      </c>
      <c r="E826" s="149"/>
      <c r="F826" s="150">
        <v>0.2</v>
      </c>
      <c r="G826" s="150"/>
      <c r="H826" s="67">
        <v>48759</v>
      </c>
      <c r="I826" s="67">
        <f t="shared" si="340"/>
        <v>46608.080123683176</v>
      </c>
      <c r="J826" s="67">
        <f t="shared" si="330"/>
        <v>37286.464098946541</v>
      </c>
      <c r="K826" s="63"/>
      <c r="L826" s="149">
        <v>0</v>
      </c>
      <c r="M826" s="63">
        <f t="shared" si="339"/>
        <v>0</v>
      </c>
      <c r="N826" s="63">
        <f t="shared" si="331"/>
        <v>0</v>
      </c>
      <c r="O826" s="69"/>
      <c r="P826" s="149">
        <v>0</v>
      </c>
      <c r="Q826" s="63">
        <f t="shared" si="341"/>
        <v>0</v>
      </c>
      <c r="R826" s="64">
        <f t="shared" si="332"/>
        <v>0</v>
      </c>
      <c r="S826" s="148">
        <v>25</v>
      </c>
      <c r="T826" s="151" t="s">
        <v>15</v>
      </c>
      <c r="U826" s="65">
        <f>SUMIF('Avoided Costs 2012-2020_EGD'!$A:$A,'2012 Actuals_Auditor'!T826&amp;'2012 Actuals_Auditor'!S826,'Avoided Costs 2012-2020_EGD'!$E:$E)*J826</f>
        <v>128041.53124291419</v>
      </c>
      <c r="V826" s="65">
        <f>SUMIF('Avoided Costs 2012-2020_EGD'!$A:$A,'2012 Actuals_Auditor'!T826&amp;'2012 Actuals_Auditor'!S826,'Avoided Costs 2012-2020_EGD'!$K:$K)*N826</f>
        <v>0</v>
      </c>
      <c r="W826" s="65">
        <f>SUMIF('Avoided Costs 2012-2020_EGD'!$A:$A,'2012 Actuals_Auditor'!T826&amp;'2012 Actuals_Auditor'!S826,'Avoided Costs 2012-2020_EGD'!$M:$M)*R826</f>
        <v>0</v>
      </c>
      <c r="X826" s="65">
        <f t="shared" si="333"/>
        <v>128041.53124291419</v>
      </c>
      <c r="Y826" s="146">
        <v>13652</v>
      </c>
      <c r="Z826" s="66">
        <f t="shared" si="334"/>
        <v>10921.6</v>
      </c>
      <c r="AA826" s="66">
        <v>9970</v>
      </c>
      <c r="AB826" s="66"/>
      <c r="AC826" s="66"/>
      <c r="AD826" s="66">
        <f t="shared" si="335"/>
        <v>10921.6</v>
      </c>
      <c r="AE826" s="66">
        <f t="shared" si="336"/>
        <v>117119.93124291419</v>
      </c>
      <c r="AF826" s="101">
        <f t="shared" si="337"/>
        <v>932161.60247366352</v>
      </c>
      <c r="AG826" s="101">
        <f t="shared" si="338"/>
        <v>1165202.0030920794</v>
      </c>
    </row>
    <row r="827" spans="1:33" s="68" customFormat="1" x14ac:dyDescent="0.2">
      <c r="A827" s="147" t="s">
        <v>507</v>
      </c>
      <c r="B827" s="147"/>
      <c r="C827" s="147"/>
      <c r="D827" s="148">
        <v>1</v>
      </c>
      <c r="E827" s="149"/>
      <c r="F827" s="150">
        <v>0.2</v>
      </c>
      <c r="G827" s="150"/>
      <c r="H827" s="67">
        <v>165449</v>
      </c>
      <c r="I827" s="67">
        <f t="shared" si="340"/>
        <v>158150.50038727737</v>
      </c>
      <c r="J827" s="67">
        <f t="shared" si="330"/>
        <v>126520.4003098219</v>
      </c>
      <c r="K827" s="63"/>
      <c r="L827" s="149">
        <v>0</v>
      </c>
      <c r="M827" s="63">
        <f t="shared" si="339"/>
        <v>0</v>
      </c>
      <c r="N827" s="63">
        <f t="shared" si="331"/>
        <v>0</v>
      </c>
      <c r="O827" s="69"/>
      <c r="P827" s="149">
        <v>0</v>
      </c>
      <c r="Q827" s="63">
        <f t="shared" si="341"/>
        <v>0</v>
      </c>
      <c r="R827" s="64">
        <f t="shared" si="332"/>
        <v>0</v>
      </c>
      <c r="S827" s="148">
        <v>25</v>
      </c>
      <c r="T827" s="151" t="s">
        <v>15</v>
      </c>
      <c r="U827" s="65">
        <f>SUMIF('Avoided Costs 2012-2020_EGD'!$A:$A,'2012 Actuals_Auditor'!T827&amp;'2012 Actuals_Auditor'!S827,'Avoided Costs 2012-2020_EGD'!$E:$E)*J827</f>
        <v>434470.42192434031</v>
      </c>
      <c r="V827" s="65">
        <f>SUMIF('Avoided Costs 2012-2020_EGD'!$A:$A,'2012 Actuals_Auditor'!T827&amp;'2012 Actuals_Auditor'!S827,'Avoided Costs 2012-2020_EGD'!$K:$K)*N827</f>
        <v>0</v>
      </c>
      <c r="W827" s="65">
        <f>SUMIF('Avoided Costs 2012-2020_EGD'!$A:$A,'2012 Actuals_Auditor'!T827&amp;'2012 Actuals_Auditor'!S827,'Avoided Costs 2012-2020_EGD'!$M:$M)*R827</f>
        <v>0</v>
      </c>
      <c r="X827" s="65">
        <f t="shared" si="333"/>
        <v>434470.42192434031</v>
      </c>
      <c r="Y827" s="146">
        <v>16308</v>
      </c>
      <c r="Z827" s="66">
        <f t="shared" si="334"/>
        <v>13046.400000000001</v>
      </c>
      <c r="AA827" s="66">
        <v>27044</v>
      </c>
      <c r="AB827" s="66"/>
      <c r="AC827" s="66"/>
      <c r="AD827" s="66">
        <f t="shared" si="335"/>
        <v>13046.400000000001</v>
      </c>
      <c r="AE827" s="66">
        <f t="shared" si="336"/>
        <v>421424.02192434028</v>
      </c>
      <c r="AF827" s="101">
        <f t="shared" si="337"/>
        <v>3163010.0077455472</v>
      </c>
      <c r="AG827" s="101">
        <f t="shared" si="338"/>
        <v>3953762.509681934</v>
      </c>
    </row>
    <row r="828" spans="1:33" s="68" customFormat="1" x14ac:dyDescent="0.2">
      <c r="A828" s="141" t="s">
        <v>508</v>
      </c>
      <c r="B828" s="141"/>
      <c r="C828" s="141"/>
      <c r="D828" s="142">
        <v>0</v>
      </c>
      <c r="E828" s="143"/>
      <c r="F828" s="144">
        <v>0.2</v>
      </c>
      <c r="G828" s="144"/>
      <c r="H828" s="67">
        <v>75119</v>
      </c>
      <c r="I828" s="67">
        <f t="shared" si="340"/>
        <v>71805.253815930526</v>
      </c>
      <c r="J828" s="67">
        <f t="shared" si="330"/>
        <v>57444.203052744422</v>
      </c>
      <c r="K828" s="143"/>
      <c r="L828" s="143">
        <v>111015</v>
      </c>
      <c r="M828" s="63">
        <f t="shared" si="339"/>
        <v>111015</v>
      </c>
      <c r="N828" s="63">
        <f t="shared" si="331"/>
        <v>88812</v>
      </c>
      <c r="O828" s="143"/>
      <c r="P828" s="143">
        <v>0</v>
      </c>
      <c r="Q828" s="63">
        <f t="shared" si="341"/>
        <v>0</v>
      </c>
      <c r="R828" s="64">
        <f t="shared" si="332"/>
        <v>0</v>
      </c>
      <c r="S828" s="142">
        <v>15</v>
      </c>
      <c r="T828" s="145" t="s">
        <v>15</v>
      </c>
      <c r="U828" s="65">
        <f>SUMIF('Avoided Costs 2012-2020_EGD'!$A:$A,'2012 Actuals_Auditor'!T828&amp;'2012 Actuals_Auditor'!S828,'Avoided Costs 2012-2020_EGD'!$E:$E)*J828</f>
        <v>139583.89167178044</v>
      </c>
      <c r="V828" s="65">
        <f>SUMIF('Avoided Costs 2012-2020_EGD'!$A:$A,'2012 Actuals_Auditor'!T828&amp;'2012 Actuals_Auditor'!S828,'Avoided Costs 2012-2020_EGD'!$K:$K)*N828</f>
        <v>91457.125620466337</v>
      </c>
      <c r="W828" s="65">
        <f>SUMIF('Avoided Costs 2012-2020_EGD'!$A:$A,'2012 Actuals_Auditor'!T828&amp;'2012 Actuals_Auditor'!S828,'Avoided Costs 2012-2020_EGD'!$M:$M)*R828</f>
        <v>0</v>
      </c>
      <c r="X828" s="65">
        <f t="shared" si="333"/>
        <v>231041.01729224678</v>
      </c>
      <c r="Y828" s="146">
        <v>40000</v>
      </c>
      <c r="Z828" s="66">
        <f t="shared" si="334"/>
        <v>32000</v>
      </c>
      <c r="AA828" s="66">
        <v>15023</v>
      </c>
      <c r="AB828" s="66"/>
      <c r="AC828" s="66"/>
      <c r="AD828" s="66">
        <f t="shared" si="335"/>
        <v>32000</v>
      </c>
      <c r="AE828" s="66">
        <f t="shared" si="336"/>
        <v>199041.01729224678</v>
      </c>
      <c r="AF828" s="101">
        <f t="shared" si="337"/>
        <v>861663.04579116637</v>
      </c>
      <c r="AG828" s="101">
        <f t="shared" si="338"/>
        <v>1077078.8072389578</v>
      </c>
    </row>
    <row r="829" spans="1:33" s="68" customFormat="1" x14ac:dyDescent="0.2">
      <c r="A829" s="141" t="s">
        <v>509</v>
      </c>
      <c r="B829" s="141"/>
      <c r="C829" s="141"/>
      <c r="D829" s="142">
        <v>1</v>
      </c>
      <c r="E829" s="143"/>
      <c r="F829" s="144">
        <v>0.2</v>
      </c>
      <c r="G829" s="144"/>
      <c r="H829" s="67">
        <v>77911</v>
      </c>
      <c r="I829" s="67">
        <f t="shared" si="340"/>
        <v>74474.089512013787</v>
      </c>
      <c r="J829" s="67">
        <f t="shared" si="330"/>
        <v>59579.271609611031</v>
      </c>
      <c r="K829" s="143"/>
      <c r="L829" s="143">
        <v>0</v>
      </c>
      <c r="M829" s="63">
        <f t="shared" si="339"/>
        <v>0</v>
      </c>
      <c r="N829" s="63">
        <f t="shared" si="331"/>
        <v>0</v>
      </c>
      <c r="O829" s="143"/>
      <c r="P829" s="143">
        <v>0</v>
      </c>
      <c r="Q829" s="63">
        <f t="shared" si="341"/>
        <v>0</v>
      </c>
      <c r="R829" s="64">
        <f t="shared" si="332"/>
        <v>0</v>
      </c>
      <c r="S829" s="142">
        <v>25</v>
      </c>
      <c r="T829" s="145" t="s">
        <v>15</v>
      </c>
      <c r="U829" s="65">
        <f>SUMIF('Avoided Costs 2012-2020_EGD'!$A:$A,'2012 Actuals_Auditor'!T829&amp;'2012 Actuals_Auditor'!S829,'Avoided Costs 2012-2020_EGD'!$E:$E)*J829</f>
        <v>204594.92074625584</v>
      </c>
      <c r="V829" s="65">
        <f>SUMIF('Avoided Costs 2012-2020_EGD'!$A:$A,'2012 Actuals_Auditor'!T829&amp;'2012 Actuals_Auditor'!S829,'Avoided Costs 2012-2020_EGD'!$K:$K)*N829</f>
        <v>0</v>
      </c>
      <c r="W829" s="65">
        <f>SUMIF('Avoided Costs 2012-2020_EGD'!$A:$A,'2012 Actuals_Auditor'!T829&amp;'2012 Actuals_Auditor'!S829,'Avoided Costs 2012-2020_EGD'!$M:$M)*R829</f>
        <v>0</v>
      </c>
      <c r="X829" s="65">
        <f t="shared" si="333"/>
        <v>204594.92074625584</v>
      </c>
      <c r="Y829" s="146">
        <v>18960</v>
      </c>
      <c r="Z829" s="66">
        <f t="shared" si="334"/>
        <v>15168</v>
      </c>
      <c r="AA829" s="66">
        <v>12915.8</v>
      </c>
      <c r="AB829" s="66"/>
      <c r="AC829" s="66"/>
      <c r="AD829" s="66">
        <f t="shared" si="335"/>
        <v>15168</v>
      </c>
      <c r="AE829" s="66">
        <f t="shared" si="336"/>
        <v>189426.92074625584</v>
      </c>
      <c r="AF829" s="101">
        <f t="shared" si="337"/>
        <v>1489481.7902402757</v>
      </c>
      <c r="AG829" s="101">
        <f t="shared" si="338"/>
        <v>1861852.2378003446</v>
      </c>
    </row>
    <row r="830" spans="1:33" s="68" customFormat="1" x14ac:dyDescent="0.2">
      <c r="A830" s="141" t="s">
        <v>510</v>
      </c>
      <c r="B830" s="141"/>
      <c r="C830" s="141"/>
      <c r="D830" s="142">
        <v>1</v>
      </c>
      <c r="E830" s="143"/>
      <c r="F830" s="144">
        <v>0.2</v>
      </c>
      <c r="G830" s="144"/>
      <c r="H830" s="67">
        <v>65971</v>
      </c>
      <c r="I830" s="67">
        <f t="shared" si="340"/>
        <v>63060.802187073212</v>
      </c>
      <c r="J830" s="67">
        <f t="shared" si="330"/>
        <v>50448.641749658571</v>
      </c>
      <c r="K830" s="143"/>
      <c r="L830" s="143">
        <v>0</v>
      </c>
      <c r="M830" s="63">
        <f t="shared" si="339"/>
        <v>0</v>
      </c>
      <c r="N830" s="63">
        <f t="shared" si="331"/>
        <v>0</v>
      </c>
      <c r="O830" s="143"/>
      <c r="P830" s="143">
        <v>0</v>
      </c>
      <c r="Q830" s="63">
        <f t="shared" si="341"/>
        <v>0</v>
      </c>
      <c r="R830" s="64">
        <f t="shared" si="332"/>
        <v>0</v>
      </c>
      <c r="S830" s="142">
        <v>25</v>
      </c>
      <c r="T830" s="145" t="s">
        <v>15</v>
      </c>
      <c r="U830" s="65">
        <f>SUMIF('Avoided Costs 2012-2020_EGD'!$A:$A,'2012 Actuals_Auditor'!T830&amp;'2012 Actuals_Auditor'!S830,'Avoided Costs 2012-2020_EGD'!$E:$E)*J830</f>
        <v>173240.38347025763</v>
      </c>
      <c r="V830" s="65">
        <f>SUMIF('Avoided Costs 2012-2020_EGD'!$A:$A,'2012 Actuals_Auditor'!T830&amp;'2012 Actuals_Auditor'!S830,'Avoided Costs 2012-2020_EGD'!$K:$K)*N830</f>
        <v>0</v>
      </c>
      <c r="W830" s="65">
        <f>SUMIF('Avoided Costs 2012-2020_EGD'!$A:$A,'2012 Actuals_Auditor'!T830&amp;'2012 Actuals_Auditor'!S830,'Avoided Costs 2012-2020_EGD'!$M:$M)*R830</f>
        <v>0</v>
      </c>
      <c r="X830" s="65">
        <f t="shared" si="333"/>
        <v>173240.38347025763</v>
      </c>
      <c r="Y830" s="146">
        <v>8360</v>
      </c>
      <c r="Z830" s="66">
        <f t="shared" si="334"/>
        <v>6688</v>
      </c>
      <c r="AA830" s="66">
        <v>9640.4</v>
      </c>
      <c r="AB830" s="66"/>
      <c r="AC830" s="66"/>
      <c r="AD830" s="66">
        <f t="shared" si="335"/>
        <v>6688</v>
      </c>
      <c r="AE830" s="66">
        <f t="shared" si="336"/>
        <v>166552.38347025763</v>
      </c>
      <c r="AF830" s="101">
        <f t="shared" si="337"/>
        <v>1261216.0437414644</v>
      </c>
      <c r="AG830" s="101">
        <f t="shared" si="338"/>
        <v>1576520.0546768303</v>
      </c>
    </row>
    <row r="831" spans="1:33" s="68" customFormat="1" x14ac:dyDescent="0.2">
      <c r="A831" s="141" t="s">
        <v>511</v>
      </c>
      <c r="B831" s="141"/>
      <c r="C831" s="141"/>
      <c r="D831" s="142">
        <v>1</v>
      </c>
      <c r="E831" s="143"/>
      <c r="F831" s="144">
        <v>0.2</v>
      </c>
      <c r="G831" s="144"/>
      <c r="H831" s="67">
        <v>81055</v>
      </c>
      <c r="I831" s="67">
        <f t="shared" si="340"/>
        <v>77479.397330239342</v>
      </c>
      <c r="J831" s="67">
        <f t="shared" si="330"/>
        <v>61983.517864191475</v>
      </c>
      <c r="K831" s="143"/>
      <c r="L831" s="143">
        <v>0</v>
      </c>
      <c r="M831" s="63">
        <f t="shared" si="339"/>
        <v>0</v>
      </c>
      <c r="N831" s="63">
        <f t="shared" si="331"/>
        <v>0</v>
      </c>
      <c r="O831" s="143"/>
      <c r="P831" s="143">
        <v>0</v>
      </c>
      <c r="Q831" s="63">
        <f t="shared" si="341"/>
        <v>0</v>
      </c>
      <c r="R831" s="64">
        <f t="shared" si="332"/>
        <v>0</v>
      </c>
      <c r="S831" s="142">
        <v>25</v>
      </c>
      <c r="T831" s="145" t="s">
        <v>15</v>
      </c>
      <c r="U831" s="65">
        <f>SUMIF('Avoided Costs 2012-2020_EGD'!$A:$A,'2012 Actuals_Auditor'!T831&amp;'2012 Actuals_Auditor'!S831,'Avoided Costs 2012-2020_EGD'!$E:$E)*J831</f>
        <v>212851.09036063927</v>
      </c>
      <c r="V831" s="65">
        <f>SUMIF('Avoided Costs 2012-2020_EGD'!$A:$A,'2012 Actuals_Auditor'!T831&amp;'2012 Actuals_Auditor'!S831,'Avoided Costs 2012-2020_EGD'!$K:$K)*N831</f>
        <v>0</v>
      </c>
      <c r="W831" s="65">
        <f>SUMIF('Avoided Costs 2012-2020_EGD'!$A:$A,'2012 Actuals_Auditor'!T831&amp;'2012 Actuals_Auditor'!S831,'Avoided Costs 2012-2020_EGD'!$M:$M)*R831</f>
        <v>0</v>
      </c>
      <c r="X831" s="65">
        <f t="shared" si="333"/>
        <v>212851.09036063927</v>
      </c>
      <c r="Y831" s="146">
        <v>5376</v>
      </c>
      <c r="Z831" s="66">
        <f t="shared" si="334"/>
        <v>4300.8</v>
      </c>
      <c r="AA831" s="66">
        <v>12024.6</v>
      </c>
      <c r="AB831" s="66"/>
      <c r="AC831" s="66"/>
      <c r="AD831" s="66">
        <f t="shared" si="335"/>
        <v>4300.8</v>
      </c>
      <c r="AE831" s="66">
        <f t="shared" si="336"/>
        <v>208550.29036063928</v>
      </c>
      <c r="AF831" s="101">
        <f t="shared" si="337"/>
        <v>1549587.9466047869</v>
      </c>
      <c r="AG831" s="101">
        <f t="shared" si="338"/>
        <v>1936984.9332559835</v>
      </c>
    </row>
    <row r="832" spans="1:33" s="68" customFormat="1" x14ac:dyDescent="0.2">
      <c r="A832" s="141" t="s">
        <v>512</v>
      </c>
      <c r="B832" s="141"/>
      <c r="C832" s="141"/>
      <c r="D832" s="142">
        <v>0</v>
      </c>
      <c r="E832" s="143"/>
      <c r="F832" s="144">
        <v>0.2</v>
      </c>
      <c r="G832" s="144"/>
      <c r="H832" s="67">
        <v>4075</v>
      </c>
      <c r="I832" s="67">
        <f t="shared" si="340"/>
        <v>3895.2383458235186</v>
      </c>
      <c r="J832" s="67">
        <f t="shared" si="330"/>
        <v>3116.1906766588149</v>
      </c>
      <c r="K832" s="143"/>
      <c r="L832" s="143">
        <v>0</v>
      </c>
      <c r="M832" s="63">
        <f t="shared" si="339"/>
        <v>0</v>
      </c>
      <c r="N832" s="63">
        <f t="shared" si="331"/>
        <v>0</v>
      </c>
      <c r="O832" s="143"/>
      <c r="P832" s="143">
        <v>0</v>
      </c>
      <c r="Q832" s="63">
        <f t="shared" si="341"/>
        <v>0</v>
      </c>
      <c r="R832" s="64">
        <f t="shared" si="332"/>
        <v>0</v>
      </c>
      <c r="S832" s="142">
        <v>25</v>
      </c>
      <c r="T832" s="145" t="s">
        <v>52</v>
      </c>
      <c r="U832" s="65">
        <f>SUMIF('Avoided Costs 2012-2020_EGD'!$A:$A,'2012 Actuals_Auditor'!T832&amp;'2012 Actuals_Auditor'!S832,'Avoided Costs 2012-2020_EGD'!$E:$E)*J832</f>
        <v>10055.297955225844</v>
      </c>
      <c r="V832" s="65">
        <f>SUMIF('Avoided Costs 2012-2020_EGD'!$A:$A,'2012 Actuals_Auditor'!T832&amp;'2012 Actuals_Auditor'!S832,'Avoided Costs 2012-2020_EGD'!$K:$K)*N832</f>
        <v>0</v>
      </c>
      <c r="W832" s="65">
        <f>SUMIF('Avoided Costs 2012-2020_EGD'!$A:$A,'2012 Actuals_Auditor'!T832&amp;'2012 Actuals_Auditor'!S832,'Avoided Costs 2012-2020_EGD'!$M:$M)*R832</f>
        <v>0</v>
      </c>
      <c r="X832" s="65">
        <f t="shared" si="333"/>
        <v>10055.297955225844</v>
      </c>
      <c r="Y832" s="146">
        <v>7349</v>
      </c>
      <c r="Z832" s="66">
        <f t="shared" si="334"/>
        <v>5879.2000000000007</v>
      </c>
      <c r="AA832" s="66">
        <v>788</v>
      </c>
      <c r="AB832" s="66"/>
      <c r="AC832" s="66"/>
      <c r="AD832" s="66">
        <f t="shared" si="335"/>
        <v>5879.2000000000007</v>
      </c>
      <c r="AE832" s="66">
        <f t="shared" si="336"/>
        <v>4176.0979552258432</v>
      </c>
      <c r="AF832" s="101">
        <f t="shared" si="337"/>
        <v>77904.766916470369</v>
      </c>
      <c r="AG832" s="101">
        <f t="shared" si="338"/>
        <v>97380.958645587962</v>
      </c>
    </row>
    <row r="833" spans="1:33" s="68" customFormat="1" x14ac:dyDescent="0.2">
      <c r="A833" s="141" t="s">
        <v>513</v>
      </c>
      <c r="B833" s="141"/>
      <c r="C833" s="141"/>
      <c r="D833" s="142">
        <v>1</v>
      </c>
      <c r="E833" s="143"/>
      <c r="F833" s="144">
        <v>0.2</v>
      </c>
      <c r="G833" s="144"/>
      <c r="H833" s="67">
        <v>15169</v>
      </c>
      <c r="I833" s="67">
        <f t="shared" si="340"/>
        <v>14499.845513569804</v>
      </c>
      <c r="J833" s="67">
        <f t="shared" si="330"/>
        <v>11599.876410855844</v>
      </c>
      <c r="K833" s="143"/>
      <c r="L833" s="143">
        <v>0</v>
      </c>
      <c r="M833" s="63">
        <f t="shared" si="339"/>
        <v>0</v>
      </c>
      <c r="N833" s="63">
        <f t="shared" si="331"/>
        <v>0</v>
      </c>
      <c r="O833" s="143"/>
      <c r="P833" s="143">
        <v>0</v>
      </c>
      <c r="Q833" s="63">
        <f t="shared" si="341"/>
        <v>0</v>
      </c>
      <c r="R833" s="64">
        <f t="shared" si="332"/>
        <v>0</v>
      </c>
      <c r="S833" s="142">
        <v>25</v>
      </c>
      <c r="T833" s="145" t="s">
        <v>15</v>
      </c>
      <c r="U833" s="65">
        <f>SUMIF('Avoided Costs 2012-2020_EGD'!$A:$A,'2012 Actuals_Auditor'!T833&amp;'2012 Actuals_Auditor'!S833,'Avoided Costs 2012-2020_EGD'!$E:$E)*J833</f>
        <v>39833.917582882452</v>
      </c>
      <c r="V833" s="65">
        <f>SUMIF('Avoided Costs 2012-2020_EGD'!$A:$A,'2012 Actuals_Auditor'!T833&amp;'2012 Actuals_Auditor'!S833,'Avoided Costs 2012-2020_EGD'!$K:$K)*N833</f>
        <v>0</v>
      </c>
      <c r="W833" s="65">
        <f>SUMIF('Avoided Costs 2012-2020_EGD'!$A:$A,'2012 Actuals_Auditor'!T833&amp;'2012 Actuals_Auditor'!S833,'Avoided Costs 2012-2020_EGD'!$M:$M)*R833</f>
        <v>0</v>
      </c>
      <c r="X833" s="65">
        <f t="shared" si="333"/>
        <v>39833.917582882452</v>
      </c>
      <c r="Y833" s="146">
        <v>4157</v>
      </c>
      <c r="Z833" s="66">
        <f t="shared" si="334"/>
        <v>3325.6000000000004</v>
      </c>
      <c r="AA833" s="66">
        <v>2275</v>
      </c>
      <c r="AB833" s="66"/>
      <c r="AC833" s="66"/>
      <c r="AD833" s="66">
        <f t="shared" si="335"/>
        <v>3325.6000000000004</v>
      </c>
      <c r="AE833" s="66">
        <f t="shared" si="336"/>
        <v>36508.317582882453</v>
      </c>
      <c r="AF833" s="101">
        <f t="shared" si="337"/>
        <v>289996.9102713961</v>
      </c>
      <c r="AG833" s="101">
        <f t="shared" si="338"/>
        <v>362496.13783924509</v>
      </c>
    </row>
    <row r="834" spans="1:33" s="68" customFormat="1" x14ac:dyDescent="0.2">
      <c r="A834" s="141" t="s">
        <v>514</v>
      </c>
      <c r="B834" s="141"/>
      <c r="C834" s="141"/>
      <c r="D834" s="142">
        <v>1</v>
      </c>
      <c r="E834" s="143"/>
      <c r="F834" s="144">
        <v>0.2</v>
      </c>
      <c r="G834" s="144"/>
      <c r="H834" s="67">
        <v>6633</v>
      </c>
      <c r="I834" s="67">
        <f>H834</f>
        <v>6633</v>
      </c>
      <c r="J834" s="67">
        <f t="shared" si="330"/>
        <v>5306.4000000000005</v>
      </c>
      <c r="K834" s="143"/>
      <c r="L834" s="143">
        <v>0</v>
      </c>
      <c r="M834" s="63">
        <f>L834</f>
        <v>0</v>
      </c>
      <c r="N834" s="63">
        <f t="shared" si="331"/>
        <v>0</v>
      </c>
      <c r="O834" s="143"/>
      <c r="P834" s="143">
        <v>0</v>
      </c>
      <c r="Q834" s="63">
        <f>+P834</f>
        <v>0</v>
      </c>
      <c r="R834" s="64">
        <f t="shared" si="332"/>
        <v>0</v>
      </c>
      <c r="S834" s="142">
        <v>25</v>
      </c>
      <c r="T834" s="145" t="s">
        <v>15</v>
      </c>
      <c r="U834" s="65">
        <f>SUMIF('Avoided Costs 2012-2020_EGD'!$A:$A,'2012 Actuals_Auditor'!T834&amp;'2012 Actuals_Auditor'!S834,'Avoided Costs 2012-2020_EGD'!$E:$E)*J834</f>
        <v>18222.151062229477</v>
      </c>
      <c r="V834" s="65">
        <f>SUMIF('Avoided Costs 2012-2020_EGD'!$A:$A,'2012 Actuals_Auditor'!T834&amp;'2012 Actuals_Auditor'!S834,'Avoided Costs 2012-2020_EGD'!$K:$K)*N834</f>
        <v>0</v>
      </c>
      <c r="W834" s="65">
        <f>SUMIF('Avoided Costs 2012-2020_EGD'!$A:$A,'2012 Actuals_Auditor'!T834&amp;'2012 Actuals_Auditor'!S834,'Avoided Costs 2012-2020_EGD'!$M:$M)*R834</f>
        <v>0</v>
      </c>
      <c r="X834" s="65">
        <f t="shared" si="333"/>
        <v>18222.151062229477</v>
      </c>
      <c r="Y834" s="146">
        <v>6000</v>
      </c>
      <c r="Z834" s="66">
        <f t="shared" si="334"/>
        <v>4800</v>
      </c>
      <c r="AA834" s="66">
        <v>850</v>
      </c>
      <c r="AB834" s="66"/>
      <c r="AC834" s="66"/>
      <c r="AD834" s="66">
        <f t="shared" si="335"/>
        <v>4800</v>
      </c>
      <c r="AE834" s="66">
        <f t="shared" si="336"/>
        <v>13422.151062229477</v>
      </c>
      <c r="AF834" s="101">
        <f t="shared" si="337"/>
        <v>132660</v>
      </c>
      <c r="AG834" s="101">
        <f t="shared" si="338"/>
        <v>165825</v>
      </c>
    </row>
    <row r="835" spans="1:33" s="68" customFormat="1" x14ac:dyDescent="0.2">
      <c r="A835" s="141" t="s">
        <v>515</v>
      </c>
      <c r="B835" s="141"/>
      <c r="C835" s="141"/>
      <c r="D835" s="142">
        <v>0</v>
      </c>
      <c r="E835" s="143"/>
      <c r="F835" s="144">
        <v>0.2</v>
      </c>
      <c r="G835" s="144"/>
      <c r="H835" s="67">
        <v>54350</v>
      </c>
      <c r="I835" s="67">
        <f t="shared" ref="I835:I855" si="342">+$H$42*H835</f>
        <v>51952.442722824104</v>
      </c>
      <c r="J835" s="67">
        <f t="shared" si="330"/>
        <v>41561.954178259286</v>
      </c>
      <c r="K835" s="143"/>
      <c r="L835" s="143">
        <v>0</v>
      </c>
      <c r="M835" s="63">
        <f t="shared" si="339"/>
        <v>0</v>
      </c>
      <c r="N835" s="63">
        <f t="shared" si="331"/>
        <v>0</v>
      </c>
      <c r="O835" s="143"/>
      <c r="P835" s="143">
        <v>0</v>
      </c>
      <c r="Q835" s="63">
        <f t="shared" ref="Q835:Q855" si="343">+P835*$P$42</f>
        <v>0</v>
      </c>
      <c r="R835" s="64">
        <f t="shared" si="332"/>
        <v>0</v>
      </c>
      <c r="S835" s="142">
        <v>25</v>
      </c>
      <c r="T835" s="145" t="s">
        <v>52</v>
      </c>
      <c r="U835" s="65">
        <f>SUMIF('Avoided Costs 2012-2020_EGD'!$A:$A,'2012 Actuals_Auditor'!T835&amp;'2012 Actuals_Auditor'!S835,'Avoided Costs 2012-2020_EGD'!$E:$E)*J835</f>
        <v>134111.76536601831</v>
      </c>
      <c r="V835" s="65">
        <f>SUMIF('Avoided Costs 2012-2020_EGD'!$A:$A,'2012 Actuals_Auditor'!T835&amp;'2012 Actuals_Auditor'!S835,'Avoided Costs 2012-2020_EGD'!$K:$K)*N835</f>
        <v>0</v>
      </c>
      <c r="W835" s="65">
        <f>SUMIF('Avoided Costs 2012-2020_EGD'!$A:$A,'2012 Actuals_Auditor'!T835&amp;'2012 Actuals_Auditor'!S835,'Avoided Costs 2012-2020_EGD'!$M:$M)*R835</f>
        <v>0</v>
      </c>
      <c r="X835" s="65">
        <f t="shared" si="333"/>
        <v>134111.76536601831</v>
      </c>
      <c r="Y835" s="146">
        <v>68200</v>
      </c>
      <c r="Z835" s="66">
        <f t="shared" si="334"/>
        <v>54560</v>
      </c>
      <c r="AA835" s="66">
        <v>10670.4</v>
      </c>
      <c r="AB835" s="66"/>
      <c r="AC835" s="66"/>
      <c r="AD835" s="66">
        <f t="shared" si="335"/>
        <v>54560</v>
      </c>
      <c r="AE835" s="66">
        <f t="shared" si="336"/>
        <v>79551.765366018313</v>
      </c>
      <c r="AF835" s="101">
        <f t="shared" si="337"/>
        <v>1039048.8544564821</v>
      </c>
      <c r="AG835" s="101">
        <f t="shared" si="338"/>
        <v>1298811.0680706026</v>
      </c>
    </row>
    <row r="836" spans="1:33" s="68" customFormat="1" x14ac:dyDescent="0.2">
      <c r="A836" s="147" t="s">
        <v>516</v>
      </c>
      <c r="B836" s="147"/>
      <c r="C836" s="147"/>
      <c r="D836" s="148">
        <v>1</v>
      </c>
      <c r="E836" s="149"/>
      <c r="F836" s="150">
        <v>0.2</v>
      </c>
      <c r="G836" s="150"/>
      <c r="H836" s="67">
        <v>96696</v>
      </c>
      <c r="I836" s="67">
        <f t="shared" si="342"/>
        <v>92430.421371227232</v>
      </c>
      <c r="J836" s="67">
        <f t="shared" si="330"/>
        <v>73944.337096981792</v>
      </c>
      <c r="K836" s="63"/>
      <c r="L836" s="149">
        <v>0</v>
      </c>
      <c r="M836" s="63">
        <f t="shared" si="339"/>
        <v>0</v>
      </c>
      <c r="N836" s="63">
        <f t="shared" si="331"/>
        <v>0</v>
      </c>
      <c r="O836" s="69"/>
      <c r="P836" s="149">
        <v>0</v>
      </c>
      <c r="Q836" s="63">
        <f t="shared" si="343"/>
        <v>0</v>
      </c>
      <c r="R836" s="64">
        <f t="shared" si="332"/>
        <v>0</v>
      </c>
      <c r="S836" s="148">
        <v>25</v>
      </c>
      <c r="T836" s="151" t="s">
        <v>15</v>
      </c>
      <c r="U836" s="65">
        <f>SUMIF('Avoided Costs 2012-2020_EGD'!$A:$A,'2012 Actuals_Auditor'!T836&amp;'2012 Actuals_Auditor'!S836,'Avoided Costs 2012-2020_EGD'!$E:$E)*J836</f>
        <v>253924.48378893809</v>
      </c>
      <c r="V836" s="65">
        <f>SUMIF('Avoided Costs 2012-2020_EGD'!$A:$A,'2012 Actuals_Auditor'!T836&amp;'2012 Actuals_Auditor'!S836,'Avoided Costs 2012-2020_EGD'!$K:$K)*N836</f>
        <v>0</v>
      </c>
      <c r="W836" s="65">
        <f>SUMIF('Avoided Costs 2012-2020_EGD'!$A:$A,'2012 Actuals_Auditor'!T836&amp;'2012 Actuals_Auditor'!S836,'Avoided Costs 2012-2020_EGD'!$M:$M)*R836</f>
        <v>0</v>
      </c>
      <c r="X836" s="65">
        <f t="shared" si="333"/>
        <v>253924.48378893809</v>
      </c>
      <c r="Y836" s="146">
        <v>49295</v>
      </c>
      <c r="Z836" s="66">
        <f t="shared" si="334"/>
        <v>39436</v>
      </c>
      <c r="AA836" s="66">
        <v>19329.599999999999</v>
      </c>
      <c r="AB836" s="66"/>
      <c r="AC836" s="66"/>
      <c r="AD836" s="66">
        <f t="shared" si="335"/>
        <v>39436</v>
      </c>
      <c r="AE836" s="66">
        <f t="shared" si="336"/>
        <v>214488.48378893809</v>
      </c>
      <c r="AF836" s="101">
        <f t="shared" si="337"/>
        <v>1848608.4274245447</v>
      </c>
      <c r="AG836" s="101">
        <f t="shared" si="338"/>
        <v>2310760.5342806806</v>
      </c>
    </row>
    <row r="837" spans="1:33" s="68" customFormat="1" x14ac:dyDescent="0.2">
      <c r="A837" s="147" t="s">
        <v>517</v>
      </c>
      <c r="B837" s="147"/>
      <c r="C837" s="147"/>
      <c r="D837" s="148">
        <v>1</v>
      </c>
      <c r="E837" s="149"/>
      <c r="F837" s="150">
        <v>0.2</v>
      </c>
      <c r="G837" s="150"/>
      <c r="H837" s="67">
        <v>99539</v>
      </c>
      <c r="I837" s="67">
        <f t="shared" si="342"/>
        <v>95148.007289552697</v>
      </c>
      <c r="J837" s="67">
        <f t="shared" si="330"/>
        <v>76118.405831642158</v>
      </c>
      <c r="K837" s="63"/>
      <c r="L837" s="149">
        <v>0</v>
      </c>
      <c r="M837" s="63">
        <f t="shared" si="339"/>
        <v>0</v>
      </c>
      <c r="N837" s="63">
        <f t="shared" si="331"/>
        <v>0</v>
      </c>
      <c r="O837" s="69"/>
      <c r="P837" s="149">
        <v>0</v>
      </c>
      <c r="Q837" s="63">
        <f t="shared" si="343"/>
        <v>0</v>
      </c>
      <c r="R837" s="64">
        <f t="shared" si="332"/>
        <v>0</v>
      </c>
      <c r="S837" s="148">
        <v>25</v>
      </c>
      <c r="T837" s="151" t="s">
        <v>15</v>
      </c>
      <c r="U837" s="65">
        <f>SUMIF('Avoided Costs 2012-2020_EGD'!$A:$A,'2012 Actuals_Auditor'!T837&amp;'2012 Actuals_Auditor'!S837,'Avoided Costs 2012-2020_EGD'!$E:$E)*J837</f>
        <v>261390.22495105388</v>
      </c>
      <c r="V837" s="65">
        <f>SUMIF('Avoided Costs 2012-2020_EGD'!$A:$A,'2012 Actuals_Auditor'!T837&amp;'2012 Actuals_Auditor'!S837,'Avoided Costs 2012-2020_EGD'!$K:$K)*N837</f>
        <v>0</v>
      </c>
      <c r="W837" s="65">
        <f>SUMIF('Avoided Costs 2012-2020_EGD'!$A:$A,'2012 Actuals_Auditor'!T837&amp;'2012 Actuals_Auditor'!S837,'Avoided Costs 2012-2020_EGD'!$M:$M)*R837</f>
        <v>0</v>
      </c>
      <c r="X837" s="65">
        <f t="shared" si="333"/>
        <v>261390.22495105388</v>
      </c>
      <c r="Y837" s="146">
        <v>30158</v>
      </c>
      <c r="Z837" s="66">
        <f t="shared" si="334"/>
        <v>24126.400000000001</v>
      </c>
      <c r="AA837" s="66">
        <v>24112.65</v>
      </c>
      <c r="AB837" s="66"/>
      <c r="AC837" s="66"/>
      <c r="AD837" s="66">
        <f t="shared" si="335"/>
        <v>24126.400000000001</v>
      </c>
      <c r="AE837" s="66">
        <f t="shared" si="336"/>
        <v>237263.82495105389</v>
      </c>
      <c r="AF837" s="101">
        <f t="shared" si="337"/>
        <v>1902960.145791054</v>
      </c>
      <c r="AG837" s="101">
        <f t="shared" si="338"/>
        <v>2378700.1822388172</v>
      </c>
    </row>
    <row r="838" spans="1:33" s="68" customFormat="1" x14ac:dyDescent="0.2">
      <c r="A838" s="147" t="s">
        <v>518</v>
      </c>
      <c r="B838" s="147"/>
      <c r="C838" s="147"/>
      <c r="D838" s="148">
        <v>1</v>
      </c>
      <c r="E838" s="149"/>
      <c r="F838" s="150">
        <v>0.2</v>
      </c>
      <c r="G838" s="150"/>
      <c r="H838" s="67">
        <v>7505</v>
      </c>
      <c r="I838" s="67">
        <f t="shared" si="342"/>
        <v>7173.9297632896951</v>
      </c>
      <c r="J838" s="67">
        <f t="shared" si="330"/>
        <v>5739.1438106317564</v>
      </c>
      <c r="K838" s="63"/>
      <c r="L838" s="149">
        <v>12942</v>
      </c>
      <c r="M838" s="63">
        <f t="shared" si="339"/>
        <v>12942</v>
      </c>
      <c r="N838" s="63">
        <f t="shared" si="331"/>
        <v>10353.6</v>
      </c>
      <c r="O838" s="69"/>
      <c r="P838" s="149">
        <v>0</v>
      </c>
      <c r="Q838" s="63">
        <f t="shared" si="343"/>
        <v>0</v>
      </c>
      <c r="R838" s="64">
        <f t="shared" si="332"/>
        <v>0</v>
      </c>
      <c r="S838" s="148">
        <v>15</v>
      </c>
      <c r="T838" s="151" t="s">
        <v>15</v>
      </c>
      <c r="U838" s="65">
        <f>SUMIF('Avoided Costs 2012-2020_EGD'!$A:$A,'2012 Actuals_Auditor'!T838&amp;'2012 Actuals_Auditor'!S838,'Avoided Costs 2012-2020_EGD'!$E:$E)*J838</f>
        <v>13945.567792392234</v>
      </c>
      <c r="V838" s="65">
        <f>SUMIF('Avoided Costs 2012-2020_EGD'!$A:$A,'2012 Actuals_Auditor'!T838&amp;'2012 Actuals_Auditor'!S838,'Avoided Costs 2012-2020_EGD'!$K:$K)*N838</f>
        <v>10661.965678332435</v>
      </c>
      <c r="W838" s="65">
        <f>SUMIF('Avoided Costs 2012-2020_EGD'!$A:$A,'2012 Actuals_Auditor'!T838&amp;'2012 Actuals_Auditor'!S838,'Avoided Costs 2012-2020_EGD'!$M:$M)*R838</f>
        <v>0</v>
      </c>
      <c r="X838" s="65">
        <f t="shared" si="333"/>
        <v>24607.533470724669</v>
      </c>
      <c r="Y838" s="146">
        <v>7020</v>
      </c>
      <c r="Z838" s="66">
        <f t="shared" si="334"/>
        <v>5616</v>
      </c>
      <c r="AA838" s="66">
        <v>1501</v>
      </c>
      <c r="AB838" s="66"/>
      <c r="AC838" s="66"/>
      <c r="AD838" s="66">
        <f t="shared" si="335"/>
        <v>5616</v>
      </c>
      <c r="AE838" s="66">
        <f t="shared" si="336"/>
        <v>18991.533470724669</v>
      </c>
      <c r="AF838" s="101">
        <f t="shared" si="337"/>
        <v>86087.157159476352</v>
      </c>
      <c r="AG838" s="101">
        <f t="shared" si="338"/>
        <v>107608.94644934543</v>
      </c>
    </row>
    <row r="839" spans="1:33" s="68" customFormat="1" x14ac:dyDescent="0.2">
      <c r="A839" s="147" t="s">
        <v>519</v>
      </c>
      <c r="B839" s="147"/>
      <c r="C839" s="147"/>
      <c r="D839" s="148">
        <v>1</v>
      </c>
      <c r="E839" s="149"/>
      <c r="F839" s="150">
        <v>0.2</v>
      </c>
      <c r="G839" s="150"/>
      <c r="H839" s="67">
        <v>26194</v>
      </c>
      <c r="I839" s="67">
        <f t="shared" si="342"/>
        <v>25038.496498282515</v>
      </c>
      <c r="J839" s="67">
        <f t="shared" si="330"/>
        <v>20030.797198626013</v>
      </c>
      <c r="K839" s="63"/>
      <c r="L839" s="149">
        <v>29721</v>
      </c>
      <c r="M839" s="63">
        <f t="shared" si="339"/>
        <v>29721</v>
      </c>
      <c r="N839" s="63">
        <f t="shared" si="331"/>
        <v>23776.800000000003</v>
      </c>
      <c r="O839" s="69"/>
      <c r="P839" s="149">
        <v>0</v>
      </c>
      <c r="Q839" s="63">
        <f t="shared" si="343"/>
        <v>0</v>
      </c>
      <c r="R839" s="64">
        <f t="shared" si="332"/>
        <v>0</v>
      </c>
      <c r="S839" s="148">
        <v>15</v>
      </c>
      <c r="T839" s="151" t="s">
        <v>15</v>
      </c>
      <c r="U839" s="65">
        <f>SUMIF('Avoided Costs 2012-2020_EGD'!$A:$A,'2012 Actuals_Auditor'!T839&amp;'2012 Actuals_Auditor'!S839,'Avoided Costs 2012-2020_EGD'!$E:$E)*J839</f>
        <v>48672.911759350056</v>
      </c>
      <c r="V839" s="65">
        <f>SUMIF('Avoided Costs 2012-2020_EGD'!$A:$A,'2012 Actuals_Auditor'!T839&amp;'2012 Actuals_Auditor'!S839,'Avoided Costs 2012-2020_EGD'!$K:$K)*N839</f>
        <v>24484.954560788003</v>
      </c>
      <c r="W839" s="65">
        <f>SUMIF('Avoided Costs 2012-2020_EGD'!$A:$A,'2012 Actuals_Auditor'!T839&amp;'2012 Actuals_Auditor'!S839,'Avoided Costs 2012-2020_EGD'!$M:$M)*R839</f>
        <v>0</v>
      </c>
      <c r="X839" s="65">
        <f t="shared" si="333"/>
        <v>73157.866320138055</v>
      </c>
      <c r="Y839" s="146">
        <v>12450</v>
      </c>
      <c r="Z839" s="66">
        <f t="shared" si="334"/>
        <v>9960</v>
      </c>
      <c r="AA839" s="66">
        <v>5239</v>
      </c>
      <c r="AB839" s="66"/>
      <c r="AC839" s="66"/>
      <c r="AD839" s="66">
        <f t="shared" si="335"/>
        <v>9960</v>
      </c>
      <c r="AE839" s="66">
        <f t="shared" si="336"/>
        <v>63197.866320138055</v>
      </c>
      <c r="AF839" s="101">
        <f t="shared" si="337"/>
        <v>300461.95797939016</v>
      </c>
      <c r="AG839" s="101">
        <f t="shared" si="338"/>
        <v>375577.44747423771</v>
      </c>
    </row>
    <row r="840" spans="1:33" s="68" customFormat="1" x14ac:dyDescent="0.2">
      <c r="A840" s="147" t="s">
        <v>520</v>
      </c>
      <c r="B840" s="147"/>
      <c r="C840" s="147"/>
      <c r="D840" s="148">
        <v>0</v>
      </c>
      <c r="E840" s="149"/>
      <c r="F840" s="150">
        <v>0.2</v>
      </c>
      <c r="G840" s="150"/>
      <c r="H840" s="67">
        <v>60921</v>
      </c>
      <c r="I840" s="67">
        <f t="shared" si="342"/>
        <v>58233.574298383945</v>
      </c>
      <c r="J840" s="67">
        <f t="shared" si="330"/>
        <v>46586.859438707157</v>
      </c>
      <c r="K840" s="63"/>
      <c r="L840" s="149">
        <v>0</v>
      </c>
      <c r="M840" s="63">
        <f t="shared" si="339"/>
        <v>0</v>
      </c>
      <c r="N840" s="63">
        <f t="shared" si="331"/>
        <v>0</v>
      </c>
      <c r="O840" s="69"/>
      <c r="P840" s="149">
        <v>0</v>
      </c>
      <c r="Q840" s="63">
        <f t="shared" si="343"/>
        <v>0</v>
      </c>
      <c r="R840" s="64">
        <f t="shared" si="332"/>
        <v>0</v>
      </c>
      <c r="S840" s="148">
        <v>25</v>
      </c>
      <c r="T840" s="151" t="s">
        <v>15</v>
      </c>
      <c r="U840" s="65">
        <f>SUMIF('Avoided Costs 2012-2020_EGD'!$A:$A,'2012 Actuals_Auditor'!T840&amp;'2012 Actuals_Auditor'!S840,'Avoided Costs 2012-2020_EGD'!$E:$E)*J840</f>
        <v>159979.04232756159</v>
      </c>
      <c r="V840" s="65">
        <f>SUMIF('Avoided Costs 2012-2020_EGD'!$A:$A,'2012 Actuals_Auditor'!T840&amp;'2012 Actuals_Auditor'!S840,'Avoided Costs 2012-2020_EGD'!$K:$K)*N840</f>
        <v>0</v>
      </c>
      <c r="W840" s="65">
        <f>SUMIF('Avoided Costs 2012-2020_EGD'!$A:$A,'2012 Actuals_Auditor'!T840&amp;'2012 Actuals_Auditor'!S840,'Avoided Costs 2012-2020_EGD'!$M:$M)*R840</f>
        <v>0</v>
      </c>
      <c r="X840" s="65">
        <f t="shared" si="333"/>
        <v>159979.04232756159</v>
      </c>
      <c r="Y840" s="146">
        <v>32334</v>
      </c>
      <c r="Z840" s="66">
        <f t="shared" si="334"/>
        <v>25867.200000000001</v>
      </c>
      <c r="AA840" s="66">
        <v>9138</v>
      </c>
      <c r="AB840" s="66"/>
      <c r="AC840" s="66"/>
      <c r="AD840" s="66">
        <f t="shared" si="335"/>
        <v>25867.200000000001</v>
      </c>
      <c r="AE840" s="66">
        <f t="shared" si="336"/>
        <v>134111.84232756158</v>
      </c>
      <c r="AF840" s="101">
        <f t="shared" si="337"/>
        <v>1164671.4859676789</v>
      </c>
      <c r="AG840" s="101">
        <f t="shared" si="338"/>
        <v>1455839.3574595987</v>
      </c>
    </row>
    <row r="841" spans="1:33" s="68" customFormat="1" x14ac:dyDescent="0.2">
      <c r="A841" s="147" t="s">
        <v>521</v>
      </c>
      <c r="B841" s="147"/>
      <c r="C841" s="147"/>
      <c r="D841" s="148">
        <v>0</v>
      </c>
      <c r="E841" s="149"/>
      <c r="F841" s="150">
        <v>0.2</v>
      </c>
      <c r="G841" s="150"/>
      <c r="H841" s="67">
        <v>145000</v>
      </c>
      <c r="I841" s="67">
        <f t="shared" si="342"/>
        <v>138603.57304157305</v>
      </c>
      <c r="J841" s="67">
        <f t="shared" si="330"/>
        <v>110882.85843325844</v>
      </c>
      <c r="K841" s="63"/>
      <c r="L841" s="149">
        <v>28657</v>
      </c>
      <c r="M841" s="63">
        <f t="shared" si="339"/>
        <v>28657</v>
      </c>
      <c r="N841" s="63">
        <f t="shared" si="331"/>
        <v>22925.600000000002</v>
      </c>
      <c r="O841" s="69"/>
      <c r="P841" s="149">
        <v>0</v>
      </c>
      <c r="Q841" s="63">
        <f t="shared" si="343"/>
        <v>0</v>
      </c>
      <c r="R841" s="64">
        <f t="shared" si="332"/>
        <v>0</v>
      </c>
      <c r="S841" s="148">
        <v>25</v>
      </c>
      <c r="T841" s="151" t="s">
        <v>52</v>
      </c>
      <c r="U841" s="65">
        <f>SUMIF('Avoided Costs 2012-2020_EGD'!$A:$A,'2012 Actuals_Auditor'!T841&amp;'2012 Actuals_Auditor'!S841,'Avoided Costs 2012-2020_EGD'!$E:$E)*J841</f>
        <v>357795.87816141039</v>
      </c>
      <c r="V841" s="65">
        <f>SUMIF('Avoided Costs 2012-2020_EGD'!$A:$A,'2012 Actuals_Auditor'!T841&amp;'2012 Actuals_Auditor'!S841,'Avoided Costs 2012-2020_EGD'!$K:$K)*N841</f>
        <v>32288.127957077508</v>
      </c>
      <c r="W841" s="65">
        <f>SUMIF('Avoided Costs 2012-2020_EGD'!$A:$A,'2012 Actuals_Auditor'!T841&amp;'2012 Actuals_Auditor'!S841,'Avoided Costs 2012-2020_EGD'!$M:$M)*R841</f>
        <v>0</v>
      </c>
      <c r="X841" s="65">
        <f t="shared" si="333"/>
        <v>390084.00611848792</v>
      </c>
      <c r="Y841" s="146">
        <v>3499</v>
      </c>
      <c r="Z841" s="66">
        <f t="shared" si="334"/>
        <v>2799.2000000000003</v>
      </c>
      <c r="AA841" s="66">
        <v>5872</v>
      </c>
      <c r="AB841" s="66"/>
      <c r="AC841" s="66"/>
      <c r="AD841" s="66">
        <f t="shared" si="335"/>
        <v>2799.2000000000003</v>
      </c>
      <c r="AE841" s="66">
        <f t="shared" si="336"/>
        <v>387284.8061184879</v>
      </c>
      <c r="AF841" s="101">
        <f t="shared" si="337"/>
        <v>2772071.460831461</v>
      </c>
      <c r="AG841" s="101">
        <f t="shared" si="338"/>
        <v>3465089.3260393264</v>
      </c>
    </row>
    <row r="842" spans="1:33" s="68" customFormat="1" x14ac:dyDescent="0.2">
      <c r="A842" s="147" t="s">
        <v>522</v>
      </c>
      <c r="B842" s="147"/>
      <c r="C842" s="147"/>
      <c r="D842" s="148">
        <v>1</v>
      </c>
      <c r="E842" s="149"/>
      <c r="F842" s="150">
        <v>0.2</v>
      </c>
      <c r="G842" s="150"/>
      <c r="H842" s="67">
        <v>85587</v>
      </c>
      <c r="I842" s="67">
        <f t="shared" si="342"/>
        <v>81811.475902821461</v>
      </c>
      <c r="J842" s="67">
        <f t="shared" si="330"/>
        <v>65449.180722257173</v>
      </c>
      <c r="K842" s="63"/>
      <c r="L842" s="149">
        <v>0</v>
      </c>
      <c r="M842" s="63">
        <f t="shared" si="339"/>
        <v>0</v>
      </c>
      <c r="N842" s="63">
        <f t="shared" si="331"/>
        <v>0</v>
      </c>
      <c r="O842" s="69"/>
      <c r="P842" s="149">
        <v>0</v>
      </c>
      <c r="Q842" s="63">
        <f t="shared" si="343"/>
        <v>0</v>
      </c>
      <c r="R842" s="64">
        <f t="shared" si="332"/>
        <v>0</v>
      </c>
      <c r="S842" s="148">
        <v>25</v>
      </c>
      <c r="T842" s="151" t="s">
        <v>15</v>
      </c>
      <c r="U842" s="65">
        <f>SUMIF('Avoided Costs 2012-2020_EGD'!$A:$A,'2012 Actuals_Auditor'!T842&amp;'2012 Actuals_Auditor'!S842,'Avoided Costs 2012-2020_EGD'!$E:$E)*J842</f>
        <v>224752.1592831538</v>
      </c>
      <c r="V842" s="65">
        <f>SUMIF('Avoided Costs 2012-2020_EGD'!$A:$A,'2012 Actuals_Auditor'!T842&amp;'2012 Actuals_Auditor'!S842,'Avoided Costs 2012-2020_EGD'!$K:$K)*N842</f>
        <v>0</v>
      </c>
      <c r="W842" s="65">
        <f>SUMIF('Avoided Costs 2012-2020_EGD'!$A:$A,'2012 Actuals_Auditor'!T842&amp;'2012 Actuals_Auditor'!S842,'Avoided Costs 2012-2020_EGD'!$M:$M)*R842</f>
        <v>0</v>
      </c>
      <c r="X842" s="65">
        <f t="shared" si="333"/>
        <v>224752.1592831538</v>
      </c>
      <c r="Y842" s="146">
        <v>6998</v>
      </c>
      <c r="Z842" s="66">
        <f t="shared" si="334"/>
        <v>5598.4000000000005</v>
      </c>
      <c r="AA842" s="66">
        <v>13142</v>
      </c>
      <c r="AB842" s="66"/>
      <c r="AC842" s="66"/>
      <c r="AD842" s="66">
        <f t="shared" si="335"/>
        <v>5598.4000000000005</v>
      </c>
      <c r="AE842" s="66">
        <f t="shared" si="336"/>
        <v>219153.75928315381</v>
      </c>
      <c r="AF842" s="101">
        <f t="shared" si="337"/>
        <v>1636229.5180564292</v>
      </c>
      <c r="AG842" s="101">
        <f t="shared" si="338"/>
        <v>2045286.8975705365</v>
      </c>
    </row>
    <row r="843" spans="1:33" s="68" customFormat="1" x14ac:dyDescent="0.2">
      <c r="A843" s="147" t="s">
        <v>523</v>
      </c>
      <c r="B843" s="147"/>
      <c r="C843" s="147"/>
      <c r="D843" s="148">
        <v>0</v>
      </c>
      <c r="E843" s="149"/>
      <c r="F843" s="150">
        <v>0.2</v>
      </c>
      <c r="G843" s="150"/>
      <c r="H843" s="67">
        <v>33862</v>
      </c>
      <c r="I843" s="67">
        <f t="shared" si="342"/>
        <v>32368.235795405151</v>
      </c>
      <c r="J843" s="67">
        <f t="shared" si="330"/>
        <v>25894.588636324122</v>
      </c>
      <c r="K843" s="63"/>
      <c r="L843" s="149">
        <v>40794</v>
      </c>
      <c r="M843" s="63">
        <f t="shared" si="339"/>
        <v>40794</v>
      </c>
      <c r="N843" s="63">
        <f t="shared" si="331"/>
        <v>32635.200000000001</v>
      </c>
      <c r="O843" s="69"/>
      <c r="P843" s="149">
        <v>0</v>
      </c>
      <c r="Q843" s="63">
        <f t="shared" si="343"/>
        <v>0</v>
      </c>
      <c r="R843" s="64">
        <f t="shared" si="332"/>
        <v>0</v>
      </c>
      <c r="S843" s="148">
        <v>15</v>
      </c>
      <c r="T843" s="151" t="s">
        <v>15</v>
      </c>
      <c r="U843" s="65">
        <f>SUMIF('Avoided Costs 2012-2020_EGD'!$A:$A,'2012 Actuals_Auditor'!T843&amp;'2012 Actuals_Auditor'!S843,'Avoided Costs 2012-2020_EGD'!$E:$E)*J843</f>
        <v>62921.361303928825</v>
      </c>
      <c r="V843" s="65">
        <f>SUMIF('Avoided Costs 2012-2020_EGD'!$A:$A,'2012 Actuals_Auditor'!T843&amp;'2012 Actuals_Auditor'!S843,'Avoided Costs 2012-2020_EGD'!$K:$K)*N843</f>
        <v>33607.188060724257</v>
      </c>
      <c r="W843" s="65">
        <f>SUMIF('Avoided Costs 2012-2020_EGD'!$A:$A,'2012 Actuals_Auditor'!T843&amp;'2012 Actuals_Auditor'!S843,'Avoided Costs 2012-2020_EGD'!$M:$M)*R843</f>
        <v>0</v>
      </c>
      <c r="X843" s="65">
        <f t="shared" si="333"/>
        <v>96528.549364653081</v>
      </c>
      <c r="Y843" s="146">
        <v>15000</v>
      </c>
      <c r="Z843" s="66">
        <f t="shared" si="334"/>
        <v>12000</v>
      </c>
      <c r="AA843" s="66">
        <v>6772.4</v>
      </c>
      <c r="AB843" s="66"/>
      <c r="AC843" s="66"/>
      <c r="AD843" s="66">
        <f t="shared" si="335"/>
        <v>12000</v>
      </c>
      <c r="AE843" s="66">
        <f t="shared" si="336"/>
        <v>84528.549364653081</v>
      </c>
      <c r="AF843" s="101">
        <f t="shared" si="337"/>
        <v>388418.82954486186</v>
      </c>
      <c r="AG843" s="101">
        <f t="shared" si="338"/>
        <v>485523.53693107725</v>
      </c>
    </row>
    <row r="844" spans="1:33" s="68" customFormat="1" x14ac:dyDescent="0.2">
      <c r="A844" s="147" t="s">
        <v>524</v>
      </c>
      <c r="B844" s="147"/>
      <c r="C844" s="147"/>
      <c r="D844" s="148">
        <v>1</v>
      </c>
      <c r="E844" s="149"/>
      <c r="F844" s="150">
        <v>0.2</v>
      </c>
      <c r="G844" s="150"/>
      <c r="H844" s="67">
        <v>10258</v>
      </c>
      <c r="I844" s="67">
        <f t="shared" si="342"/>
        <v>9805.4858776583205</v>
      </c>
      <c r="J844" s="67">
        <f t="shared" si="330"/>
        <v>7844.3887021266564</v>
      </c>
      <c r="K844" s="63"/>
      <c r="L844" s="149">
        <v>0</v>
      </c>
      <c r="M844" s="63">
        <f t="shared" si="339"/>
        <v>0</v>
      </c>
      <c r="N844" s="63">
        <f t="shared" si="331"/>
        <v>0</v>
      </c>
      <c r="O844" s="69"/>
      <c r="P844" s="149">
        <v>0</v>
      </c>
      <c r="Q844" s="63">
        <f t="shared" si="343"/>
        <v>0</v>
      </c>
      <c r="R844" s="64">
        <f t="shared" si="332"/>
        <v>0</v>
      </c>
      <c r="S844" s="148">
        <v>25</v>
      </c>
      <c r="T844" s="151" t="s">
        <v>15</v>
      </c>
      <c r="U844" s="65">
        <f>SUMIF('Avoided Costs 2012-2020_EGD'!$A:$A,'2012 Actuals_Auditor'!T844&amp;'2012 Actuals_Auditor'!S844,'Avoided Costs 2012-2020_EGD'!$E:$E)*J844</f>
        <v>26937.591572628928</v>
      </c>
      <c r="V844" s="65">
        <f>SUMIF('Avoided Costs 2012-2020_EGD'!$A:$A,'2012 Actuals_Auditor'!T844&amp;'2012 Actuals_Auditor'!S844,'Avoided Costs 2012-2020_EGD'!$K:$K)*N844</f>
        <v>0</v>
      </c>
      <c r="W844" s="65">
        <f>SUMIF('Avoided Costs 2012-2020_EGD'!$A:$A,'2012 Actuals_Auditor'!T844&amp;'2012 Actuals_Auditor'!S844,'Avoided Costs 2012-2020_EGD'!$M:$M)*R844</f>
        <v>0</v>
      </c>
      <c r="X844" s="65">
        <f t="shared" si="333"/>
        <v>26937.591572628928</v>
      </c>
      <c r="Y844" s="146">
        <v>11755</v>
      </c>
      <c r="Z844" s="66">
        <f t="shared" si="334"/>
        <v>9404</v>
      </c>
      <c r="AA844" s="66">
        <v>2171.4</v>
      </c>
      <c r="AB844" s="66"/>
      <c r="AC844" s="66"/>
      <c r="AD844" s="66">
        <f t="shared" si="335"/>
        <v>9404</v>
      </c>
      <c r="AE844" s="66">
        <f t="shared" si="336"/>
        <v>17533.591572628928</v>
      </c>
      <c r="AF844" s="101">
        <f t="shared" si="337"/>
        <v>196109.71755316641</v>
      </c>
      <c r="AG844" s="101">
        <f t="shared" si="338"/>
        <v>245137.14694145802</v>
      </c>
    </row>
    <row r="845" spans="1:33" s="68" customFormat="1" x14ac:dyDescent="0.2">
      <c r="A845" s="147" t="s">
        <v>525</v>
      </c>
      <c r="B845" s="147"/>
      <c r="C845" s="147"/>
      <c r="D845" s="148">
        <v>0</v>
      </c>
      <c r="E845" s="149"/>
      <c r="F845" s="150">
        <v>0.2</v>
      </c>
      <c r="G845" s="150"/>
      <c r="H845" s="67"/>
      <c r="I845" s="67">
        <f t="shared" si="342"/>
        <v>0</v>
      </c>
      <c r="J845" s="67">
        <f t="shared" si="330"/>
        <v>0</v>
      </c>
      <c r="K845" s="63"/>
      <c r="L845" s="149">
        <v>0</v>
      </c>
      <c r="M845" s="63">
        <f t="shared" si="339"/>
        <v>0</v>
      </c>
      <c r="N845" s="63">
        <f t="shared" si="331"/>
        <v>0</v>
      </c>
      <c r="O845" s="69"/>
      <c r="P845" s="149">
        <v>0</v>
      </c>
      <c r="Q845" s="63">
        <f t="shared" si="343"/>
        <v>0</v>
      </c>
      <c r="R845" s="64">
        <f t="shared" si="332"/>
        <v>0</v>
      </c>
      <c r="S845" s="148">
        <v>15</v>
      </c>
      <c r="T845" s="151" t="s">
        <v>15</v>
      </c>
      <c r="U845" s="65">
        <f>SUMIF('Avoided Costs 2012-2020_EGD'!$A:$A,'2012 Actuals_Auditor'!T845&amp;'2012 Actuals_Auditor'!S845,'Avoided Costs 2012-2020_EGD'!$E:$E)*J845</f>
        <v>0</v>
      </c>
      <c r="V845" s="65">
        <f>SUMIF('Avoided Costs 2012-2020_EGD'!$A:$A,'2012 Actuals_Auditor'!T845&amp;'2012 Actuals_Auditor'!S845,'Avoided Costs 2012-2020_EGD'!$K:$K)*N845</f>
        <v>0</v>
      </c>
      <c r="W845" s="65">
        <f>SUMIF('Avoided Costs 2012-2020_EGD'!$A:$A,'2012 Actuals_Auditor'!T845&amp;'2012 Actuals_Auditor'!S845,'Avoided Costs 2012-2020_EGD'!$M:$M)*R845</f>
        <v>0</v>
      </c>
      <c r="X845" s="65">
        <f t="shared" si="333"/>
        <v>0</v>
      </c>
      <c r="Y845" s="146">
        <v>6950</v>
      </c>
      <c r="Z845" s="66">
        <f t="shared" si="334"/>
        <v>5560</v>
      </c>
      <c r="AA845" s="66">
        <v>2073.1999999999998</v>
      </c>
      <c r="AB845" s="66"/>
      <c r="AC845" s="66"/>
      <c r="AD845" s="66">
        <f t="shared" si="335"/>
        <v>5560</v>
      </c>
      <c r="AE845" s="66">
        <f t="shared" si="336"/>
        <v>-5560</v>
      </c>
      <c r="AF845" s="101">
        <f t="shared" si="337"/>
        <v>0</v>
      </c>
      <c r="AG845" s="101">
        <f t="shared" si="338"/>
        <v>0</v>
      </c>
    </row>
    <row r="846" spans="1:33" s="68" customFormat="1" x14ac:dyDescent="0.2">
      <c r="A846" s="147" t="s">
        <v>526</v>
      </c>
      <c r="B846" s="147"/>
      <c r="C846" s="147"/>
      <c r="D846" s="148">
        <v>1</v>
      </c>
      <c r="E846" s="149"/>
      <c r="F846" s="150">
        <v>0.2</v>
      </c>
      <c r="G846" s="150"/>
      <c r="H846" s="67">
        <v>55717</v>
      </c>
      <c r="I846" s="67">
        <f t="shared" si="342"/>
        <v>53259.139856257418</v>
      </c>
      <c r="J846" s="67">
        <f t="shared" si="330"/>
        <v>42607.31188500594</v>
      </c>
      <c r="K846" s="63"/>
      <c r="L846" s="149">
        <v>40187</v>
      </c>
      <c r="M846" s="63">
        <f t="shared" si="339"/>
        <v>40187</v>
      </c>
      <c r="N846" s="63">
        <f t="shared" si="331"/>
        <v>32149.600000000002</v>
      </c>
      <c r="O846" s="69"/>
      <c r="P846" s="149">
        <v>0</v>
      </c>
      <c r="Q846" s="63">
        <f t="shared" si="343"/>
        <v>0</v>
      </c>
      <c r="R846" s="64">
        <f t="shared" si="332"/>
        <v>0</v>
      </c>
      <c r="S846" s="148">
        <v>15</v>
      </c>
      <c r="T846" s="151" t="s">
        <v>15</v>
      </c>
      <c r="U846" s="65">
        <f>SUMIF('Avoided Costs 2012-2020_EGD'!$A:$A,'2012 Actuals_Auditor'!T846&amp;'2012 Actuals_Auditor'!S846,'Avoided Costs 2012-2020_EGD'!$E:$E)*J846</f>
        <v>103531.67231028889</v>
      </c>
      <c r="V846" s="65">
        <f>SUMIF('Avoided Costs 2012-2020_EGD'!$A:$A,'2012 Actuals_Auditor'!T846&amp;'2012 Actuals_Auditor'!S846,'Avoided Costs 2012-2020_EGD'!$K:$K)*N846</f>
        <v>33107.125229110308</v>
      </c>
      <c r="W846" s="65">
        <f>SUMIF('Avoided Costs 2012-2020_EGD'!$A:$A,'2012 Actuals_Auditor'!T846&amp;'2012 Actuals_Auditor'!S846,'Avoided Costs 2012-2020_EGD'!$M:$M)*R846</f>
        <v>0</v>
      </c>
      <c r="X846" s="65">
        <f t="shared" si="333"/>
        <v>136638.79753939921</v>
      </c>
      <c r="Y846" s="146">
        <v>10210</v>
      </c>
      <c r="Z846" s="66">
        <f t="shared" si="334"/>
        <v>8168</v>
      </c>
      <c r="AA846" s="66">
        <v>6997</v>
      </c>
      <c r="AB846" s="66"/>
      <c r="AC846" s="66"/>
      <c r="AD846" s="66">
        <f t="shared" si="335"/>
        <v>8168</v>
      </c>
      <c r="AE846" s="66">
        <f t="shared" si="336"/>
        <v>128470.79753939921</v>
      </c>
      <c r="AF846" s="101">
        <f t="shared" si="337"/>
        <v>639109.67827508913</v>
      </c>
      <c r="AG846" s="101">
        <f t="shared" si="338"/>
        <v>798887.09784386121</v>
      </c>
    </row>
    <row r="847" spans="1:33" s="68" customFormat="1" x14ac:dyDescent="0.2">
      <c r="A847" s="147" t="s">
        <v>527</v>
      </c>
      <c r="B847" s="147"/>
      <c r="C847" s="147"/>
      <c r="D847" s="148">
        <v>1</v>
      </c>
      <c r="E847" s="149"/>
      <c r="F847" s="150">
        <v>0.2</v>
      </c>
      <c r="G847" s="150"/>
      <c r="H847" s="67">
        <v>19966</v>
      </c>
      <c r="I847" s="67">
        <f t="shared" si="342"/>
        <v>19085.234064469292</v>
      </c>
      <c r="J847" s="67">
        <f t="shared" si="330"/>
        <v>15268.187251575435</v>
      </c>
      <c r="K847" s="63"/>
      <c r="L847" s="149">
        <v>27039</v>
      </c>
      <c r="M847" s="63">
        <f t="shared" si="339"/>
        <v>27039</v>
      </c>
      <c r="N847" s="63">
        <f t="shared" si="331"/>
        <v>21631.200000000001</v>
      </c>
      <c r="O847" s="69"/>
      <c r="P847" s="149">
        <v>0</v>
      </c>
      <c r="Q847" s="63">
        <f t="shared" si="343"/>
        <v>0</v>
      </c>
      <c r="R847" s="64">
        <f t="shared" si="332"/>
        <v>0</v>
      </c>
      <c r="S847" s="148">
        <v>15</v>
      </c>
      <c r="T847" s="151" t="s">
        <v>15</v>
      </c>
      <c r="U847" s="65">
        <f>SUMIF('Avoided Costs 2012-2020_EGD'!$A:$A,'2012 Actuals_Auditor'!T847&amp;'2012 Actuals_Auditor'!S847,'Avoided Costs 2012-2020_EGD'!$E:$E)*J847</f>
        <v>37100.227387462131</v>
      </c>
      <c r="V847" s="65">
        <f>SUMIF('Avoided Costs 2012-2020_EGD'!$A:$A,'2012 Actuals_Auditor'!T847&amp;'2012 Actuals_Auditor'!S847,'Avoided Costs 2012-2020_EGD'!$K:$K)*N847</f>
        <v>22275.451242190597</v>
      </c>
      <c r="W847" s="65">
        <f>SUMIF('Avoided Costs 2012-2020_EGD'!$A:$A,'2012 Actuals_Auditor'!T847&amp;'2012 Actuals_Auditor'!S847,'Avoided Costs 2012-2020_EGD'!$M:$M)*R847</f>
        <v>0</v>
      </c>
      <c r="X847" s="65">
        <f t="shared" ref="X847:X907" si="344">SUM(U847:W847)</f>
        <v>59375.678629652728</v>
      </c>
      <c r="Y847" s="146">
        <v>67959</v>
      </c>
      <c r="Z847" s="66">
        <f t="shared" si="334"/>
        <v>54367.200000000004</v>
      </c>
      <c r="AA847" s="66">
        <v>3993.2</v>
      </c>
      <c r="AB847" s="66"/>
      <c r="AC847" s="66"/>
      <c r="AD847" s="66">
        <f t="shared" si="335"/>
        <v>54367.200000000004</v>
      </c>
      <c r="AE847" s="66">
        <f t="shared" si="336"/>
        <v>5008.4786296527236</v>
      </c>
      <c r="AF847" s="101">
        <f t="shared" si="337"/>
        <v>229022.80877363152</v>
      </c>
      <c r="AG847" s="101">
        <f t="shared" si="338"/>
        <v>286278.51096703939</v>
      </c>
    </row>
    <row r="848" spans="1:33" s="68" customFormat="1" x14ac:dyDescent="0.2">
      <c r="A848" s="147" t="s">
        <v>528</v>
      </c>
      <c r="B848" s="147"/>
      <c r="C848" s="147"/>
      <c r="D848" s="148">
        <v>0</v>
      </c>
      <c r="E848" s="149"/>
      <c r="F848" s="150">
        <v>0.2</v>
      </c>
      <c r="G848" s="150"/>
      <c r="H848" s="67">
        <v>5607</v>
      </c>
      <c r="I848" s="67">
        <f t="shared" si="342"/>
        <v>5359.6567865110355</v>
      </c>
      <c r="J848" s="67">
        <f t="shared" si="330"/>
        <v>4287.7254292088282</v>
      </c>
      <c r="K848" s="63"/>
      <c r="L848" s="149">
        <v>0</v>
      </c>
      <c r="M848" s="63">
        <f t="shared" si="339"/>
        <v>0</v>
      </c>
      <c r="N848" s="63">
        <f t="shared" si="331"/>
        <v>0</v>
      </c>
      <c r="O848" s="69"/>
      <c r="P848" s="149">
        <v>0</v>
      </c>
      <c r="Q848" s="63">
        <f t="shared" si="343"/>
        <v>0</v>
      </c>
      <c r="R848" s="64">
        <f t="shared" si="332"/>
        <v>0</v>
      </c>
      <c r="S848" s="148">
        <v>15</v>
      </c>
      <c r="T848" s="151" t="s">
        <v>15</v>
      </c>
      <c r="U848" s="65">
        <f>SUMIF('Avoided Costs 2012-2020_EGD'!$A:$A,'2012 Actuals_Auditor'!T848&amp;'2012 Actuals_Auditor'!S848,'Avoided Costs 2012-2020_EGD'!$E:$E)*J848</f>
        <v>10418.76064116499</v>
      </c>
      <c r="V848" s="65">
        <f>SUMIF('Avoided Costs 2012-2020_EGD'!$A:$A,'2012 Actuals_Auditor'!T848&amp;'2012 Actuals_Auditor'!S848,'Avoided Costs 2012-2020_EGD'!$K:$K)*N848</f>
        <v>0</v>
      </c>
      <c r="W848" s="65">
        <f>SUMIF('Avoided Costs 2012-2020_EGD'!$A:$A,'2012 Actuals_Auditor'!T848&amp;'2012 Actuals_Auditor'!S848,'Avoided Costs 2012-2020_EGD'!$M:$M)*R848</f>
        <v>0</v>
      </c>
      <c r="X848" s="65">
        <f t="shared" si="344"/>
        <v>10418.76064116499</v>
      </c>
      <c r="Y848" s="146">
        <v>4195</v>
      </c>
      <c r="Z848" s="66">
        <f t="shared" si="334"/>
        <v>3356</v>
      </c>
      <c r="AA848" s="66">
        <v>560</v>
      </c>
      <c r="AB848" s="66"/>
      <c r="AC848" s="66"/>
      <c r="AD848" s="66">
        <f t="shared" si="335"/>
        <v>3356</v>
      </c>
      <c r="AE848" s="66">
        <f t="shared" si="336"/>
        <v>7062.7606411649904</v>
      </c>
      <c r="AF848" s="101">
        <f t="shared" si="337"/>
        <v>64315.881438132426</v>
      </c>
      <c r="AG848" s="101">
        <f t="shared" si="338"/>
        <v>80394.851797665528</v>
      </c>
    </row>
    <row r="849" spans="1:33" s="68" customFormat="1" x14ac:dyDescent="0.2">
      <c r="A849" s="147" t="s">
        <v>529</v>
      </c>
      <c r="B849" s="147"/>
      <c r="C849" s="147"/>
      <c r="D849" s="148">
        <v>1</v>
      </c>
      <c r="E849" s="149"/>
      <c r="F849" s="150">
        <v>0.2</v>
      </c>
      <c r="G849" s="150"/>
      <c r="H849" s="67">
        <v>23299</v>
      </c>
      <c r="I849" s="67">
        <f t="shared" si="342"/>
        <v>22271.20447100421</v>
      </c>
      <c r="J849" s="67">
        <f t="shared" si="330"/>
        <v>17816.96357680337</v>
      </c>
      <c r="K849" s="63"/>
      <c r="L849" s="149">
        <v>18585</v>
      </c>
      <c r="M849" s="63">
        <f t="shared" si="339"/>
        <v>18585</v>
      </c>
      <c r="N849" s="63">
        <f t="shared" si="331"/>
        <v>14868</v>
      </c>
      <c r="O849" s="69"/>
      <c r="P849" s="149">
        <v>0</v>
      </c>
      <c r="Q849" s="63">
        <f t="shared" si="343"/>
        <v>0</v>
      </c>
      <c r="R849" s="64">
        <f t="shared" si="332"/>
        <v>0</v>
      </c>
      <c r="S849" s="148">
        <v>15</v>
      </c>
      <c r="T849" s="151" t="s">
        <v>15</v>
      </c>
      <c r="U849" s="65">
        <f>SUMIF('Avoided Costs 2012-2020_EGD'!$A:$A,'2012 Actuals_Auditor'!T849&amp;'2012 Actuals_Auditor'!S849,'Avoided Costs 2012-2020_EGD'!$E:$E)*J849</f>
        <v>43293.508860086164</v>
      </c>
      <c r="V849" s="65">
        <f>SUMIF('Avoided Costs 2012-2020_EGD'!$A:$A,'2012 Actuals_Auditor'!T849&amp;'2012 Actuals_Auditor'!S849,'Avoided Costs 2012-2020_EGD'!$K:$K)*N849</f>
        <v>15310.819976186702</v>
      </c>
      <c r="W849" s="65">
        <f>SUMIF('Avoided Costs 2012-2020_EGD'!$A:$A,'2012 Actuals_Auditor'!T849&amp;'2012 Actuals_Auditor'!S849,'Avoided Costs 2012-2020_EGD'!$M:$M)*R849</f>
        <v>0</v>
      </c>
      <c r="X849" s="65">
        <f t="shared" si="344"/>
        <v>58604.328836272864</v>
      </c>
      <c r="Y849" s="146">
        <v>14995</v>
      </c>
      <c r="Z849" s="66">
        <f t="shared" si="334"/>
        <v>11996</v>
      </c>
      <c r="AA849" s="66">
        <v>4660</v>
      </c>
      <c r="AB849" s="66"/>
      <c r="AC849" s="66"/>
      <c r="AD849" s="66">
        <f t="shared" si="335"/>
        <v>11996</v>
      </c>
      <c r="AE849" s="66">
        <f t="shared" si="336"/>
        <v>46608.328836272864</v>
      </c>
      <c r="AF849" s="101">
        <f t="shared" si="337"/>
        <v>267254.45365205052</v>
      </c>
      <c r="AG849" s="101">
        <f t="shared" si="338"/>
        <v>334068.06706506317</v>
      </c>
    </row>
    <row r="850" spans="1:33" s="68" customFormat="1" x14ac:dyDescent="0.2">
      <c r="A850" s="147" t="s">
        <v>530</v>
      </c>
      <c r="B850" s="147"/>
      <c r="C850" s="147"/>
      <c r="D850" s="148">
        <v>1</v>
      </c>
      <c r="E850" s="149"/>
      <c r="F850" s="150">
        <v>0.2</v>
      </c>
      <c r="G850" s="150"/>
      <c r="H850" s="67">
        <v>59037</v>
      </c>
      <c r="I850" s="67">
        <f t="shared" si="342"/>
        <v>56432.683735554128</v>
      </c>
      <c r="J850" s="67">
        <f t="shared" ref="J850:J913" si="345">I850*(1-F850)</f>
        <v>45146.146988443303</v>
      </c>
      <c r="K850" s="63"/>
      <c r="L850" s="149">
        <v>45781</v>
      </c>
      <c r="M850" s="63">
        <f t="shared" si="339"/>
        <v>45781</v>
      </c>
      <c r="N850" s="63">
        <f t="shared" ref="N850:N913" si="346">M850*(1-F850)</f>
        <v>36624.800000000003</v>
      </c>
      <c r="O850" s="69"/>
      <c r="P850" s="149">
        <v>0</v>
      </c>
      <c r="Q850" s="63">
        <f t="shared" si="343"/>
        <v>0</v>
      </c>
      <c r="R850" s="64">
        <f t="shared" ref="R850:R913" si="347">Q850*(1-F850)</f>
        <v>0</v>
      </c>
      <c r="S850" s="148">
        <v>15</v>
      </c>
      <c r="T850" s="151" t="s">
        <v>15</v>
      </c>
      <c r="U850" s="65">
        <f>SUMIF('Avoided Costs 2012-2020_EGD'!$A:$A,'2012 Actuals_Auditor'!T850&amp;'2012 Actuals_Auditor'!S850,'Avoided Costs 2012-2020_EGD'!$E:$E)*J850</f>
        <v>109700.79756954833</v>
      </c>
      <c r="V850" s="65">
        <f>SUMIF('Avoided Costs 2012-2020_EGD'!$A:$A,'2012 Actuals_Auditor'!T850&amp;'2012 Actuals_Auditor'!S850,'Avoided Costs 2012-2020_EGD'!$K:$K)*N850</f>
        <v>37715.612016669547</v>
      </c>
      <c r="W850" s="65">
        <f>SUMIF('Avoided Costs 2012-2020_EGD'!$A:$A,'2012 Actuals_Auditor'!T850&amp;'2012 Actuals_Auditor'!S850,'Avoided Costs 2012-2020_EGD'!$M:$M)*R850</f>
        <v>0</v>
      </c>
      <c r="X850" s="65">
        <f t="shared" si="344"/>
        <v>147416.40958621789</v>
      </c>
      <c r="Y850" s="146">
        <v>77000</v>
      </c>
      <c r="Z850" s="66">
        <f t="shared" ref="Z850:Z913" si="348">Y850*(1-F850)</f>
        <v>61600</v>
      </c>
      <c r="AA850" s="66">
        <v>11807.4</v>
      </c>
      <c r="AB850" s="66"/>
      <c r="AC850" s="66"/>
      <c r="AD850" s="66">
        <f t="shared" ref="AD850:AD913" si="349">Z850+AB850</f>
        <v>61600</v>
      </c>
      <c r="AE850" s="66">
        <f t="shared" ref="AE850:AE913" si="350">X850-AD850</f>
        <v>85816.409586217895</v>
      </c>
      <c r="AF850" s="101">
        <f t="shared" ref="AF850:AF913" si="351">J850*S850</f>
        <v>677192.20482664951</v>
      </c>
      <c r="AG850" s="101">
        <f t="shared" ref="AG850:AG913" si="352">(I850*S850)</f>
        <v>846490.25603331195</v>
      </c>
    </row>
    <row r="851" spans="1:33" s="68" customFormat="1" x14ac:dyDescent="0.2">
      <c r="A851" s="147" t="s">
        <v>531</v>
      </c>
      <c r="B851" s="147"/>
      <c r="C851" s="147"/>
      <c r="D851" s="148">
        <v>1</v>
      </c>
      <c r="E851" s="149"/>
      <c r="F851" s="150">
        <v>0.2</v>
      </c>
      <c r="G851" s="150"/>
      <c r="H851" s="67">
        <v>8672</v>
      </c>
      <c r="I851" s="67">
        <f t="shared" si="342"/>
        <v>8289.4495545967002</v>
      </c>
      <c r="J851" s="67">
        <f t="shared" si="345"/>
        <v>6631.5596436773603</v>
      </c>
      <c r="K851" s="63"/>
      <c r="L851" s="149">
        <v>0</v>
      </c>
      <c r="M851" s="63">
        <f t="shared" si="339"/>
        <v>0</v>
      </c>
      <c r="N851" s="63">
        <f t="shared" si="346"/>
        <v>0</v>
      </c>
      <c r="O851" s="69"/>
      <c r="P851" s="149">
        <v>0</v>
      </c>
      <c r="Q851" s="63">
        <f t="shared" si="343"/>
        <v>0</v>
      </c>
      <c r="R851" s="64">
        <f t="shared" si="347"/>
        <v>0</v>
      </c>
      <c r="S851" s="148">
        <v>15</v>
      </c>
      <c r="T851" s="151" t="s">
        <v>52</v>
      </c>
      <c r="U851" s="65">
        <f>SUMIF('Avoided Costs 2012-2020_EGD'!$A:$A,'2012 Actuals_Auditor'!T851&amp;'2012 Actuals_Auditor'!S851,'Avoided Costs 2012-2020_EGD'!$E:$E)*J851</f>
        <v>15153.102345896663</v>
      </c>
      <c r="V851" s="65">
        <f>SUMIF('Avoided Costs 2012-2020_EGD'!$A:$A,'2012 Actuals_Auditor'!T851&amp;'2012 Actuals_Auditor'!S851,'Avoided Costs 2012-2020_EGD'!$K:$K)*N851</f>
        <v>0</v>
      </c>
      <c r="W851" s="65">
        <f>SUMIF('Avoided Costs 2012-2020_EGD'!$A:$A,'2012 Actuals_Auditor'!T851&amp;'2012 Actuals_Auditor'!S851,'Avoided Costs 2012-2020_EGD'!$M:$M)*R851</f>
        <v>0</v>
      </c>
      <c r="X851" s="65">
        <f t="shared" si="344"/>
        <v>15153.102345896663</v>
      </c>
      <c r="Y851" s="146">
        <v>2595</v>
      </c>
      <c r="Z851" s="66">
        <f t="shared" si="348"/>
        <v>2076</v>
      </c>
      <c r="AA851" s="66">
        <v>867.2</v>
      </c>
      <c r="AB851" s="66"/>
      <c r="AC851" s="66"/>
      <c r="AD851" s="66">
        <f t="shared" si="349"/>
        <v>2076</v>
      </c>
      <c r="AE851" s="66">
        <f t="shared" si="350"/>
        <v>13077.102345896663</v>
      </c>
      <c r="AF851" s="101">
        <f t="shared" si="351"/>
        <v>99473.394655160402</v>
      </c>
      <c r="AG851" s="101">
        <f t="shared" si="352"/>
        <v>124341.7433189505</v>
      </c>
    </row>
    <row r="852" spans="1:33" s="68" customFormat="1" x14ac:dyDescent="0.2">
      <c r="A852" s="147" t="s">
        <v>532</v>
      </c>
      <c r="B852" s="147"/>
      <c r="C852" s="147"/>
      <c r="D852" s="148">
        <v>1</v>
      </c>
      <c r="E852" s="149"/>
      <c r="F852" s="150">
        <v>0.2</v>
      </c>
      <c r="G852" s="150"/>
      <c r="H852" s="67">
        <v>37292</v>
      </c>
      <c r="I852" s="67">
        <f t="shared" si="342"/>
        <v>35646.927212871327</v>
      </c>
      <c r="J852" s="67">
        <f t="shared" si="345"/>
        <v>28517.541770297063</v>
      </c>
      <c r="K852" s="63"/>
      <c r="L852" s="149">
        <v>24780</v>
      </c>
      <c r="M852" s="63">
        <f t="shared" si="339"/>
        <v>24780</v>
      </c>
      <c r="N852" s="63">
        <f t="shared" si="346"/>
        <v>19824</v>
      </c>
      <c r="O852" s="69"/>
      <c r="P852" s="149">
        <v>0</v>
      </c>
      <c r="Q852" s="63">
        <f t="shared" si="343"/>
        <v>0</v>
      </c>
      <c r="R852" s="64">
        <f t="shared" si="347"/>
        <v>0</v>
      </c>
      <c r="S852" s="148">
        <v>15</v>
      </c>
      <c r="T852" s="151" t="s">
        <v>15</v>
      </c>
      <c r="U852" s="65">
        <f>SUMIF('Avoided Costs 2012-2020_EGD'!$A:$A,'2012 Actuals_Auditor'!T852&amp;'2012 Actuals_Auditor'!S852,'Avoided Costs 2012-2020_EGD'!$E:$E)*J852</f>
        <v>69294.885291657716</v>
      </c>
      <c r="V852" s="65">
        <f>SUMIF('Avoided Costs 2012-2020_EGD'!$A:$A,'2012 Actuals_Auditor'!T852&amp;'2012 Actuals_Auditor'!S852,'Avoided Costs 2012-2020_EGD'!$K:$K)*N852</f>
        <v>20414.426634915602</v>
      </c>
      <c r="W852" s="65">
        <f>SUMIF('Avoided Costs 2012-2020_EGD'!$A:$A,'2012 Actuals_Auditor'!T852&amp;'2012 Actuals_Auditor'!S852,'Avoided Costs 2012-2020_EGD'!$M:$M)*R852</f>
        <v>0</v>
      </c>
      <c r="X852" s="65">
        <f t="shared" si="344"/>
        <v>89709.311926573311</v>
      </c>
      <c r="Y852" s="146">
        <v>13069</v>
      </c>
      <c r="Z852" s="66">
        <f t="shared" si="348"/>
        <v>10455.200000000001</v>
      </c>
      <c r="AA852" s="66">
        <v>3729</v>
      </c>
      <c r="AB852" s="66"/>
      <c r="AC852" s="66"/>
      <c r="AD852" s="66">
        <f t="shared" si="349"/>
        <v>10455.200000000001</v>
      </c>
      <c r="AE852" s="66">
        <f t="shared" si="350"/>
        <v>79254.111926573314</v>
      </c>
      <c r="AF852" s="101">
        <f t="shared" si="351"/>
        <v>427763.12655445596</v>
      </c>
      <c r="AG852" s="101">
        <f t="shared" si="352"/>
        <v>534703.90819306986</v>
      </c>
    </row>
    <row r="853" spans="1:33" s="68" customFormat="1" x14ac:dyDescent="0.2">
      <c r="A853" s="147" t="s">
        <v>533</v>
      </c>
      <c r="B853" s="147"/>
      <c r="C853" s="147"/>
      <c r="D853" s="148">
        <v>1</v>
      </c>
      <c r="E853" s="149"/>
      <c r="F853" s="150">
        <v>0.2</v>
      </c>
      <c r="G853" s="150"/>
      <c r="H853" s="67">
        <v>11007</v>
      </c>
      <c r="I853" s="67">
        <f t="shared" si="342"/>
        <v>10521.445023921342</v>
      </c>
      <c r="J853" s="67">
        <f t="shared" si="345"/>
        <v>8417.1560191370736</v>
      </c>
      <c r="K853" s="63"/>
      <c r="L853" s="149">
        <v>0</v>
      </c>
      <c r="M853" s="63">
        <f t="shared" si="339"/>
        <v>0</v>
      </c>
      <c r="N853" s="63">
        <f t="shared" si="346"/>
        <v>0</v>
      </c>
      <c r="O853" s="69"/>
      <c r="P853" s="149">
        <v>0</v>
      </c>
      <c r="Q853" s="63">
        <f t="shared" si="343"/>
        <v>0</v>
      </c>
      <c r="R853" s="64">
        <f t="shared" si="347"/>
        <v>0</v>
      </c>
      <c r="S853" s="148">
        <v>25</v>
      </c>
      <c r="T853" s="151" t="s">
        <v>52</v>
      </c>
      <c r="U853" s="65">
        <f>SUMIF('Avoided Costs 2012-2020_EGD'!$A:$A,'2012 Actuals_Auditor'!T853&amp;'2012 Actuals_Auditor'!S853,'Avoided Costs 2012-2020_EGD'!$E:$E)*J853</f>
        <v>27160.408489121684</v>
      </c>
      <c r="V853" s="65">
        <f>SUMIF('Avoided Costs 2012-2020_EGD'!$A:$A,'2012 Actuals_Auditor'!T853&amp;'2012 Actuals_Auditor'!S853,'Avoided Costs 2012-2020_EGD'!$K:$K)*N853</f>
        <v>0</v>
      </c>
      <c r="W853" s="65">
        <f>SUMIF('Avoided Costs 2012-2020_EGD'!$A:$A,'2012 Actuals_Auditor'!T853&amp;'2012 Actuals_Auditor'!S853,'Avoided Costs 2012-2020_EGD'!$M:$M)*R853</f>
        <v>0</v>
      </c>
      <c r="X853" s="65">
        <f t="shared" si="344"/>
        <v>27160.408489121684</v>
      </c>
      <c r="Y853" s="146">
        <v>25534</v>
      </c>
      <c r="Z853" s="66">
        <f t="shared" si="348"/>
        <v>20427.2</v>
      </c>
      <c r="AA853" s="66">
        <v>2601</v>
      </c>
      <c r="AB853" s="66"/>
      <c r="AC853" s="66"/>
      <c r="AD853" s="66">
        <f t="shared" si="349"/>
        <v>20427.2</v>
      </c>
      <c r="AE853" s="66">
        <f t="shared" si="350"/>
        <v>6733.2084891216837</v>
      </c>
      <c r="AF853" s="101">
        <f t="shared" si="351"/>
        <v>210428.90047842683</v>
      </c>
      <c r="AG853" s="101">
        <f t="shared" si="352"/>
        <v>263036.12559803354</v>
      </c>
    </row>
    <row r="854" spans="1:33" s="68" customFormat="1" x14ac:dyDescent="0.2">
      <c r="A854" s="147" t="s">
        <v>534</v>
      </c>
      <c r="B854" s="147"/>
      <c r="C854" s="147"/>
      <c r="D854" s="148">
        <v>0</v>
      </c>
      <c r="E854" s="149"/>
      <c r="F854" s="150">
        <v>0.2</v>
      </c>
      <c r="G854" s="150"/>
      <c r="H854" s="67">
        <v>39182</v>
      </c>
      <c r="I854" s="67">
        <f t="shared" si="342"/>
        <v>37453.553095964933</v>
      </c>
      <c r="J854" s="67">
        <f t="shared" si="345"/>
        <v>29962.842476771948</v>
      </c>
      <c r="K854" s="63"/>
      <c r="L854" s="149">
        <v>43037</v>
      </c>
      <c r="M854" s="63">
        <f t="shared" ref="M854" si="353">+$L$42*L854</f>
        <v>43037</v>
      </c>
      <c r="N854" s="63">
        <f t="shared" si="346"/>
        <v>34429.599999999999</v>
      </c>
      <c r="O854" s="69"/>
      <c r="P854" s="149">
        <v>0</v>
      </c>
      <c r="Q854" s="63">
        <f t="shared" si="343"/>
        <v>0</v>
      </c>
      <c r="R854" s="64">
        <f t="shared" si="347"/>
        <v>0</v>
      </c>
      <c r="S854" s="148">
        <v>15</v>
      </c>
      <c r="T854" s="151" t="s">
        <v>15</v>
      </c>
      <c r="U854" s="65">
        <f>SUMIF('Avoided Costs 2012-2020_EGD'!$A:$A,'2012 Actuals_Auditor'!T854&amp;'2012 Actuals_Auditor'!S854,'Avoided Costs 2012-2020_EGD'!$E:$E)*J854</f>
        <v>72806.827080814459</v>
      </c>
      <c r="V854" s="65">
        <f>SUMIF('Avoided Costs 2012-2020_EGD'!$A:$A,'2012 Actuals_Auditor'!T854&amp;'2012 Actuals_Auditor'!S854,'Avoided Costs 2012-2020_EGD'!$K:$K)*N854</f>
        <v>35455.03144014781</v>
      </c>
      <c r="W854" s="65">
        <f>SUMIF('Avoided Costs 2012-2020_EGD'!$A:$A,'2012 Actuals_Auditor'!T854&amp;'2012 Actuals_Auditor'!S854,'Avoided Costs 2012-2020_EGD'!$M:$M)*R854</f>
        <v>0</v>
      </c>
      <c r="X854" s="65">
        <f t="shared" si="344"/>
        <v>108261.85852096227</v>
      </c>
      <c r="Y854" s="146">
        <v>10000</v>
      </c>
      <c r="Z854" s="66">
        <f t="shared" si="348"/>
        <v>8000</v>
      </c>
      <c r="AA854" s="66">
        <v>7836.4</v>
      </c>
      <c r="AB854" s="66"/>
      <c r="AC854" s="66"/>
      <c r="AD854" s="66">
        <f t="shared" si="349"/>
        <v>8000</v>
      </c>
      <c r="AE854" s="66">
        <f t="shared" si="350"/>
        <v>100261.85852096227</v>
      </c>
      <c r="AF854" s="101">
        <f t="shared" si="351"/>
        <v>449442.6371515792</v>
      </c>
      <c r="AG854" s="101">
        <f t="shared" si="352"/>
        <v>561803.29643947398</v>
      </c>
    </row>
    <row r="855" spans="1:33" s="68" customFormat="1" x14ac:dyDescent="0.2">
      <c r="A855" s="147" t="s">
        <v>535</v>
      </c>
      <c r="B855" s="147"/>
      <c r="C855" s="147"/>
      <c r="D855" s="148">
        <v>1</v>
      </c>
      <c r="E855" s="149"/>
      <c r="F855" s="150">
        <v>0.2</v>
      </c>
      <c r="G855" s="150"/>
      <c r="H855" s="67">
        <v>16091</v>
      </c>
      <c r="I855" s="67">
        <f t="shared" si="342"/>
        <v>15381.173060772082</v>
      </c>
      <c r="J855" s="67">
        <f t="shared" si="345"/>
        <v>12304.938448617666</v>
      </c>
      <c r="K855" s="63"/>
      <c r="L855" s="149">
        <v>0</v>
      </c>
      <c r="M855" s="63">
        <f t="shared" ref="M855:M917" si="354">+$L$42*L855</f>
        <v>0</v>
      </c>
      <c r="N855" s="63">
        <f t="shared" si="346"/>
        <v>0</v>
      </c>
      <c r="O855" s="69"/>
      <c r="P855" s="149">
        <v>0</v>
      </c>
      <c r="Q855" s="63">
        <f t="shared" si="343"/>
        <v>0</v>
      </c>
      <c r="R855" s="64">
        <f t="shared" si="347"/>
        <v>0</v>
      </c>
      <c r="S855" s="148">
        <v>15</v>
      </c>
      <c r="T855" s="151" t="s">
        <v>15</v>
      </c>
      <c r="U855" s="65">
        <f>SUMIF('Avoided Costs 2012-2020_EGD'!$A:$A,'2012 Actuals_Auditor'!T855&amp;'2012 Actuals_Auditor'!S855,'Avoided Costs 2012-2020_EGD'!$E:$E)*J855</f>
        <v>29899.817634561412</v>
      </c>
      <c r="V855" s="65">
        <f>SUMIF('Avoided Costs 2012-2020_EGD'!$A:$A,'2012 Actuals_Auditor'!T855&amp;'2012 Actuals_Auditor'!S855,'Avoided Costs 2012-2020_EGD'!$K:$K)*N855</f>
        <v>0</v>
      </c>
      <c r="W855" s="65">
        <f>SUMIF('Avoided Costs 2012-2020_EGD'!$A:$A,'2012 Actuals_Auditor'!T855&amp;'2012 Actuals_Auditor'!S855,'Avoided Costs 2012-2020_EGD'!$M:$M)*R855</f>
        <v>0</v>
      </c>
      <c r="X855" s="65">
        <f t="shared" si="344"/>
        <v>29899.817634561412</v>
      </c>
      <c r="Y855" s="146">
        <v>4190</v>
      </c>
      <c r="Z855" s="66">
        <f t="shared" si="348"/>
        <v>3352</v>
      </c>
      <c r="AA855" s="66">
        <v>1609</v>
      </c>
      <c r="AB855" s="66"/>
      <c r="AC855" s="66"/>
      <c r="AD855" s="66">
        <f t="shared" si="349"/>
        <v>3352</v>
      </c>
      <c r="AE855" s="66">
        <f t="shared" si="350"/>
        <v>26547.817634561412</v>
      </c>
      <c r="AF855" s="101">
        <f t="shared" si="351"/>
        <v>184574.07672926498</v>
      </c>
      <c r="AG855" s="101">
        <f t="shared" si="352"/>
        <v>230717.59591158124</v>
      </c>
    </row>
    <row r="856" spans="1:33" s="68" customFormat="1" x14ac:dyDescent="0.2">
      <c r="A856" s="147" t="s">
        <v>536</v>
      </c>
      <c r="B856" s="147"/>
      <c r="C856" s="147"/>
      <c r="D856" s="148">
        <v>1</v>
      </c>
      <c r="E856" s="149"/>
      <c r="F856" s="150">
        <v>0.2</v>
      </c>
      <c r="G856" s="150"/>
      <c r="H856" s="67">
        <v>8852</v>
      </c>
      <c r="I856" s="67">
        <f>H856</f>
        <v>8852</v>
      </c>
      <c r="J856" s="67">
        <f t="shared" si="345"/>
        <v>7081.6</v>
      </c>
      <c r="K856" s="63"/>
      <c r="L856" s="149">
        <v>0</v>
      </c>
      <c r="M856" s="63">
        <f>L856</f>
        <v>0</v>
      </c>
      <c r="N856" s="63">
        <f t="shared" si="346"/>
        <v>0</v>
      </c>
      <c r="O856" s="69"/>
      <c r="P856" s="149">
        <v>0</v>
      </c>
      <c r="Q856" s="63">
        <f>+P856</f>
        <v>0</v>
      </c>
      <c r="R856" s="64">
        <f t="shared" si="347"/>
        <v>0</v>
      </c>
      <c r="S856" s="148">
        <v>25</v>
      </c>
      <c r="T856" s="151" t="s">
        <v>15</v>
      </c>
      <c r="U856" s="65">
        <f>SUMIF('Avoided Costs 2012-2020_EGD'!$A:$A,'2012 Actuals_Auditor'!T856&amp;'2012 Actuals_Auditor'!S856,'Avoided Costs 2012-2020_EGD'!$E:$E)*J856</f>
        <v>24318.178984299007</v>
      </c>
      <c r="V856" s="65">
        <f>SUMIF('Avoided Costs 2012-2020_EGD'!$A:$A,'2012 Actuals_Auditor'!T856&amp;'2012 Actuals_Auditor'!S856,'Avoided Costs 2012-2020_EGD'!$K:$K)*N856</f>
        <v>0</v>
      </c>
      <c r="W856" s="65">
        <f>SUMIF('Avoided Costs 2012-2020_EGD'!$A:$A,'2012 Actuals_Auditor'!T856&amp;'2012 Actuals_Auditor'!S856,'Avoided Costs 2012-2020_EGD'!$M:$M)*R856</f>
        <v>0</v>
      </c>
      <c r="X856" s="65">
        <f t="shared" si="344"/>
        <v>24318.178984299007</v>
      </c>
      <c r="Y856" s="146">
        <v>13500</v>
      </c>
      <c r="Z856" s="66">
        <f t="shared" si="348"/>
        <v>10800</v>
      </c>
      <c r="AA856" s="66">
        <v>1200</v>
      </c>
      <c r="AB856" s="66"/>
      <c r="AC856" s="66"/>
      <c r="AD856" s="66">
        <f t="shared" si="349"/>
        <v>10800</v>
      </c>
      <c r="AE856" s="66">
        <f t="shared" si="350"/>
        <v>13518.178984299007</v>
      </c>
      <c r="AF856" s="101">
        <f t="shared" si="351"/>
        <v>177040</v>
      </c>
      <c r="AG856" s="101">
        <f t="shared" si="352"/>
        <v>221300</v>
      </c>
    </row>
    <row r="857" spans="1:33" s="68" customFormat="1" x14ac:dyDescent="0.2">
      <c r="A857" s="147" t="s">
        <v>537</v>
      </c>
      <c r="B857" s="147"/>
      <c r="C857" s="147"/>
      <c r="D857" s="148">
        <v>0</v>
      </c>
      <c r="E857" s="149"/>
      <c r="F857" s="150">
        <v>0.2</v>
      </c>
      <c r="G857" s="150"/>
      <c r="H857" s="67">
        <v>67037</v>
      </c>
      <c r="I857" s="67">
        <f>+$H$42*H857</f>
        <v>64079.777420606435</v>
      </c>
      <c r="J857" s="67">
        <f t="shared" si="345"/>
        <v>51263.821936485154</v>
      </c>
      <c r="K857" s="63"/>
      <c r="L857" s="149">
        <v>0</v>
      </c>
      <c r="M857" s="63">
        <f t="shared" si="354"/>
        <v>0</v>
      </c>
      <c r="N857" s="63">
        <f t="shared" si="346"/>
        <v>0</v>
      </c>
      <c r="O857" s="69"/>
      <c r="P857" s="149">
        <v>0</v>
      </c>
      <c r="Q857" s="63">
        <f>+P857*$P$42</f>
        <v>0</v>
      </c>
      <c r="R857" s="64">
        <f t="shared" si="347"/>
        <v>0</v>
      </c>
      <c r="S857" s="148">
        <v>15</v>
      </c>
      <c r="T857" s="151" t="s">
        <v>15</v>
      </c>
      <c r="U857" s="65">
        <f>SUMIF('Avoided Costs 2012-2020_EGD'!$A:$A,'2012 Actuals_Auditor'!T857&amp;'2012 Actuals_Auditor'!S857,'Avoided Costs 2012-2020_EGD'!$E:$E)*J857</f>
        <v>124566.15964005307</v>
      </c>
      <c r="V857" s="65">
        <f>SUMIF('Avoided Costs 2012-2020_EGD'!$A:$A,'2012 Actuals_Auditor'!T857&amp;'2012 Actuals_Auditor'!S857,'Avoided Costs 2012-2020_EGD'!$K:$K)*N857</f>
        <v>0</v>
      </c>
      <c r="W857" s="65">
        <f>SUMIF('Avoided Costs 2012-2020_EGD'!$A:$A,'2012 Actuals_Auditor'!T857&amp;'2012 Actuals_Auditor'!S857,'Avoided Costs 2012-2020_EGD'!$M:$M)*R857</f>
        <v>0</v>
      </c>
      <c r="X857" s="65">
        <f t="shared" si="344"/>
        <v>124566.15964005307</v>
      </c>
      <c r="Y857" s="146">
        <v>15650</v>
      </c>
      <c r="Z857" s="66">
        <f t="shared" si="348"/>
        <v>12520</v>
      </c>
      <c r="AA857" s="66">
        <v>6703</v>
      </c>
      <c r="AB857" s="66"/>
      <c r="AC857" s="66"/>
      <c r="AD857" s="66">
        <f t="shared" si="349"/>
        <v>12520</v>
      </c>
      <c r="AE857" s="66">
        <f t="shared" si="350"/>
        <v>112046.15964005307</v>
      </c>
      <c r="AF857" s="101">
        <f t="shared" si="351"/>
        <v>768957.32904727734</v>
      </c>
      <c r="AG857" s="101">
        <f t="shared" si="352"/>
        <v>961196.6613090965</v>
      </c>
    </row>
    <row r="858" spans="1:33" s="68" customFormat="1" x14ac:dyDescent="0.2">
      <c r="A858" s="141" t="s">
        <v>538</v>
      </c>
      <c r="B858" s="141"/>
      <c r="C858" s="141"/>
      <c r="D858" s="142">
        <v>1</v>
      </c>
      <c r="E858" s="143"/>
      <c r="F858" s="144">
        <v>0.2</v>
      </c>
      <c r="G858" s="144"/>
      <c r="H858" s="67">
        <v>83376</v>
      </c>
      <c r="I858" s="67">
        <f>+$H$42*H858</f>
        <v>79698.01038561514</v>
      </c>
      <c r="J858" s="67">
        <f t="shared" si="345"/>
        <v>63758.408308492115</v>
      </c>
      <c r="K858" s="143"/>
      <c r="L858" s="143">
        <v>41630</v>
      </c>
      <c r="M858" s="63">
        <f t="shared" si="354"/>
        <v>41630</v>
      </c>
      <c r="N858" s="63">
        <f t="shared" si="346"/>
        <v>33304</v>
      </c>
      <c r="O858" s="143"/>
      <c r="P858" s="143">
        <v>0</v>
      </c>
      <c r="Q858" s="63">
        <f>+P858*$P$42</f>
        <v>0</v>
      </c>
      <c r="R858" s="64">
        <f t="shared" si="347"/>
        <v>0</v>
      </c>
      <c r="S858" s="142">
        <v>15</v>
      </c>
      <c r="T858" s="145" t="s">
        <v>15</v>
      </c>
      <c r="U858" s="65">
        <f>SUMIF('Avoided Costs 2012-2020_EGD'!$A:$A,'2012 Actuals_Auditor'!T858&amp;'2012 Actuals_Auditor'!S858,'Avoided Costs 2012-2020_EGD'!$E:$E)*J858</f>
        <v>154926.80349880012</v>
      </c>
      <c r="V858" s="65">
        <f>SUMIF('Avoided Costs 2012-2020_EGD'!$A:$A,'2012 Actuals_Auditor'!T858&amp;'2012 Actuals_Auditor'!S858,'Avoided Costs 2012-2020_EGD'!$K:$K)*N858</f>
        <v>34295.907215961925</v>
      </c>
      <c r="W858" s="65">
        <f>SUMIF('Avoided Costs 2012-2020_EGD'!$A:$A,'2012 Actuals_Auditor'!T858&amp;'2012 Actuals_Auditor'!S858,'Avoided Costs 2012-2020_EGD'!$M:$M)*R858</f>
        <v>0</v>
      </c>
      <c r="X858" s="65">
        <f t="shared" si="344"/>
        <v>189222.71071476204</v>
      </c>
      <c r="Y858" s="146">
        <v>33350</v>
      </c>
      <c r="Z858" s="66">
        <f t="shared" si="348"/>
        <v>26680</v>
      </c>
      <c r="AA858" s="66">
        <v>16675</v>
      </c>
      <c r="AB858" s="66"/>
      <c r="AC858" s="66"/>
      <c r="AD858" s="66">
        <f t="shared" si="349"/>
        <v>26680</v>
      </c>
      <c r="AE858" s="66">
        <f t="shared" si="350"/>
        <v>162542.71071476204</v>
      </c>
      <c r="AF858" s="101">
        <f t="shared" si="351"/>
        <v>956376.12462738168</v>
      </c>
      <c r="AG858" s="101">
        <f t="shared" si="352"/>
        <v>1195470.1557842272</v>
      </c>
    </row>
    <row r="859" spans="1:33" s="68" customFormat="1" x14ac:dyDescent="0.2">
      <c r="A859" s="141" t="s">
        <v>539</v>
      </c>
      <c r="B859" s="141"/>
      <c r="C859" s="141"/>
      <c r="D859" s="142">
        <v>0</v>
      </c>
      <c r="E859" s="143"/>
      <c r="F859" s="144">
        <v>0.2</v>
      </c>
      <c r="G859" s="144"/>
      <c r="H859" s="67">
        <v>27944</v>
      </c>
      <c r="I859" s="67">
        <f>+$H$42*H859</f>
        <v>26711.298241887707</v>
      </c>
      <c r="J859" s="67">
        <f t="shared" si="345"/>
        <v>21369.038593510166</v>
      </c>
      <c r="K859" s="143"/>
      <c r="L859" s="143">
        <v>0</v>
      </c>
      <c r="M859" s="63">
        <f t="shared" si="354"/>
        <v>0</v>
      </c>
      <c r="N859" s="63">
        <f t="shared" si="346"/>
        <v>0</v>
      </c>
      <c r="O859" s="143"/>
      <c r="P859" s="143">
        <v>0</v>
      </c>
      <c r="Q859" s="63">
        <f>+P859*$P$42</f>
        <v>0</v>
      </c>
      <c r="R859" s="64">
        <f t="shared" si="347"/>
        <v>0</v>
      </c>
      <c r="S859" s="142">
        <v>25</v>
      </c>
      <c r="T859" s="145" t="s">
        <v>52</v>
      </c>
      <c r="U859" s="65">
        <f>SUMIF('Avoided Costs 2012-2020_EGD'!$A:$A,'2012 Actuals_Auditor'!T859&amp;'2012 Actuals_Auditor'!S859,'Avoided Costs 2012-2020_EGD'!$E:$E)*J859</f>
        <v>68953.434616154846</v>
      </c>
      <c r="V859" s="65">
        <f>SUMIF('Avoided Costs 2012-2020_EGD'!$A:$A,'2012 Actuals_Auditor'!T859&amp;'2012 Actuals_Auditor'!S859,'Avoided Costs 2012-2020_EGD'!$K:$K)*N859</f>
        <v>0</v>
      </c>
      <c r="W859" s="65">
        <f>SUMIF('Avoided Costs 2012-2020_EGD'!$A:$A,'2012 Actuals_Auditor'!T859&amp;'2012 Actuals_Auditor'!S859,'Avoided Costs 2012-2020_EGD'!$M:$M)*R859</f>
        <v>0</v>
      </c>
      <c r="X859" s="65">
        <f t="shared" si="344"/>
        <v>68953.434616154846</v>
      </c>
      <c r="Y859" s="146">
        <v>36038</v>
      </c>
      <c r="Z859" s="66">
        <f t="shared" si="348"/>
        <v>28830.400000000001</v>
      </c>
      <c r="AA859" s="66">
        <v>5798</v>
      </c>
      <c r="AB859" s="66"/>
      <c r="AC859" s="66"/>
      <c r="AD859" s="66">
        <f t="shared" si="349"/>
        <v>28830.400000000001</v>
      </c>
      <c r="AE859" s="66">
        <f t="shared" si="350"/>
        <v>40123.034616154844</v>
      </c>
      <c r="AF859" s="101">
        <f t="shared" si="351"/>
        <v>534225.96483775415</v>
      </c>
      <c r="AG859" s="101">
        <f t="shared" si="352"/>
        <v>667782.45604719268</v>
      </c>
    </row>
    <row r="860" spans="1:33" s="68" customFormat="1" x14ac:dyDescent="0.2">
      <c r="A860" s="141" t="s">
        <v>540</v>
      </c>
      <c r="B860" s="141"/>
      <c r="C860" s="141"/>
      <c r="D860" s="142">
        <v>1</v>
      </c>
      <c r="E860" s="143"/>
      <c r="F860" s="144">
        <v>0.2</v>
      </c>
      <c r="G860" s="144"/>
      <c r="H860" s="67">
        <v>112741</v>
      </c>
      <c r="I860" s="67">
        <f>+$H$42*H860</f>
        <v>107767.62364331026</v>
      </c>
      <c r="J860" s="67">
        <f t="shared" si="345"/>
        <v>86214.098914648217</v>
      </c>
      <c r="K860" s="143"/>
      <c r="L860" s="143">
        <v>0</v>
      </c>
      <c r="M860" s="63">
        <f t="shared" si="354"/>
        <v>0</v>
      </c>
      <c r="N860" s="63">
        <f t="shared" si="346"/>
        <v>0</v>
      </c>
      <c r="O860" s="143"/>
      <c r="P860" s="143">
        <v>0</v>
      </c>
      <c r="Q860" s="63">
        <f>+P860*$P$42</f>
        <v>0</v>
      </c>
      <c r="R860" s="64">
        <f t="shared" si="347"/>
        <v>0</v>
      </c>
      <c r="S860" s="142">
        <v>25</v>
      </c>
      <c r="T860" s="145" t="s">
        <v>15</v>
      </c>
      <c r="U860" s="65">
        <f>SUMIF('Avoided Costs 2012-2020_EGD'!$A:$A,'2012 Actuals_Auditor'!T860&amp;'2012 Actuals_Auditor'!S860,'Avoided Costs 2012-2020_EGD'!$E:$E)*J860</f>
        <v>296058.78450865258</v>
      </c>
      <c r="V860" s="65">
        <f>SUMIF('Avoided Costs 2012-2020_EGD'!$A:$A,'2012 Actuals_Auditor'!T860&amp;'2012 Actuals_Auditor'!S860,'Avoided Costs 2012-2020_EGD'!$K:$K)*N860</f>
        <v>0</v>
      </c>
      <c r="W860" s="65">
        <f>SUMIF('Avoided Costs 2012-2020_EGD'!$A:$A,'2012 Actuals_Auditor'!T860&amp;'2012 Actuals_Auditor'!S860,'Avoided Costs 2012-2020_EGD'!$M:$M)*R860</f>
        <v>0</v>
      </c>
      <c r="X860" s="65">
        <f t="shared" si="344"/>
        <v>296058.78450865258</v>
      </c>
      <c r="Y860" s="146">
        <v>442</v>
      </c>
      <c r="Z860" s="66">
        <f t="shared" si="348"/>
        <v>353.6</v>
      </c>
      <c r="AA860" s="66">
        <v>24202</v>
      </c>
      <c r="AB860" s="66"/>
      <c r="AC860" s="66"/>
      <c r="AD860" s="66">
        <f t="shared" si="349"/>
        <v>353.6</v>
      </c>
      <c r="AE860" s="66">
        <f t="shared" si="350"/>
        <v>295705.1845086526</v>
      </c>
      <c r="AF860" s="101">
        <f t="shared" si="351"/>
        <v>2155352.4728662055</v>
      </c>
      <c r="AG860" s="101">
        <f t="shared" si="352"/>
        <v>2694190.5910827564</v>
      </c>
    </row>
    <row r="861" spans="1:33" s="68" customFormat="1" x14ac:dyDescent="0.2">
      <c r="A861" s="147" t="s">
        <v>541</v>
      </c>
      <c r="B861" s="147"/>
      <c r="C861" s="147"/>
      <c r="D861" s="148">
        <v>1</v>
      </c>
      <c r="E861" s="149"/>
      <c r="F861" s="150">
        <v>0.2</v>
      </c>
      <c r="G861" s="150"/>
      <c r="H861" s="67">
        <v>12141</v>
      </c>
      <c r="I861" s="67">
        <f>H861</f>
        <v>12141</v>
      </c>
      <c r="J861" s="67">
        <f t="shared" si="345"/>
        <v>9712.8000000000011</v>
      </c>
      <c r="K861" s="63"/>
      <c r="L861" s="149">
        <v>0</v>
      </c>
      <c r="M861" s="63">
        <f>L861</f>
        <v>0</v>
      </c>
      <c r="N861" s="63">
        <f t="shared" si="346"/>
        <v>0</v>
      </c>
      <c r="O861" s="69"/>
      <c r="P861" s="149">
        <v>0</v>
      </c>
      <c r="Q861" s="63">
        <f>+P861</f>
        <v>0</v>
      </c>
      <c r="R861" s="64">
        <f t="shared" si="347"/>
        <v>0</v>
      </c>
      <c r="S861" s="148">
        <v>25</v>
      </c>
      <c r="T861" s="151" t="s">
        <v>15</v>
      </c>
      <c r="U861" s="65">
        <f>SUMIF('Avoided Costs 2012-2020_EGD'!$A:$A,'2012 Actuals_Auditor'!T861&amp;'2012 Actuals_Auditor'!S861,'Avoided Costs 2012-2020_EGD'!$E:$E)*J861</f>
        <v>33353.70662543767</v>
      </c>
      <c r="V861" s="65">
        <f>SUMIF('Avoided Costs 2012-2020_EGD'!$A:$A,'2012 Actuals_Auditor'!T861&amp;'2012 Actuals_Auditor'!S861,'Avoided Costs 2012-2020_EGD'!$K:$K)*N861</f>
        <v>0</v>
      </c>
      <c r="W861" s="65">
        <f>SUMIF('Avoided Costs 2012-2020_EGD'!$A:$A,'2012 Actuals_Auditor'!T861&amp;'2012 Actuals_Auditor'!S861,'Avoided Costs 2012-2020_EGD'!$M:$M)*R861</f>
        <v>0</v>
      </c>
      <c r="X861" s="65">
        <f t="shared" si="344"/>
        <v>33353.70662543767</v>
      </c>
      <c r="Y861" s="146">
        <v>10300</v>
      </c>
      <c r="Z861" s="66">
        <f t="shared" si="348"/>
        <v>8240</v>
      </c>
      <c r="AA861" s="66">
        <v>1400</v>
      </c>
      <c r="AB861" s="66"/>
      <c r="AC861" s="66"/>
      <c r="AD861" s="66">
        <f t="shared" si="349"/>
        <v>8240</v>
      </c>
      <c r="AE861" s="66">
        <f t="shared" si="350"/>
        <v>25113.70662543767</v>
      </c>
      <c r="AF861" s="101">
        <f t="shared" si="351"/>
        <v>242820.00000000003</v>
      </c>
      <c r="AG861" s="101">
        <f t="shared" si="352"/>
        <v>303525</v>
      </c>
    </row>
    <row r="862" spans="1:33" s="68" customFormat="1" x14ac:dyDescent="0.2">
      <c r="A862" s="147" t="s">
        <v>542</v>
      </c>
      <c r="B862" s="147"/>
      <c r="C862" s="147"/>
      <c r="D862" s="148">
        <v>0</v>
      </c>
      <c r="E862" s="149"/>
      <c r="F862" s="150">
        <v>0.2</v>
      </c>
      <c r="G862" s="150"/>
      <c r="H862" s="67">
        <v>43749</v>
      </c>
      <c r="I862" s="67">
        <f>+$H$42*H862</f>
        <v>41819.087703419165</v>
      </c>
      <c r="J862" s="67">
        <f t="shared" si="345"/>
        <v>33455.270162735331</v>
      </c>
      <c r="K862" s="63"/>
      <c r="L862" s="149">
        <v>0</v>
      </c>
      <c r="M862" s="63">
        <f t="shared" si="354"/>
        <v>0</v>
      </c>
      <c r="N862" s="63">
        <f t="shared" si="346"/>
        <v>0</v>
      </c>
      <c r="O862" s="69"/>
      <c r="P862" s="149">
        <v>0</v>
      </c>
      <c r="Q862" s="63">
        <f>+P862*$P$42</f>
        <v>0</v>
      </c>
      <c r="R862" s="64">
        <f t="shared" si="347"/>
        <v>0</v>
      </c>
      <c r="S862" s="148">
        <v>25</v>
      </c>
      <c r="T862" s="151" t="s">
        <v>52</v>
      </c>
      <c r="U862" s="65">
        <f>SUMIF('Avoided Costs 2012-2020_EGD'!$A:$A,'2012 Actuals_Auditor'!T862&amp;'2012 Actuals_Auditor'!S862,'Avoided Costs 2012-2020_EGD'!$E:$E)*J862</f>
        <v>107953.18533574857</v>
      </c>
      <c r="V862" s="65">
        <f>SUMIF('Avoided Costs 2012-2020_EGD'!$A:$A,'2012 Actuals_Auditor'!T862&amp;'2012 Actuals_Auditor'!S862,'Avoided Costs 2012-2020_EGD'!$K:$K)*N862</f>
        <v>0</v>
      </c>
      <c r="W862" s="65">
        <f>SUMIF('Avoided Costs 2012-2020_EGD'!$A:$A,'2012 Actuals_Auditor'!T862&amp;'2012 Actuals_Auditor'!S862,'Avoided Costs 2012-2020_EGD'!$M:$M)*R862</f>
        <v>0</v>
      </c>
      <c r="X862" s="65">
        <f t="shared" si="344"/>
        <v>107953.18533574857</v>
      </c>
      <c r="Y862" s="146">
        <v>99776</v>
      </c>
      <c r="Z862" s="66">
        <f t="shared" si="348"/>
        <v>79820.800000000003</v>
      </c>
      <c r="AA862" s="66">
        <v>10122.66</v>
      </c>
      <c r="AB862" s="66"/>
      <c r="AC862" s="66"/>
      <c r="AD862" s="66">
        <f t="shared" si="349"/>
        <v>79820.800000000003</v>
      </c>
      <c r="AE862" s="66">
        <f t="shared" si="350"/>
        <v>28132.385335748564</v>
      </c>
      <c r="AF862" s="101">
        <f t="shared" si="351"/>
        <v>836381.75406838325</v>
      </c>
      <c r="AG862" s="101">
        <f t="shared" si="352"/>
        <v>1045477.1925854791</v>
      </c>
    </row>
    <row r="863" spans="1:33" s="68" customFormat="1" x14ac:dyDescent="0.2">
      <c r="A863" s="147" t="s">
        <v>543</v>
      </c>
      <c r="B863" s="147"/>
      <c r="C863" s="147"/>
      <c r="D863" s="148">
        <v>1</v>
      </c>
      <c r="E863" s="149"/>
      <c r="F863" s="150">
        <v>0.2</v>
      </c>
      <c r="G863" s="150"/>
      <c r="H863" s="67">
        <v>98888</v>
      </c>
      <c r="I863" s="67">
        <f>+$H$42*H863</f>
        <v>94525.72504093156</v>
      </c>
      <c r="J863" s="67">
        <f t="shared" si="345"/>
        <v>75620.580032745245</v>
      </c>
      <c r="K863" s="63"/>
      <c r="L863" s="149">
        <v>0</v>
      </c>
      <c r="M863" s="63">
        <f t="shared" si="354"/>
        <v>0</v>
      </c>
      <c r="N863" s="63">
        <f t="shared" si="346"/>
        <v>0</v>
      </c>
      <c r="O863" s="69"/>
      <c r="P863" s="149">
        <v>0</v>
      </c>
      <c r="Q863" s="63">
        <f>+P863*$P$42</f>
        <v>0</v>
      </c>
      <c r="R863" s="64">
        <f t="shared" si="347"/>
        <v>0</v>
      </c>
      <c r="S863" s="148">
        <v>25</v>
      </c>
      <c r="T863" s="151" t="s">
        <v>15</v>
      </c>
      <c r="U863" s="65">
        <f>SUMIF('Avoided Costs 2012-2020_EGD'!$A:$A,'2012 Actuals_Auditor'!T863&amp;'2012 Actuals_Auditor'!S863,'Avoided Costs 2012-2020_EGD'!$E:$E)*J863</f>
        <v>259680.69364731226</v>
      </c>
      <c r="V863" s="65">
        <f>SUMIF('Avoided Costs 2012-2020_EGD'!$A:$A,'2012 Actuals_Auditor'!T863&amp;'2012 Actuals_Auditor'!S863,'Avoided Costs 2012-2020_EGD'!$K:$K)*N863</f>
        <v>0</v>
      </c>
      <c r="W863" s="65">
        <f>SUMIF('Avoided Costs 2012-2020_EGD'!$A:$A,'2012 Actuals_Auditor'!T863&amp;'2012 Actuals_Auditor'!S863,'Avoided Costs 2012-2020_EGD'!$M:$M)*R863</f>
        <v>0</v>
      </c>
      <c r="X863" s="65">
        <f t="shared" si="344"/>
        <v>259680.69364731226</v>
      </c>
      <c r="Y863" s="146">
        <v>49027</v>
      </c>
      <c r="Z863" s="66">
        <f t="shared" si="348"/>
        <v>39221.599999999999</v>
      </c>
      <c r="AA863" s="66">
        <v>19877.34</v>
      </c>
      <c r="AB863" s="66"/>
      <c r="AC863" s="66"/>
      <c r="AD863" s="66">
        <f t="shared" si="349"/>
        <v>39221.599999999999</v>
      </c>
      <c r="AE863" s="66">
        <f t="shared" si="350"/>
        <v>220459.09364731226</v>
      </c>
      <c r="AF863" s="101">
        <f t="shared" si="351"/>
        <v>1890514.5008186311</v>
      </c>
      <c r="AG863" s="101">
        <f t="shared" si="352"/>
        <v>2363143.1260232888</v>
      </c>
    </row>
    <row r="864" spans="1:33" s="68" customFormat="1" x14ac:dyDescent="0.2">
      <c r="A864" s="147" t="s">
        <v>544</v>
      </c>
      <c r="B864" s="147"/>
      <c r="C864" s="147"/>
      <c r="D864" s="148">
        <v>0</v>
      </c>
      <c r="E864" s="149"/>
      <c r="F864" s="150">
        <v>0.2</v>
      </c>
      <c r="G864" s="150"/>
      <c r="H864" s="67">
        <v>23581</v>
      </c>
      <c r="I864" s="67">
        <f>+$H$42*H864</f>
        <v>22540.764523402304</v>
      </c>
      <c r="J864" s="67">
        <f t="shared" si="345"/>
        <v>18032.611618721843</v>
      </c>
      <c r="K864" s="63"/>
      <c r="L864" s="149">
        <v>0</v>
      </c>
      <c r="M864" s="63">
        <f t="shared" si="354"/>
        <v>0</v>
      </c>
      <c r="N864" s="63">
        <f t="shared" si="346"/>
        <v>0</v>
      </c>
      <c r="O864" s="69"/>
      <c r="P864" s="149">
        <v>0</v>
      </c>
      <c r="Q864" s="63">
        <f>+P864*$P$42</f>
        <v>0</v>
      </c>
      <c r="R864" s="64">
        <f t="shared" si="347"/>
        <v>0</v>
      </c>
      <c r="S864" s="148">
        <v>25</v>
      </c>
      <c r="T864" s="151" t="s">
        <v>52</v>
      </c>
      <c r="U864" s="65">
        <f>SUMIF('Avoided Costs 2012-2020_EGD'!$A:$A,'2012 Actuals_Auditor'!T864&amp;'2012 Actuals_Auditor'!S864,'Avoided Costs 2012-2020_EGD'!$E:$E)*J864</f>
        <v>58187.480020167022</v>
      </c>
      <c r="V864" s="65">
        <f>SUMIF('Avoided Costs 2012-2020_EGD'!$A:$A,'2012 Actuals_Auditor'!T864&amp;'2012 Actuals_Auditor'!S864,'Avoided Costs 2012-2020_EGD'!$K:$K)*N864</f>
        <v>0</v>
      </c>
      <c r="W864" s="65">
        <f>SUMIF('Avoided Costs 2012-2020_EGD'!$A:$A,'2012 Actuals_Auditor'!T864&amp;'2012 Actuals_Auditor'!S864,'Avoided Costs 2012-2020_EGD'!$M:$M)*R864</f>
        <v>0</v>
      </c>
      <c r="X864" s="65">
        <f t="shared" si="344"/>
        <v>58187.480020167022</v>
      </c>
      <c r="Y864" s="146">
        <v>36038</v>
      </c>
      <c r="Z864" s="66">
        <f t="shared" si="348"/>
        <v>28830.400000000001</v>
      </c>
      <c r="AA864" s="66">
        <v>5144</v>
      </c>
      <c r="AB864" s="66"/>
      <c r="AC864" s="66"/>
      <c r="AD864" s="66">
        <f t="shared" si="349"/>
        <v>28830.400000000001</v>
      </c>
      <c r="AE864" s="66">
        <f t="shared" si="350"/>
        <v>29357.080020167021</v>
      </c>
      <c r="AF864" s="101">
        <f t="shared" si="351"/>
        <v>450815.29046804609</v>
      </c>
      <c r="AG864" s="101">
        <f t="shared" si="352"/>
        <v>563519.11308505759</v>
      </c>
    </row>
    <row r="865" spans="1:33" s="68" customFormat="1" x14ac:dyDescent="0.2">
      <c r="A865" s="147" t="s">
        <v>545</v>
      </c>
      <c r="B865" s="147"/>
      <c r="C865" s="147"/>
      <c r="D865" s="148">
        <v>1</v>
      </c>
      <c r="E865" s="149"/>
      <c r="F865" s="150">
        <v>0.2</v>
      </c>
      <c r="G865" s="150"/>
      <c r="H865" s="67">
        <v>104986</v>
      </c>
      <c r="I865" s="67">
        <f>+$H$42*H865</f>
        <v>100354.72220236268</v>
      </c>
      <c r="J865" s="67">
        <f t="shared" si="345"/>
        <v>80283.777761890145</v>
      </c>
      <c r="K865" s="63"/>
      <c r="L865" s="149">
        <v>0</v>
      </c>
      <c r="M865" s="63">
        <f t="shared" si="354"/>
        <v>0</v>
      </c>
      <c r="N865" s="63">
        <f t="shared" si="346"/>
        <v>0</v>
      </c>
      <c r="O865" s="69"/>
      <c r="P865" s="149">
        <v>0</v>
      </c>
      <c r="Q865" s="63">
        <f>+P865*$P$42</f>
        <v>0</v>
      </c>
      <c r="R865" s="64">
        <f t="shared" si="347"/>
        <v>0</v>
      </c>
      <c r="S865" s="148">
        <v>25</v>
      </c>
      <c r="T865" s="151" t="s">
        <v>15</v>
      </c>
      <c r="U865" s="65">
        <f>SUMIF('Avoided Costs 2012-2020_EGD'!$A:$A,'2012 Actuals_Auditor'!T865&amp;'2012 Actuals_Auditor'!S865,'Avoided Costs 2012-2020_EGD'!$E:$E)*J865</f>
        <v>275694.0913281361</v>
      </c>
      <c r="V865" s="65">
        <f>SUMIF('Avoided Costs 2012-2020_EGD'!$A:$A,'2012 Actuals_Auditor'!T865&amp;'2012 Actuals_Auditor'!S865,'Avoided Costs 2012-2020_EGD'!$K:$K)*N865</f>
        <v>0</v>
      </c>
      <c r="W865" s="65">
        <f>SUMIF('Avoided Costs 2012-2020_EGD'!$A:$A,'2012 Actuals_Auditor'!T865&amp;'2012 Actuals_Auditor'!S865,'Avoided Costs 2012-2020_EGD'!$M:$M)*R865</f>
        <v>0</v>
      </c>
      <c r="X865" s="65">
        <f t="shared" si="344"/>
        <v>275694.0913281361</v>
      </c>
      <c r="Y865" s="146">
        <v>442</v>
      </c>
      <c r="Z865" s="66">
        <f t="shared" si="348"/>
        <v>353.6</v>
      </c>
      <c r="AA865" s="66">
        <v>23469</v>
      </c>
      <c r="AB865" s="66"/>
      <c r="AC865" s="66"/>
      <c r="AD865" s="66">
        <f t="shared" si="349"/>
        <v>353.6</v>
      </c>
      <c r="AE865" s="66">
        <f t="shared" si="350"/>
        <v>275340.49132813612</v>
      </c>
      <c r="AF865" s="101">
        <f t="shared" si="351"/>
        <v>2007094.4440472536</v>
      </c>
      <c r="AG865" s="101">
        <f t="shared" si="352"/>
        <v>2508868.055059067</v>
      </c>
    </row>
    <row r="866" spans="1:33" s="68" customFormat="1" x14ac:dyDescent="0.2">
      <c r="A866" s="147" t="s">
        <v>546</v>
      </c>
      <c r="B866" s="147"/>
      <c r="C866" s="147"/>
      <c r="D866" s="148">
        <v>1</v>
      </c>
      <c r="E866" s="149"/>
      <c r="F866" s="150">
        <v>0.2</v>
      </c>
      <c r="G866" s="150"/>
      <c r="H866" s="67">
        <v>25394</v>
      </c>
      <c r="I866" s="67">
        <f>+$H$42*H866</f>
        <v>24273.787129777284</v>
      </c>
      <c r="J866" s="67">
        <f t="shared" si="345"/>
        <v>19419.029703821827</v>
      </c>
      <c r="K866" s="63"/>
      <c r="L866" s="149">
        <v>4357</v>
      </c>
      <c r="M866" s="63">
        <f t="shared" si="354"/>
        <v>4357</v>
      </c>
      <c r="N866" s="63">
        <f t="shared" si="346"/>
        <v>3485.6000000000004</v>
      </c>
      <c r="O866" s="69"/>
      <c r="P866" s="149">
        <v>0</v>
      </c>
      <c r="Q866" s="63">
        <f>+P866*$P$42</f>
        <v>0</v>
      </c>
      <c r="R866" s="64">
        <f t="shared" si="347"/>
        <v>0</v>
      </c>
      <c r="S866" s="148">
        <v>15</v>
      </c>
      <c r="T866" s="151" t="s">
        <v>15</v>
      </c>
      <c r="U866" s="65">
        <f>SUMIF('Avoided Costs 2012-2020_EGD'!$A:$A,'2012 Actuals_Auditor'!T866&amp;'2012 Actuals_Auditor'!S866,'Avoided Costs 2012-2020_EGD'!$E:$E)*J866</f>
        <v>47186.375552299578</v>
      </c>
      <c r="V866" s="65">
        <f>SUMIF('Avoided Costs 2012-2020_EGD'!$A:$A,'2012 Actuals_Auditor'!T866&amp;'2012 Actuals_Auditor'!S866,'Avoided Costs 2012-2020_EGD'!$K:$K)*N866</f>
        <v>3589.4131092948869</v>
      </c>
      <c r="W866" s="65">
        <f>SUMIF('Avoided Costs 2012-2020_EGD'!$A:$A,'2012 Actuals_Auditor'!T866&amp;'2012 Actuals_Auditor'!S866,'Avoided Costs 2012-2020_EGD'!$M:$M)*R866</f>
        <v>0</v>
      </c>
      <c r="X866" s="65">
        <f t="shared" si="344"/>
        <v>50775.788661594466</v>
      </c>
      <c r="Y866" s="146">
        <v>15000</v>
      </c>
      <c r="Z866" s="66">
        <f t="shared" si="348"/>
        <v>12000</v>
      </c>
      <c r="AA866" s="66">
        <v>2539</v>
      </c>
      <c r="AB866" s="66"/>
      <c r="AC866" s="66"/>
      <c r="AD866" s="66">
        <f t="shared" si="349"/>
        <v>12000</v>
      </c>
      <c r="AE866" s="66">
        <f t="shared" si="350"/>
        <v>38775.788661594466</v>
      </c>
      <c r="AF866" s="101">
        <f t="shared" si="351"/>
        <v>291285.44555732742</v>
      </c>
      <c r="AG866" s="101">
        <f t="shared" si="352"/>
        <v>364106.80694665923</v>
      </c>
    </row>
    <row r="867" spans="1:33" s="68" customFormat="1" x14ac:dyDescent="0.2">
      <c r="A867" s="147" t="s">
        <v>547</v>
      </c>
      <c r="B867" s="147"/>
      <c r="C867" s="147"/>
      <c r="D867" s="148">
        <v>1</v>
      </c>
      <c r="E867" s="149"/>
      <c r="F867" s="150">
        <v>0.2</v>
      </c>
      <c r="G867" s="150"/>
      <c r="H867" s="67">
        <v>3496</v>
      </c>
      <c r="I867" s="67">
        <f>H867</f>
        <v>3496</v>
      </c>
      <c r="J867" s="67">
        <f t="shared" si="345"/>
        <v>2796.8</v>
      </c>
      <c r="K867" s="63"/>
      <c r="L867" s="149">
        <v>0</v>
      </c>
      <c r="M867" s="63">
        <f>L867</f>
        <v>0</v>
      </c>
      <c r="N867" s="63">
        <f t="shared" si="346"/>
        <v>0</v>
      </c>
      <c r="O867" s="69"/>
      <c r="P867" s="149">
        <v>0</v>
      </c>
      <c r="Q867" s="63">
        <f>+P867</f>
        <v>0</v>
      </c>
      <c r="R867" s="64">
        <f t="shared" si="347"/>
        <v>0</v>
      </c>
      <c r="S867" s="148">
        <v>25</v>
      </c>
      <c r="T867" s="151" t="s">
        <v>15</v>
      </c>
      <c r="U867" s="65">
        <f>SUMIF('Avoided Costs 2012-2020_EGD'!$A:$A,'2012 Actuals_Auditor'!T867&amp;'2012 Actuals_Auditor'!S867,'Avoided Costs 2012-2020_EGD'!$E:$E)*J867</f>
        <v>9604.1972129585774</v>
      </c>
      <c r="V867" s="65">
        <f>SUMIF('Avoided Costs 2012-2020_EGD'!$A:$A,'2012 Actuals_Auditor'!T867&amp;'2012 Actuals_Auditor'!S867,'Avoided Costs 2012-2020_EGD'!$K:$K)*N867</f>
        <v>0</v>
      </c>
      <c r="W867" s="65">
        <f>SUMIF('Avoided Costs 2012-2020_EGD'!$A:$A,'2012 Actuals_Auditor'!T867&amp;'2012 Actuals_Auditor'!S867,'Avoided Costs 2012-2020_EGD'!$M:$M)*R867</f>
        <v>0</v>
      </c>
      <c r="X867" s="65">
        <f t="shared" si="344"/>
        <v>9604.1972129585774</v>
      </c>
      <c r="Y867" s="146">
        <v>4500</v>
      </c>
      <c r="Z867" s="66">
        <f t="shared" si="348"/>
        <v>3600</v>
      </c>
      <c r="AA867" s="66">
        <v>400</v>
      </c>
      <c r="AB867" s="66"/>
      <c r="AC867" s="66"/>
      <c r="AD867" s="66">
        <f t="shared" si="349"/>
        <v>3600</v>
      </c>
      <c r="AE867" s="66">
        <f t="shared" si="350"/>
        <v>6004.1972129585774</v>
      </c>
      <c r="AF867" s="101">
        <f t="shared" si="351"/>
        <v>69920</v>
      </c>
      <c r="AG867" s="101">
        <f t="shared" si="352"/>
        <v>87400</v>
      </c>
    </row>
    <row r="868" spans="1:33" s="68" customFormat="1" x14ac:dyDescent="0.2">
      <c r="A868" s="147" t="s">
        <v>548</v>
      </c>
      <c r="B868" s="147"/>
      <c r="C868" s="147"/>
      <c r="D868" s="148">
        <v>1</v>
      </c>
      <c r="E868" s="149"/>
      <c r="F868" s="150">
        <v>0.2</v>
      </c>
      <c r="G868" s="150"/>
      <c r="H868" s="67">
        <v>30407</v>
      </c>
      <c r="I868" s="67">
        <f t="shared" ref="I868:I899" si="355">+$H$42*H868</f>
        <v>29065.647210173185</v>
      </c>
      <c r="J868" s="67">
        <f t="shared" si="345"/>
        <v>23252.51776813855</v>
      </c>
      <c r="K868" s="63"/>
      <c r="L868" s="149">
        <v>0</v>
      </c>
      <c r="M868" s="63">
        <f t="shared" si="354"/>
        <v>0</v>
      </c>
      <c r="N868" s="63">
        <f t="shared" si="346"/>
        <v>0</v>
      </c>
      <c r="O868" s="69"/>
      <c r="P868" s="149">
        <v>0</v>
      </c>
      <c r="Q868" s="63">
        <f t="shared" ref="Q868:Q899" si="356">+P868*$P$42</f>
        <v>0</v>
      </c>
      <c r="R868" s="64">
        <f t="shared" si="347"/>
        <v>0</v>
      </c>
      <c r="S868" s="148">
        <v>25</v>
      </c>
      <c r="T868" s="151" t="s">
        <v>15</v>
      </c>
      <c r="U868" s="65">
        <f>SUMIF('Avoided Costs 2012-2020_EGD'!$A:$A,'2012 Actuals_Auditor'!T868&amp;'2012 Actuals_Auditor'!S868,'Avoided Costs 2012-2020_EGD'!$E:$E)*J868</f>
        <v>79849.029727912639</v>
      </c>
      <c r="V868" s="65">
        <f>SUMIF('Avoided Costs 2012-2020_EGD'!$A:$A,'2012 Actuals_Auditor'!T868&amp;'2012 Actuals_Auditor'!S868,'Avoided Costs 2012-2020_EGD'!$K:$K)*N868</f>
        <v>0</v>
      </c>
      <c r="W868" s="65">
        <f>SUMIF('Avoided Costs 2012-2020_EGD'!$A:$A,'2012 Actuals_Auditor'!T868&amp;'2012 Actuals_Auditor'!S868,'Avoided Costs 2012-2020_EGD'!$M:$M)*R868</f>
        <v>0</v>
      </c>
      <c r="X868" s="65">
        <f t="shared" si="344"/>
        <v>79849.029727912639</v>
      </c>
      <c r="Y868" s="146">
        <v>25220</v>
      </c>
      <c r="Z868" s="66">
        <f t="shared" si="348"/>
        <v>20176</v>
      </c>
      <c r="AA868" s="66">
        <v>4357</v>
      </c>
      <c r="AB868" s="66"/>
      <c r="AC868" s="66"/>
      <c r="AD868" s="66">
        <f t="shared" si="349"/>
        <v>20176</v>
      </c>
      <c r="AE868" s="66">
        <f t="shared" si="350"/>
        <v>59673.029727912639</v>
      </c>
      <c r="AF868" s="101">
        <f t="shared" si="351"/>
        <v>581312.94420346373</v>
      </c>
      <c r="AG868" s="101">
        <f t="shared" si="352"/>
        <v>726641.18025432958</v>
      </c>
    </row>
    <row r="869" spans="1:33" s="68" customFormat="1" x14ac:dyDescent="0.2">
      <c r="A869" s="147" t="s">
        <v>549</v>
      </c>
      <c r="B869" s="147"/>
      <c r="C869" s="147"/>
      <c r="D869" s="148">
        <v>0</v>
      </c>
      <c r="E869" s="149"/>
      <c r="F869" s="150">
        <v>0.2</v>
      </c>
      <c r="G869" s="150"/>
      <c r="H869" s="67">
        <v>5546</v>
      </c>
      <c r="I869" s="67">
        <f t="shared" si="355"/>
        <v>5301.3476971625114</v>
      </c>
      <c r="J869" s="67">
        <f t="shared" si="345"/>
        <v>4241.0781577300095</v>
      </c>
      <c r="K869" s="63"/>
      <c r="L869" s="149">
        <v>0</v>
      </c>
      <c r="M869" s="63">
        <f t="shared" si="354"/>
        <v>0</v>
      </c>
      <c r="N869" s="63">
        <f t="shared" si="346"/>
        <v>0</v>
      </c>
      <c r="O869" s="69"/>
      <c r="P869" s="149">
        <v>0</v>
      </c>
      <c r="Q869" s="63">
        <f t="shared" si="356"/>
        <v>0</v>
      </c>
      <c r="R869" s="64">
        <f t="shared" si="347"/>
        <v>0</v>
      </c>
      <c r="S869" s="148">
        <v>15</v>
      </c>
      <c r="T869" s="151" t="s">
        <v>15</v>
      </c>
      <c r="U869" s="65">
        <f>SUMIF('Avoided Costs 2012-2020_EGD'!$A:$A,'2012 Actuals_Auditor'!T869&amp;'2012 Actuals_Auditor'!S869,'Avoided Costs 2012-2020_EGD'!$E:$E)*J869</f>
        <v>10305.412255377392</v>
      </c>
      <c r="V869" s="65">
        <f>SUMIF('Avoided Costs 2012-2020_EGD'!$A:$A,'2012 Actuals_Auditor'!T869&amp;'2012 Actuals_Auditor'!S869,'Avoided Costs 2012-2020_EGD'!$K:$K)*N869</f>
        <v>0</v>
      </c>
      <c r="W869" s="65">
        <f>SUMIF('Avoided Costs 2012-2020_EGD'!$A:$A,'2012 Actuals_Auditor'!T869&amp;'2012 Actuals_Auditor'!S869,'Avoided Costs 2012-2020_EGD'!$M:$M)*R869</f>
        <v>0</v>
      </c>
      <c r="X869" s="65">
        <f t="shared" si="344"/>
        <v>10305.412255377392</v>
      </c>
      <c r="Y869" s="146">
        <v>4995</v>
      </c>
      <c r="Z869" s="66">
        <f t="shared" si="348"/>
        <v>3996</v>
      </c>
      <c r="AA869" s="66">
        <v>554.6</v>
      </c>
      <c r="AB869" s="66"/>
      <c r="AC869" s="66"/>
      <c r="AD869" s="66">
        <f t="shared" si="349"/>
        <v>3996</v>
      </c>
      <c r="AE869" s="66">
        <f t="shared" si="350"/>
        <v>6309.4122553773923</v>
      </c>
      <c r="AF869" s="101">
        <f t="shared" si="351"/>
        <v>63616.172365950144</v>
      </c>
      <c r="AG869" s="101">
        <f t="shared" si="352"/>
        <v>79520.215457437676</v>
      </c>
    </row>
    <row r="870" spans="1:33" s="68" customFormat="1" x14ac:dyDescent="0.2">
      <c r="A870" s="147" t="s">
        <v>550</v>
      </c>
      <c r="B870" s="147"/>
      <c r="C870" s="147"/>
      <c r="D870" s="148">
        <v>0</v>
      </c>
      <c r="E870" s="149"/>
      <c r="F870" s="150">
        <v>0.2</v>
      </c>
      <c r="G870" s="150"/>
      <c r="H870" s="67">
        <v>4420</v>
      </c>
      <c r="I870" s="67">
        <f t="shared" si="355"/>
        <v>4225.0192609913993</v>
      </c>
      <c r="J870" s="67">
        <f t="shared" si="345"/>
        <v>3380.0154087931196</v>
      </c>
      <c r="K870" s="63"/>
      <c r="L870" s="149">
        <v>0</v>
      </c>
      <c r="M870" s="63">
        <f t="shared" si="354"/>
        <v>0</v>
      </c>
      <c r="N870" s="63">
        <f t="shared" si="346"/>
        <v>0</v>
      </c>
      <c r="O870" s="69"/>
      <c r="P870" s="149">
        <v>0</v>
      </c>
      <c r="Q870" s="63">
        <f t="shared" si="356"/>
        <v>0</v>
      </c>
      <c r="R870" s="64">
        <f t="shared" si="347"/>
        <v>0</v>
      </c>
      <c r="S870" s="148">
        <v>15</v>
      </c>
      <c r="T870" s="151" t="s">
        <v>52</v>
      </c>
      <c r="U870" s="65">
        <f>SUMIF('Avoided Costs 2012-2020_EGD'!$A:$A,'2012 Actuals_Auditor'!T870&amp;'2012 Actuals_Auditor'!S870,'Avoided Costs 2012-2020_EGD'!$E:$E)*J870</f>
        <v>7723.329378328327</v>
      </c>
      <c r="V870" s="65">
        <f>SUMIF('Avoided Costs 2012-2020_EGD'!$A:$A,'2012 Actuals_Auditor'!T870&amp;'2012 Actuals_Auditor'!S870,'Avoided Costs 2012-2020_EGD'!$K:$K)*N870</f>
        <v>0</v>
      </c>
      <c r="W870" s="65">
        <f>SUMIF('Avoided Costs 2012-2020_EGD'!$A:$A,'2012 Actuals_Auditor'!T870&amp;'2012 Actuals_Auditor'!S870,'Avoided Costs 2012-2020_EGD'!$M:$M)*R870</f>
        <v>0</v>
      </c>
      <c r="X870" s="65">
        <f t="shared" si="344"/>
        <v>7723.329378328327</v>
      </c>
      <c r="Y870" s="146">
        <v>3695</v>
      </c>
      <c r="Z870" s="66">
        <f t="shared" si="348"/>
        <v>2956</v>
      </c>
      <c r="AA870" s="66">
        <v>442</v>
      </c>
      <c r="AB870" s="66"/>
      <c r="AC870" s="66"/>
      <c r="AD870" s="66">
        <f t="shared" si="349"/>
        <v>2956</v>
      </c>
      <c r="AE870" s="66">
        <f t="shared" si="350"/>
        <v>4767.329378328327</v>
      </c>
      <c r="AF870" s="101">
        <f t="shared" si="351"/>
        <v>50700.231131896791</v>
      </c>
      <c r="AG870" s="101">
        <f t="shared" si="352"/>
        <v>63375.288914870987</v>
      </c>
    </row>
    <row r="871" spans="1:33" s="68" customFormat="1" x14ac:dyDescent="0.2">
      <c r="A871" s="147" t="s">
        <v>551</v>
      </c>
      <c r="B871" s="147"/>
      <c r="C871" s="147"/>
      <c r="D871" s="148">
        <v>1</v>
      </c>
      <c r="E871" s="149"/>
      <c r="F871" s="150">
        <v>0.2</v>
      </c>
      <c r="G871" s="150"/>
      <c r="H871" s="67">
        <v>59752</v>
      </c>
      <c r="I871" s="67">
        <f t="shared" si="355"/>
        <v>57116.142733655674</v>
      </c>
      <c r="J871" s="67">
        <f t="shared" si="345"/>
        <v>45692.914186924543</v>
      </c>
      <c r="K871" s="63"/>
      <c r="L871" s="149">
        <v>61041</v>
      </c>
      <c r="M871" s="63">
        <f t="shared" si="354"/>
        <v>61041</v>
      </c>
      <c r="N871" s="63">
        <f t="shared" si="346"/>
        <v>48832.800000000003</v>
      </c>
      <c r="O871" s="69"/>
      <c r="P871" s="149">
        <v>0</v>
      </c>
      <c r="Q871" s="63">
        <f t="shared" si="356"/>
        <v>0</v>
      </c>
      <c r="R871" s="64">
        <f t="shared" si="347"/>
        <v>0</v>
      </c>
      <c r="S871" s="148">
        <v>15</v>
      </c>
      <c r="T871" s="151" t="s">
        <v>15</v>
      </c>
      <c r="U871" s="65">
        <f>SUMIF('Avoided Costs 2012-2020_EGD'!$A:$A,'2012 Actuals_Auditor'!T871&amp;'2012 Actuals_Auditor'!S871,'Avoided Costs 2012-2020_EGD'!$E:$E)*J871</f>
        <v>111029.3893045997</v>
      </c>
      <c r="V871" s="65">
        <f>SUMIF('Avoided Costs 2012-2020_EGD'!$A:$A,'2012 Actuals_Auditor'!T871&amp;'2012 Actuals_Auditor'!S871,'Avoided Costs 2012-2020_EGD'!$K:$K)*N871</f>
        <v>50287.208079979151</v>
      </c>
      <c r="W871" s="65">
        <f>SUMIF('Avoided Costs 2012-2020_EGD'!$A:$A,'2012 Actuals_Auditor'!T871&amp;'2012 Actuals_Auditor'!S871,'Avoided Costs 2012-2020_EGD'!$M:$M)*R871</f>
        <v>0</v>
      </c>
      <c r="X871" s="65">
        <f t="shared" si="344"/>
        <v>161316.59738457884</v>
      </c>
      <c r="Y871" s="146">
        <v>10995</v>
      </c>
      <c r="Z871" s="66">
        <f t="shared" si="348"/>
        <v>8796</v>
      </c>
      <c r="AA871" s="66">
        <v>5975.2</v>
      </c>
      <c r="AB871" s="66"/>
      <c r="AC871" s="66"/>
      <c r="AD871" s="66">
        <f t="shared" si="349"/>
        <v>8796</v>
      </c>
      <c r="AE871" s="66">
        <f t="shared" si="350"/>
        <v>152520.59738457884</v>
      </c>
      <c r="AF871" s="101">
        <f t="shared" si="351"/>
        <v>685393.71280386811</v>
      </c>
      <c r="AG871" s="101">
        <f t="shared" si="352"/>
        <v>856742.14100483514</v>
      </c>
    </row>
    <row r="872" spans="1:33" s="68" customFormat="1" x14ac:dyDescent="0.2">
      <c r="A872" s="147" t="s">
        <v>552</v>
      </c>
      <c r="B872" s="147"/>
      <c r="C872" s="147"/>
      <c r="D872" s="148">
        <v>1</v>
      </c>
      <c r="E872" s="149"/>
      <c r="F872" s="150">
        <v>0.2</v>
      </c>
      <c r="G872" s="150"/>
      <c r="H872" s="67">
        <v>57553</v>
      </c>
      <c r="I872" s="67">
        <f t="shared" si="355"/>
        <v>55014.147856976924</v>
      </c>
      <c r="J872" s="67">
        <f t="shared" si="345"/>
        <v>44011.318285581539</v>
      </c>
      <c r="K872" s="63"/>
      <c r="L872" s="149">
        <v>0</v>
      </c>
      <c r="M872" s="63">
        <f t="shared" si="354"/>
        <v>0</v>
      </c>
      <c r="N872" s="63">
        <f t="shared" si="346"/>
        <v>0</v>
      </c>
      <c r="O872" s="69"/>
      <c r="P872" s="149">
        <v>0</v>
      </c>
      <c r="Q872" s="63">
        <f t="shared" si="356"/>
        <v>0</v>
      </c>
      <c r="R872" s="64">
        <f t="shared" si="347"/>
        <v>0</v>
      </c>
      <c r="S872" s="148">
        <v>25</v>
      </c>
      <c r="T872" s="151" t="s">
        <v>15</v>
      </c>
      <c r="U872" s="65">
        <f>SUMIF('Avoided Costs 2012-2020_EGD'!$A:$A,'2012 Actuals_Auditor'!T872&amp;'2012 Actuals_Auditor'!S872,'Avoided Costs 2012-2020_EGD'!$E:$E)*J872</f>
        <v>151134.6468882348</v>
      </c>
      <c r="V872" s="65">
        <f>SUMIF('Avoided Costs 2012-2020_EGD'!$A:$A,'2012 Actuals_Auditor'!T872&amp;'2012 Actuals_Auditor'!S872,'Avoided Costs 2012-2020_EGD'!$K:$K)*N872</f>
        <v>0</v>
      </c>
      <c r="W872" s="65">
        <f>SUMIF('Avoided Costs 2012-2020_EGD'!$A:$A,'2012 Actuals_Auditor'!T872&amp;'2012 Actuals_Auditor'!S872,'Avoided Costs 2012-2020_EGD'!$M:$M)*R872</f>
        <v>0</v>
      </c>
      <c r="X872" s="65">
        <f t="shared" si="344"/>
        <v>151134.6468882348</v>
      </c>
      <c r="Y872" s="146">
        <v>13993</v>
      </c>
      <c r="Z872" s="66">
        <f t="shared" si="348"/>
        <v>11194.400000000001</v>
      </c>
      <c r="AA872" s="66">
        <v>8957</v>
      </c>
      <c r="AB872" s="66"/>
      <c r="AC872" s="66"/>
      <c r="AD872" s="66">
        <f t="shared" si="349"/>
        <v>11194.400000000001</v>
      </c>
      <c r="AE872" s="66">
        <f t="shared" si="350"/>
        <v>139940.2468882348</v>
      </c>
      <c r="AF872" s="101">
        <f t="shared" si="351"/>
        <v>1100282.9571395386</v>
      </c>
      <c r="AG872" s="101">
        <f t="shared" si="352"/>
        <v>1375353.696424423</v>
      </c>
    </row>
    <row r="873" spans="1:33" s="68" customFormat="1" x14ac:dyDescent="0.2">
      <c r="A873" s="147" t="s">
        <v>553</v>
      </c>
      <c r="B873" s="147"/>
      <c r="C873" s="147"/>
      <c r="D873" s="148">
        <v>0</v>
      </c>
      <c r="E873" s="149"/>
      <c r="F873" s="150">
        <v>0.2</v>
      </c>
      <c r="G873" s="150"/>
      <c r="H873" s="67">
        <v>4600</v>
      </c>
      <c r="I873" s="67">
        <f t="shared" si="355"/>
        <v>4397.078868905076</v>
      </c>
      <c r="J873" s="67">
        <f t="shared" si="345"/>
        <v>3517.6630951240609</v>
      </c>
      <c r="K873" s="63"/>
      <c r="L873" s="149">
        <v>0</v>
      </c>
      <c r="M873" s="63">
        <f t="shared" si="354"/>
        <v>0</v>
      </c>
      <c r="N873" s="63">
        <f t="shared" si="346"/>
        <v>0</v>
      </c>
      <c r="O873" s="69"/>
      <c r="P873" s="149">
        <v>0</v>
      </c>
      <c r="Q873" s="63">
        <f t="shared" si="356"/>
        <v>0</v>
      </c>
      <c r="R873" s="64">
        <f t="shared" si="347"/>
        <v>0</v>
      </c>
      <c r="S873" s="148">
        <v>15</v>
      </c>
      <c r="T873" s="151" t="s">
        <v>52</v>
      </c>
      <c r="U873" s="65">
        <f>SUMIF('Avoided Costs 2012-2020_EGD'!$A:$A,'2012 Actuals_Auditor'!T873&amp;'2012 Actuals_Auditor'!S873,'Avoided Costs 2012-2020_EGD'!$E:$E)*J873</f>
        <v>8037.8541041426024</v>
      </c>
      <c r="V873" s="65">
        <f>SUMIF('Avoided Costs 2012-2020_EGD'!$A:$A,'2012 Actuals_Auditor'!T873&amp;'2012 Actuals_Auditor'!S873,'Avoided Costs 2012-2020_EGD'!$K:$K)*N873</f>
        <v>0</v>
      </c>
      <c r="W873" s="65">
        <f>SUMIF('Avoided Costs 2012-2020_EGD'!$A:$A,'2012 Actuals_Auditor'!T873&amp;'2012 Actuals_Auditor'!S873,'Avoided Costs 2012-2020_EGD'!$M:$M)*R873</f>
        <v>0</v>
      </c>
      <c r="X873" s="65">
        <f t="shared" si="344"/>
        <v>8037.8541041426024</v>
      </c>
      <c r="Y873" s="146">
        <v>3695</v>
      </c>
      <c r="Z873" s="66">
        <f t="shared" si="348"/>
        <v>2956</v>
      </c>
      <c r="AA873" s="66">
        <v>460</v>
      </c>
      <c r="AB873" s="66"/>
      <c r="AC873" s="66"/>
      <c r="AD873" s="66">
        <f t="shared" si="349"/>
        <v>2956</v>
      </c>
      <c r="AE873" s="66">
        <f t="shared" si="350"/>
        <v>5081.8541041426024</v>
      </c>
      <c r="AF873" s="101">
        <f t="shared" si="351"/>
        <v>52764.946426860915</v>
      </c>
      <c r="AG873" s="101">
        <f t="shared" si="352"/>
        <v>65956.183033576133</v>
      </c>
    </row>
    <row r="874" spans="1:33" s="68" customFormat="1" x14ac:dyDescent="0.2">
      <c r="A874" s="147" t="s">
        <v>554</v>
      </c>
      <c r="B874" s="147"/>
      <c r="C874" s="147"/>
      <c r="D874" s="148">
        <v>0</v>
      </c>
      <c r="E874" s="149"/>
      <c r="F874" s="150">
        <v>0.2</v>
      </c>
      <c r="G874" s="150"/>
      <c r="H874" s="67">
        <v>8527</v>
      </c>
      <c r="I874" s="67">
        <f t="shared" si="355"/>
        <v>8150.8459815551269</v>
      </c>
      <c r="J874" s="67">
        <f t="shared" si="345"/>
        <v>6520.6767852441017</v>
      </c>
      <c r="K874" s="63"/>
      <c r="L874" s="149">
        <v>0</v>
      </c>
      <c r="M874" s="63">
        <f t="shared" si="354"/>
        <v>0</v>
      </c>
      <c r="N874" s="63">
        <f t="shared" si="346"/>
        <v>0</v>
      </c>
      <c r="O874" s="69"/>
      <c r="P874" s="149">
        <v>0</v>
      </c>
      <c r="Q874" s="63">
        <f t="shared" si="356"/>
        <v>0</v>
      </c>
      <c r="R874" s="64">
        <f t="shared" si="347"/>
        <v>0</v>
      </c>
      <c r="S874" s="148">
        <v>15</v>
      </c>
      <c r="T874" s="151" t="s">
        <v>15</v>
      </c>
      <c r="U874" s="65">
        <f>SUMIF('Avoided Costs 2012-2020_EGD'!$A:$A,'2012 Actuals_Auditor'!T874&amp;'2012 Actuals_Auditor'!S874,'Avoided Costs 2012-2020_EGD'!$E:$E)*J874</f>
        <v>15844.617796899209</v>
      </c>
      <c r="V874" s="65">
        <f>SUMIF('Avoided Costs 2012-2020_EGD'!$A:$A,'2012 Actuals_Auditor'!T874&amp;'2012 Actuals_Auditor'!S874,'Avoided Costs 2012-2020_EGD'!$K:$K)*N874</f>
        <v>0</v>
      </c>
      <c r="W874" s="65">
        <f>SUMIF('Avoided Costs 2012-2020_EGD'!$A:$A,'2012 Actuals_Auditor'!T874&amp;'2012 Actuals_Auditor'!S874,'Avoided Costs 2012-2020_EGD'!$M:$M)*R874</f>
        <v>0</v>
      </c>
      <c r="X874" s="65">
        <f t="shared" si="344"/>
        <v>15844.617796899209</v>
      </c>
      <c r="Y874" s="146">
        <v>4995</v>
      </c>
      <c r="Z874" s="66">
        <f t="shared" si="348"/>
        <v>3996</v>
      </c>
      <c r="AA874" s="66">
        <v>852.7</v>
      </c>
      <c r="AB874" s="66"/>
      <c r="AC874" s="66"/>
      <c r="AD874" s="66">
        <f t="shared" si="349"/>
        <v>3996</v>
      </c>
      <c r="AE874" s="66">
        <f t="shared" si="350"/>
        <v>11848.617796899209</v>
      </c>
      <c r="AF874" s="101">
        <f t="shared" si="351"/>
        <v>97810.15177866153</v>
      </c>
      <c r="AG874" s="101">
        <f t="shared" si="352"/>
        <v>122262.6897233269</v>
      </c>
    </row>
    <row r="875" spans="1:33" s="68" customFormat="1" x14ac:dyDescent="0.2">
      <c r="A875" s="141" t="s">
        <v>555</v>
      </c>
      <c r="B875" s="141"/>
      <c r="C875" s="141"/>
      <c r="D875" s="142">
        <v>1</v>
      </c>
      <c r="E875" s="143"/>
      <c r="F875" s="144">
        <v>0.2</v>
      </c>
      <c r="G875" s="144"/>
      <c r="H875" s="67">
        <v>48365</v>
      </c>
      <c r="I875" s="67">
        <f t="shared" si="355"/>
        <v>46231.460759694346</v>
      </c>
      <c r="J875" s="67">
        <f t="shared" si="345"/>
        <v>36985.168607755477</v>
      </c>
      <c r="K875" s="143"/>
      <c r="L875" s="143">
        <v>61041</v>
      </c>
      <c r="M875" s="63">
        <f t="shared" si="354"/>
        <v>61041</v>
      </c>
      <c r="N875" s="63">
        <f t="shared" si="346"/>
        <v>48832.800000000003</v>
      </c>
      <c r="O875" s="143"/>
      <c r="P875" s="143">
        <v>0</v>
      </c>
      <c r="Q875" s="63">
        <f t="shared" si="356"/>
        <v>0</v>
      </c>
      <c r="R875" s="64">
        <f t="shared" si="347"/>
        <v>0</v>
      </c>
      <c r="S875" s="142">
        <v>15</v>
      </c>
      <c r="T875" s="145" t="s">
        <v>15</v>
      </c>
      <c r="U875" s="65">
        <f>SUMIF('Avoided Costs 2012-2020_EGD'!$A:$A,'2012 Actuals_Auditor'!T875&amp;'2012 Actuals_Auditor'!S875,'Avoided Costs 2012-2020_EGD'!$E:$E)*J875</f>
        <v>89870.404567495047</v>
      </c>
      <c r="V875" s="65">
        <f>SUMIF('Avoided Costs 2012-2020_EGD'!$A:$A,'2012 Actuals_Auditor'!T875&amp;'2012 Actuals_Auditor'!S875,'Avoided Costs 2012-2020_EGD'!$K:$K)*N875</f>
        <v>50287.208079979151</v>
      </c>
      <c r="W875" s="65">
        <f>SUMIF('Avoided Costs 2012-2020_EGD'!$A:$A,'2012 Actuals_Auditor'!T875&amp;'2012 Actuals_Auditor'!S875,'Avoided Costs 2012-2020_EGD'!$M:$M)*R875</f>
        <v>0</v>
      </c>
      <c r="X875" s="65">
        <f t="shared" si="344"/>
        <v>140157.61264747419</v>
      </c>
      <c r="Y875" s="146">
        <v>10995</v>
      </c>
      <c r="Z875" s="66">
        <f t="shared" si="348"/>
        <v>8796</v>
      </c>
      <c r="AA875" s="66">
        <v>4836.5</v>
      </c>
      <c r="AB875" s="66"/>
      <c r="AC875" s="66"/>
      <c r="AD875" s="66">
        <f t="shared" si="349"/>
        <v>8796</v>
      </c>
      <c r="AE875" s="66">
        <f t="shared" si="350"/>
        <v>131361.61264747419</v>
      </c>
      <c r="AF875" s="101">
        <f t="shared" si="351"/>
        <v>554777.52911633218</v>
      </c>
      <c r="AG875" s="101">
        <f t="shared" si="352"/>
        <v>693471.9113954152</v>
      </c>
    </row>
    <row r="876" spans="1:33" s="68" customFormat="1" x14ac:dyDescent="0.2">
      <c r="A876" s="147" t="s">
        <v>556</v>
      </c>
      <c r="B876" s="147"/>
      <c r="C876" s="147"/>
      <c r="D876" s="148">
        <v>0</v>
      </c>
      <c r="E876" s="149"/>
      <c r="F876" s="150">
        <v>0.2</v>
      </c>
      <c r="G876" s="150"/>
      <c r="H876" s="67">
        <v>2446</v>
      </c>
      <c r="I876" s="67">
        <f t="shared" si="355"/>
        <v>2338.0988942047425</v>
      </c>
      <c r="J876" s="67">
        <f t="shared" si="345"/>
        <v>1870.4791153637941</v>
      </c>
      <c r="K876" s="63"/>
      <c r="L876" s="149">
        <v>0</v>
      </c>
      <c r="M876" s="63">
        <f t="shared" si="354"/>
        <v>0</v>
      </c>
      <c r="N876" s="63">
        <f t="shared" si="346"/>
        <v>0</v>
      </c>
      <c r="O876" s="69"/>
      <c r="P876" s="149">
        <v>0</v>
      </c>
      <c r="Q876" s="63">
        <f t="shared" si="356"/>
        <v>0</v>
      </c>
      <c r="R876" s="64">
        <f t="shared" si="347"/>
        <v>0</v>
      </c>
      <c r="S876" s="148">
        <v>15</v>
      </c>
      <c r="T876" s="151" t="s">
        <v>15</v>
      </c>
      <c r="U876" s="65">
        <f>SUMIF('Avoided Costs 2012-2020_EGD'!$A:$A,'2012 Actuals_Auditor'!T876&amp;'2012 Actuals_Auditor'!S876,'Avoided Costs 2012-2020_EGD'!$E:$E)*J876</f>
        <v>4545.0844530568156</v>
      </c>
      <c r="V876" s="65">
        <f>SUMIF('Avoided Costs 2012-2020_EGD'!$A:$A,'2012 Actuals_Auditor'!T876&amp;'2012 Actuals_Auditor'!S876,'Avoided Costs 2012-2020_EGD'!$K:$K)*N876</f>
        <v>0</v>
      </c>
      <c r="W876" s="65">
        <f>SUMIF('Avoided Costs 2012-2020_EGD'!$A:$A,'2012 Actuals_Auditor'!T876&amp;'2012 Actuals_Auditor'!S876,'Avoided Costs 2012-2020_EGD'!$M:$M)*R876</f>
        <v>0</v>
      </c>
      <c r="X876" s="65">
        <f t="shared" si="344"/>
        <v>4545.0844530568156</v>
      </c>
      <c r="Y876" s="146">
        <v>7295</v>
      </c>
      <c r="Z876" s="66">
        <f t="shared" si="348"/>
        <v>5836</v>
      </c>
      <c r="AA876" s="66">
        <v>245</v>
      </c>
      <c r="AB876" s="66"/>
      <c r="AC876" s="66"/>
      <c r="AD876" s="66">
        <f t="shared" si="349"/>
        <v>5836</v>
      </c>
      <c r="AE876" s="66">
        <f t="shared" si="350"/>
        <v>-1290.9155469431844</v>
      </c>
      <c r="AF876" s="101">
        <f t="shared" si="351"/>
        <v>28057.186730456913</v>
      </c>
      <c r="AG876" s="101">
        <f t="shared" si="352"/>
        <v>35071.483413071139</v>
      </c>
    </row>
    <row r="877" spans="1:33" s="68" customFormat="1" x14ac:dyDescent="0.2">
      <c r="A877" s="147" t="s">
        <v>557</v>
      </c>
      <c r="B877" s="147"/>
      <c r="C877" s="147"/>
      <c r="D877" s="148">
        <v>1</v>
      </c>
      <c r="E877" s="149"/>
      <c r="F877" s="150">
        <v>0.2</v>
      </c>
      <c r="G877" s="150"/>
      <c r="H877" s="67">
        <v>23853</v>
      </c>
      <c r="I877" s="67">
        <f t="shared" si="355"/>
        <v>22800.765708694082</v>
      </c>
      <c r="J877" s="67">
        <f t="shared" si="345"/>
        <v>18240.612566955268</v>
      </c>
      <c r="K877" s="63"/>
      <c r="L877" s="149">
        <v>21271</v>
      </c>
      <c r="M877" s="63">
        <f t="shared" si="354"/>
        <v>21271</v>
      </c>
      <c r="N877" s="63">
        <f t="shared" si="346"/>
        <v>17016.8</v>
      </c>
      <c r="O877" s="69"/>
      <c r="P877" s="149">
        <v>0</v>
      </c>
      <c r="Q877" s="63">
        <f t="shared" si="356"/>
        <v>0</v>
      </c>
      <c r="R877" s="64">
        <f t="shared" si="347"/>
        <v>0</v>
      </c>
      <c r="S877" s="148">
        <v>15</v>
      </c>
      <c r="T877" s="151" t="s">
        <v>15</v>
      </c>
      <c r="U877" s="65">
        <f>SUMIF('Avoided Costs 2012-2020_EGD'!$A:$A,'2012 Actuals_Auditor'!T877&amp;'2012 Actuals_Auditor'!S877,'Avoided Costs 2012-2020_EGD'!$E:$E)*J877</f>
        <v>44322.935183468617</v>
      </c>
      <c r="V877" s="65">
        <f>SUMIF('Avoided Costs 2012-2020_EGD'!$A:$A,'2012 Actuals_Auditor'!T877&amp;'2012 Actuals_Auditor'!S877,'Avoided Costs 2012-2020_EGD'!$K:$K)*N877</f>
        <v>17523.618601746966</v>
      </c>
      <c r="W877" s="65">
        <f>SUMIF('Avoided Costs 2012-2020_EGD'!$A:$A,'2012 Actuals_Auditor'!T877&amp;'2012 Actuals_Auditor'!S877,'Avoided Costs 2012-2020_EGD'!$M:$M)*R877</f>
        <v>0</v>
      </c>
      <c r="X877" s="65">
        <f t="shared" si="344"/>
        <v>61846.553785215583</v>
      </c>
      <c r="Y877" s="146">
        <v>11695</v>
      </c>
      <c r="Z877" s="66">
        <f t="shared" si="348"/>
        <v>9356</v>
      </c>
      <c r="AA877" s="66">
        <v>4771</v>
      </c>
      <c r="AB877" s="66"/>
      <c r="AC877" s="66"/>
      <c r="AD877" s="66">
        <f t="shared" si="349"/>
        <v>9356</v>
      </c>
      <c r="AE877" s="66">
        <f t="shared" si="350"/>
        <v>52490.553785215583</v>
      </c>
      <c r="AF877" s="101">
        <f t="shared" si="351"/>
        <v>273609.18850432901</v>
      </c>
      <c r="AG877" s="101">
        <f t="shared" si="352"/>
        <v>342011.48563041125</v>
      </c>
    </row>
    <row r="878" spans="1:33" s="68" customFormat="1" x14ac:dyDescent="0.2">
      <c r="A878" s="147" t="s">
        <v>558</v>
      </c>
      <c r="B878" s="147"/>
      <c r="C878" s="147"/>
      <c r="D878" s="148">
        <v>0</v>
      </c>
      <c r="E878" s="149"/>
      <c r="F878" s="150">
        <v>0.2</v>
      </c>
      <c r="G878" s="150"/>
      <c r="H878" s="67">
        <v>50187</v>
      </c>
      <c r="I878" s="67">
        <f t="shared" si="355"/>
        <v>47973.08634646501</v>
      </c>
      <c r="J878" s="67">
        <f t="shared" si="345"/>
        <v>38378.469077172012</v>
      </c>
      <c r="K878" s="63"/>
      <c r="L878" s="149">
        <v>72496</v>
      </c>
      <c r="M878" s="63">
        <f t="shared" si="354"/>
        <v>72496</v>
      </c>
      <c r="N878" s="63">
        <f t="shared" si="346"/>
        <v>57996.800000000003</v>
      </c>
      <c r="O878" s="69"/>
      <c r="P878" s="149">
        <v>0</v>
      </c>
      <c r="Q878" s="63">
        <f t="shared" si="356"/>
        <v>0</v>
      </c>
      <c r="R878" s="64">
        <f t="shared" si="347"/>
        <v>0</v>
      </c>
      <c r="S878" s="148">
        <v>15</v>
      </c>
      <c r="T878" s="151" t="s">
        <v>15</v>
      </c>
      <c r="U878" s="65">
        <f>SUMIF('Avoided Costs 2012-2020_EGD'!$A:$A,'2012 Actuals_Auditor'!T878&amp;'2012 Actuals_Auditor'!S878,'Avoided Costs 2012-2020_EGD'!$E:$E)*J878</f>
        <v>93255.990779052503</v>
      </c>
      <c r="V878" s="65">
        <f>SUMIF('Avoided Costs 2012-2020_EGD'!$A:$A,'2012 Actuals_Auditor'!T878&amp;'2012 Actuals_Auditor'!S878,'Avoided Costs 2012-2020_EGD'!$K:$K)*N878</f>
        <v>59724.143394868508</v>
      </c>
      <c r="W878" s="65">
        <f>SUMIF('Avoided Costs 2012-2020_EGD'!$A:$A,'2012 Actuals_Auditor'!T878&amp;'2012 Actuals_Auditor'!S878,'Avoided Costs 2012-2020_EGD'!$M:$M)*R878</f>
        <v>0</v>
      </c>
      <c r="X878" s="65">
        <f t="shared" si="344"/>
        <v>152980.13417392102</v>
      </c>
      <c r="Y878" s="146">
        <v>10500</v>
      </c>
      <c r="Z878" s="66">
        <f t="shared" si="348"/>
        <v>8400</v>
      </c>
      <c r="AA878" s="66">
        <v>5018.7</v>
      </c>
      <c r="AB878" s="66"/>
      <c r="AC878" s="66"/>
      <c r="AD878" s="66">
        <f t="shared" si="349"/>
        <v>8400</v>
      </c>
      <c r="AE878" s="66">
        <f t="shared" si="350"/>
        <v>144580.13417392102</v>
      </c>
      <c r="AF878" s="101">
        <f t="shared" si="351"/>
        <v>575677.03615758021</v>
      </c>
      <c r="AG878" s="101">
        <f t="shared" si="352"/>
        <v>719596.29519697512</v>
      </c>
    </row>
    <row r="879" spans="1:33" s="68" customFormat="1" x14ac:dyDescent="0.2">
      <c r="A879" s="147" t="s">
        <v>559</v>
      </c>
      <c r="B879" s="147"/>
      <c r="C879" s="147"/>
      <c r="D879" s="148">
        <v>1</v>
      </c>
      <c r="E879" s="149"/>
      <c r="F879" s="150">
        <v>0.2</v>
      </c>
      <c r="G879" s="150"/>
      <c r="H879" s="67">
        <v>137509</v>
      </c>
      <c r="I879" s="67">
        <f t="shared" si="355"/>
        <v>131443.02569223219</v>
      </c>
      <c r="J879" s="67">
        <f t="shared" si="345"/>
        <v>105154.42055378575</v>
      </c>
      <c r="K879" s="63"/>
      <c r="L879" s="149">
        <v>0</v>
      </c>
      <c r="M879" s="63">
        <f t="shared" si="354"/>
        <v>0</v>
      </c>
      <c r="N879" s="63">
        <f t="shared" si="346"/>
        <v>0</v>
      </c>
      <c r="O879" s="69"/>
      <c r="P879" s="149">
        <v>0</v>
      </c>
      <c r="Q879" s="63">
        <f t="shared" si="356"/>
        <v>0</v>
      </c>
      <c r="R879" s="64">
        <f t="shared" si="347"/>
        <v>0</v>
      </c>
      <c r="S879" s="148">
        <v>25</v>
      </c>
      <c r="T879" s="151" t="s">
        <v>15</v>
      </c>
      <c r="U879" s="65">
        <f>SUMIF('Avoided Costs 2012-2020_EGD'!$A:$A,'2012 Actuals_Auditor'!T879&amp;'2012 Actuals_Auditor'!S879,'Avoided Costs 2012-2020_EGD'!$E:$E)*J879</f>
        <v>361099.75429524569</v>
      </c>
      <c r="V879" s="65">
        <f>SUMIF('Avoided Costs 2012-2020_EGD'!$A:$A,'2012 Actuals_Auditor'!T879&amp;'2012 Actuals_Auditor'!S879,'Avoided Costs 2012-2020_EGD'!$K:$K)*N879</f>
        <v>0</v>
      </c>
      <c r="W879" s="65">
        <f>SUMIF('Avoided Costs 2012-2020_EGD'!$A:$A,'2012 Actuals_Auditor'!T879&amp;'2012 Actuals_Auditor'!S879,'Avoided Costs 2012-2020_EGD'!$M:$M)*R879</f>
        <v>0</v>
      </c>
      <c r="X879" s="65">
        <f t="shared" si="344"/>
        <v>361099.75429524569</v>
      </c>
      <c r="Y879" s="146">
        <v>26020</v>
      </c>
      <c r="Z879" s="66">
        <f t="shared" si="348"/>
        <v>20816</v>
      </c>
      <c r="AA879" s="66">
        <v>30000</v>
      </c>
      <c r="AB879" s="66"/>
      <c r="AC879" s="66"/>
      <c r="AD879" s="66">
        <f t="shared" si="349"/>
        <v>20816</v>
      </c>
      <c r="AE879" s="66">
        <f t="shared" si="350"/>
        <v>340283.75429524569</v>
      </c>
      <c r="AF879" s="101">
        <f t="shared" si="351"/>
        <v>2628860.5138446437</v>
      </c>
      <c r="AG879" s="101">
        <f t="shared" si="352"/>
        <v>3286075.6423058044</v>
      </c>
    </row>
    <row r="880" spans="1:33" s="68" customFormat="1" x14ac:dyDescent="0.2">
      <c r="A880" s="147" t="s">
        <v>560</v>
      </c>
      <c r="B880" s="147"/>
      <c r="C880" s="147"/>
      <c r="D880" s="148">
        <v>1</v>
      </c>
      <c r="E880" s="149"/>
      <c r="F880" s="150">
        <v>0.2</v>
      </c>
      <c r="G880" s="150"/>
      <c r="H880" s="67">
        <v>258971</v>
      </c>
      <c r="I880" s="67">
        <f t="shared" si="355"/>
        <v>247546.9373389601</v>
      </c>
      <c r="J880" s="67">
        <f t="shared" si="345"/>
        <v>198037.5498711681</v>
      </c>
      <c r="K880" s="63"/>
      <c r="L880" s="149">
        <v>458719</v>
      </c>
      <c r="M880" s="63">
        <f t="shared" si="354"/>
        <v>458719</v>
      </c>
      <c r="N880" s="63">
        <f t="shared" si="346"/>
        <v>366975.2</v>
      </c>
      <c r="O880" s="69"/>
      <c r="P880" s="149">
        <v>0</v>
      </c>
      <c r="Q880" s="63">
        <f t="shared" si="356"/>
        <v>0</v>
      </c>
      <c r="R880" s="64">
        <f t="shared" si="347"/>
        <v>0</v>
      </c>
      <c r="S880" s="148">
        <v>15</v>
      </c>
      <c r="T880" s="151" t="s">
        <v>15</v>
      </c>
      <c r="U880" s="65">
        <f>SUMIF('Avoided Costs 2012-2020_EGD'!$A:$A,'2012 Actuals_Auditor'!T880&amp;'2012 Actuals_Auditor'!S880,'Avoided Costs 2012-2020_EGD'!$E:$E)*J880</f>
        <v>481212.21009508451</v>
      </c>
      <c r="V880" s="65">
        <f>SUMIF('Avoided Costs 2012-2020_EGD'!$A:$A,'2012 Actuals_Auditor'!T880&amp;'2012 Actuals_Auditor'!S880,'Avoided Costs 2012-2020_EGD'!$K:$K)*N880</f>
        <v>377904.97867400531</v>
      </c>
      <c r="W880" s="65">
        <f>SUMIF('Avoided Costs 2012-2020_EGD'!$A:$A,'2012 Actuals_Auditor'!T880&amp;'2012 Actuals_Auditor'!S880,'Avoided Costs 2012-2020_EGD'!$M:$M)*R880</f>
        <v>0</v>
      </c>
      <c r="X880" s="65">
        <f t="shared" si="344"/>
        <v>859117.18876908976</v>
      </c>
      <c r="Y880" s="146">
        <v>35800</v>
      </c>
      <c r="Z880" s="66">
        <f t="shared" si="348"/>
        <v>28640</v>
      </c>
      <c r="AA880" s="66">
        <v>17900</v>
      </c>
      <c r="AB880" s="66"/>
      <c r="AC880" s="66"/>
      <c r="AD880" s="66">
        <f t="shared" si="349"/>
        <v>28640</v>
      </c>
      <c r="AE880" s="66">
        <f t="shared" si="350"/>
        <v>830477.18876908976</v>
      </c>
      <c r="AF880" s="101">
        <f t="shared" si="351"/>
        <v>2970563.2480675215</v>
      </c>
      <c r="AG880" s="101">
        <f t="shared" si="352"/>
        <v>3713204.0600844016</v>
      </c>
    </row>
    <row r="881" spans="1:33" s="68" customFormat="1" x14ac:dyDescent="0.2">
      <c r="A881" s="147" t="s">
        <v>561</v>
      </c>
      <c r="B881" s="147"/>
      <c r="C881" s="147"/>
      <c r="D881" s="148">
        <v>1</v>
      </c>
      <c r="E881" s="149"/>
      <c r="F881" s="150">
        <v>0.2</v>
      </c>
      <c r="G881" s="150"/>
      <c r="H881" s="67">
        <v>5766</v>
      </c>
      <c r="I881" s="67">
        <f t="shared" si="355"/>
        <v>5511.6427735014495</v>
      </c>
      <c r="J881" s="67">
        <f t="shared" si="345"/>
        <v>4409.3142188011598</v>
      </c>
      <c r="K881" s="63"/>
      <c r="L881" s="149">
        <v>24150</v>
      </c>
      <c r="M881" s="63">
        <f t="shared" si="354"/>
        <v>24150</v>
      </c>
      <c r="N881" s="63">
        <f t="shared" si="346"/>
        <v>19320</v>
      </c>
      <c r="O881" s="69"/>
      <c r="P881" s="149">
        <v>0</v>
      </c>
      <c r="Q881" s="63">
        <f t="shared" si="356"/>
        <v>0</v>
      </c>
      <c r="R881" s="64">
        <f t="shared" si="347"/>
        <v>0</v>
      </c>
      <c r="S881" s="148">
        <v>15</v>
      </c>
      <c r="T881" s="151" t="s">
        <v>15</v>
      </c>
      <c r="U881" s="65">
        <f>SUMIF('Avoided Costs 2012-2020_EGD'!$A:$A,'2012 Actuals_Auditor'!T881&amp;'2012 Actuals_Auditor'!S881,'Avoided Costs 2012-2020_EGD'!$E:$E)*J881</f>
        <v>10714.209712316271</v>
      </c>
      <c r="V881" s="65">
        <f>SUMIF('Avoided Costs 2012-2020_EGD'!$A:$A,'2012 Actuals_Auditor'!T881&amp;'2012 Actuals_Auditor'!S881,'Avoided Costs 2012-2020_EGD'!$K:$K)*N881</f>
        <v>19895.415788265207</v>
      </c>
      <c r="W881" s="65">
        <f>SUMIF('Avoided Costs 2012-2020_EGD'!$A:$A,'2012 Actuals_Auditor'!T881&amp;'2012 Actuals_Auditor'!S881,'Avoided Costs 2012-2020_EGD'!$M:$M)*R881</f>
        <v>0</v>
      </c>
      <c r="X881" s="65">
        <f t="shared" si="344"/>
        <v>30609.625500581478</v>
      </c>
      <c r="Y881" s="146">
        <v>2800</v>
      </c>
      <c r="Z881" s="66">
        <f t="shared" si="348"/>
        <v>2240</v>
      </c>
      <c r="AA881" s="66">
        <v>577</v>
      </c>
      <c r="AB881" s="66"/>
      <c r="AC881" s="66"/>
      <c r="AD881" s="66">
        <f t="shared" si="349"/>
        <v>2240</v>
      </c>
      <c r="AE881" s="66">
        <f t="shared" si="350"/>
        <v>28369.625500581478</v>
      </c>
      <c r="AF881" s="101">
        <f t="shared" si="351"/>
        <v>66139.713282017401</v>
      </c>
      <c r="AG881" s="101">
        <f t="shared" si="352"/>
        <v>82674.641602521748</v>
      </c>
    </row>
    <row r="882" spans="1:33" s="68" customFormat="1" x14ac:dyDescent="0.2">
      <c r="A882" s="147" t="s">
        <v>562</v>
      </c>
      <c r="B882" s="147"/>
      <c r="C882" s="147"/>
      <c r="D882" s="148">
        <v>1</v>
      </c>
      <c r="E882" s="149"/>
      <c r="F882" s="150">
        <v>0.2</v>
      </c>
      <c r="G882" s="150"/>
      <c r="H882" s="67">
        <v>37263</v>
      </c>
      <c r="I882" s="67">
        <f t="shared" si="355"/>
        <v>35619.206498263011</v>
      </c>
      <c r="J882" s="67">
        <f t="shared" si="345"/>
        <v>28495.365198610409</v>
      </c>
      <c r="K882" s="63"/>
      <c r="L882" s="149">
        <v>42769</v>
      </c>
      <c r="M882" s="63">
        <f t="shared" si="354"/>
        <v>42769</v>
      </c>
      <c r="N882" s="63">
        <f t="shared" si="346"/>
        <v>34215.200000000004</v>
      </c>
      <c r="O882" s="69"/>
      <c r="P882" s="149">
        <v>0</v>
      </c>
      <c r="Q882" s="63">
        <f t="shared" si="356"/>
        <v>0</v>
      </c>
      <c r="R882" s="64">
        <f t="shared" si="347"/>
        <v>0</v>
      </c>
      <c r="S882" s="148">
        <v>15</v>
      </c>
      <c r="T882" s="151" t="s">
        <v>15</v>
      </c>
      <c r="U882" s="65">
        <f>SUMIF('Avoided Costs 2012-2020_EGD'!$A:$A,'2012 Actuals_Auditor'!T882&amp;'2012 Actuals_Auditor'!S882,'Avoided Costs 2012-2020_EGD'!$E:$E)*J882</f>
        <v>69240.998354152136</v>
      </c>
      <c r="V882" s="65">
        <f>SUMIF('Avoided Costs 2012-2020_EGD'!$A:$A,'2012 Actuals_Auditor'!T882&amp;'2012 Actuals_Auditor'!S882,'Avoided Costs 2012-2020_EGD'!$K:$K)*N882</f>
        <v>35234.245873636224</v>
      </c>
      <c r="W882" s="65">
        <f>SUMIF('Avoided Costs 2012-2020_EGD'!$A:$A,'2012 Actuals_Auditor'!T882&amp;'2012 Actuals_Auditor'!S882,'Avoided Costs 2012-2020_EGD'!$M:$M)*R882</f>
        <v>0</v>
      </c>
      <c r="X882" s="65">
        <f t="shared" si="344"/>
        <v>104475.24422778835</v>
      </c>
      <c r="Y882" s="146">
        <v>13931</v>
      </c>
      <c r="Z882" s="66">
        <f t="shared" si="348"/>
        <v>11144.800000000001</v>
      </c>
      <c r="AA882" s="66">
        <v>7452</v>
      </c>
      <c r="AB882" s="66"/>
      <c r="AC882" s="66"/>
      <c r="AD882" s="66">
        <f t="shared" si="349"/>
        <v>11144.800000000001</v>
      </c>
      <c r="AE882" s="66">
        <f t="shared" si="350"/>
        <v>93330.44422778835</v>
      </c>
      <c r="AF882" s="101">
        <f t="shared" si="351"/>
        <v>427430.47797915613</v>
      </c>
      <c r="AG882" s="101">
        <f t="shared" si="352"/>
        <v>534288.09747394512</v>
      </c>
    </row>
    <row r="883" spans="1:33" s="68" customFormat="1" x14ac:dyDescent="0.2">
      <c r="A883" s="147" t="s">
        <v>563</v>
      </c>
      <c r="B883" s="147"/>
      <c r="C883" s="147"/>
      <c r="D883" s="148">
        <v>1</v>
      </c>
      <c r="E883" s="149"/>
      <c r="F883" s="150">
        <v>0.2</v>
      </c>
      <c r="G883" s="150"/>
      <c r="H883" s="67">
        <v>20444</v>
      </c>
      <c r="I883" s="67">
        <f t="shared" si="355"/>
        <v>19542.147912151169</v>
      </c>
      <c r="J883" s="67">
        <f t="shared" si="345"/>
        <v>15633.718329720936</v>
      </c>
      <c r="K883" s="63"/>
      <c r="L883" s="149">
        <v>0</v>
      </c>
      <c r="M883" s="63">
        <f t="shared" si="354"/>
        <v>0</v>
      </c>
      <c r="N883" s="63">
        <f t="shared" si="346"/>
        <v>0</v>
      </c>
      <c r="O883" s="69"/>
      <c r="P883" s="149">
        <v>0</v>
      </c>
      <c r="Q883" s="63">
        <f t="shared" si="356"/>
        <v>0</v>
      </c>
      <c r="R883" s="64">
        <f t="shared" si="347"/>
        <v>0</v>
      </c>
      <c r="S883" s="148">
        <v>25</v>
      </c>
      <c r="T883" s="151" t="s">
        <v>52</v>
      </c>
      <c r="U883" s="65">
        <f>SUMIF('Avoided Costs 2012-2020_EGD'!$A:$A,'2012 Actuals_Auditor'!T883&amp;'2012 Actuals_Auditor'!S883,'Avoided Costs 2012-2020_EGD'!$E:$E)*J883</f>
        <v>50446.751262978447</v>
      </c>
      <c r="V883" s="65">
        <f>SUMIF('Avoided Costs 2012-2020_EGD'!$A:$A,'2012 Actuals_Auditor'!T883&amp;'2012 Actuals_Auditor'!S883,'Avoided Costs 2012-2020_EGD'!$K:$K)*N883</f>
        <v>0</v>
      </c>
      <c r="W883" s="65">
        <f>SUMIF('Avoided Costs 2012-2020_EGD'!$A:$A,'2012 Actuals_Auditor'!T883&amp;'2012 Actuals_Auditor'!S883,'Avoided Costs 2012-2020_EGD'!$M:$M)*R883</f>
        <v>0</v>
      </c>
      <c r="X883" s="65">
        <f t="shared" si="344"/>
        <v>50446.751262978447</v>
      </c>
      <c r="Y883" s="146">
        <v>5790</v>
      </c>
      <c r="Z883" s="66">
        <f t="shared" si="348"/>
        <v>4632</v>
      </c>
      <c r="AA883" s="66">
        <v>4700</v>
      </c>
      <c r="AB883" s="66"/>
      <c r="AC883" s="66"/>
      <c r="AD883" s="66">
        <f t="shared" si="349"/>
        <v>4632</v>
      </c>
      <c r="AE883" s="66">
        <f t="shared" si="350"/>
        <v>45814.751262978447</v>
      </c>
      <c r="AF883" s="101">
        <f t="shared" si="351"/>
        <v>390842.95824302337</v>
      </c>
      <c r="AG883" s="101">
        <f t="shared" si="352"/>
        <v>488553.69780377921</v>
      </c>
    </row>
    <row r="884" spans="1:33" s="68" customFormat="1" x14ac:dyDescent="0.2">
      <c r="A884" s="147" t="s">
        <v>564</v>
      </c>
      <c r="B884" s="147"/>
      <c r="C884" s="147"/>
      <c r="D884" s="148">
        <v>1</v>
      </c>
      <c r="E884" s="149"/>
      <c r="F884" s="150">
        <v>0.2</v>
      </c>
      <c r="G884" s="150"/>
      <c r="H884" s="67">
        <v>61748</v>
      </c>
      <c r="I884" s="67">
        <f t="shared" si="355"/>
        <v>59024.092608076229</v>
      </c>
      <c r="J884" s="67">
        <f t="shared" si="345"/>
        <v>47219.274086460988</v>
      </c>
      <c r="K884" s="63"/>
      <c r="L884" s="149">
        <v>0</v>
      </c>
      <c r="M884" s="63">
        <f t="shared" si="354"/>
        <v>0</v>
      </c>
      <c r="N884" s="63">
        <f t="shared" si="346"/>
        <v>0</v>
      </c>
      <c r="O884" s="69"/>
      <c r="P884" s="149">
        <v>0</v>
      </c>
      <c r="Q884" s="63">
        <f t="shared" si="356"/>
        <v>0</v>
      </c>
      <c r="R884" s="64">
        <f t="shared" si="347"/>
        <v>0</v>
      </c>
      <c r="S884" s="148">
        <v>25</v>
      </c>
      <c r="T884" s="151" t="s">
        <v>15</v>
      </c>
      <c r="U884" s="65">
        <f>SUMIF('Avoided Costs 2012-2020_EGD'!$A:$A,'2012 Actuals_Auditor'!T884&amp;'2012 Actuals_Auditor'!S884,'Avoided Costs 2012-2020_EGD'!$E:$E)*J884</f>
        <v>162150.75106518727</v>
      </c>
      <c r="V884" s="65">
        <f>SUMIF('Avoided Costs 2012-2020_EGD'!$A:$A,'2012 Actuals_Auditor'!T884&amp;'2012 Actuals_Auditor'!S884,'Avoided Costs 2012-2020_EGD'!$K:$K)*N884</f>
        <v>0</v>
      </c>
      <c r="W884" s="65">
        <f>SUMIF('Avoided Costs 2012-2020_EGD'!$A:$A,'2012 Actuals_Auditor'!T884&amp;'2012 Actuals_Auditor'!S884,'Avoided Costs 2012-2020_EGD'!$M:$M)*R884</f>
        <v>0</v>
      </c>
      <c r="X884" s="65">
        <f t="shared" si="344"/>
        <v>162150.75106518727</v>
      </c>
      <c r="Y884" s="146">
        <v>11737</v>
      </c>
      <c r="Z884" s="66">
        <f t="shared" si="348"/>
        <v>9389.6</v>
      </c>
      <c r="AA884" s="66">
        <v>9662</v>
      </c>
      <c r="AB884" s="66"/>
      <c r="AC884" s="66"/>
      <c r="AD884" s="66">
        <f t="shared" si="349"/>
        <v>9389.6</v>
      </c>
      <c r="AE884" s="66">
        <f t="shared" si="350"/>
        <v>152761.15106518727</v>
      </c>
      <c r="AF884" s="101">
        <f t="shared" si="351"/>
        <v>1180481.8521615246</v>
      </c>
      <c r="AG884" s="101">
        <f t="shared" si="352"/>
        <v>1475602.3152019058</v>
      </c>
    </row>
    <row r="885" spans="1:33" s="68" customFormat="1" x14ac:dyDescent="0.2">
      <c r="A885" s="147" t="s">
        <v>565</v>
      </c>
      <c r="B885" s="147"/>
      <c r="C885" s="147"/>
      <c r="D885" s="148">
        <v>0</v>
      </c>
      <c r="E885" s="149"/>
      <c r="F885" s="150">
        <v>0.2</v>
      </c>
      <c r="G885" s="150"/>
      <c r="H885" s="67">
        <v>12250</v>
      </c>
      <c r="I885" s="67">
        <f t="shared" si="355"/>
        <v>11709.612205236344</v>
      </c>
      <c r="J885" s="67">
        <f t="shared" si="345"/>
        <v>9367.6897641890755</v>
      </c>
      <c r="K885" s="63"/>
      <c r="L885" s="149">
        <v>0</v>
      </c>
      <c r="M885" s="63">
        <f t="shared" si="354"/>
        <v>0</v>
      </c>
      <c r="N885" s="63">
        <f t="shared" si="346"/>
        <v>0</v>
      </c>
      <c r="O885" s="69"/>
      <c r="P885" s="149">
        <v>0</v>
      </c>
      <c r="Q885" s="63">
        <f t="shared" si="356"/>
        <v>0</v>
      </c>
      <c r="R885" s="64">
        <f t="shared" si="347"/>
        <v>0</v>
      </c>
      <c r="S885" s="148">
        <v>15</v>
      </c>
      <c r="T885" s="151" t="s">
        <v>15</v>
      </c>
      <c r="U885" s="65">
        <f>SUMIF('Avoided Costs 2012-2020_EGD'!$A:$A,'2012 Actuals_Auditor'!T885&amp;'2012 Actuals_Auditor'!S885,'Avoided Costs 2012-2020_EGD'!$E:$E)*J885</f>
        <v>22762.585670460339</v>
      </c>
      <c r="V885" s="65">
        <f>SUMIF('Avoided Costs 2012-2020_EGD'!$A:$A,'2012 Actuals_Auditor'!T885&amp;'2012 Actuals_Auditor'!S885,'Avoided Costs 2012-2020_EGD'!$K:$K)*N885</f>
        <v>0</v>
      </c>
      <c r="W885" s="65">
        <f>SUMIF('Avoided Costs 2012-2020_EGD'!$A:$A,'2012 Actuals_Auditor'!T885&amp;'2012 Actuals_Auditor'!S885,'Avoided Costs 2012-2020_EGD'!$M:$M)*R885</f>
        <v>0</v>
      </c>
      <c r="X885" s="65">
        <f t="shared" si="344"/>
        <v>22762.585670460339</v>
      </c>
      <c r="Y885" s="146">
        <v>15000</v>
      </c>
      <c r="Z885" s="66">
        <f t="shared" si="348"/>
        <v>12000</v>
      </c>
      <c r="AA885" s="66">
        <v>1225</v>
      </c>
      <c r="AB885" s="66"/>
      <c r="AC885" s="66"/>
      <c r="AD885" s="66">
        <f t="shared" si="349"/>
        <v>12000</v>
      </c>
      <c r="AE885" s="66">
        <f t="shared" si="350"/>
        <v>10762.585670460339</v>
      </c>
      <c r="AF885" s="101">
        <f t="shared" si="351"/>
        <v>140515.34646283614</v>
      </c>
      <c r="AG885" s="101">
        <f t="shared" si="352"/>
        <v>175644.18307854517</v>
      </c>
    </row>
    <row r="886" spans="1:33" s="68" customFormat="1" x14ac:dyDescent="0.2">
      <c r="A886" s="147" t="s">
        <v>566</v>
      </c>
      <c r="B886" s="147"/>
      <c r="C886" s="147"/>
      <c r="D886" s="148">
        <v>0</v>
      </c>
      <c r="E886" s="149"/>
      <c r="F886" s="150">
        <v>0.2</v>
      </c>
      <c r="G886" s="150"/>
      <c r="H886" s="67">
        <v>3726</v>
      </c>
      <c r="I886" s="67">
        <f t="shared" si="355"/>
        <v>3561.6338838131119</v>
      </c>
      <c r="J886" s="67">
        <f t="shared" si="345"/>
        <v>2849.3071070504898</v>
      </c>
      <c r="K886" s="63"/>
      <c r="L886" s="149">
        <v>0</v>
      </c>
      <c r="M886" s="63">
        <f t="shared" si="354"/>
        <v>0</v>
      </c>
      <c r="N886" s="63">
        <f t="shared" si="346"/>
        <v>0</v>
      </c>
      <c r="O886" s="69"/>
      <c r="P886" s="149">
        <v>0</v>
      </c>
      <c r="Q886" s="63">
        <f t="shared" si="356"/>
        <v>0</v>
      </c>
      <c r="R886" s="64">
        <f t="shared" si="347"/>
        <v>0</v>
      </c>
      <c r="S886" s="148">
        <v>15</v>
      </c>
      <c r="T886" s="151" t="s">
        <v>52</v>
      </c>
      <c r="U886" s="65">
        <f>SUMIF('Avoided Costs 2012-2020_EGD'!$A:$A,'2012 Actuals_Auditor'!T886&amp;'2012 Actuals_Auditor'!S886,'Avoided Costs 2012-2020_EGD'!$E:$E)*J886</f>
        <v>6510.6618243555085</v>
      </c>
      <c r="V886" s="65">
        <f>SUMIF('Avoided Costs 2012-2020_EGD'!$A:$A,'2012 Actuals_Auditor'!T886&amp;'2012 Actuals_Auditor'!S886,'Avoided Costs 2012-2020_EGD'!$K:$K)*N886</f>
        <v>0</v>
      </c>
      <c r="W886" s="65">
        <f>SUMIF('Avoided Costs 2012-2020_EGD'!$A:$A,'2012 Actuals_Auditor'!T886&amp;'2012 Actuals_Auditor'!S886,'Avoided Costs 2012-2020_EGD'!$M:$M)*R886</f>
        <v>0</v>
      </c>
      <c r="X886" s="65">
        <f t="shared" si="344"/>
        <v>6510.6618243555085</v>
      </c>
      <c r="Y886" s="146">
        <v>8000</v>
      </c>
      <c r="Z886" s="66">
        <f t="shared" si="348"/>
        <v>6400</v>
      </c>
      <c r="AA886" s="66">
        <v>372</v>
      </c>
      <c r="AB886" s="66"/>
      <c r="AC886" s="66"/>
      <c r="AD886" s="66">
        <f t="shared" si="349"/>
        <v>6400</v>
      </c>
      <c r="AE886" s="66">
        <f t="shared" si="350"/>
        <v>110.66182435550854</v>
      </c>
      <c r="AF886" s="101">
        <f t="shared" si="351"/>
        <v>42739.606605757348</v>
      </c>
      <c r="AG886" s="101">
        <f t="shared" si="352"/>
        <v>53424.508257196678</v>
      </c>
    </row>
    <row r="887" spans="1:33" s="68" customFormat="1" x14ac:dyDescent="0.2">
      <c r="A887" s="147" t="s">
        <v>567</v>
      </c>
      <c r="B887" s="147"/>
      <c r="C887" s="147"/>
      <c r="D887" s="148">
        <v>1</v>
      </c>
      <c r="E887" s="149"/>
      <c r="F887" s="150">
        <v>0.2</v>
      </c>
      <c r="G887" s="150"/>
      <c r="H887" s="67">
        <v>111968</v>
      </c>
      <c r="I887" s="67">
        <f t="shared" si="355"/>
        <v>107028.72321599208</v>
      </c>
      <c r="J887" s="67">
        <f t="shared" si="345"/>
        <v>85622.978572793669</v>
      </c>
      <c r="K887" s="63"/>
      <c r="L887" s="149">
        <v>144866</v>
      </c>
      <c r="M887" s="63">
        <f t="shared" si="354"/>
        <v>144866</v>
      </c>
      <c r="N887" s="63">
        <f t="shared" si="346"/>
        <v>115892.8</v>
      </c>
      <c r="O887" s="69"/>
      <c r="P887" s="149">
        <v>0</v>
      </c>
      <c r="Q887" s="63">
        <f t="shared" si="356"/>
        <v>0</v>
      </c>
      <c r="R887" s="64">
        <f t="shared" si="347"/>
        <v>0</v>
      </c>
      <c r="S887" s="148">
        <v>15</v>
      </c>
      <c r="T887" s="151" t="s">
        <v>15</v>
      </c>
      <c r="U887" s="65">
        <f>SUMIF('Avoided Costs 2012-2020_EGD'!$A:$A,'2012 Actuals_Auditor'!T887&amp;'2012 Actuals_Auditor'!S887,'Avoided Costs 2012-2020_EGD'!$E:$E)*J887</f>
        <v>208055.60753878395</v>
      </c>
      <c r="V887" s="65">
        <f>SUMIF('Avoided Costs 2012-2020_EGD'!$A:$A,'2012 Actuals_Auditor'!T887&amp;'2012 Actuals_Auditor'!S887,'Avoided Costs 2012-2020_EGD'!$K:$K)*N887</f>
        <v>119344.48462040693</v>
      </c>
      <c r="W887" s="65">
        <f>SUMIF('Avoided Costs 2012-2020_EGD'!$A:$A,'2012 Actuals_Auditor'!T887&amp;'2012 Actuals_Auditor'!S887,'Avoided Costs 2012-2020_EGD'!$M:$M)*R887</f>
        <v>0</v>
      </c>
      <c r="X887" s="65">
        <f t="shared" si="344"/>
        <v>327400.09215919091</v>
      </c>
      <c r="Y887" s="146">
        <v>54800</v>
      </c>
      <c r="Z887" s="66">
        <f t="shared" si="348"/>
        <v>43840</v>
      </c>
      <c r="AA887" s="66">
        <v>22394</v>
      </c>
      <c r="AB887" s="66"/>
      <c r="AC887" s="66"/>
      <c r="AD887" s="66">
        <f t="shared" si="349"/>
        <v>43840</v>
      </c>
      <c r="AE887" s="66">
        <f t="shared" si="350"/>
        <v>283560.09215919091</v>
      </c>
      <c r="AF887" s="101">
        <f t="shared" si="351"/>
        <v>1284344.6785919049</v>
      </c>
      <c r="AG887" s="101">
        <f t="shared" si="352"/>
        <v>1605430.8482398812</v>
      </c>
    </row>
    <row r="888" spans="1:33" s="68" customFormat="1" x14ac:dyDescent="0.2">
      <c r="A888" s="147" t="s">
        <v>568</v>
      </c>
      <c r="B888" s="147"/>
      <c r="C888" s="147"/>
      <c r="D888" s="148">
        <v>1</v>
      </c>
      <c r="E888" s="149"/>
      <c r="F888" s="150">
        <v>0.2</v>
      </c>
      <c r="G888" s="150"/>
      <c r="H888" s="67">
        <v>15819</v>
      </c>
      <c r="I888" s="67">
        <f t="shared" si="355"/>
        <v>15121.171875480304</v>
      </c>
      <c r="J888" s="67">
        <f t="shared" si="345"/>
        <v>12096.937500384243</v>
      </c>
      <c r="K888" s="63"/>
      <c r="L888" s="149">
        <v>0</v>
      </c>
      <c r="M888" s="63">
        <f t="shared" si="354"/>
        <v>0</v>
      </c>
      <c r="N888" s="63">
        <f t="shared" si="346"/>
        <v>0</v>
      </c>
      <c r="O888" s="69"/>
      <c r="P888" s="149">
        <v>0</v>
      </c>
      <c r="Q888" s="63">
        <f t="shared" si="356"/>
        <v>0</v>
      </c>
      <c r="R888" s="64">
        <f t="shared" si="347"/>
        <v>0</v>
      </c>
      <c r="S888" s="148">
        <v>25</v>
      </c>
      <c r="T888" s="151" t="s">
        <v>15</v>
      </c>
      <c r="U888" s="65">
        <f>SUMIF('Avoided Costs 2012-2020_EGD'!$A:$A,'2012 Actuals_Auditor'!T888&amp;'2012 Actuals_Auditor'!S888,'Avoided Costs 2012-2020_EGD'!$E:$E)*J888</f>
        <v>41540.822878476989</v>
      </c>
      <c r="V888" s="65">
        <f>SUMIF('Avoided Costs 2012-2020_EGD'!$A:$A,'2012 Actuals_Auditor'!T888&amp;'2012 Actuals_Auditor'!S888,'Avoided Costs 2012-2020_EGD'!$K:$K)*N888</f>
        <v>0</v>
      </c>
      <c r="W888" s="65">
        <f>SUMIF('Avoided Costs 2012-2020_EGD'!$A:$A,'2012 Actuals_Auditor'!T888&amp;'2012 Actuals_Auditor'!S888,'Avoided Costs 2012-2020_EGD'!$M:$M)*R888</f>
        <v>0</v>
      </c>
      <c r="X888" s="65">
        <f t="shared" si="344"/>
        <v>41540.822878476989</v>
      </c>
      <c r="Y888" s="146">
        <v>3499</v>
      </c>
      <c r="Z888" s="66">
        <f t="shared" si="348"/>
        <v>2799.2000000000003</v>
      </c>
      <c r="AA888" s="66">
        <v>2390.5</v>
      </c>
      <c r="AB888" s="66"/>
      <c r="AC888" s="66"/>
      <c r="AD888" s="66">
        <f t="shared" si="349"/>
        <v>2799.2000000000003</v>
      </c>
      <c r="AE888" s="66">
        <f t="shared" si="350"/>
        <v>38741.622878476992</v>
      </c>
      <c r="AF888" s="101">
        <f t="shared" si="351"/>
        <v>302423.43750960607</v>
      </c>
      <c r="AG888" s="101">
        <f t="shared" si="352"/>
        <v>378029.2968870076</v>
      </c>
    </row>
    <row r="889" spans="1:33" s="68" customFormat="1" x14ac:dyDescent="0.2">
      <c r="A889" s="147" t="s">
        <v>569</v>
      </c>
      <c r="B889" s="147"/>
      <c r="C889" s="147"/>
      <c r="D889" s="148">
        <v>0</v>
      </c>
      <c r="E889" s="149"/>
      <c r="F889" s="150">
        <v>0.2</v>
      </c>
      <c r="G889" s="150"/>
      <c r="H889" s="67">
        <v>3055</v>
      </c>
      <c r="I889" s="67">
        <f t="shared" si="355"/>
        <v>2920.2339009793495</v>
      </c>
      <c r="J889" s="67">
        <f t="shared" si="345"/>
        <v>2336.1871207834797</v>
      </c>
      <c r="K889" s="63"/>
      <c r="L889" s="149">
        <v>0</v>
      </c>
      <c r="M889" s="63">
        <f t="shared" si="354"/>
        <v>0</v>
      </c>
      <c r="N889" s="63">
        <f t="shared" si="346"/>
        <v>0</v>
      </c>
      <c r="O889" s="69"/>
      <c r="P889" s="149">
        <v>0</v>
      </c>
      <c r="Q889" s="63">
        <f t="shared" si="356"/>
        <v>0</v>
      </c>
      <c r="R889" s="64">
        <f t="shared" si="347"/>
        <v>0</v>
      </c>
      <c r="S889" s="148">
        <v>15</v>
      </c>
      <c r="T889" s="151" t="s">
        <v>52</v>
      </c>
      <c r="U889" s="65">
        <f>SUMIF('Avoided Costs 2012-2020_EGD'!$A:$A,'2012 Actuals_Auditor'!T889&amp;'2012 Actuals_Auditor'!S889,'Avoided Costs 2012-2020_EGD'!$E:$E)*J889</f>
        <v>5338.183540903402</v>
      </c>
      <c r="V889" s="65">
        <f>SUMIF('Avoided Costs 2012-2020_EGD'!$A:$A,'2012 Actuals_Auditor'!T889&amp;'2012 Actuals_Auditor'!S889,'Avoided Costs 2012-2020_EGD'!$K:$K)*N889</f>
        <v>0</v>
      </c>
      <c r="W889" s="65">
        <f>SUMIF('Avoided Costs 2012-2020_EGD'!$A:$A,'2012 Actuals_Auditor'!T889&amp;'2012 Actuals_Auditor'!S889,'Avoided Costs 2012-2020_EGD'!$M:$M)*R889</f>
        <v>0</v>
      </c>
      <c r="X889" s="65">
        <f t="shared" si="344"/>
        <v>5338.183540903402</v>
      </c>
      <c r="Y889" s="146">
        <v>3695</v>
      </c>
      <c r="Z889" s="66">
        <f t="shared" si="348"/>
        <v>2956</v>
      </c>
      <c r="AA889" s="66">
        <v>306</v>
      </c>
      <c r="AB889" s="66"/>
      <c r="AC889" s="66"/>
      <c r="AD889" s="66">
        <f t="shared" si="349"/>
        <v>2956</v>
      </c>
      <c r="AE889" s="66">
        <f t="shared" si="350"/>
        <v>2382.183540903402</v>
      </c>
      <c r="AF889" s="101">
        <f t="shared" si="351"/>
        <v>35042.806811752198</v>
      </c>
      <c r="AG889" s="101">
        <f t="shared" si="352"/>
        <v>43803.508514690242</v>
      </c>
    </row>
    <row r="890" spans="1:33" s="68" customFormat="1" x14ac:dyDescent="0.2">
      <c r="A890" s="147" t="s">
        <v>570</v>
      </c>
      <c r="B890" s="147"/>
      <c r="C890" s="147"/>
      <c r="D890" s="148">
        <v>0</v>
      </c>
      <c r="E890" s="149"/>
      <c r="F890" s="150">
        <v>0.2</v>
      </c>
      <c r="G890" s="150"/>
      <c r="H890" s="67">
        <v>2988</v>
      </c>
      <c r="I890" s="67">
        <f t="shared" si="355"/>
        <v>2856.1894913670362</v>
      </c>
      <c r="J890" s="67">
        <f t="shared" si="345"/>
        <v>2284.9515930936291</v>
      </c>
      <c r="K890" s="63"/>
      <c r="L890" s="149">
        <v>0</v>
      </c>
      <c r="M890" s="63">
        <f t="shared" si="354"/>
        <v>0</v>
      </c>
      <c r="N890" s="63">
        <f t="shared" si="346"/>
        <v>0</v>
      </c>
      <c r="O890" s="69"/>
      <c r="P890" s="149">
        <v>0</v>
      </c>
      <c r="Q890" s="63">
        <f t="shared" si="356"/>
        <v>0</v>
      </c>
      <c r="R890" s="64">
        <f t="shared" si="347"/>
        <v>0</v>
      </c>
      <c r="S890" s="148">
        <v>15</v>
      </c>
      <c r="T890" s="151" t="s">
        <v>15</v>
      </c>
      <c r="U890" s="65">
        <f>SUMIF('Avoided Costs 2012-2020_EGD'!$A:$A,'2012 Actuals_Auditor'!T890&amp;'2012 Actuals_Auditor'!S890,'Avoided Costs 2012-2020_EGD'!$E:$E)*J890</f>
        <v>5552.2127333335093</v>
      </c>
      <c r="V890" s="65">
        <f>SUMIF('Avoided Costs 2012-2020_EGD'!$A:$A,'2012 Actuals_Auditor'!T890&amp;'2012 Actuals_Auditor'!S890,'Avoided Costs 2012-2020_EGD'!$K:$K)*N890</f>
        <v>0</v>
      </c>
      <c r="W890" s="65">
        <f>SUMIF('Avoided Costs 2012-2020_EGD'!$A:$A,'2012 Actuals_Auditor'!T890&amp;'2012 Actuals_Auditor'!S890,'Avoided Costs 2012-2020_EGD'!$M:$M)*R890</f>
        <v>0</v>
      </c>
      <c r="X890" s="65">
        <f t="shared" si="344"/>
        <v>5552.2127333335093</v>
      </c>
      <c r="Y890" s="146">
        <v>3995</v>
      </c>
      <c r="Z890" s="66">
        <f t="shared" si="348"/>
        <v>3196</v>
      </c>
      <c r="AA890" s="66">
        <v>299</v>
      </c>
      <c r="AB890" s="66"/>
      <c r="AC890" s="66"/>
      <c r="AD890" s="66">
        <f t="shared" si="349"/>
        <v>3196</v>
      </c>
      <c r="AE890" s="66">
        <f t="shared" si="350"/>
        <v>2356.2127333335093</v>
      </c>
      <c r="AF890" s="101">
        <f t="shared" si="351"/>
        <v>34274.273896404433</v>
      </c>
      <c r="AG890" s="101">
        <f t="shared" si="352"/>
        <v>42842.842370505547</v>
      </c>
    </row>
    <row r="891" spans="1:33" s="68" customFormat="1" x14ac:dyDescent="0.2">
      <c r="A891" s="147" t="s">
        <v>571</v>
      </c>
      <c r="B891" s="147"/>
      <c r="C891" s="147"/>
      <c r="D891" s="148">
        <v>1</v>
      </c>
      <c r="E891" s="149"/>
      <c r="F891" s="150">
        <v>0.2</v>
      </c>
      <c r="G891" s="150"/>
      <c r="H891" s="67">
        <v>53596</v>
      </c>
      <c r="I891" s="67">
        <f t="shared" si="355"/>
        <v>51231.704143007926</v>
      </c>
      <c r="J891" s="67">
        <f t="shared" si="345"/>
        <v>40985.363314406342</v>
      </c>
      <c r="K891" s="63"/>
      <c r="L891" s="149">
        <v>32235</v>
      </c>
      <c r="M891" s="63">
        <f t="shared" si="354"/>
        <v>32235</v>
      </c>
      <c r="N891" s="63">
        <f t="shared" si="346"/>
        <v>25788</v>
      </c>
      <c r="O891" s="69"/>
      <c r="P891" s="149">
        <v>0</v>
      </c>
      <c r="Q891" s="63">
        <f t="shared" si="356"/>
        <v>0</v>
      </c>
      <c r="R891" s="64">
        <f t="shared" si="347"/>
        <v>0</v>
      </c>
      <c r="S891" s="148">
        <v>15</v>
      </c>
      <c r="T891" s="151" t="s">
        <v>15</v>
      </c>
      <c r="U891" s="65">
        <f>SUMIF('Avoided Costs 2012-2020_EGD'!$A:$A,'2012 Actuals_Auditor'!T891&amp;'2012 Actuals_Auditor'!S891,'Avoided Costs 2012-2020_EGD'!$E:$E)*J891</f>
        <v>99590.493191346322</v>
      </c>
      <c r="V891" s="65">
        <f>SUMIF('Avoided Costs 2012-2020_EGD'!$A:$A,'2012 Actuals_Auditor'!T891&amp;'2012 Actuals_Auditor'!S891,'Avoided Costs 2012-2020_EGD'!$K:$K)*N891</f>
        <v>26556.054986945299</v>
      </c>
      <c r="W891" s="65">
        <f>SUMIF('Avoided Costs 2012-2020_EGD'!$A:$A,'2012 Actuals_Auditor'!T891&amp;'2012 Actuals_Auditor'!S891,'Avoided Costs 2012-2020_EGD'!$M:$M)*R891</f>
        <v>0</v>
      </c>
      <c r="X891" s="65">
        <f t="shared" si="344"/>
        <v>126146.54817829162</v>
      </c>
      <c r="Y891" s="146">
        <v>12995</v>
      </c>
      <c r="Z891" s="66">
        <f t="shared" si="348"/>
        <v>10396</v>
      </c>
      <c r="AA891" s="66">
        <v>5360</v>
      </c>
      <c r="AB891" s="66"/>
      <c r="AC891" s="66"/>
      <c r="AD891" s="66">
        <f t="shared" si="349"/>
        <v>10396</v>
      </c>
      <c r="AE891" s="66">
        <f t="shared" si="350"/>
        <v>115750.54817829162</v>
      </c>
      <c r="AF891" s="101">
        <f t="shared" si="351"/>
        <v>614780.44971609511</v>
      </c>
      <c r="AG891" s="101">
        <f t="shared" si="352"/>
        <v>768475.56214511883</v>
      </c>
    </row>
    <row r="892" spans="1:33" s="68" customFormat="1" x14ac:dyDescent="0.2">
      <c r="A892" s="147" t="s">
        <v>572</v>
      </c>
      <c r="B892" s="147"/>
      <c r="C892" s="147"/>
      <c r="D892" s="148">
        <v>1</v>
      </c>
      <c r="E892" s="149"/>
      <c r="F892" s="150">
        <v>0.2</v>
      </c>
      <c r="G892" s="150"/>
      <c r="H892" s="67">
        <v>26248</v>
      </c>
      <c r="I892" s="67">
        <f t="shared" si="355"/>
        <v>25090.114380656618</v>
      </c>
      <c r="J892" s="67">
        <f t="shared" si="345"/>
        <v>20072.091504525295</v>
      </c>
      <c r="K892" s="63"/>
      <c r="L892" s="149">
        <v>40445</v>
      </c>
      <c r="M892" s="63">
        <f t="shared" si="354"/>
        <v>40445</v>
      </c>
      <c r="N892" s="63">
        <f t="shared" si="346"/>
        <v>32356</v>
      </c>
      <c r="O892" s="69"/>
      <c r="P892" s="149">
        <v>0</v>
      </c>
      <c r="Q892" s="63">
        <f t="shared" si="356"/>
        <v>0</v>
      </c>
      <c r="R892" s="64">
        <f t="shared" si="347"/>
        <v>0</v>
      </c>
      <c r="S892" s="148">
        <v>15</v>
      </c>
      <c r="T892" s="151" t="s">
        <v>15</v>
      </c>
      <c r="U892" s="65">
        <f>SUMIF('Avoided Costs 2012-2020_EGD'!$A:$A,'2012 Actuals_Auditor'!T892&amp;'2012 Actuals_Auditor'!S892,'Avoided Costs 2012-2020_EGD'!$E:$E)*J892</f>
        <v>48773.252953325959</v>
      </c>
      <c r="V892" s="65">
        <f>SUMIF('Avoided Costs 2012-2020_EGD'!$A:$A,'2012 Actuals_Auditor'!T892&amp;'2012 Actuals_Auditor'!S892,'Avoided Costs 2012-2020_EGD'!$K:$K)*N892</f>
        <v>33319.672528214753</v>
      </c>
      <c r="W892" s="65">
        <f>SUMIF('Avoided Costs 2012-2020_EGD'!$A:$A,'2012 Actuals_Auditor'!T892&amp;'2012 Actuals_Auditor'!S892,'Avoided Costs 2012-2020_EGD'!$M:$M)*R892</f>
        <v>0</v>
      </c>
      <c r="X892" s="65">
        <f t="shared" si="344"/>
        <v>82092.925481540704</v>
      </c>
      <c r="Y892" s="146">
        <v>6090</v>
      </c>
      <c r="Z892" s="66">
        <f t="shared" si="348"/>
        <v>4872</v>
      </c>
      <c r="AA892" s="66">
        <v>2624.8</v>
      </c>
      <c r="AB892" s="66"/>
      <c r="AC892" s="66"/>
      <c r="AD892" s="66">
        <f t="shared" si="349"/>
        <v>4872</v>
      </c>
      <c r="AE892" s="66">
        <f t="shared" si="350"/>
        <v>77220.925481540704</v>
      </c>
      <c r="AF892" s="101">
        <f t="shared" si="351"/>
        <v>301081.37256787944</v>
      </c>
      <c r="AG892" s="101">
        <f t="shared" si="352"/>
        <v>376351.71570984926</v>
      </c>
    </row>
    <row r="893" spans="1:33" s="68" customFormat="1" x14ac:dyDescent="0.2">
      <c r="A893" s="147" t="s">
        <v>573</v>
      </c>
      <c r="B893" s="147"/>
      <c r="C893" s="147"/>
      <c r="D893" s="148">
        <v>1</v>
      </c>
      <c r="E893" s="149"/>
      <c r="F893" s="150">
        <v>0.2</v>
      </c>
      <c r="G893" s="150"/>
      <c r="H893" s="67">
        <v>21234</v>
      </c>
      <c r="I893" s="67">
        <f t="shared" si="355"/>
        <v>20297.298413550085</v>
      </c>
      <c r="J893" s="67">
        <f t="shared" si="345"/>
        <v>16237.838730840069</v>
      </c>
      <c r="K893" s="63"/>
      <c r="L893" s="149">
        <v>0</v>
      </c>
      <c r="M893" s="63">
        <f t="shared" si="354"/>
        <v>0</v>
      </c>
      <c r="N893" s="63">
        <f t="shared" si="346"/>
        <v>0</v>
      </c>
      <c r="O893" s="69"/>
      <c r="P893" s="149">
        <v>0</v>
      </c>
      <c r="Q893" s="63">
        <f t="shared" si="356"/>
        <v>0</v>
      </c>
      <c r="R893" s="64">
        <f t="shared" si="347"/>
        <v>0</v>
      </c>
      <c r="S893" s="148">
        <v>25</v>
      </c>
      <c r="T893" s="151" t="s">
        <v>52</v>
      </c>
      <c r="U893" s="65">
        <f>SUMIF('Avoided Costs 2012-2020_EGD'!$A:$A,'2012 Actuals_Auditor'!T893&amp;'2012 Actuals_Auditor'!S893,'Avoided Costs 2012-2020_EGD'!$E:$E)*J893</f>
        <v>52396.121909513029</v>
      </c>
      <c r="V893" s="65">
        <f>SUMIF('Avoided Costs 2012-2020_EGD'!$A:$A,'2012 Actuals_Auditor'!T893&amp;'2012 Actuals_Auditor'!S893,'Avoided Costs 2012-2020_EGD'!$K:$K)*N893</f>
        <v>0</v>
      </c>
      <c r="W893" s="65">
        <f>SUMIF('Avoided Costs 2012-2020_EGD'!$A:$A,'2012 Actuals_Auditor'!T893&amp;'2012 Actuals_Auditor'!S893,'Avoided Costs 2012-2020_EGD'!$M:$M)*R893</f>
        <v>0</v>
      </c>
      <c r="X893" s="65">
        <f t="shared" si="344"/>
        <v>52396.121909513029</v>
      </c>
      <c r="Y893" s="146">
        <v>15088</v>
      </c>
      <c r="Z893" s="66">
        <f t="shared" si="348"/>
        <v>12070.400000000001</v>
      </c>
      <c r="AA893" s="66">
        <v>3185</v>
      </c>
      <c r="AB893" s="66"/>
      <c r="AC893" s="66"/>
      <c r="AD893" s="66">
        <f t="shared" si="349"/>
        <v>12070.400000000001</v>
      </c>
      <c r="AE893" s="66">
        <f t="shared" si="350"/>
        <v>40325.721909513028</v>
      </c>
      <c r="AF893" s="101">
        <f t="shared" si="351"/>
        <v>405945.96827100171</v>
      </c>
      <c r="AG893" s="101">
        <f t="shared" si="352"/>
        <v>507432.46033875213</v>
      </c>
    </row>
    <row r="894" spans="1:33" s="68" customFormat="1" x14ac:dyDescent="0.2">
      <c r="A894" s="147" t="s">
        <v>574</v>
      </c>
      <c r="B894" s="147"/>
      <c r="C894" s="147"/>
      <c r="D894" s="148">
        <v>0</v>
      </c>
      <c r="E894" s="149"/>
      <c r="F894" s="150">
        <v>0.2</v>
      </c>
      <c r="G894" s="150"/>
      <c r="H894" s="67">
        <v>30059</v>
      </c>
      <c r="I894" s="67">
        <f t="shared" si="355"/>
        <v>28732.998634873409</v>
      </c>
      <c r="J894" s="67">
        <f t="shared" si="345"/>
        <v>22986.398907898729</v>
      </c>
      <c r="K894" s="63"/>
      <c r="L894" s="149">
        <v>0</v>
      </c>
      <c r="M894" s="63">
        <f t="shared" si="354"/>
        <v>0</v>
      </c>
      <c r="N894" s="63">
        <f t="shared" si="346"/>
        <v>0</v>
      </c>
      <c r="O894" s="69"/>
      <c r="P894" s="149">
        <v>0</v>
      </c>
      <c r="Q894" s="63">
        <f t="shared" si="356"/>
        <v>0</v>
      </c>
      <c r="R894" s="64">
        <f t="shared" si="347"/>
        <v>0</v>
      </c>
      <c r="S894" s="148">
        <v>25</v>
      </c>
      <c r="T894" s="151" t="s">
        <v>15</v>
      </c>
      <c r="U894" s="65">
        <f>SUMIF('Avoided Costs 2012-2020_EGD'!$A:$A,'2012 Actuals_Auditor'!T894&amp;'2012 Actuals_Auditor'!S894,'Avoided Costs 2012-2020_EGD'!$E:$E)*J894</f>
        <v>78935.178892732787</v>
      </c>
      <c r="V894" s="65">
        <f>SUMIF('Avoided Costs 2012-2020_EGD'!$A:$A,'2012 Actuals_Auditor'!T894&amp;'2012 Actuals_Auditor'!S894,'Avoided Costs 2012-2020_EGD'!$K:$K)*N894</f>
        <v>0</v>
      </c>
      <c r="W894" s="65">
        <f>SUMIF('Avoided Costs 2012-2020_EGD'!$A:$A,'2012 Actuals_Auditor'!T894&amp;'2012 Actuals_Auditor'!S894,'Avoided Costs 2012-2020_EGD'!$M:$M)*R894</f>
        <v>0</v>
      </c>
      <c r="X894" s="65">
        <f t="shared" si="344"/>
        <v>78935.178892732787</v>
      </c>
      <c r="Y894" s="146">
        <v>6998</v>
      </c>
      <c r="Z894" s="66">
        <f t="shared" si="348"/>
        <v>5598.4000000000005</v>
      </c>
      <c r="AA894" s="66">
        <v>5219</v>
      </c>
      <c r="AB894" s="66"/>
      <c r="AC894" s="66"/>
      <c r="AD894" s="66">
        <f t="shared" si="349"/>
        <v>5598.4000000000005</v>
      </c>
      <c r="AE894" s="66">
        <f t="shared" si="350"/>
        <v>73336.778892732793</v>
      </c>
      <c r="AF894" s="101">
        <f t="shared" si="351"/>
        <v>574659.97269746824</v>
      </c>
      <c r="AG894" s="101">
        <f t="shared" si="352"/>
        <v>718324.96587183524</v>
      </c>
    </row>
    <row r="895" spans="1:33" s="68" customFormat="1" x14ac:dyDescent="0.2">
      <c r="A895" s="147" t="s">
        <v>575</v>
      </c>
      <c r="B895" s="147"/>
      <c r="C895" s="147"/>
      <c r="D895" s="148">
        <v>0</v>
      </c>
      <c r="E895" s="149"/>
      <c r="F895" s="150">
        <v>0.2</v>
      </c>
      <c r="G895" s="150"/>
      <c r="H895" s="67">
        <v>22858</v>
      </c>
      <c r="I895" s="67">
        <f t="shared" si="355"/>
        <v>21849.658431615702</v>
      </c>
      <c r="J895" s="67">
        <f t="shared" si="345"/>
        <v>17479.726745292563</v>
      </c>
      <c r="K895" s="63"/>
      <c r="L895" s="149">
        <v>54937</v>
      </c>
      <c r="M895" s="63">
        <f t="shared" si="354"/>
        <v>54937</v>
      </c>
      <c r="N895" s="63">
        <f t="shared" si="346"/>
        <v>43949.600000000006</v>
      </c>
      <c r="O895" s="69"/>
      <c r="P895" s="149">
        <v>0</v>
      </c>
      <c r="Q895" s="63">
        <f t="shared" si="356"/>
        <v>0</v>
      </c>
      <c r="R895" s="64">
        <f t="shared" si="347"/>
        <v>0</v>
      </c>
      <c r="S895" s="148">
        <v>15</v>
      </c>
      <c r="T895" s="151" t="s">
        <v>15</v>
      </c>
      <c r="U895" s="65">
        <f>SUMIF('Avoided Costs 2012-2020_EGD'!$A:$A,'2012 Actuals_Auditor'!T895&amp;'2012 Actuals_Auditor'!S895,'Avoided Costs 2012-2020_EGD'!$E:$E)*J895</f>
        <v>42474.055775949586</v>
      </c>
      <c r="V895" s="65">
        <f>SUMIF('Avoided Costs 2012-2020_EGD'!$A:$A,'2012 Actuals_Auditor'!T895&amp;'2012 Actuals_Auditor'!S895,'Avoided Costs 2012-2020_EGD'!$K:$K)*N895</f>
        <v>45258.569654655315</v>
      </c>
      <c r="W895" s="65">
        <f>SUMIF('Avoided Costs 2012-2020_EGD'!$A:$A,'2012 Actuals_Auditor'!T895&amp;'2012 Actuals_Auditor'!S895,'Avoided Costs 2012-2020_EGD'!$M:$M)*R895</f>
        <v>0</v>
      </c>
      <c r="X895" s="65">
        <f t="shared" si="344"/>
        <v>87732.625430604909</v>
      </c>
      <c r="Y895" s="146">
        <v>6300</v>
      </c>
      <c r="Z895" s="66">
        <f t="shared" si="348"/>
        <v>5040</v>
      </c>
      <c r="AA895" s="66">
        <v>2285.8000000000002</v>
      </c>
      <c r="AB895" s="66"/>
      <c r="AC895" s="66"/>
      <c r="AD895" s="66">
        <f t="shared" si="349"/>
        <v>5040</v>
      </c>
      <c r="AE895" s="66">
        <f t="shared" si="350"/>
        <v>82692.625430604909</v>
      </c>
      <c r="AF895" s="101">
        <f t="shared" si="351"/>
        <v>262195.90117938846</v>
      </c>
      <c r="AG895" s="101">
        <f t="shared" si="352"/>
        <v>327744.87647423556</v>
      </c>
    </row>
    <row r="896" spans="1:33" s="68" customFormat="1" x14ac:dyDescent="0.2">
      <c r="A896" s="147" t="s">
        <v>576</v>
      </c>
      <c r="B896" s="147"/>
      <c r="C896" s="147"/>
      <c r="D896" s="148">
        <v>1</v>
      </c>
      <c r="E896" s="149"/>
      <c r="F896" s="150">
        <v>0.2</v>
      </c>
      <c r="G896" s="150"/>
      <c r="H896" s="67">
        <v>31623</v>
      </c>
      <c r="I896" s="67">
        <f t="shared" si="355"/>
        <v>30228.005450301134</v>
      </c>
      <c r="J896" s="67">
        <f t="shared" si="345"/>
        <v>24182.404360240907</v>
      </c>
      <c r="K896" s="63"/>
      <c r="L896" s="149">
        <v>0</v>
      </c>
      <c r="M896" s="63">
        <f t="shared" si="354"/>
        <v>0</v>
      </c>
      <c r="N896" s="63">
        <f t="shared" si="346"/>
        <v>0</v>
      </c>
      <c r="O896" s="69"/>
      <c r="P896" s="149">
        <v>0</v>
      </c>
      <c r="Q896" s="63">
        <f t="shared" si="356"/>
        <v>0</v>
      </c>
      <c r="R896" s="64">
        <f t="shared" si="347"/>
        <v>0</v>
      </c>
      <c r="S896" s="148">
        <v>25</v>
      </c>
      <c r="T896" s="151" t="s">
        <v>52</v>
      </c>
      <c r="U896" s="65">
        <f>SUMIF('Avoided Costs 2012-2020_EGD'!$A:$A,'2012 Actuals_Auditor'!T896&amp;'2012 Actuals_Auditor'!S896,'Avoided Costs 2012-2020_EGD'!$E:$E)*J896</f>
        <v>78031.579690332976</v>
      </c>
      <c r="V896" s="65">
        <f>SUMIF('Avoided Costs 2012-2020_EGD'!$A:$A,'2012 Actuals_Auditor'!T896&amp;'2012 Actuals_Auditor'!S896,'Avoided Costs 2012-2020_EGD'!$K:$K)*N896</f>
        <v>0</v>
      </c>
      <c r="W896" s="65">
        <f>SUMIF('Avoided Costs 2012-2020_EGD'!$A:$A,'2012 Actuals_Auditor'!T896&amp;'2012 Actuals_Auditor'!S896,'Avoided Costs 2012-2020_EGD'!$M:$M)*R896</f>
        <v>0</v>
      </c>
      <c r="X896" s="65">
        <f t="shared" si="344"/>
        <v>78031.579690332976</v>
      </c>
      <c r="Y896" s="146">
        <v>11244</v>
      </c>
      <c r="Z896" s="66">
        <f t="shared" si="348"/>
        <v>8995.2000000000007</v>
      </c>
      <c r="AA896" s="66">
        <v>5231</v>
      </c>
      <c r="AB896" s="66"/>
      <c r="AC896" s="66"/>
      <c r="AD896" s="66">
        <f t="shared" si="349"/>
        <v>8995.2000000000007</v>
      </c>
      <c r="AE896" s="66">
        <f t="shared" si="350"/>
        <v>69036.379690332978</v>
      </c>
      <c r="AF896" s="101">
        <f t="shared" si="351"/>
        <v>604560.10900602269</v>
      </c>
      <c r="AG896" s="101">
        <f t="shared" si="352"/>
        <v>755700.13625752833</v>
      </c>
    </row>
    <row r="897" spans="1:33" s="68" customFormat="1" x14ac:dyDescent="0.2">
      <c r="A897" s="147" t="s">
        <v>577</v>
      </c>
      <c r="B897" s="147"/>
      <c r="C897" s="147"/>
      <c r="D897" s="148">
        <v>1</v>
      </c>
      <c r="E897" s="149"/>
      <c r="F897" s="150">
        <v>0.2</v>
      </c>
      <c r="G897" s="150"/>
      <c r="H897" s="67">
        <v>14644</v>
      </c>
      <c r="I897" s="67">
        <f t="shared" si="355"/>
        <v>13998.004990488247</v>
      </c>
      <c r="J897" s="67">
        <f t="shared" si="345"/>
        <v>11198.403992390598</v>
      </c>
      <c r="K897" s="63"/>
      <c r="L897" s="149">
        <v>0</v>
      </c>
      <c r="M897" s="63">
        <f t="shared" si="354"/>
        <v>0</v>
      </c>
      <c r="N897" s="63">
        <f t="shared" si="346"/>
        <v>0</v>
      </c>
      <c r="O897" s="69"/>
      <c r="P897" s="149">
        <v>0</v>
      </c>
      <c r="Q897" s="63">
        <f t="shared" si="356"/>
        <v>0</v>
      </c>
      <c r="R897" s="64">
        <f t="shared" si="347"/>
        <v>0</v>
      </c>
      <c r="S897" s="148">
        <v>15</v>
      </c>
      <c r="T897" s="151" t="s">
        <v>52</v>
      </c>
      <c r="U897" s="65">
        <f>SUMIF('Avoided Costs 2012-2020_EGD'!$A:$A,'2012 Actuals_Auditor'!T897&amp;'2012 Actuals_Auditor'!S897,'Avoided Costs 2012-2020_EGD'!$E:$E)*J897</f>
        <v>25588.33380457919</v>
      </c>
      <c r="V897" s="65">
        <f>SUMIF('Avoided Costs 2012-2020_EGD'!$A:$A,'2012 Actuals_Auditor'!T897&amp;'2012 Actuals_Auditor'!S897,'Avoided Costs 2012-2020_EGD'!$K:$K)*N897</f>
        <v>0</v>
      </c>
      <c r="W897" s="65">
        <f>SUMIF('Avoided Costs 2012-2020_EGD'!$A:$A,'2012 Actuals_Auditor'!T897&amp;'2012 Actuals_Auditor'!S897,'Avoided Costs 2012-2020_EGD'!$M:$M)*R897</f>
        <v>0</v>
      </c>
      <c r="X897" s="65">
        <f t="shared" si="344"/>
        <v>25588.33380457919</v>
      </c>
      <c r="Y897" s="146">
        <v>6328</v>
      </c>
      <c r="Z897" s="66">
        <f t="shared" si="348"/>
        <v>5062.4000000000005</v>
      </c>
      <c r="AA897" s="66">
        <v>1464.4</v>
      </c>
      <c r="AB897" s="66"/>
      <c r="AC897" s="66"/>
      <c r="AD897" s="66">
        <f t="shared" si="349"/>
        <v>5062.4000000000005</v>
      </c>
      <c r="AE897" s="66">
        <f t="shared" si="350"/>
        <v>20525.933804579188</v>
      </c>
      <c r="AF897" s="101">
        <f t="shared" si="351"/>
        <v>167976.05988585897</v>
      </c>
      <c r="AG897" s="101">
        <f t="shared" si="352"/>
        <v>209970.07485732372</v>
      </c>
    </row>
    <row r="898" spans="1:33" s="68" customFormat="1" x14ac:dyDescent="0.2">
      <c r="A898" s="147" t="s">
        <v>578</v>
      </c>
      <c r="B898" s="147"/>
      <c r="C898" s="147"/>
      <c r="D898" s="148">
        <v>0</v>
      </c>
      <c r="E898" s="149"/>
      <c r="F898" s="150">
        <v>0.2</v>
      </c>
      <c r="G898" s="150"/>
      <c r="H898" s="67">
        <v>9706</v>
      </c>
      <c r="I898" s="67">
        <f t="shared" si="355"/>
        <v>9277.8364133897103</v>
      </c>
      <c r="J898" s="67">
        <f t="shared" si="345"/>
        <v>7422.2691307117684</v>
      </c>
      <c r="K898" s="63"/>
      <c r="L898" s="149">
        <v>0</v>
      </c>
      <c r="M898" s="63">
        <f t="shared" si="354"/>
        <v>0</v>
      </c>
      <c r="N898" s="63">
        <f t="shared" si="346"/>
        <v>0</v>
      </c>
      <c r="O898" s="69"/>
      <c r="P898" s="149">
        <v>0</v>
      </c>
      <c r="Q898" s="63">
        <f t="shared" si="356"/>
        <v>0</v>
      </c>
      <c r="R898" s="64">
        <f t="shared" si="347"/>
        <v>0</v>
      </c>
      <c r="S898" s="148">
        <v>15</v>
      </c>
      <c r="T898" s="151" t="s">
        <v>52</v>
      </c>
      <c r="U898" s="65">
        <f>SUMIF('Avoided Costs 2012-2020_EGD'!$A:$A,'2012 Actuals_Auditor'!T898&amp;'2012 Actuals_Auditor'!S898,'Avoided Costs 2012-2020_EGD'!$E:$E)*J898</f>
        <v>16959.872159740891</v>
      </c>
      <c r="V898" s="65">
        <f>SUMIF('Avoided Costs 2012-2020_EGD'!$A:$A,'2012 Actuals_Auditor'!T898&amp;'2012 Actuals_Auditor'!S898,'Avoided Costs 2012-2020_EGD'!$K:$K)*N898</f>
        <v>0</v>
      </c>
      <c r="W898" s="65">
        <f>SUMIF('Avoided Costs 2012-2020_EGD'!$A:$A,'2012 Actuals_Auditor'!T898&amp;'2012 Actuals_Auditor'!S898,'Avoided Costs 2012-2020_EGD'!$M:$M)*R898</f>
        <v>0</v>
      </c>
      <c r="X898" s="65">
        <f t="shared" si="344"/>
        <v>16959.872159740891</v>
      </c>
      <c r="Y898" s="146">
        <v>6195</v>
      </c>
      <c r="Z898" s="66">
        <f t="shared" si="348"/>
        <v>4956</v>
      </c>
      <c r="AA898" s="66">
        <v>971</v>
      </c>
      <c r="AB898" s="66"/>
      <c r="AC898" s="66"/>
      <c r="AD898" s="66">
        <f t="shared" si="349"/>
        <v>4956</v>
      </c>
      <c r="AE898" s="66">
        <f t="shared" si="350"/>
        <v>12003.872159740891</v>
      </c>
      <c r="AF898" s="101">
        <f t="shared" si="351"/>
        <v>111334.03696067653</v>
      </c>
      <c r="AG898" s="101">
        <f t="shared" si="352"/>
        <v>139167.54620084565</v>
      </c>
    </row>
    <row r="899" spans="1:33" s="68" customFormat="1" x14ac:dyDescent="0.2">
      <c r="A899" s="147" t="s">
        <v>579</v>
      </c>
      <c r="B899" s="147"/>
      <c r="C899" s="147"/>
      <c r="D899" s="148">
        <v>1</v>
      </c>
      <c r="E899" s="149"/>
      <c r="F899" s="150">
        <v>0.2</v>
      </c>
      <c r="G899" s="150"/>
      <c r="H899" s="67">
        <v>156893</v>
      </c>
      <c r="I899" s="67">
        <f t="shared" si="355"/>
        <v>149971.93369111393</v>
      </c>
      <c r="J899" s="67">
        <f t="shared" si="345"/>
        <v>119977.54695289115</v>
      </c>
      <c r="K899" s="63"/>
      <c r="L899" s="149">
        <v>0</v>
      </c>
      <c r="M899" s="63">
        <f t="shared" si="354"/>
        <v>0</v>
      </c>
      <c r="N899" s="63">
        <f t="shared" si="346"/>
        <v>0</v>
      </c>
      <c r="O899" s="69"/>
      <c r="P899" s="149">
        <v>0</v>
      </c>
      <c r="Q899" s="63">
        <f t="shared" si="356"/>
        <v>0</v>
      </c>
      <c r="R899" s="64">
        <f t="shared" si="347"/>
        <v>0</v>
      </c>
      <c r="S899" s="148">
        <v>25</v>
      </c>
      <c r="T899" s="151" t="s">
        <v>15</v>
      </c>
      <c r="U899" s="65">
        <f>SUMIF('Avoided Costs 2012-2020_EGD'!$A:$A,'2012 Actuals_Auditor'!T899&amp;'2012 Actuals_Auditor'!S899,'Avoided Costs 2012-2020_EGD'!$E:$E)*J899</f>
        <v>412002.29621802201</v>
      </c>
      <c r="V899" s="65">
        <f>SUMIF('Avoided Costs 2012-2020_EGD'!$A:$A,'2012 Actuals_Auditor'!T899&amp;'2012 Actuals_Auditor'!S899,'Avoided Costs 2012-2020_EGD'!$K:$K)*N899</f>
        <v>0</v>
      </c>
      <c r="W899" s="65">
        <f>SUMIF('Avoided Costs 2012-2020_EGD'!$A:$A,'2012 Actuals_Auditor'!T899&amp;'2012 Actuals_Auditor'!S899,'Avoided Costs 2012-2020_EGD'!$M:$M)*R899</f>
        <v>0</v>
      </c>
      <c r="X899" s="65">
        <f t="shared" si="344"/>
        <v>412002.29621802201</v>
      </c>
      <c r="Y899" s="146">
        <v>61226</v>
      </c>
      <c r="Z899" s="66">
        <f t="shared" si="348"/>
        <v>48980.800000000003</v>
      </c>
      <c r="AA899" s="66">
        <v>26360</v>
      </c>
      <c r="AB899" s="66"/>
      <c r="AC899" s="66"/>
      <c r="AD899" s="66">
        <f t="shared" si="349"/>
        <v>48980.800000000003</v>
      </c>
      <c r="AE899" s="66">
        <f t="shared" si="350"/>
        <v>363021.49621802202</v>
      </c>
      <c r="AF899" s="101">
        <f t="shared" si="351"/>
        <v>2999438.6738222786</v>
      </c>
      <c r="AG899" s="101">
        <f t="shared" si="352"/>
        <v>3749298.3422778482</v>
      </c>
    </row>
    <row r="900" spans="1:33" s="68" customFormat="1" x14ac:dyDescent="0.2">
      <c r="A900" s="147" t="s">
        <v>580</v>
      </c>
      <c r="B900" s="147"/>
      <c r="C900" s="147"/>
      <c r="D900" s="148">
        <v>1</v>
      </c>
      <c r="E900" s="149"/>
      <c r="F900" s="150">
        <v>0.2</v>
      </c>
      <c r="G900" s="150"/>
      <c r="H900" s="67">
        <v>26306</v>
      </c>
      <c r="I900" s="67">
        <f t="shared" ref="I900:I931" si="357">+$H$42*H900</f>
        <v>25145.555809873247</v>
      </c>
      <c r="J900" s="67">
        <f t="shared" si="345"/>
        <v>20116.444647898599</v>
      </c>
      <c r="K900" s="63"/>
      <c r="L900" s="149">
        <v>0</v>
      </c>
      <c r="M900" s="63">
        <f t="shared" si="354"/>
        <v>0</v>
      </c>
      <c r="N900" s="63">
        <f t="shared" si="346"/>
        <v>0</v>
      </c>
      <c r="O900" s="69"/>
      <c r="P900" s="149">
        <v>0</v>
      </c>
      <c r="Q900" s="63">
        <f t="shared" ref="Q900:Q931" si="358">+P900*$P$42</f>
        <v>0</v>
      </c>
      <c r="R900" s="64">
        <f t="shared" si="347"/>
        <v>0</v>
      </c>
      <c r="S900" s="148">
        <v>25</v>
      </c>
      <c r="T900" s="151" t="s">
        <v>15</v>
      </c>
      <c r="U900" s="65">
        <f>SUMIF('Avoided Costs 2012-2020_EGD'!$A:$A,'2012 Actuals_Auditor'!T900&amp;'2012 Actuals_Auditor'!S900,'Avoided Costs 2012-2020_EGD'!$E:$E)*J900</f>
        <v>69079.770316784619</v>
      </c>
      <c r="V900" s="65">
        <f>SUMIF('Avoided Costs 2012-2020_EGD'!$A:$A,'2012 Actuals_Auditor'!T900&amp;'2012 Actuals_Auditor'!S900,'Avoided Costs 2012-2020_EGD'!$K:$K)*N900</f>
        <v>0</v>
      </c>
      <c r="W900" s="65">
        <f>SUMIF('Avoided Costs 2012-2020_EGD'!$A:$A,'2012 Actuals_Auditor'!T900&amp;'2012 Actuals_Auditor'!S900,'Avoided Costs 2012-2020_EGD'!$M:$M)*R900</f>
        <v>0</v>
      </c>
      <c r="X900" s="65">
        <f t="shared" si="344"/>
        <v>69079.770316784619</v>
      </c>
      <c r="Y900" s="146">
        <v>4</v>
      </c>
      <c r="Z900" s="66">
        <f t="shared" si="348"/>
        <v>3.2</v>
      </c>
      <c r="AA900" s="66">
        <v>4899.5</v>
      </c>
      <c r="AB900" s="66"/>
      <c r="AC900" s="66"/>
      <c r="AD900" s="66">
        <f t="shared" si="349"/>
        <v>3.2</v>
      </c>
      <c r="AE900" s="66">
        <f t="shared" si="350"/>
        <v>69076.570316784622</v>
      </c>
      <c r="AF900" s="101">
        <f t="shared" si="351"/>
        <v>502911.11619746499</v>
      </c>
      <c r="AG900" s="101">
        <f t="shared" si="352"/>
        <v>628638.89524683123</v>
      </c>
    </row>
    <row r="901" spans="1:33" s="68" customFormat="1" x14ac:dyDescent="0.2">
      <c r="A901" s="147" t="s">
        <v>581</v>
      </c>
      <c r="B901" s="147"/>
      <c r="C901" s="147"/>
      <c r="D901" s="148">
        <v>1</v>
      </c>
      <c r="E901" s="149"/>
      <c r="F901" s="150">
        <v>0.2</v>
      </c>
      <c r="G901" s="150"/>
      <c r="H901" s="67">
        <v>8075</v>
      </c>
      <c r="I901" s="67">
        <f t="shared" si="357"/>
        <v>7718.7851883496714</v>
      </c>
      <c r="J901" s="67">
        <f t="shared" si="345"/>
        <v>6175.0281506797373</v>
      </c>
      <c r="K901" s="63"/>
      <c r="L901" s="149">
        <v>0</v>
      </c>
      <c r="M901" s="63">
        <f t="shared" si="354"/>
        <v>0</v>
      </c>
      <c r="N901" s="63">
        <f t="shared" si="346"/>
        <v>0</v>
      </c>
      <c r="O901" s="69"/>
      <c r="P901" s="149">
        <v>0</v>
      </c>
      <c r="Q901" s="63">
        <f t="shared" si="358"/>
        <v>0</v>
      </c>
      <c r="R901" s="64">
        <f t="shared" si="347"/>
        <v>0</v>
      </c>
      <c r="S901" s="148">
        <v>25</v>
      </c>
      <c r="T901" s="151" t="s">
        <v>15</v>
      </c>
      <c r="U901" s="65">
        <f>SUMIF('Avoided Costs 2012-2020_EGD'!$A:$A,'2012 Actuals_Auditor'!T901&amp;'2012 Actuals_Auditor'!S901,'Avoided Costs 2012-2020_EGD'!$E:$E)*J901</f>
        <v>21205.015787578337</v>
      </c>
      <c r="V901" s="65">
        <f>SUMIF('Avoided Costs 2012-2020_EGD'!$A:$A,'2012 Actuals_Auditor'!T901&amp;'2012 Actuals_Auditor'!S901,'Avoided Costs 2012-2020_EGD'!$K:$K)*N901</f>
        <v>0</v>
      </c>
      <c r="W901" s="65">
        <f>SUMIF('Avoided Costs 2012-2020_EGD'!$A:$A,'2012 Actuals_Auditor'!T901&amp;'2012 Actuals_Auditor'!S901,'Avoided Costs 2012-2020_EGD'!$M:$M)*R901</f>
        <v>0</v>
      </c>
      <c r="X901" s="65">
        <f t="shared" si="344"/>
        <v>21205.015787578337</v>
      </c>
      <c r="Y901" s="146">
        <v>8093</v>
      </c>
      <c r="Z901" s="66">
        <f t="shared" si="348"/>
        <v>6474.4000000000005</v>
      </c>
      <c r="AA901" s="66">
        <v>1812.3</v>
      </c>
      <c r="AB901" s="66"/>
      <c r="AC901" s="66"/>
      <c r="AD901" s="66">
        <f t="shared" si="349"/>
        <v>6474.4000000000005</v>
      </c>
      <c r="AE901" s="66">
        <f t="shared" si="350"/>
        <v>14730.615787578336</v>
      </c>
      <c r="AF901" s="101">
        <f t="shared" si="351"/>
        <v>154375.70376699342</v>
      </c>
      <c r="AG901" s="101">
        <f t="shared" si="352"/>
        <v>192969.62970874179</v>
      </c>
    </row>
    <row r="902" spans="1:33" s="68" customFormat="1" x14ac:dyDescent="0.2">
      <c r="A902" s="147" t="s">
        <v>582</v>
      </c>
      <c r="B902" s="147"/>
      <c r="C902" s="147"/>
      <c r="D902" s="148">
        <v>1</v>
      </c>
      <c r="E902" s="149"/>
      <c r="F902" s="150">
        <v>0.2</v>
      </c>
      <c r="G902" s="150"/>
      <c r="H902" s="67">
        <v>52343</v>
      </c>
      <c r="I902" s="67">
        <f t="shared" si="357"/>
        <v>50033.978094586608</v>
      </c>
      <c r="J902" s="67">
        <f t="shared" si="345"/>
        <v>40027.182475669288</v>
      </c>
      <c r="K902" s="63"/>
      <c r="L902" s="149">
        <v>43566</v>
      </c>
      <c r="M902" s="63">
        <f t="shared" si="354"/>
        <v>43566</v>
      </c>
      <c r="N902" s="63">
        <f t="shared" si="346"/>
        <v>34852.800000000003</v>
      </c>
      <c r="O902" s="69"/>
      <c r="P902" s="149">
        <v>0</v>
      </c>
      <c r="Q902" s="63">
        <f t="shared" si="358"/>
        <v>0</v>
      </c>
      <c r="R902" s="64">
        <f t="shared" si="347"/>
        <v>0</v>
      </c>
      <c r="S902" s="148">
        <v>15</v>
      </c>
      <c r="T902" s="151" t="s">
        <v>15</v>
      </c>
      <c r="U902" s="65">
        <f>SUMIF('Avoided Costs 2012-2020_EGD'!$A:$A,'2012 Actuals_Auditor'!T902&amp;'2012 Actuals_Auditor'!S902,'Avoided Costs 2012-2020_EGD'!$E:$E)*J902</f>
        <v>97262.205857053516</v>
      </c>
      <c r="V902" s="65">
        <f>SUMIF('Avoided Costs 2012-2020_EGD'!$A:$A,'2012 Actuals_Auditor'!T902&amp;'2012 Actuals_Auditor'!S902,'Avoided Costs 2012-2020_EGD'!$K:$K)*N902</f>
        <v>35890.835785986004</v>
      </c>
      <c r="W902" s="65">
        <f>SUMIF('Avoided Costs 2012-2020_EGD'!$A:$A,'2012 Actuals_Auditor'!T902&amp;'2012 Actuals_Auditor'!S902,'Avoided Costs 2012-2020_EGD'!$M:$M)*R902</f>
        <v>0</v>
      </c>
      <c r="X902" s="65">
        <f t="shared" si="344"/>
        <v>133153.04164303953</v>
      </c>
      <c r="Y902" s="146">
        <v>17000</v>
      </c>
      <c r="Z902" s="66">
        <f t="shared" si="348"/>
        <v>13600</v>
      </c>
      <c r="AA902" s="66">
        <v>5234.3</v>
      </c>
      <c r="AB902" s="66"/>
      <c r="AC902" s="66"/>
      <c r="AD902" s="66">
        <f t="shared" si="349"/>
        <v>13600</v>
      </c>
      <c r="AE902" s="66">
        <f t="shared" si="350"/>
        <v>119553.04164303953</v>
      </c>
      <c r="AF902" s="101">
        <f t="shared" si="351"/>
        <v>600407.73713503929</v>
      </c>
      <c r="AG902" s="101">
        <f t="shared" si="352"/>
        <v>750509.67141879909</v>
      </c>
    </row>
    <row r="903" spans="1:33" s="68" customFormat="1" x14ac:dyDescent="0.2">
      <c r="A903" s="147" t="s">
        <v>583</v>
      </c>
      <c r="B903" s="147"/>
      <c r="C903" s="147"/>
      <c r="D903" s="148">
        <v>1</v>
      </c>
      <c r="E903" s="149"/>
      <c r="F903" s="150">
        <v>0.2</v>
      </c>
      <c r="G903" s="150"/>
      <c r="H903" s="67">
        <v>4236</v>
      </c>
      <c r="I903" s="67">
        <f t="shared" si="357"/>
        <v>4049.1361062351962</v>
      </c>
      <c r="J903" s="67">
        <f t="shared" si="345"/>
        <v>3239.3088849881569</v>
      </c>
      <c r="K903" s="63"/>
      <c r="L903" s="149">
        <v>0</v>
      </c>
      <c r="M903" s="63">
        <f t="shared" si="354"/>
        <v>0</v>
      </c>
      <c r="N903" s="63">
        <f t="shared" si="346"/>
        <v>0</v>
      </c>
      <c r="O903" s="69"/>
      <c r="P903" s="149">
        <v>0</v>
      </c>
      <c r="Q903" s="63">
        <f t="shared" si="358"/>
        <v>0</v>
      </c>
      <c r="R903" s="64">
        <f t="shared" si="347"/>
        <v>0</v>
      </c>
      <c r="S903" s="148">
        <v>25</v>
      </c>
      <c r="T903" s="151" t="s">
        <v>52</v>
      </c>
      <c r="U903" s="65">
        <f>SUMIF('Avoided Costs 2012-2020_EGD'!$A:$A,'2012 Actuals_Auditor'!T903&amp;'2012 Actuals_Auditor'!S903,'Avoided Costs 2012-2020_EGD'!$E:$E)*J903</f>
        <v>10452.57475787403</v>
      </c>
      <c r="V903" s="65">
        <f>SUMIF('Avoided Costs 2012-2020_EGD'!$A:$A,'2012 Actuals_Auditor'!T903&amp;'2012 Actuals_Auditor'!S903,'Avoided Costs 2012-2020_EGD'!$K:$K)*N903</f>
        <v>0</v>
      </c>
      <c r="W903" s="65">
        <f>SUMIF('Avoided Costs 2012-2020_EGD'!$A:$A,'2012 Actuals_Auditor'!T903&amp;'2012 Actuals_Auditor'!S903,'Avoided Costs 2012-2020_EGD'!$M:$M)*R903</f>
        <v>0</v>
      </c>
      <c r="X903" s="65">
        <f t="shared" si="344"/>
        <v>10452.57475787403</v>
      </c>
      <c r="Y903" s="146">
        <v>9790</v>
      </c>
      <c r="Z903" s="66">
        <f t="shared" si="348"/>
        <v>7832</v>
      </c>
      <c r="AA903" s="66">
        <v>1071</v>
      </c>
      <c r="AB903" s="66"/>
      <c r="AC903" s="66"/>
      <c r="AD903" s="66">
        <f t="shared" si="349"/>
        <v>7832</v>
      </c>
      <c r="AE903" s="66">
        <f t="shared" si="350"/>
        <v>2620.5747578740302</v>
      </c>
      <c r="AF903" s="101">
        <f t="shared" si="351"/>
        <v>80982.722124703927</v>
      </c>
      <c r="AG903" s="101">
        <f t="shared" si="352"/>
        <v>101228.40265587991</v>
      </c>
    </row>
    <row r="904" spans="1:33" s="68" customFormat="1" x14ac:dyDescent="0.2">
      <c r="A904" s="147" t="s">
        <v>584</v>
      </c>
      <c r="B904" s="147"/>
      <c r="C904" s="147"/>
      <c r="D904" s="148">
        <v>0</v>
      </c>
      <c r="E904" s="149"/>
      <c r="F904" s="150">
        <v>0.2</v>
      </c>
      <c r="G904" s="150"/>
      <c r="H904" s="67">
        <v>3494</v>
      </c>
      <c r="I904" s="67">
        <f t="shared" si="357"/>
        <v>3339.868166946595</v>
      </c>
      <c r="J904" s="67">
        <f t="shared" si="345"/>
        <v>2671.8945335572762</v>
      </c>
      <c r="K904" s="63"/>
      <c r="L904" s="149">
        <v>0</v>
      </c>
      <c r="M904" s="63">
        <f t="shared" si="354"/>
        <v>0</v>
      </c>
      <c r="N904" s="63">
        <f t="shared" si="346"/>
        <v>0</v>
      </c>
      <c r="O904" s="69"/>
      <c r="P904" s="149">
        <v>0</v>
      </c>
      <c r="Q904" s="63">
        <f t="shared" si="358"/>
        <v>0</v>
      </c>
      <c r="R904" s="64">
        <f t="shared" si="347"/>
        <v>0</v>
      </c>
      <c r="S904" s="148">
        <v>25</v>
      </c>
      <c r="T904" s="151" t="s">
        <v>52</v>
      </c>
      <c r="U904" s="65">
        <f>SUMIF('Avoided Costs 2012-2020_EGD'!$A:$A,'2012 Actuals_Auditor'!T904&amp;'2012 Actuals_Auditor'!S904,'Avoided Costs 2012-2020_EGD'!$E:$E)*J904</f>
        <v>8621.6468847997803</v>
      </c>
      <c r="V904" s="65">
        <f>SUMIF('Avoided Costs 2012-2020_EGD'!$A:$A,'2012 Actuals_Auditor'!T904&amp;'2012 Actuals_Auditor'!S904,'Avoided Costs 2012-2020_EGD'!$K:$K)*N904</f>
        <v>0</v>
      </c>
      <c r="W904" s="65">
        <f>SUMIF('Avoided Costs 2012-2020_EGD'!$A:$A,'2012 Actuals_Auditor'!T904&amp;'2012 Actuals_Auditor'!S904,'Avoided Costs 2012-2020_EGD'!$M:$M)*R904</f>
        <v>0</v>
      </c>
      <c r="X904" s="65">
        <f t="shared" si="344"/>
        <v>8621.6468847997803</v>
      </c>
      <c r="Y904" s="146">
        <v>9790</v>
      </c>
      <c r="Z904" s="66">
        <f t="shared" si="348"/>
        <v>7832</v>
      </c>
      <c r="AA904" s="66">
        <v>821</v>
      </c>
      <c r="AB904" s="66"/>
      <c r="AC904" s="66"/>
      <c r="AD904" s="66">
        <f t="shared" si="349"/>
        <v>7832</v>
      </c>
      <c r="AE904" s="66">
        <f t="shared" si="350"/>
        <v>789.64688479978031</v>
      </c>
      <c r="AF904" s="101">
        <f t="shared" si="351"/>
        <v>66797.3633389319</v>
      </c>
      <c r="AG904" s="101">
        <f t="shared" si="352"/>
        <v>83496.704173664883</v>
      </c>
    </row>
    <row r="905" spans="1:33" s="68" customFormat="1" x14ac:dyDescent="0.2">
      <c r="A905" s="147" t="s">
        <v>585</v>
      </c>
      <c r="B905" s="147"/>
      <c r="C905" s="147"/>
      <c r="D905" s="148">
        <v>1</v>
      </c>
      <c r="E905" s="149"/>
      <c r="F905" s="150">
        <v>0.2</v>
      </c>
      <c r="G905" s="150"/>
      <c r="H905" s="67">
        <v>15086</v>
      </c>
      <c r="I905" s="67">
        <f t="shared" si="357"/>
        <v>14420.506916587387</v>
      </c>
      <c r="J905" s="67">
        <f t="shared" si="345"/>
        <v>11536.40553326991</v>
      </c>
      <c r="K905" s="63"/>
      <c r="L905" s="149">
        <v>0</v>
      </c>
      <c r="M905" s="63">
        <f t="shared" si="354"/>
        <v>0</v>
      </c>
      <c r="N905" s="63">
        <f t="shared" si="346"/>
        <v>0</v>
      </c>
      <c r="O905" s="69"/>
      <c r="P905" s="149">
        <v>0</v>
      </c>
      <c r="Q905" s="63">
        <f t="shared" si="358"/>
        <v>0</v>
      </c>
      <c r="R905" s="64">
        <f t="shared" si="347"/>
        <v>0</v>
      </c>
      <c r="S905" s="148">
        <v>25</v>
      </c>
      <c r="T905" s="151" t="s">
        <v>15</v>
      </c>
      <c r="U905" s="65">
        <f>SUMIF('Avoided Costs 2012-2020_EGD'!$A:$A,'2012 Actuals_Auditor'!T905&amp;'2012 Actuals_Auditor'!S905,'Avoided Costs 2012-2020_EGD'!$E:$E)*J905</f>
        <v>39615.958906675762</v>
      </c>
      <c r="V905" s="65">
        <f>SUMIF('Avoided Costs 2012-2020_EGD'!$A:$A,'2012 Actuals_Auditor'!T905&amp;'2012 Actuals_Auditor'!S905,'Avoided Costs 2012-2020_EGD'!$K:$K)*N905</f>
        <v>0</v>
      </c>
      <c r="W905" s="65">
        <f>SUMIF('Avoided Costs 2012-2020_EGD'!$A:$A,'2012 Actuals_Auditor'!T905&amp;'2012 Actuals_Auditor'!S905,'Avoided Costs 2012-2020_EGD'!$M:$M)*R905</f>
        <v>0</v>
      </c>
      <c r="X905" s="65">
        <f t="shared" si="344"/>
        <v>39615.958906675762</v>
      </c>
      <c r="Y905" s="146">
        <v>12978</v>
      </c>
      <c r="Z905" s="66">
        <f t="shared" si="348"/>
        <v>10382.400000000001</v>
      </c>
      <c r="AA905" s="66">
        <v>3446</v>
      </c>
      <c r="AB905" s="66"/>
      <c r="AC905" s="66"/>
      <c r="AD905" s="66">
        <f t="shared" si="349"/>
        <v>10382.400000000001</v>
      </c>
      <c r="AE905" s="66">
        <f t="shared" si="350"/>
        <v>29233.55890667576</v>
      </c>
      <c r="AF905" s="101">
        <f t="shared" si="351"/>
        <v>288410.13833174773</v>
      </c>
      <c r="AG905" s="101">
        <f t="shared" si="352"/>
        <v>360512.67291468463</v>
      </c>
    </row>
    <row r="906" spans="1:33" s="68" customFormat="1" x14ac:dyDescent="0.2">
      <c r="A906" s="147" t="s">
        <v>586</v>
      </c>
      <c r="B906" s="147"/>
      <c r="C906" s="147"/>
      <c r="D906" s="148">
        <v>1</v>
      </c>
      <c r="E906" s="149"/>
      <c r="F906" s="150">
        <v>0.2</v>
      </c>
      <c r="G906" s="150"/>
      <c r="H906" s="67">
        <v>9984</v>
      </c>
      <c r="I906" s="67">
        <f t="shared" si="357"/>
        <v>9543.5729189452777</v>
      </c>
      <c r="J906" s="67">
        <f t="shared" si="345"/>
        <v>7634.8583351562229</v>
      </c>
      <c r="K906" s="63"/>
      <c r="L906" s="149">
        <v>0</v>
      </c>
      <c r="M906" s="63">
        <f t="shared" si="354"/>
        <v>0</v>
      </c>
      <c r="N906" s="63">
        <f t="shared" si="346"/>
        <v>0</v>
      </c>
      <c r="O906" s="69"/>
      <c r="P906" s="149">
        <v>0</v>
      </c>
      <c r="Q906" s="63">
        <f t="shared" si="358"/>
        <v>0</v>
      </c>
      <c r="R906" s="64">
        <f t="shared" si="347"/>
        <v>0</v>
      </c>
      <c r="S906" s="148">
        <v>25</v>
      </c>
      <c r="T906" s="151" t="s">
        <v>15</v>
      </c>
      <c r="U906" s="65">
        <f>SUMIF('Avoided Costs 2012-2020_EGD'!$A:$A,'2012 Actuals_Auditor'!T906&amp;'2012 Actuals_Auditor'!S906,'Avoided Costs 2012-2020_EGD'!$E:$E)*J906</f>
        <v>26218.065340332148</v>
      </c>
      <c r="V906" s="65">
        <f>SUMIF('Avoided Costs 2012-2020_EGD'!$A:$A,'2012 Actuals_Auditor'!T906&amp;'2012 Actuals_Auditor'!S906,'Avoided Costs 2012-2020_EGD'!$K:$K)*N906</f>
        <v>0</v>
      </c>
      <c r="W906" s="65">
        <f>SUMIF('Avoided Costs 2012-2020_EGD'!$A:$A,'2012 Actuals_Auditor'!T906&amp;'2012 Actuals_Auditor'!S906,'Avoided Costs 2012-2020_EGD'!$M:$M)*R906</f>
        <v>0</v>
      </c>
      <c r="X906" s="65">
        <f t="shared" si="344"/>
        <v>26218.065340332148</v>
      </c>
      <c r="Y906" s="146">
        <v>50</v>
      </c>
      <c r="Z906" s="66">
        <f t="shared" si="348"/>
        <v>40</v>
      </c>
      <c r="AA906" s="66">
        <v>2173</v>
      </c>
      <c r="AB906" s="66"/>
      <c r="AC906" s="66"/>
      <c r="AD906" s="66">
        <f t="shared" si="349"/>
        <v>40</v>
      </c>
      <c r="AE906" s="66">
        <f t="shared" si="350"/>
        <v>26178.065340332148</v>
      </c>
      <c r="AF906" s="101">
        <f t="shared" si="351"/>
        <v>190871.45837890558</v>
      </c>
      <c r="AG906" s="101">
        <f t="shared" si="352"/>
        <v>238589.32297363193</v>
      </c>
    </row>
    <row r="907" spans="1:33" s="68" customFormat="1" x14ac:dyDescent="0.2">
      <c r="A907" s="147" t="s">
        <v>587</v>
      </c>
      <c r="B907" s="147"/>
      <c r="C907" s="147"/>
      <c r="D907" s="148">
        <v>1</v>
      </c>
      <c r="E907" s="149"/>
      <c r="F907" s="150">
        <v>0.2</v>
      </c>
      <c r="G907" s="150"/>
      <c r="H907" s="67">
        <v>10564</v>
      </c>
      <c r="I907" s="67">
        <f t="shared" si="357"/>
        <v>10097.987211111571</v>
      </c>
      <c r="J907" s="67">
        <f t="shared" si="345"/>
        <v>8078.3897688892575</v>
      </c>
      <c r="K907" s="63"/>
      <c r="L907" s="149">
        <v>0</v>
      </c>
      <c r="M907" s="63">
        <f t="shared" si="354"/>
        <v>0</v>
      </c>
      <c r="N907" s="63">
        <f t="shared" si="346"/>
        <v>0</v>
      </c>
      <c r="O907" s="69"/>
      <c r="P907" s="149">
        <v>0</v>
      </c>
      <c r="Q907" s="63">
        <f t="shared" si="358"/>
        <v>0</v>
      </c>
      <c r="R907" s="64">
        <f t="shared" si="347"/>
        <v>0</v>
      </c>
      <c r="S907" s="148">
        <v>25</v>
      </c>
      <c r="T907" s="151" t="s">
        <v>15</v>
      </c>
      <c r="U907" s="65">
        <f>SUMIF('Avoided Costs 2012-2020_EGD'!$A:$A,'2012 Actuals_Auditor'!T907&amp;'2012 Actuals_Auditor'!S907,'Avoided Costs 2012-2020_EGD'!$E:$E)*J907</f>
        <v>27741.150065631897</v>
      </c>
      <c r="V907" s="65">
        <f>SUMIF('Avoided Costs 2012-2020_EGD'!$A:$A,'2012 Actuals_Auditor'!T907&amp;'2012 Actuals_Auditor'!S907,'Avoided Costs 2012-2020_EGD'!$K:$K)*N907</f>
        <v>0</v>
      </c>
      <c r="W907" s="65">
        <f>SUMIF('Avoided Costs 2012-2020_EGD'!$A:$A,'2012 Actuals_Auditor'!T907&amp;'2012 Actuals_Auditor'!S907,'Avoided Costs 2012-2020_EGD'!$M:$M)*R907</f>
        <v>0</v>
      </c>
      <c r="X907" s="65">
        <f t="shared" si="344"/>
        <v>27741.150065631897</v>
      </c>
      <c r="Y907" s="146">
        <v>50</v>
      </c>
      <c r="Z907" s="66">
        <f t="shared" si="348"/>
        <v>40</v>
      </c>
      <c r="AA907" s="66">
        <v>2315.1</v>
      </c>
      <c r="AB907" s="66"/>
      <c r="AC907" s="66"/>
      <c r="AD907" s="66">
        <f t="shared" si="349"/>
        <v>40</v>
      </c>
      <c r="AE907" s="66">
        <f t="shared" si="350"/>
        <v>27701.150065631897</v>
      </c>
      <c r="AF907" s="101">
        <f t="shared" si="351"/>
        <v>201959.74422223144</v>
      </c>
      <c r="AG907" s="101">
        <f t="shared" si="352"/>
        <v>252449.68027778927</v>
      </c>
    </row>
    <row r="908" spans="1:33" s="68" customFormat="1" x14ac:dyDescent="0.2">
      <c r="A908" s="147" t="s">
        <v>588</v>
      </c>
      <c r="B908" s="147"/>
      <c r="C908" s="147"/>
      <c r="D908" s="148">
        <v>0</v>
      </c>
      <c r="E908" s="149"/>
      <c r="F908" s="150">
        <v>0.2</v>
      </c>
      <c r="G908" s="150"/>
      <c r="H908" s="67">
        <v>1374</v>
      </c>
      <c r="I908" s="67">
        <f t="shared" si="357"/>
        <v>1313.3883404077337</v>
      </c>
      <c r="J908" s="67">
        <f t="shared" si="345"/>
        <v>1050.710672326187</v>
      </c>
      <c r="K908" s="63"/>
      <c r="L908" s="149">
        <v>0</v>
      </c>
      <c r="M908" s="63">
        <f t="shared" si="354"/>
        <v>0</v>
      </c>
      <c r="N908" s="63">
        <f t="shared" si="346"/>
        <v>0</v>
      </c>
      <c r="O908" s="69"/>
      <c r="P908" s="149">
        <v>0</v>
      </c>
      <c r="Q908" s="63">
        <f t="shared" si="358"/>
        <v>0</v>
      </c>
      <c r="R908" s="64">
        <f t="shared" si="347"/>
        <v>0</v>
      </c>
      <c r="S908" s="148">
        <v>25</v>
      </c>
      <c r="T908" s="151" t="s">
        <v>52</v>
      </c>
      <c r="U908" s="65">
        <f>SUMIF('Avoided Costs 2012-2020_EGD'!$A:$A,'2012 Actuals_Auditor'!T908&amp;'2012 Actuals_Auditor'!S908,'Avoided Costs 2012-2020_EGD'!$E:$E)*J908</f>
        <v>3390.4243903019169</v>
      </c>
      <c r="V908" s="65">
        <f>SUMIF('Avoided Costs 2012-2020_EGD'!$A:$A,'2012 Actuals_Auditor'!T908&amp;'2012 Actuals_Auditor'!S908,'Avoided Costs 2012-2020_EGD'!$K:$K)*N908</f>
        <v>0</v>
      </c>
      <c r="W908" s="65">
        <f>SUMIF('Avoided Costs 2012-2020_EGD'!$A:$A,'2012 Actuals_Auditor'!T908&amp;'2012 Actuals_Auditor'!S908,'Avoided Costs 2012-2020_EGD'!$M:$M)*R908</f>
        <v>0</v>
      </c>
      <c r="X908" s="65">
        <f t="shared" ref="X908:X924" si="359">SUM(U908:W908)</f>
        <v>3390.4243903019169</v>
      </c>
      <c r="Y908" s="146">
        <v>3128</v>
      </c>
      <c r="Z908" s="66">
        <f t="shared" si="348"/>
        <v>2502.4</v>
      </c>
      <c r="AA908" s="66">
        <v>248</v>
      </c>
      <c r="AB908" s="66"/>
      <c r="AC908" s="66"/>
      <c r="AD908" s="66">
        <f t="shared" si="349"/>
        <v>2502.4</v>
      </c>
      <c r="AE908" s="66">
        <f t="shared" si="350"/>
        <v>888.02439030191681</v>
      </c>
      <c r="AF908" s="101">
        <f t="shared" si="351"/>
        <v>26267.766808154676</v>
      </c>
      <c r="AG908" s="101">
        <f t="shared" si="352"/>
        <v>32834.708510193341</v>
      </c>
    </row>
    <row r="909" spans="1:33" s="68" customFormat="1" x14ac:dyDescent="0.2">
      <c r="A909" s="147" t="s">
        <v>589</v>
      </c>
      <c r="B909" s="147"/>
      <c r="C909" s="147"/>
      <c r="D909" s="148">
        <v>1</v>
      </c>
      <c r="E909" s="149"/>
      <c r="F909" s="150">
        <v>0.2</v>
      </c>
      <c r="G909" s="150"/>
      <c r="H909" s="67">
        <v>4444</v>
      </c>
      <c r="I909" s="67">
        <f t="shared" si="357"/>
        <v>4247.9605420465559</v>
      </c>
      <c r="J909" s="67">
        <f t="shared" si="345"/>
        <v>3398.3684336372448</v>
      </c>
      <c r="K909" s="63"/>
      <c r="L909" s="149">
        <v>0</v>
      </c>
      <c r="M909" s="63">
        <f t="shared" si="354"/>
        <v>0</v>
      </c>
      <c r="N909" s="63">
        <f t="shared" si="346"/>
        <v>0</v>
      </c>
      <c r="O909" s="69"/>
      <c r="P909" s="149">
        <v>0</v>
      </c>
      <c r="Q909" s="63">
        <f t="shared" si="358"/>
        <v>0</v>
      </c>
      <c r="R909" s="64">
        <f t="shared" si="347"/>
        <v>0</v>
      </c>
      <c r="S909" s="148">
        <v>25</v>
      </c>
      <c r="T909" s="151" t="s">
        <v>15</v>
      </c>
      <c r="U909" s="65">
        <f>SUMIF('Avoided Costs 2012-2020_EGD'!$A:$A,'2012 Actuals_Auditor'!T909&amp;'2012 Actuals_Auditor'!S909,'Avoided Costs 2012-2020_EGD'!$E:$E)*J909</f>
        <v>11669.980205572523</v>
      </c>
      <c r="V909" s="65">
        <f>SUMIF('Avoided Costs 2012-2020_EGD'!$A:$A,'2012 Actuals_Auditor'!T909&amp;'2012 Actuals_Auditor'!S909,'Avoided Costs 2012-2020_EGD'!$K:$K)*N909</f>
        <v>0</v>
      </c>
      <c r="W909" s="65">
        <f>SUMIF('Avoided Costs 2012-2020_EGD'!$A:$A,'2012 Actuals_Auditor'!T909&amp;'2012 Actuals_Auditor'!S909,'Avoided Costs 2012-2020_EGD'!$M:$M)*R909</f>
        <v>0</v>
      </c>
      <c r="X909" s="65">
        <f t="shared" si="359"/>
        <v>11669.980205572523</v>
      </c>
      <c r="Y909" s="146">
        <v>278</v>
      </c>
      <c r="Z909" s="66">
        <f t="shared" si="348"/>
        <v>222.4</v>
      </c>
      <c r="AA909" s="66">
        <v>827</v>
      </c>
      <c r="AB909" s="66"/>
      <c r="AC909" s="66"/>
      <c r="AD909" s="66">
        <f t="shared" si="349"/>
        <v>222.4</v>
      </c>
      <c r="AE909" s="66">
        <f t="shared" si="350"/>
        <v>11447.580205572523</v>
      </c>
      <c r="AF909" s="101">
        <f t="shared" si="351"/>
        <v>84959.210840931119</v>
      </c>
      <c r="AG909" s="101">
        <f t="shared" si="352"/>
        <v>106199.01355116389</v>
      </c>
    </row>
    <row r="910" spans="1:33" s="68" customFormat="1" x14ac:dyDescent="0.2">
      <c r="A910" s="147" t="s">
        <v>590</v>
      </c>
      <c r="B910" s="147"/>
      <c r="C910" s="147"/>
      <c r="D910" s="148">
        <v>1</v>
      </c>
      <c r="E910" s="149"/>
      <c r="F910" s="150">
        <v>0.2</v>
      </c>
      <c r="G910" s="150"/>
      <c r="H910" s="67">
        <v>149847</v>
      </c>
      <c r="I910" s="67">
        <f t="shared" si="357"/>
        <v>143236.75592800413</v>
      </c>
      <c r="J910" s="67">
        <f t="shared" si="345"/>
        <v>114589.40474240331</v>
      </c>
      <c r="K910" s="63"/>
      <c r="L910" s="149">
        <v>0</v>
      </c>
      <c r="M910" s="63">
        <f t="shared" si="354"/>
        <v>0</v>
      </c>
      <c r="N910" s="63">
        <f t="shared" si="346"/>
        <v>0</v>
      </c>
      <c r="O910" s="69"/>
      <c r="P910" s="149">
        <v>0</v>
      </c>
      <c r="Q910" s="63">
        <f t="shared" si="358"/>
        <v>0</v>
      </c>
      <c r="R910" s="64">
        <f t="shared" si="347"/>
        <v>0</v>
      </c>
      <c r="S910" s="148">
        <v>25</v>
      </c>
      <c r="T910" s="151" t="s">
        <v>15</v>
      </c>
      <c r="U910" s="65">
        <f>SUMIF('Avoided Costs 2012-2020_EGD'!$A:$A,'2012 Actuals_Auditor'!T910&amp;'2012 Actuals_Auditor'!S910,'Avoided Costs 2012-2020_EGD'!$E:$E)*J910</f>
        <v>393499.44281377725</v>
      </c>
      <c r="V910" s="65">
        <f>SUMIF('Avoided Costs 2012-2020_EGD'!$A:$A,'2012 Actuals_Auditor'!T910&amp;'2012 Actuals_Auditor'!S910,'Avoided Costs 2012-2020_EGD'!$K:$K)*N910</f>
        <v>0</v>
      </c>
      <c r="W910" s="65">
        <f>SUMIF('Avoided Costs 2012-2020_EGD'!$A:$A,'2012 Actuals_Auditor'!T910&amp;'2012 Actuals_Auditor'!S910,'Avoided Costs 2012-2020_EGD'!$M:$M)*R910</f>
        <v>0</v>
      </c>
      <c r="X910" s="65">
        <f t="shared" si="359"/>
        <v>393499.44281377725</v>
      </c>
      <c r="Y910" s="146">
        <v>5376</v>
      </c>
      <c r="Z910" s="66">
        <f t="shared" si="348"/>
        <v>4300.8</v>
      </c>
      <c r="AA910" s="66">
        <v>8928.4</v>
      </c>
      <c r="AB910" s="66"/>
      <c r="AC910" s="66"/>
      <c r="AD910" s="66">
        <f t="shared" si="349"/>
        <v>4300.8</v>
      </c>
      <c r="AE910" s="66">
        <f t="shared" si="350"/>
        <v>389198.64281377726</v>
      </c>
      <c r="AF910" s="101">
        <f t="shared" si="351"/>
        <v>2864735.1185600827</v>
      </c>
      <c r="AG910" s="101">
        <f t="shared" si="352"/>
        <v>3580918.8982001031</v>
      </c>
    </row>
    <row r="911" spans="1:33" s="68" customFormat="1" x14ac:dyDescent="0.2">
      <c r="A911" s="141" t="s">
        <v>591</v>
      </c>
      <c r="B911" s="141"/>
      <c r="C911" s="141"/>
      <c r="D911" s="142">
        <v>1</v>
      </c>
      <c r="E911" s="143"/>
      <c r="F911" s="144">
        <v>0.2</v>
      </c>
      <c r="G911" s="144"/>
      <c r="H911" s="67">
        <v>90011</v>
      </c>
      <c r="I911" s="67">
        <f t="shared" si="357"/>
        <v>86040.318710655396</v>
      </c>
      <c r="J911" s="67">
        <f t="shared" si="345"/>
        <v>68832.254968524314</v>
      </c>
      <c r="K911" s="143"/>
      <c r="L911" s="143">
        <v>0</v>
      </c>
      <c r="M911" s="63">
        <f t="shared" si="354"/>
        <v>0</v>
      </c>
      <c r="N911" s="63">
        <f t="shared" si="346"/>
        <v>0</v>
      </c>
      <c r="O911" s="143"/>
      <c r="P911" s="143">
        <v>0</v>
      </c>
      <c r="Q911" s="63">
        <f t="shared" si="358"/>
        <v>0</v>
      </c>
      <c r="R911" s="64">
        <f t="shared" si="347"/>
        <v>0</v>
      </c>
      <c r="S911" s="142">
        <v>25</v>
      </c>
      <c r="T911" s="145" t="s">
        <v>15</v>
      </c>
      <c r="U911" s="65">
        <f>SUMIF('Avoided Costs 2012-2020_EGD'!$A:$A,'2012 Actuals_Auditor'!T911&amp;'2012 Actuals_Auditor'!S911,'Avoided Costs 2012-2020_EGD'!$E:$E)*J911</f>
        <v>236369.61932578497</v>
      </c>
      <c r="V911" s="65">
        <f>SUMIF('Avoided Costs 2012-2020_EGD'!$A:$A,'2012 Actuals_Auditor'!T911&amp;'2012 Actuals_Auditor'!S911,'Avoided Costs 2012-2020_EGD'!$K:$K)*N911</f>
        <v>0</v>
      </c>
      <c r="W911" s="65">
        <f>SUMIF('Avoided Costs 2012-2020_EGD'!$A:$A,'2012 Actuals_Auditor'!T911&amp;'2012 Actuals_Auditor'!S911,'Avoided Costs 2012-2020_EGD'!$M:$M)*R911</f>
        <v>0</v>
      </c>
      <c r="X911" s="65">
        <f t="shared" si="359"/>
        <v>236369.61932578497</v>
      </c>
      <c r="Y911" s="146">
        <v>28004</v>
      </c>
      <c r="Z911" s="66">
        <f t="shared" si="348"/>
        <v>22403.200000000001</v>
      </c>
      <c r="AA911" s="66">
        <v>13666.4</v>
      </c>
      <c r="AB911" s="66"/>
      <c r="AC911" s="66"/>
      <c r="AD911" s="66">
        <f t="shared" si="349"/>
        <v>22403.200000000001</v>
      </c>
      <c r="AE911" s="66">
        <f t="shared" si="350"/>
        <v>213966.41932578495</v>
      </c>
      <c r="AF911" s="101">
        <f t="shared" si="351"/>
        <v>1720806.3742131079</v>
      </c>
      <c r="AG911" s="101">
        <f t="shared" si="352"/>
        <v>2151007.9677663851</v>
      </c>
    </row>
    <row r="912" spans="1:33" s="68" customFormat="1" x14ac:dyDescent="0.2">
      <c r="A912" s="147" t="s">
        <v>592</v>
      </c>
      <c r="B912" s="147"/>
      <c r="C912" s="147"/>
      <c r="D912" s="148">
        <v>0</v>
      </c>
      <c r="E912" s="149"/>
      <c r="F912" s="150">
        <v>0.2</v>
      </c>
      <c r="G912" s="150"/>
      <c r="H912" s="67">
        <v>9789</v>
      </c>
      <c r="I912" s="67">
        <f t="shared" si="357"/>
        <v>9357.1750103721279</v>
      </c>
      <c r="J912" s="67">
        <f t="shared" si="345"/>
        <v>7485.7400082977028</v>
      </c>
      <c r="K912" s="63"/>
      <c r="L912" s="149">
        <v>0</v>
      </c>
      <c r="M912" s="63">
        <f t="shared" si="354"/>
        <v>0</v>
      </c>
      <c r="N912" s="63">
        <f t="shared" si="346"/>
        <v>0</v>
      </c>
      <c r="O912" s="69"/>
      <c r="P912" s="149">
        <v>0</v>
      </c>
      <c r="Q912" s="63">
        <f t="shared" si="358"/>
        <v>0</v>
      </c>
      <c r="R912" s="64">
        <f t="shared" si="347"/>
        <v>0</v>
      </c>
      <c r="S912" s="148">
        <v>25</v>
      </c>
      <c r="T912" s="151" t="s">
        <v>52</v>
      </c>
      <c r="U912" s="65">
        <f>SUMIF('Avoided Costs 2012-2020_EGD'!$A:$A,'2012 Actuals_Auditor'!T912&amp;'2012 Actuals_Auditor'!S912,'Avoided Costs 2012-2020_EGD'!$E:$E)*J912</f>
        <v>24154.923112565837</v>
      </c>
      <c r="V912" s="65">
        <f>SUMIF('Avoided Costs 2012-2020_EGD'!$A:$A,'2012 Actuals_Auditor'!T912&amp;'2012 Actuals_Auditor'!S912,'Avoided Costs 2012-2020_EGD'!$K:$K)*N912</f>
        <v>0</v>
      </c>
      <c r="W912" s="65">
        <f>SUMIF('Avoided Costs 2012-2020_EGD'!$A:$A,'2012 Actuals_Auditor'!T912&amp;'2012 Actuals_Auditor'!S912,'Avoided Costs 2012-2020_EGD'!$M:$M)*R912</f>
        <v>0</v>
      </c>
      <c r="X912" s="65">
        <f t="shared" si="359"/>
        <v>24154.923112565837</v>
      </c>
      <c r="Y912" s="146">
        <v>14348</v>
      </c>
      <c r="Z912" s="66">
        <f t="shared" si="348"/>
        <v>11478.400000000001</v>
      </c>
      <c r="AA912" s="66">
        <v>1700</v>
      </c>
      <c r="AB912" s="66"/>
      <c r="AC912" s="66"/>
      <c r="AD912" s="66">
        <f t="shared" si="349"/>
        <v>11478.400000000001</v>
      </c>
      <c r="AE912" s="66">
        <f t="shared" si="350"/>
        <v>12676.523112565836</v>
      </c>
      <c r="AF912" s="101">
        <f t="shared" si="351"/>
        <v>187143.50020744256</v>
      </c>
      <c r="AG912" s="101">
        <f t="shared" si="352"/>
        <v>233929.3752593032</v>
      </c>
    </row>
    <row r="913" spans="1:33" s="68" customFormat="1" x14ac:dyDescent="0.2">
      <c r="A913" s="147" t="s">
        <v>593</v>
      </c>
      <c r="B913" s="147"/>
      <c r="C913" s="147"/>
      <c r="D913" s="148">
        <v>1</v>
      </c>
      <c r="E913" s="149"/>
      <c r="F913" s="150">
        <v>0.2</v>
      </c>
      <c r="G913" s="150"/>
      <c r="H913" s="67">
        <v>103889</v>
      </c>
      <c r="I913" s="67">
        <f t="shared" si="357"/>
        <v>99306.114480799879</v>
      </c>
      <c r="J913" s="67">
        <f t="shared" si="345"/>
        <v>79444.891584639903</v>
      </c>
      <c r="K913" s="63"/>
      <c r="L913" s="149">
        <v>0</v>
      </c>
      <c r="M913" s="63">
        <f t="shared" si="354"/>
        <v>0</v>
      </c>
      <c r="N913" s="63">
        <f t="shared" si="346"/>
        <v>0</v>
      </c>
      <c r="O913" s="69"/>
      <c r="P913" s="149">
        <v>0</v>
      </c>
      <c r="Q913" s="63">
        <f t="shared" si="358"/>
        <v>0</v>
      </c>
      <c r="R913" s="64">
        <f t="shared" si="347"/>
        <v>0</v>
      </c>
      <c r="S913" s="148">
        <v>25</v>
      </c>
      <c r="T913" s="151" t="s">
        <v>15</v>
      </c>
      <c r="U913" s="65">
        <f>SUMIF('Avoided Costs 2012-2020_EGD'!$A:$A,'2012 Actuals_Auditor'!T913&amp;'2012 Actuals_Auditor'!S913,'Avoided Costs 2012-2020_EGD'!$E:$E)*J913</f>
        <v>272813.36039080191</v>
      </c>
      <c r="V913" s="65">
        <f>SUMIF('Avoided Costs 2012-2020_EGD'!$A:$A,'2012 Actuals_Auditor'!T913&amp;'2012 Actuals_Auditor'!S913,'Avoided Costs 2012-2020_EGD'!$K:$K)*N913</f>
        <v>0</v>
      </c>
      <c r="W913" s="65">
        <f>SUMIF('Avoided Costs 2012-2020_EGD'!$A:$A,'2012 Actuals_Auditor'!T913&amp;'2012 Actuals_Auditor'!S913,'Avoided Costs 2012-2020_EGD'!$M:$M)*R913</f>
        <v>0</v>
      </c>
      <c r="X913" s="65">
        <f t="shared" si="359"/>
        <v>272813.36039080191</v>
      </c>
      <c r="Y913" s="146">
        <v>47764</v>
      </c>
      <c r="Z913" s="66">
        <f t="shared" si="348"/>
        <v>38211.200000000004</v>
      </c>
      <c r="AA913" s="66">
        <v>14966</v>
      </c>
      <c r="AB913" s="66"/>
      <c r="AC913" s="66"/>
      <c r="AD913" s="66">
        <f t="shared" si="349"/>
        <v>38211.200000000004</v>
      </c>
      <c r="AE913" s="66">
        <f t="shared" si="350"/>
        <v>234602.1603908019</v>
      </c>
      <c r="AF913" s="101">
        <f t="shared" si="351"/>
        <v>1986122.2896159976</v>
      </c>
      <c r="AG913" s="101">
        <f t="shared" si="352"/>
        <v>2482652.8620199971</v>
      </c>
    </row>
    <row r="914" spans="1:33" s="68" customFormat="1" x14ac:dyDescent="0.2">
      <c r="A914" s="147" t="s">
        <v>594</v>
      </c>
      <c r="B914" s="147"/>
      <c r="C914" s="147"/>
      <c r="D914" s="148">
        <v>1</v>
      </c>
      <c r="E914" s="149"/>
      <c r="F914" s="150">
        <v>0.2</v>
      </c>
      <c r="G914" s="150"/>
      <c r="H914" s="67">
        <v>94987</v>
      </c>
      <c r="I914" s="67">
        <f t="shared" si="357"/>
        <v>90796.810982757932</v>
      </c>
      <c r="J914" s="67">
        <f t="shared" ref="J914:J965" si="360">I914*(1-F914)</f>
        <v>72637.448786206354</v>
      </c>
      <c r="K914" s="63"/>
      <c r="L914" s="149">
        <v>0</v>
      </c>
      <c r="M914" s="63">
        <f t="shared" si="354"/>
        <v>0</v>
      </c>
      <c r="N914" s="63">
        <f t="shared" ref="N914:N965" si="361">M914*(1-F914)</f>
        <v>0</v>
      </c>
      <c r="O914" s="69"/>
      <c r="P914" s="149">
        <v>0</v>
      </c>
      <c r="Q914" s="63">
        <f t="shared" si="358"/>
        <v>0</v>
      </c>
      <c r="R914" s="64">
        <f t="shared" ref="R914:R965" si="362">Q914*(1-F914)</f>
        <v>0</v>
      </c>
      <c r="S914" s="148">
        <v>25</v>
      </c>
      <c r="T914" s="151" t="s">
        <v>15</v>
      </c>
      <c r="U914" s="65">
        <f>SUMIF('Avoided Costs 2012-2020_EGD'!$A:$A,'2012 Actuals_Auditor'!T914&amp;'2012 Actuals_Auditor'!S914,'Avoided Costs 2012-2020_EGD'!$E:$E)*J914</f>
        <v>249436.63586559799</v>
      </c>
      <c r="V914" s="65">
        <f>SUMIF('Avoided Costs 2012-2020_EGD'!$A:$A,'2012 Actuals_Auditor'!T914&amp;'2012 Actuals_Auditor'!S914,'Avoided Costs 2012-2020_EGD'!$K:$K)*N914</f>
        <v>0</v>
      </c>
      <c r="W914" s="65">
        <f>SUMIF('Avoided Costs 2012-2020_EGD'!$A:$A,'2012 Actuals_Auditor'!T914&amp;'2012 Actuals_Auditor'!S914,'Avoided Costs 2012-2020_EGD'!$M:$M)*R914</f>
        <v>0</v>
      </c>
      <c r="X914" s="65">
        <f t="shared" si="359"/>
        <v>249436.63586559799</v>
      </c>
      <c r="Y914" s="146">
        <v>28512</v>
      </c>
      <c r="Z914" s="66">
        <f t="shared" ref="Z914:Z965" si="363">Y914*(1-F914)</f>
        <v>22809.600000000002</v>
      </c>
      <c r="AA914" s="66">
        <v>14215</v>
      </c>
      <c r="AB914" s="66"/>
      <c r="AC914" s="66"/>
      <c r="AD914" s="66">
        <f t="shared" ref="AD914:AD966" si="364">Z914+AB914</f>
        <v>22809.600000000002</v>
      </c>
      <c r="AE914" s="66">
        <f t="shared" ref="AE914:AE977" si="365">X914-AD914</f>
        <v>226627.03586559798</v>
      </c>
      <c r="AF914" s="101">
        <f t="shared" ref="AF914:AF965" si="366">J914*S914</f>
        <v>1815936.2196551589</v>
      </c>
      <c r="AG914" s="101">
        <f t="shared" ref="AG914:AG965" si="367">(I914*S914)</f>
        <v>2269920.2745689484</v>
      </c>
    </row>
    <row r="915" spans="1:33" s="68" customFormat="1" x14ac:dyDescent="0.2">
      <c r="A915" s="141" t="s">
        <v>595</v>
      </c>
      <c r="B915" s="141"/>
      <c r="C915" s="141"/>
      <c r="D915" s="142">
        <v>0</v>
      </c>
      <c r="E915" s="143"/>
      <c r="F915" s="144">
        <v>0.2</v>
      </c>
      <c r="G915" s="144"/>
      <c r="H915" s="67">
        <v>10471</v>
      </c>
      <c r="I915" s="67">
        <f t="shared" si="357"/>
        <v>10009.089747022837</v>
      </c>
      <c r="J915" s="67">
        <f t="shared" si="360"/>
        <v>8007.2717976182703</v>
      </c>
      <c r="K915" s="143"/>
      <c r="L915" s="143">
        <v>0</v>
      </c>
      <c r="M915" s="63">
        <f t="shared" si="354"/>
        <v>0</v>
      </c>
      <c r="N915" s="63">
        <f t="shared" si="361"/>
        <v>0</v>
      </c>
      <c r="O915" s="143"/>
      <c r="P915" s="143">
        <v>0</v>
      </c>
      <c r="Q915" s="63">
        <f t="shared" si="358"/>
        <v>0</v>
      </c>
      <c r="R915" s="64">
        <f t="shared" si="362"/>
        <v>0</v>
      </c>
      <c r="S915" s="142">
        <v>25</v>
      </c>
      <c r="T915" s="145" t="s">
        <v>52</v>
      </c>
      <c r="U915" s="65">
        <f>SUMIF('Avoided Costs 2012-2020_EGD'!$A:$A,'2012 Actuals_Auditor'!T915&amp;'2012 Actuals_Auditor'!S915,'Avoided Costs 2012-2020_EGD'!$E:$E)*J915</f>
        <v>25837.797518814677</v>
      </c>
      <c r="V915" s="65">
        <f>SUMIF('Avoided Costs 2012-2020_EGD'!$A:$A,'2012 Actuals_Auditor'!T915&amp;'2012 Actuals_Auditor'!S915,'Avoided Costs 2012-2020_EGD'!$K:$K)*N915</f>
        <v>0</v>
      </c>
      <c r="W915" s="65">
        <f>SUMIF('Avoided Costs 2012-2020_EGD'!$A:$A,'2012 Actuals_Auditor'!T915&amp;'2012 Actuals_Auditor'!S915,'Avoided Costs 2012-2020_EGD'!$M:$M)*R915</f>
        <v>0</v>
      </c>
      <c r="X915" s="65">
        <f t="shared" si="359"/>
        <v>25837.797518814677</v>
      </c>
      <c r="Y915" s="146">
        <v>11902</v>
      </c>
      <c r="Z915" s="66">
        <f t="shared" si="363"/>
        <v>9521.6</v>
      </c>
      <c r="AA915" s="66">
        <v>3012.94</v>
      </c>
      <c r="AB915" s="66"/>
      <c r="AC915" s="66"/>
      <c r="AD915" s="66">
        <f t="shared" si="364"/>
        <v>9521.6</v>
      </c>
      <c r="AE915" s="66">
        <f t="shared" si="365"/>
        <v>16316.197518814677</v>
      </c>
      <c r="AF915" s="101">
        <f t="shared" si="366"/>
        <v>200181.79494045675</v>
      </c>
      <c r="AG915" s="101">
        <f t="shared" si="367"/>
        <v>250227.24367557094</v>
      </c>
    </row>
    <row r="916" spans="1:33" s="68" customFormat="1" x14ac:dyDescent="0.2">
      <c r="A916" s="141" t="s">
        <v>596</v>
      </c>
      <c r="B916" s="141"/>
      <c r="C916" s="141"/>
      <c r="D916" s="142">
        <v>1</v>
      </c>
      <c r="E916" s="143"/>
      <c r="F916" s="144">
        <v>0.2</v>
      </c>
      <c r="G916" s="144"/>
      <c r="H916" s="67">
        <v>57682</v>
      </c>
      <c r="I916" s="67">
        <f t="shared" si="357"/>
        <v>55137.457242648394</v>
      </c>
      <c r="J916" s="67">
        <f t="shared" si="360"/>
        <v>44109.965794118718</v>
      </c>
      <c r="K916" s="143"/>
      <c r="L916" s="143">
        <v>0</v>
      </c>
      <c r="M916" s="63">
        <f t="shared" si="354"/>
        <v>0</v>
      </c>
      <c r="N916" s="63">
        <f t="shared" si="361"/>
        <v>0</v>
      </c>
      <c r="O916" s="143"/>
      <c r="P916" s="143">
        <v>0</v>
      </c>
      <c r="Q916" s="63">
        <f t="shared" si="358"/>
        <v>0</v>
      </c>
      <c r="R916" s="64">
        <f t="shared" si="362"/>
        <v>0</v>
      </c>
      <c r="S916" s="142">
        <v>25</v>
      </c>
      <c r="T916" s="145" t="s">
        <v>15</v>
      </c>
      <c r="U916" s="65">
        <f>SUMIF('Avoided Costs 2012-2020_EGD'!$A:$A,'2012 Actuals_Auditor'!T916&amp;'2012 Actuals_Auditor'!S916,'Avoided Costs 2012-2020_EGD'!$E:$E)*J916</f>
        <v>151473.40193920664</v>
      </c>
      <c r="V916" s="65">
        <f>SUMIF('Avoided Costs 2012-2020_EGD'!$A:$A,'2012 Actuals_Auditor'!T916&amp;'2012 Actuals_Auditor'!S916,'Avoided Costs 2012-2020_EGD'!$K:$K)*N916</f>
        <v>0</v>
      </c>
      <c r="W916" s="65">
        <f>SUMIF('Avoided Costs 2012-2020_EGD'!$A:$A,'2012 Actuals_Auditor'!T916&amp;'2012 Actuals_Auditor'!S916,'Avoided Costs 2012-2020_EGD'!$M:$M)*R916</f>
        <v>0</v>
      </c>
      <c r="X916" s="65">
        <f t="shared" si="359"/>
        <v>151473.40193920664</v>
      </c>
      <c r="Y916" s="146">
        <v>20884</v>
      </c>
      <c r="Z916" s="66">
        <f t="shared" si="363"/>
        <v>16707.2</v>
      </c>
      <c r="AA916" s="66">
        <v>12373.06</v>
      </c>
      <c r="AB916" s="66"/>
      <c r="AC916" s="66"/>
      <c r="AD916" s="66">
        <f t="shared" si="364"/>
        <v>16707.2</v>
      </c>
      <c r="AE916" s="66">
        <f t="shared" si="365"/>
        <v>134766.20193920663</v>
      </c>
      <c r="AF916" s="101">
        <f t="shared" si="366"/>
        <v>1102749.1448529679</v>
      </c>
      <c r="AG916" s="101">
        <f t="shared" si="367"/>
        <v>1378436.4310662099</v>
      </c>
    </row>
    <row r="917" spans="1:33" s="68" customFormat="1" x14ac:dyDescent="0.2">
      <c r="A917" s="141" t="s">
        <v>597</v>
      </c>
      <c r="B917" s="141"/>
      <c r="C917" s="141"/>
      <c r="D917" s="142">
        <v>0</v>
      </c>
      <c r="E917" s="143"/>
      <c r="F917" s="144">
        <v>0.2</v>
      </c>
      <c r="G917" s="144"/>
      <c r="H917" s="67">
        <v>13734</v>
      </c>
      <c r="I917" s="67">
        <f t="shared" si="357"/>
        <v>13128.148083813547</v>
      </c>
      <c r="J917" s="67">
        <f t="shared" si="360"/>
        <v>10502.518467050839</v>
      </c>
      <c r="K917" s="143"/>
      <c r="L917" s="143">
        <v>0</v>
      </c>
      <c r="M917" s="63">
        <f t="shared" si="354"/>
        <v>0</v>
      </c>
      <c r="N917" s="63">
        <f t="shared" si="361"/>
        <v>0</v>
      </c>
      <c r="O917" s="143"/>
      <c r="P917" s="143">
        <v>0</v>
      </c>
      <c r="Q917" s="63">
        <f t="shared" si="358"/>
        <v>0</v>
      </c>
      <c r="R917" s="64">
        <f t="shared" si="362"/>
        <v>0</v>
      </c>
      <c r="S917" s="142">
        <v>25</v>
      </c>
      <c r="T917" s="145" t="s">
        <v>52</v>
      </c>
      <c r="U917" s="65">
        <f>SUMIF('Avoided Costs 2012-2020_EGD'!$A:$A,'2012 Actuals_Auditor'!T917&amp;'2012 Actuals_Auditor'!S917,'Avoided Costs 2012-2020_EGD'!$E:$E)*J917</f>
        <v>33889.43855633663</v>
      </c>
      <c r="V917" s="65">
        <f>SUMIF('Avoided Costs 2012-2020_EGD'!$A:$A,'2012 Actuals_Auditor'!T917&amp;'2012 Actuals_Auditor'!S917,'Avoided Costs 2012-2020_EGD'!$K:$K)*N917</f>
        <v>0</v>
      </c>
      <c r="W917" s="65">
        <f>SUMIF('Avoided Costs 2012-2020_EGD'!$A:$A,'2012 Actuals_Auditor'!T917&amp;'2012 Actuals_Auditor'!S917,'Avoided Costs 2012-2020_EGD'!$M:$M)*R917</f>
        <v>0</v>
      </c>
      <c r="X917" s="65">
        <f t="shared" si="359"/>
        <v>33889.43855633663</v>
      </c>
      <c r="Y917" s="146">
        <v>15514</v>
      </c>
      <c r="Z917" s="66">
        <f t="shared" si="363"/>
        <v>12411.2</v>
      </c>
      <c r="AA917" s="66">
        <v>3273</v>
      </c>
      <c r="AB917" s="66"/>
      <c r="AC917" s="66"/>
      <c r="AD917" s="66">
        <f t="shared" si="364"/>
        <v>12411.2</v>
      </c>
      <c r="AE917" s="66">
        <f t="shared" si="365"/>
        <v>21478.23855633663</v>
      </c>
      <c r="AF917" s="101">
        <f t="shared" si="366"/>
        <v>262562.96167627099</v>
      </c>
      <c r="AG917" s="101">
        <f t="shared" si="367"/>
        <v>328203.70209533867</v>
      </c>
    </row>
    <row r="918" spans="1:33" s="68" customFormat="1" x14ac:dyDescent="0.2">
      <c r="A918" s="147" t="s">
        <v>598</v>
      </c>
      <c r="B918" s="147"/>
      <c r="C918" s="147"/>
      <c r="D918" s="148">
        <v>1</v>
      </c>
      <c r="E918" s="149"/>
      <c r="F918" s="150">
        <v>0.2</v>
      </c>
      <c r="G918" s="150"/>
      <c r="H918" s="67">
        <v>35991</v>
      </c>
      <c r="I918" s="67">
        <f t="shared" si="357"/>
        <v>34403.318602339692</v>
      </c>
      <c r="J918" s="67">
        <f t="shared" si="360"/>
        <v>27522.654881871757</v>
      </c>
      <c r="K918" s="63"/>
      <c r="L918" s="149">
        <v>0</v>
      </c>
      <c r="M918" s="63">
        <f t="shared" ref="M918:M957" si="368">+$L$42*L918</f>
        <v>0</v>
      </c>
      <c r="N918" s="63">
        <f t="shared" si="361"/>
        <v>0</v>
      </c>
      <c r="O918" s="69"/>
      <c r="P918" s="149">
        <v>0</v>
      </c>
      <c r="Q918" s="63">
        <f t="shared" si="358"/>
        <v>0</v>
      </c>
      <c r="R918" s="64">
        <f t="shared" si="362"/>
        <v>0</v>
      </c>
      <c r="S918" s="148">
        <v>25</v>
      </c>
      <c r="T918" s="151" t="s">
        <v>15</v>
      </c>
      <c r="U918" s="65">
        <f>SUMIF('Avoided Costs 2012-2020_EGD'!$A:$A,'2012 Actuals_Auditor'!T918&amp;'2012 Actuals_Auditor'!S918,'Avoided Costs 2012-2020_EGD'!$E:$E)*J918</f>
        <v>94512.659221143273</v>
      </c>
      <c r="V918" s="65">
        <f>SUMIF('Avoided Costs 2012-2020_EGD'!$A:$A,'2012 Actuals_Auditor'!T918&amp;'2012 Actuals_Auditor'!S918,'Avoided Costs 2012-2020_EGD'!$K:$K)*N918</f>
        <v>0</v>
      </c>
      <c r="W918" s="65">
        <f>SUMIF('Avoided Costs 2012-2020_EGD'!$A:$A,'2012 Actuals_Auditor'!T918&amp;'2012 Actuals_Auditor'!S918,'Avoided Costs 2012-2020_EGD'!$M:$M)*R918</f>
        <v>0</v>
      </c>
      <c r="X918" s="65">
        <f t="shared" si="359"/>
        <v>94512.659221143273</v>
      </c>
      <c r="Y918" s="146">
        <v>20130</v>
      </c>
      <c r="Z918" s="66">
        <f t="shared" si="363"/>
        <v>16104</v>
      </c>
      <c r="AA918" s="66">
        <v>8056</v>
      </c>
      <c r="AB918" s="66"/>
      <c r="AC918" s="66"/>
      <c r="AD918" s="66">
        <f t="shared" si="364"/>
        <v>16104</v>
      </c>
      <c r="AE918" s="66">
        <f t="shared" si="365"/>
        <v>78408.659221143273</v>
      </c>
      <c r="AF918" s="101">
        <f t="shared" si="366"/>
        <v>688066.37204679393</v>
      </c>
      <c r="AG918" s="101">
        <f t="shared" si="367"/>
        <v>860082.96505849226</v>
      </c>
    </row>
    <row r="919" spans="1:33" s="68" customFormat="1" x14ac:dyDescent="0.2">
      <c r="A919" s="147" t="s">
        <v>599</v>
      </c>
      <c r="B919" s="147"/>
      <c r="C919" s="147"/>
      <c r="D919" s="148">
        <v>1</v>
      </c>
      <c r="E919" s="149"/>
      <c r="F919" s="150">
        <v>0.2</v>
      </c>
      <c r="G919" s="150"/>
      <c r="H919" s="67">
        <v>32419</v>
      </c>
      <c r="I919" s="67">
        <f t="shared" si="357"/>
        <v>30988.891271963839</v>
      </c>
      <c r="J919" s="67">
        <f t="shared" si="360"/>
        <v>24791.113017571071</v>
      </c>
      <c r="K919" s="63"/>
      <c r="L919" s="149">
        <v>0</v>
      </c>
      <c r="M919" s="63">
        <f t="shared" si="368"/>
        <v>0</v>
      </c>
      <c r="N919" s="63">
        <f t="shared" si="361"/>
        <v>0</v>
      </c>
      <c r="O919" s="69"/>
      <c r="P919" s="149">
        <v>0</v>
      </c>
      <c r="Q919" s="63">
        <f t="shared" si="358"/>
        <v>0</v>
      </c>
      <c r="R919" s="64">
        <f t="shared" si="362"/>
        <v>0</v>
      </c>
      <c r="S919" s="148">
        <v>25</v>
      </c>
      <c r="T919" s="151" t="s">
        <v>15</v>
      </c>
      <c r="U919" s="65">
        <f>SUMIF('Avoided Costs 2012-2020_EGD'!$A:$A,'2012 Actuals_Auditor'!T919&amp;'2012 Actuals_Auditor'!S919,'Avoided Costs 2012-2020_EGD'!$E:$E)*J919</f>
        <v>85132.558119814494</v>
      </c>
      <c r="V919" s="65">
        <f>SUMIF('Avoided Costs 2012-2020_EGD'!$A:$A,'2012 Actuals_Auditor'!T919&amp;'2012 Actuals_Auditor'!S919,'Avoided Costs 2012-2020_EGD'!$K:$K)*N919</f>
        <v>0</v>
      </c>
      <c r="W919" s="65">
        <f>SUMIF('Avoided Costs 2012-2020_EGD'!$A:$A,'2012 Actuals_Auditor'!T919&amp;'2012 Actuals_Auditor'!S919,'Avoided Costs 2012-2020_EGD'!$M:$M)*R919</f>
        <v>0</v>
      </c>
      <c r="X919" s="65">
        <f t="shared" si="359"/>
        <v>85132.558119814494</v>
      </c>
      <c r="Y919" s="146">
        <v>26758</v>
      </c>
      <c r="Z919" s="66">
        <f t="shared" si="363"/>
        <v>21406.400000000001</v>
      </c>
      <c r="AA919" s="66">
        <v>6399.7</v>
      </c>
      <c r="AB919" s="66"/>
      <c r="AC919" s="66"/>
      <c r="AD919" s="66">
        <f t="shared" si="364"/>
        <v>21406.400000000001</v>
      </c>
      <c r="AE919" s="66">
        <f t="shared" si="365"/>
        <v>63726.158119814492</v>
      </c>
      <c r="AF919" s="101">
        <f t="shared" si="366"/>
        <v>619777.82543927676</v>
      </c>
      <c r="AG919" s="101">
        <f t="shared" si="367"/>
        <v>774722.28179909603</v>
      </c>
    </row>
    <row r="920" spans="1:33" s="68" customFormat="1" x14ac:dyDescent="0.2">
      <c r="A920" s="147" t="s">
        <v>600</v>
      </c>
      <c r="B920" s="147"/>
      <c r="C920" s="147"/>
      <c r="D920" s="148">
        <v>1</v>
      </c>
      <c r="E920" s="149"/>
      <c r="F920" s="150">
        <v>0.2</v>
      </c>
      <c r="G920" s="150"/>
      <c r="H920" s="67">
        <v>10079</v>
      </c>
      <c r="I920" s="67">
        <f t="shared" si="357"/>
        <v>9634.3821564552745</v>
      </c>
      <c r="J920" s="67">
        <f t="shared" si="360"/>
        <v>7707.5057251642202</v>
      </c>
      <c r="K920" s="63"/>
      <c r="L920" s="149">
        <v>0</v>
      </c>
      <c r="M920" s="63">
        <f t="shared" si="368"/>
        <v>0</v>
      </c>
      <c r="N920" s="63">
        <f t="shared" si="361"/>
        <v>0</v>
      </c>
      <c r="O920" s="69"/>
      <c r="P920" s="149">
        <v>0</v>
      </c>
      <c r="Q920" s="63">
        <f t="shared" si="358"/>
        <v>0</v>
      </c>
      <c r="R920" s="64">
        <f t="shared" si="362"/>
        <v>0</v>
      </c>
      <c r="S920" s="148">
        <v>25</v>
      </c>
      <c r="T920" s="151" t="s">
        <v>15</v>
      </c>
      <c r="U920" s="65">
        <f>SUMIF('Avoided Costs 2012-2020_EGD'!$A:$A,'2012 Actuals_Auditor'!T920&amp;'2012 Actuals_Auditor'!S920,'Avoided Costs 2012-2020_EGD'!$E:$E)*J920</f>
        <v>26467.536114303661</v>
      </c>
      <c r="V920" s="65">
        <f>SUMIF('Avoided Costs 2012-2020_EGD'!$A:$A,'2012 Actuals_Auditor'!T920&amp;'2012 Actuals_Auditor'!S920,'Avoided Costs 2012-2020_EGD'!$K:$K)*N920</f>
        <v>0</v>
      </c>
      <c r="W920" s="65">
        <f>SUMIF('Avoided Costs 2012-2020_EGD'!$A:$A,'2012 Actuals_Auditor'!T920&amp;'2012 Actuals_Auditor'!S920,'Avoided Costs 2012-2020_EGD'!$M:$M)*R920</f>
        <v>0</v>
      </c>
      <c r="X920" s="65">
        <f t="shared" si="359"/>
        <v>26467.536114303661</v>
      </c>
      <c r="Y920" s="146">
        <v>2603</v>
      </c>
      <c r="Z920" s="66">
        <f t="shared" si="363"/>
        <v>2082.4</v>
      </c>
      <c r="AA920" s="66">
        <v>1307</v>
      </c>
      <c r="AB920" s="66"/>
      <c r="AC920" s="66"/>
      <c r="AD920" s="66">
        <f t="shared" si="364"/>
        <v>2082.4</v>
      </c>
      <c r="AE920" s="66">
        <f t="shared" si="365"/>
        <v>24385.136114303659</v>
      </c>
      <c r="AF920" s="101">
        <f t="shared" si="366"/>
        <v>192687.64312910551</v>
      </c>
      <c r="AG920" s="101">
        <f t="shared" si="367"/>
        <v>240859.55391138187</v>
      </c>
    </row>
    <row r="921" spans="1:33" s="68" customFormat="1" x14ac:dyDescent="0.2">
      <c r="A921" s="147" t="s">
        <v>601</v>
      </c>
      <c r="B921" s="147"/>
      <c r="C921" s="147"/>
      <c r="D921" s="148">
        <v>1</v>
      </c>
      <c r="E921" s="149"/>
      <c r="F921" s="150">
        <v>0.2</v>
      </c>
      <c r="G921" s="150"/>
      <c r="H921" s="67">
        <v>43276</v>
      </c>
      <c r="I921" s="67">
        <f t="shared" si="357"/>
        <v>41366.953289290454</v>
      </c>
      <c r="J921" s="67">
        <f t="shared" si="360"/>
        <v>33093.562631432367</v>
      </c>
      <c r="K921" s="63"/>
      <c r="L921" s="149">
        <v>66005</v>
      </c>
      <c r="M921" s="63">
        <f t="shared" si="368"/>
        <v>66005</v>
      </c>
      <c r="N921" s="63">
        <f t="shared" si="361"/>
        <v>52804</v>
      </c>
      <c r="O921" s="69"/>
      <c r="P921" s="149">
        <v>0</v>
      </c>
      <c r="Q921" s="63">
        <f t="shared" si="358"/>
        <v>0</v>
      </c>
      <c r="R921" s="64">
        <f t="shared" si="362"/>
        <v>0</v>
      </c>
      <c r="S921" s="148">
        <v>15</v>
      </c>
      <c r="T921" s="151" t="s">
        <v>15</v>
      </c>
      <c r="U921" s="65">
        <f>SUMIF('Avoided Costs 2012-2020_EGD'!$A:$A,'2012 Actuals_Auditor'!T921&amp;'2012 Actuals_Auditor'!S921,'Avoided Costs 2012-2020_EGD'!$E:$E)*J921</f>
        <v>80414.176120395248</v>
      </c>
      <c r="V921" s="65">
        <f>SUMIF('Avoided Costs 2012-2020_EGD'!$A:$A,'2012 Actuals_Auditor'!T921&amp;'2012 Actuals_Auditor'!S921,'Avoided Costs 2012-2020_EGD'!$K:$K)*N921</f>
        <v>54376.684020887988</v>
      </c>
      <c r="W921" s="65">
        <f>SUMIF('Avoided Costs 2012-2020_EGD'!$A:$A,'2012 Actuals_Auditor'!T921&amp;'2012 Actuals_Auditor'!S921,'Avoided Costs 2012-2020_EGD'!$M:$M)*R921</f>
        <v>0</v>
      </c>
      <c r="X921" s="65">
        <f t="shared" si="359"/>
        <v>134790.86014128325</v>
      </c>
      <c r="Y921" s="146">
        <v>7766</v>
      </c>
      <c r="Z921" s="66">
        <f t="shared" si="363"/>
        <v>6212.8</v>
      </c>
      <c r="AA921" s="66">
        <v>3883</v>
      </c>
      <c r="AB921" s="66"/>
      <c r="AC921" s="66"/>
      <c r="AD921" s="66">
        <f t="shared" si="364"/>
        <v>6212.8</v>
      </c>
      <c r="AE921" s="66">
        <f t="shared" si="365"/>
        <v>128578.06014128325</v>
      </c>
      <c r="AF921" s="101">
        <f t="shared" si="366"/>
        <v>496403.4394714855</v>
      </c>
      <c r="AG921" s="101">
        <f t="shared" si="367"/>
        <v>620504.29933935683</v>
      </c>
    </row>
    <row r="922" spans="1:33" s="68" customFormat="1" x14ac:dyDescent="0.2">
      <c r="A922" s="147" t="s">
        <v>602</v>
      </c>
      <c r="B922" s="147"/>
      <c r="C922" s="147"/>
      <c r="D922" s="148">
        <v>0</v>
      </c>
      <c r="E922" s="149"/>
      <c r="F922" s="150">
        <v>0.2</v>
      </c>
      <c r="G922" s="150"/>
      <c r="H922" s="67">
        <v>902</v>
      </c>
      <c r="I922" s="67">
        <f t="shared" si="357"/>
        <v>862.2098129896475</v>
      </c>
      <c r="J922" s="67">
        <f t="shared" si="360"/>
        <v>689.76785039171807</v>
      </c>
      <c r="K922" s="63"/>
      <c r="L922" s="149">
        <v>0</v>
      </c>
      <c r="M922" s="63">
        <f t="shared" si="368"/>
        <v>0</v>
      </c>
      <c r="N922" s="63">
        <f t="shared" si="361"/>
        <v>0</v>
      </c>
      <c r="O922" s="69"/>
      <c r="P922" s="149">
        <v>0</v>
      </c>
      <c r="Q922" s="63">
        <f t="shared" si="358"/>
        <v>0</v>
      </c>
      <c r="R922" s="64">
        <f t="shared" si="362"/>
        <v>0</v>
      </c>
      <c r="S922" s="148">
        <v>15</v>
      </c>
      <c r="T922" s="151" t="s">
        <v>15</v>
      </c>
      <c r="U922" s="65">
        <f>SUMIF('Avoided Costs 2012-2020_EGD'!$A:$A,'2012 Actuals_Auditor'!T922&amp;'2012 Actuals_Auditor'!S922,'Avoided Costs 2012-2020_EGD'!$E:$E)*J922</f>
        <v>1676.0695734494063</v>
      </c>
      <c r="V922" s="65">
        <f>SUMIF('Avoided Costs 2012-2020_EGD'!$A:$A,'2012 Actuals_Auditor'!T922&amp;'2012 Actuals_Auditor'!S922,'Avoided Costs 2012-2020_EGD'!$K:$K)*N922</f>
        <v>0</v>
      </c>
      <c r="W922" s="65">
        <f>SUMIF('Avoided Costs 2012-2020_EGD'!$A:$A,'2012 Actuals_Auditor'!T922&amp;'2012 Actuals_Auditor'!S922,'Avoided Costs 2012-2020_EGD'!$M:$M)*R922</f>
        <v>0</v>
      </c>
      <c r="X922" s="65">
        <f t="shared" si="359"/>
        <v>1676.0695734494063</v>
      </c>
      <c r="Y922" s="146">
        <v>1082</v>
      </c>
      <c r="Z922" s="66">
        <f t="shared" si="363"/>
        <v>865.6</v>
      </c>
      <c r="AA922" s="66">
        <v>0</v>
      </c>
      <c r="AB922" s="66"/>
      <c r="AC922" s="66"/>
      <c r="AD922" s="66">
        <f t="shared" si="364"/>
        <v>865.6</v>
      </c>
      <c r="AE922" s="66">
        <f t="shared" si="365"/>
        <v>810.46957344940631</v>
      </c>
      <c r="AF922" s="101">
        <f t="shared" si="366"/>
        <v>10346.517755875771</v>
      </c>
      <c r="AG922" s="101">
        <f t="shared" si="367"/>
        <v>12933.147194844712</v>
      </c>
    </row>
    <row r="923" spans="1:33" s="68" customFormat="1" x14ac:dyDescent="0.2">
      <c r="A923" s="147" t="s">
        <v>603</v>
      </c>
      <c r="B923" s="147"/>
      <c r="C923" s="147"/>
      <c r="D923" s="148">
        <v>1</v>
      </c>
      <c r="E923" s="149"/>
      <c r="F923" s="150">
        <v>0.2</v>
      </c>
      <c r="G923" s="150"/>
      <c r="H923" s="67">
        <v>3484</v>
      </c>
      <c r="I923" s="67">
        <f t="shared" si="357"/>
        <v>3330.3092998402794</v>
      </c>
      <c r="J923" s="67">
        <f t="shared" si="360"/>
        <v>2664.2474398722238</v>
      </c>
      <c r="K923" s="63"/>
      <c r="L923" s="149">
        <v>0</v>
      </c>
      <c r="M923" s="63">
        <f t="shared" si="368"/>
        <v>0</v>
      </c>
      <c r="N923" s="63">
        <f t="shared" si="361"/>
        <v>0</v>
      </c>
      <c r="O923" s="69"/>
      <c r="P923" s="149">
        <v>0</v>
      </c>
      <c r="Q923" s="63">
        <f t="shared" si="358"/>
        <v>0</v>
      </c>
      <c r="R923" s="64">
        <f t="shared" si="362"/>
        <v>0</v>
      </c>
      <c r="S923" s="148">
        <v>15</v>
      </c>
      <c r="T923" s="151" t="s">
        <v>52</v>
      </c>
      <c r="U923" s="65">
        <f>SUMIF('Avoided Costs 2012-2020_EGD'!$A:$A,'2012 Actuals_Auditor'!T923&amp;'2012 Actuals_Auditor'!S923,'Avoided Costs 2012-2020_EGD'!$E:$E)*J923</f>
        <v>6087.8008040940931</v>
      </c>
      <c r="V923" s="65">
        <f>SUMIF('Avoided Costs 2012-2020_EGD'!$A:$A,'2012 Actuals_Auditor'!T923&amp;'2012 Actuals_Auditor'!S923,'Avoided Costs 2012-2020_EGD'!$K:$K)*N923</f>
        <v>0</v>
      </c>
      <c r="W923" s="65">
        <f>SUMIF('Avoided Costs 2012-2020_EGD'!$A:$A,'2012 Actuals_Auditor'!T923&amp;'2012 Actuals_Auditor'!S923,'Avoided Costs 2012-2020_EGD'!$M:$M)*R923</f>
        <v>0</v>
      </c>
      <c r="X923" s="65">
        <f t="shared" si="359"/>
        <v>6087.8008040940931</v>
      </c>
      <c r="Y923" s="146">
        <v>4179</v>
      </c>
      <c r="Z923" s="66">
        <f t="shared" si="363"/>
        <v>3343.2000000000003</v>
      </c>
      <c r="AA923" s="66">
        <v>450</v>
      </c>
      <c r="AB923" s="66"/>
      <c r="AC923" s="66"/>
      <c r="AD923" s="66">
        <f t="shared" si="364"/>
        <v>3343.2000000000003</v>
      </c>
      <c r="AE923" s="66">
        <f t="shared" si="365"/>
        <v>2744.6008040940928</v>
      </c>
      <c r="AF923" s="101">
        <f t="shared" si="366"/>
        <v>39963.711598083355</v>
      </c>
      <c r="AG923" s="101">
        <f t="shared" si="367"/>
        <v>49954.639497604192</v>
      </c>
    </row>
    <row r="924" spans="1:33" s="68" customFormat="1" x14ac:dyDescent="0.2">
      <c r="A924" s="147" t="s">
        <v>604</v>
      </c>
      <c r="B924" s="147"/>
      <c r="C924" s="147"/>
      <c r="D924" s="148">
        <v>1</v>
      </c>
      <c r="E924" s="149"/>
      <c r="F924" s="150">
        <v>0.2</v>
      </c>
      <c r="G924" s="150"/>
      <c r="H924" s="67">
        <v>27980</v>
      </c>
      <c r="I924" s="67">
        <f t="shared" si="357"/>
        <v>26745.710163470441</v>
      </c>
      <c r="J924" s="67">
        <f t="shared" si="360"/>
        <v>21396.568130776355</v>
      </c>
      <c r="K924" s="63"/>
      <c r="L924" s="149">
        <v>20834</v>
      </c>
      <c r="M924" s="63">
        <f t="shared" si="368"/>
        <v>20834</v>
      </c>
      <c r="N924" s="63">
        <f t="shared" si="361"/>
        <v>16667.2</v>
      </c>
      <c r="O924" s="69"/>
      <c r="P924" s="149">
        <v>0</v>
      </c>
      <c r="Q924" s="63">
        <f t="shared" si="358"/>
        <v>0</v>
      </c>
      <c r="R924" s="64">
        <f t="shared" si="362"/>
        <v>0</v>
      </c>
      <c r="S924" s="148">
        <v>15</v>
      </c>
      <c r="T924" s="151" t="s">
        <v>15</v>
      </c>
      <c r="U924" s="65">
        <f>SUMIF('Avoided Costs 2012-2020_EGD'!$A:$A,'2012 Actuals_Auditor'!T924&amp;'2012 Actuals_Auditor'!S924,'Avoided Costs 2012-2020_EGD'!$E:$E)*J924</f>
        <v>51991.603841590237</v>
      </c>
      <c r="V924" s="65">
        <f>SUMIF('Avoided Costs 2012-2020_EGD'!$A:$A,'2012 Actuals_Auditor'!T924&amp;'2012 Actuals_Auditor'!S924,'Avoided Costs 2012-2020_EGD'!$K:$K)*N924</f>
        <v>17163.606316054549</v>
      </c>
      <c r="W924" s="65">
        <f>SUMIF('Avoided Costs 2012-2020_EGD'!$A:$A,'2012 Actuals_Auditor'!T924&amp;'2012 Actuals_Auditor'!S924,'Avoided Costs 2012-2020_EGD'!$M:$M)*R924</f>
        <v>0</v>
      </c>
      <c r="X924" s="65">
        <f t="shared" si="359"/>
        <v>69155.210157644789</v>
      </c>
      <c r="Y924" s="146">
        <v>13363</v>
      </c>
      <c r="Z924" s="66">
        <f t="shared" si="363"/>
        <v>10690.400000000001</v>
      </c>
      <c r="AA924" s="66">
        <v>2798</v>
      </c>
      <c r="AB924" s="66"/>
      <c r="AC924" s="66"/>
      <c r="AD924" s="66">
        <f t="shared" si="364"/>
        <v>10690.400000000001</v>
      </c>
      <c r="AE924" s="66">
        <f t="shared" si="365"/>
        <v>58464.810157644788</v>
      </c>
      <c r="AF924" s="101">
        <f t="shared" si="366"/>
        <v>320948.52196164534</v>
      </c>
      <c r="AG924" s="101">
        <f t="shared" si="367"/>
        <v>401185.65245205665</v>
      </c>
    </row>
    <row r="925" spans="1:33" s="68" customFormat="1" x14ac:dyDescent="0.2">
      <c r="A925" s="147" t="s">
        <v>605</v>
      </c>
      <c r="B925" s="147"/>
      <c r="C925" s="147"/>
      <c r="D925" s="148">
        <v>1</v>
      </c>
      <c r="E925" s="149"/>
      <c r="F925" s="150">
        <v>0.2</v>
      </c>
      <c r="G925" s="150"/>
      <c r="H925" s="67">
        <v>42035</v>
      </c>
      <c r="I925" s="67">
        <f t="shared" si="357"/>
        <v>40180.697881396714</v>
      </c>
      <c r="J925" s="67">
        <f t="shared" si="360"/>
        <v>32144.558305117374</v>
      </c>
      <c r="K925" s="63"/>
      <c r="L925" s="149">
        <v>46876</v>
      </c>
      <c r="M925" s="63">
        <f t="shared" si="368"/>
        <v>46876</v>
      </c>
      <c r="N925" s="63">
        <f t="shared" si="361"/>
        <v>37500.800000000003</v>
      </c>
      <c r="O925" s="69"/>
      <c r="P925" s="149">
        <v>0</v>
      </c>
      <c r="Q925" s="63">
        <f t="shared" si="358"/>
        <v>0</v>
      </c>
      <c r="R925" s="64">
        <f t="shared" si="362"/>
        <v>0</v>
      </c>
      <c r="S925" s="148">
        <v>15</v>
      </c>
      <c r="T925" s="151" t="s">
        <v>15</v>
      </c>
      <c r="U925" s="65">
        <f>SUMIF('Avoided Costs 2012-2020_EGD'!$A:$A,'2012 Actuals_Auditor'!T925&amp;'2012 Actuals_Auditor'!S925,'Avoided Costs 2012-2020_EGD'!$E:$E)*J925</f>
        <v>78108.186829208207</v>
      </c>
      <c r="V925" s="65">
        <f>SUMIF('Avoided Costs 2012-2020_EGD'!$A:$A,'2012 Actuals_Auditor'!T925&amp;'2012 Actuals_Auditor'!S925,'Avoided Costs 2012-2020_EGD'!$K:$K)*N925</f>
        <v>38617.702297752374</v>
      </c>
      <c r="W925" s="65">
        <f>SUMIF('Avoided Costs 2012-2020_EGD'!$A:$A,'2012 Actuals_Auditor'!T925&amp;'2012 Actuals_Auditor'!S925,'Avoided Costs 2012-2020_EGD'!$M:$M)*R925</f>
        <v>0</v>
      </c>
      <c r="X925" s="65">
        <f t="shared" ref="X925:X965" si="369">SUM(U925:W925)</f>
        <v>116725.88912696058</v>
      </c>
      <c r="Y925" s="146">
        <v>15044</v>
      </c>
      <c r="Z925" s="66">
        <f t="shared" si="363"/>
        <v>12035.2</v>
      </c>
      <c r="AA925" s="66">
        <v>4204</v>
      </c>
      <c r="AB925" s="66"/>
      <c r="AC925" s="66"/>
      <c r="AD925" s="66">
        <f t="shared" si="364"/>
        <v>12035.2</v>
      </c>
      <c r="AE925" s="66">
        <f t="shared" si="365"/>
        <v>104690.68912696058</v>
      </c>
      <c r="AF925" s="101">
        <f t="shared" si="366"/>
        <v>482168.37457676063</v>
      </c>
      <c r="AG925" s="101">
        <f t="shared" si="367"/>
        <v>602710.46822095069</v>
      </c>
    </row>
    <row r="926" spans="1:33" s="68" customFormat="1" x14ac:dyDescent="0.2">
      <c r="A926" s="147" t="s">
        <v>606</v>
      </c>
      <c r="B926" s="147"/>
      <c r="C926" s="147"/>
      <c r="D926" s="148">
        <v>1</v>
      </c>
      <c r="E926" s="149"/>
      <c r="F926" s="150">
        <v>0.2</v>
      </c>
      <c r="G926" s="150"/>
      <c r="H926" s="67">
        <v>7232</v>
      </c>
      <c r="I926" s="67">
        <f t="shared" si="357"/>
        <v>6912.9726912872848</v>
      </c>
      <c r="J926" s="67">
        <f t="shared" si="360"/>
        <v>5530.3781530298284</v>
      </c>
      <c r="K926" s="63"/>
      <c r="L926" s="149">
        <v>0</v>
      </c>
      <c r="M926" s="63">
        <f t="shared" si="368"/>
        <v>0</v>
      </c>
      <c r="N926" s="63">
        <f t="shared" si="361"/>
        <v>0</v>
      </c>
      <c r="O926" s="69"/>
      <c r="P926" s="149">
        <v>0</v>
      </c>
      <c r="Q926" s="63">
        <f t="shared" si="358"/>
        <v>0</v>
      </c>
      <c r="R926" s="64">
        <f t="shared" si="362"/>
        <v>0</v>
      </c>
      <c r="S926" s="148">
        <v>25</v>
      </c>
      <c r="T926" s="151" t="s">
        <v>52</v>
      </c>
      <c r="U926" s="65">
        <f>SUMIF('Avoided Costs 2012-2020_EGD'!$A:$A,'2012 Actuals_Auditor'!T926&amp;'2012 Actuals_Auditor'!S926,'Avoided Costs 2012-2020_EGD'!$E:$E)*J926</f>
        <v>17845.377868022897</v>
      </c>
      <c r="V926" s="65">
        <f>SUMIF('Avoided Costs 2012-2020_EGD'!$A:$A,'2012 Actuals_Auditor'!T926&amp;'2012 Actuals_Auditor'!S926,'Avoided Costs 2012-2020_EGD'!$K:$K)*N926</f>
        <v>0</v>
      </c>
      <c r="W926" s="65">
        <f>SUMIF('Avoided Costs 2012-2020_EGD'!$A:$A,'2012 Actuals_Auditor'!T926&amp;'2012 Actuals_Auditor'!S926,'Avoided Costs 2012-2020_EGD'!$M:$M)*R926</f>
        <v>0</v>
      </c>
      <c r="X926" s="65">
        <f t="shared" si="369"/>
        <v>17845.377868022897</v>
      </c>
      <c r="Y926" s="146">
        <v>13817</v>
      </c>
      <c r="Z926" s="66">
        <f t="shared" si="363"/>
        <v>11053.6</v>
      </c>
      <c r="AA926" s="66">
        <v>1769</v>
      </c>
      <c r="AB926" s="66"/>
      <c r="AC926" s="66"/>
      <c r="AD926" s="66">
        <f t="shared" si="364"/>
        <v>11053.6</v>
      </c>
      <c r="AE926" s="66">
        <f t="shared" si="365"/>
        <v>6791.7778680228967</v>
      </c>
      <c r="AF926" s="101">
        <f t="shared" si="366"/>
        <v>138259.4538257457</v>
      </c>
      <c r="AG926" s="101">
        <f t="shared" si="367"/>
        <v>172824.31728218211</v>
      </c>
    </row>
    <row r="927" spans="1:33" s="68" customFormat="1" x14ac:dyDescent="0.2">
      <c r="A927" s="147" t="s">
        <v>607</v>
      </c>
      <c r="B927" s="147"/>
      <c r="C927" s="147"/>
      <c r="D927" s="148">
        <v>1</v>
      </c>
      <c r="E927" s="149"/>
      <c r="F927" s="150">
        <v>0.2</v>
      </c>
      <c r="G927" s="150"/>
      <c r="H927" s="67">
        <v>6286</v>
      </c>
      <c r="I927" s="67">
        <f t="shared" si="357"/>
        <v>6008.7038630298493</v>
      </c>
      <c r="J927" s="67">
        <f t="shared" si="360"/>
        <v>4806.9630904238793</v>
      </c>
      <c r="K927" s="63"/>
      <c r="L927" s="149">
        <v>0</v>
      </c>
      <c r="M927" s="63">
        <f t="shared" si="368"/>
        <v>0</v>
      </c>
      <c r="N927" s="63">
        <f t="shared" si="361"/>
        <v>0</v>
      </c>
      <c r="O927" s="69"/>
      <c r="P927" s="149">
        <v>0</v>
      </c>
      <c r="Q927" s="63">
        <f t="shared" si="358"/>
        <v>0</v>
      </c>
      <c r="R927" s="64">
        <f t="shared" si="362"/>
        <v>0</v>
      </c>
      <c r="S927" s="148">
        <v>25</v>
      </c>
      <c r="T927" s="151" t="s">
        <v>52</v>
      </c>
      <c r="U927" s="65">
        <f>SUMIF('Avoided Costs 2012-2020_EGD'!$A:$A,'2012 Actuals_Auditor'!T927&amp;'2012 Actuals_Auditor'!S927,'Avoided Costs 2012-2020_EGD'!$E:$E)*J927</f>
        <v>15511.068207742246</v>
      </c>
      <c r="V927" s="65">
        <f>SUMIF('Avoided Costs 2012-2020_EGD'!$A:$A,'2012 Actuals_Auditor'!T927&amp;'2012 Actuals_Auditor'!S927,'Avoided Costs 2012-2020_EGD'!$K:$K)*N927</f>
        <v>0</v>
      </c>
      <c r="W927" s="65">
        <f>SUMIF('Avoided Costs 2012-2020_EGD'!$A:$A,'2012 Actuals_Auditor'!T927&amp;'2012 Actuals_Auditor'!S927,'Avoided Costs 2012-2020_EGD'!$M:$M)*R927</f>
        <v>0</v>
      </c>
      <c r="X927" s="65">
        <f t="shared" si="369"/>
        <v>15511.068207742246</v>
      </c>
      <c r="Y927" s="146">
        <v>4921</v>
      </c>
      <c r="Z927" s="66">
        <f t="shared" si="363"/>
        <v>3936.8</v>
      </c>
      <c r="AA927" s="66">
        <v>1517</v>
      </c>
      <c r="AB927" s="66"/>
      <c r="AC927" s="66"/>
      <c r="AD927" s="66">
        <f t="shared" si="364"/>
        <v>3936.8</v>
      </c>
      <c r="AE927" s="66">
        <f t="shared" si="365"/>
        <v>11574.268207742247</v>
      </c>
      <c r="AF927" s="101">
        <f t="shared" si="366"/>
        <v>120174.07726059698</v>
      </c>
      <c r="AG927" s="101">
        <f t="shared" si="367"/>
        <v>150217.59657574623</v>
      </c>
    </row>
    <row r="928" spans="1:33" s="68" customFormat="1" x14ac:dyDescent="0.2">
      <c r="A928" s="147" t="s">
        <v>608</v>
      </c>
      <c r="B928" s="147"/>
      <c r="C928" s="147"/>
      <c r="D928" s="148">
        <v>1</v>
      </c>
      <c r="E928" s="149"/>
      <c r="F928" s="150">
        <v>0.2</v>
      </c>
      <c r="G928" s="150"/>
      <c r="H928" s="67">
        <v>53071</v>
      </c>
      <c r="I928" s="67">
        <f t="shared" si="357"/>
        <v>50729.863619926371</v>
      </c>
      <c r="J928" s="67">
        <f t="shared" si="360"/>
        <v>40583.890895941098</v>
      </c>
      <c r="K928" s="63"/>
      <c r="L928" s="149">
        <v>0</v>
      </c>
      <c r="M928" s="63">
        <f t="shared" si="368"/>
        <v>0</v>
      </c>
      <c r="N928" s="63">
        <f t="shared" si="361"/>
        <v>0</v>
      </c>
      <c r="O928" s="69"/>
      <c r="P928" s="149">
        <v>0</v>
      </c>
      <c r="Q928" s="63">
        <f t="shared" si="358"/>
        <v>0</v>
      </c>
      <c r="R928" s="64">
        <f t="shared" si="362"/>
        <v>0</v>
      </c>
      <c r="S928" s="148">
        <v>25</v>
      </c>
      <c r="T928" s="151" t="s">
        <v>15</v>
      </c>
      <c r="U928" s="65">
        <f>SUMIF('Avoided Costs 2012-2020_EGD'!$A:$A,'2012 Actuals_Auditor'!T928&amp;'2012 Actuals_Auditor'!S928,'Avoided Costs 2012-2020_EGD'!$E:$E)*J928</f>
        <v>139364.87837307368</v>
      </c>
      <c r="V928" s="65">
        <f>SUMIF('Avoided Costs 2012-2020_EGD'!$A:$A,'2012 Actuals_Auditor'!T928&amp;'2012 Actuals_Auditor'!S928,'Avoided Costs 2012-2020_EGD'!$K:$K)*N928</f>
        <v>0</v>
      </c>
      <c r="W928" s="65">
        <f>SUMIF('Avoided Costs 2012-2020_EGD'!$A:$A,'2012 Actuals_Auditor'!T928&amp;'2012 Actuals_Auditor'!S928,'Avoided Costs 2012-2020_EGD'!$M:$M)*R928</f>
        <v>0</v>
      </c>
      <c r="X928" s="65">
        <f t="shared" si="369"/>
        <v>139364.87837307368</v>
      </c>
      <c r="Y928" s="146">
        <v>8590</v>
      </c>
      <c r="Z928" s="66">
        <f t="shared" si="363"/>
        <v>6872</v>
      </c>
      <c r="AA928" s="66">
        <v>14506</v>
      </c>
      <c r="AB928" s="66"/>
      <c r="AC928" s="66"/>
      <c r="AD928" s="66">
        <f t="shared" si="364"/>
        <v>6872</v>
      </c>
      <c r="AE928" s="66">
        <f t="shared" si="365"/>
        <v>132492.87837307368</v>
      </c>
      <c r="AF928" s="101">
        <f t="shared" si="366"/>
        <v>1014597.2723985275</v>
      </c>
      <c r="AG928" s="101">
        <f t="shared" si="367"/>
        <v>1268246.5904981592</v>
      </c>
    </row>
    <row r="929" spans="1:33" s="68" customFormat="1" x14ac:dyDescent="0.2">
      <c r="A929" s="147" t="s">
        <v>609</v>
      </c>
      <c r="B929" s="147"/>
      <c r="C929" s="147"/>
      <c r="D929" s="148">
        <v>0</v>
      </c>
      <c r="E929" s="149"/>
      <c r="F929" s="150">
        <v>0.2</v>
      </c>
      <c r="G929" s="150"/>
      <c r="H929" s="67">
        <v>3540</v>
      </c>
      <c r="I929" s="67">
        <f t="shared" si="357"/>
        <v>3383.8389556356456</v>
      </c>
      <c r="J929" s="67">
        <f t="shared" si="360"/>
        <v>2707.0711645085166</v>
      </c>
      <c r="K929" s="63"/>
      <c r="L929" s="149">
        <v>0</v>
      </c>
      <c r="M929" s="63">
        <f t="shared" si="368"/>
        <v>0</v>
      </c>
      <c r="N929" s="63">
        <f t="shared" si="361"/>
        <v>0</v>
      </c>
      <c r="O929" s="69"/>
      <c r="P929" s="149">
        <v>0</v>
      </c>
      <c r="Q929" s="63">
        <f t="shared" si="358"/>
        <v>0</v>
      </c>
      <c r="R929" s="64">
        <f t="shared" si="362"/>
        <v>0</v>
      </c>
      <c r="S929" s="148">
        <v>15</v>
      </c>
      <c r="T929" s="151" t="s">
        <v>52</v>
      </c>
      <c r="U929" s="65">
        <f>SUMIF('Avoided Costs 2012-2020_EGD'!$A:$A,'2012 Actuals_Auditor'!T929&amp;'2012 Actuals_Auditor'!S929,'Avoided Costs 2012-2020_EGD'!$E:$E)*J929</f>
        <v>6185.6529410140902</v>
      </c>
      <c r="V929" s="65">
        <f>SUMIF('Avoided Costs 2012-2020_EGD'!$A:$A,'2012 Actuals_Auditor'!T929&amp;'2012 Actuals_Auditor'!S929,'Avoided Costs 2012-2020_EGD'!$K:$K)*N929</f>
        <v>0</v>
      </c>
      <c r="W929" s="65">
        <f>SUMIF('Avoided Costs 2012-2020_EGD'!$A:$A,'2012 Actuals_Auditor'!T929&amp;'2012 Actuals_Auditor'!S929,'Avoided Costs 2012-2020_EGD'!$M:$M)*R929</f>
        <v>0</v>
      </c>
      <c r="X929" s="65">
        <f t="shared" si="369"/>
        <v>6185.6529410140902</v>
      </c>
      <c r="Y929" s="146">
        <v>5000</v>
      </c>
      <c r="Z929" s="66">
        <f t="shared" si="363"/>
        <v>4000</v>
      </c>
      <c r="AA929" s="66">
        <v>354</v>
      </c>
      <c r="AB929" s="66"/>
      <c r="AC929" s="66"/>
      <c r="AD929" s="66">
        <f t="shared" si="364"/>
        <v>4000</v>
      </c>
      <c r="AE929" s="66">
        <f t="shared" si="365"/>
        <v>2185.6529410140902</v>
      </c>
      <c r="AF929" s="101">
        <f t="shared" si="366"/>
        <v>40606.067467627749</v>
      </c>
      <c r="AG929" s="101">
        <f t="shared" si="367"/>
        <v>50757.58433453468</v>
      </c>
    </row>
    <row r="930" spans="1:33" s="68" customFormat="1" x14ac:dyDescent="0.2">
      <c r="A930" s="141" t="s">
        <v>610</v>
      </c>
      <c r="B930" s="141"/>
      <c r="C930" s="141"/>
      <c r="D930" s="142">
        <v>1</v>
      </c>
      <c r="E930" s="143"/>
      <c r="F930" s="144">
        <v>0.2</v>
      </c>
      <c r="G930" s="144"/>
      <c r="H930" s="67">
        <v>19684</v>
      </c>
      <c r="I930" s="67">
        <f t="shared" si="357"/>
        <v>18815.674012071198</v>
      </c>
      <c r="J930" s="67">
        <f t="shared" si="360"/>
        <v>15052.539209656959</v>
      </c>
      <c r="K930" s="143"/>
      <c r="L930" s="143">
        <v>0</v>
      </c>
      <c r="M930" s="63">
        <f t="shared" si="368"/>
        <v>0</v>
      </c>
      <c r="N930" s="63">
        <f t="shared" si="361"/>
        <v>0</v>
      </c>
      <c r="O930" s="143"/>
      <c r="P930" s="143">
        <v>0</v>
      </c>
      <c r="Q930" s="63">
        <f t="shared" si="358"/>
        <v>0</v>
      </c>
      <c r="R930" s="64">
        <f t="shared" si="362"/>
        <v>0</v>
      </c>
      <c r="S930" s="142">
        <v>15</v>
      </c>
      <c r="T930" s="145" t="s">
        <v>15</v>
      </c>
      <c r="U930" s="65">
        <f>SUMIF('Avoided Costs 2012-2020_EGD'!$A:$A,'2012 Actuals_Auditor'!T930&amp;'2012 Actuals_Auditor'!S930,'Avoided Costs 2012-2020_EGD'!$E:$E)*J930</f>
        <v>36576.223374476838</v>
      </c>
      <c r="V930" s="65">
        <f>SUMIF('Avoided Costs 2012-2020_EGD'!$A:$A,'2012 Actuals_Auditor'!T930&amp;'2012 Actuals_Auditor'!S930,'Avoided Costs 2012-2020_EGD'!$K:$K)*N930</f>
        <v>0</v>
      </c>
      <c r="W930" s="65">
        <f>SUMIF('Avoided Costs 2012-2020_EGD'!$A:$A,'2012 Actuals_Auditor'!T930&amp;'2012 Actuals_Auditor'!S930,'Avoided Costs 2012-2020_EGD'!$M:$M)*R930</f>
        <v>0</v>
      </c>
      <c r="X930" s="65">
        <f t="shared" si="369"/>
        <v>36576.223374476838</v>
      </c>
      <c r="Y930" s="146">
        <v>8000</v>
      </c>
      <c r="Z930" s="66">
        <f t="shared" si="363"/>
        <v>6400</v>
      </c>
      <c r="AA930" s="66">
        <v>1968</v>
      </c>
      <c r="AB930" s="66"/>
      <c r="AC930" s="66"/>
      <c r="AD930" s="66">
        <f t="shared" si="364"/>
        <v>6400</v>
      </c>
      <c r="AE930" s="66">
        <f t="shared" si="365"/>
        <v>30176.223374476838</v>
      </c>
      <c r="AF930" s="101">
        <f t="shared" si="366"/>
        <v>225788.08814485438</v>
      </c>
      <c r="AG930" s="101">
        <f t="shared" si="367"/>
        <v>282235.11018106795</v>
      </c>
    </row>
    <row r="931" spans="1:33" s="68" customFormat="1" x14ac:dyDescent="0.2">
      <c r="A931" s="147" t="s">
        <v>611</v>
      </c>
      <c r="B931" s="147"/>
      <c r="C931" s="147"/>
      <c r="D931" s="148">
        <v>0</v>
      </c>
      <c r="E931" s="149"/>
      <c r="F931" s="150">
        <v>0.2</v>
      </c>
      <c r="G931" s="150"/>
      <c r="H931" s="67">
        <v>690</v>
      </c>
      <c r="I931" s="67">
        <f t="shared" si="357"/>
        <v>659.56183033576144</v>
      </c>
      <c r="J931" s="67">
        <f t="shared" si="360"/>
        <v>527.64946426860922</v>
      </c>
      <c r="K931" s="63"/>
      <c r="L931" s="149">
        <v>0</v>
      </c>
      <c r="M931" s="63">
        <f t="shared" si="368"/>
        <v>0</v>
      </c>
      <c r="N931" s="63">
        <f t="shared" si="361"/>
        <v>0</v>
      </c>
      <c r="O931" s="69"/>
      <c r="P931" s="149">
        <v>0</v>
      </c>
      <c r="Q931" s="63">
        <f t="shared" si="358"/>
        <v>0</v>
      </c>
      <c r="R931" s="64">
        <f t="shared" si="362"/>
        <v>0</v>
      </c>
      <c r="S931" s="148">
        <v>15</v>
      </c>
      <c r="T931" s="151" t="s">
        <v>52</v>
      </c>
      <c r="U931" s="65">
        <f>SUMIF('Avoided Costs 2012-2020_EGD'!$A:$A,'2012 Actuals_Auditor'!T931&amp;'2012 Actuals_Auditor'!S931,'Avoided Costs 2012-2020_EGD'!$E:$E)*J931</f>
        <v>1205.6781156213906</v>
      </c>
      <c r="V931" s="65">
        <f>SUMIF('Avoided Costs 2012-2020_EGD'!$A:$A,'2012 Actuals_Auditor'!T931&amp;'2012 Actuals_Auditor'!S931,'Avoided Costs 2012-2020_EGD'!$K:$K)*N931</f>
        <v>0</v>
      </c>
      <c r="W931" s="65">
        <f>SUMIF('Avoided Costs 2012-2020_EGD'!$A:$A,'2012 Actuals_Auditor'!T931&amp;'2012 Actuals_Auditor'!S931,'Avoided Costs 2012-2020_EGD'!$M:$M)*R931</f>
        <v>0</v>
      </c>
      <c r="X931" s="65">
        <f t="shared" si="369"/>
        <v>1205.6781156213906</v>
      </c>
      <c r="Y931" s="146">
        <v>1500</v>
      </c>
      <c r="Z931" s="66">
        <f t="shared" si="363"/>
        <v>1200</v>
      </c>
      <c r="AA931" s="66">
        <v>69</v>
      </c>
      <c r="AB931" s="66"/>
      <c r="AC931" s="66"/>
      <c r="AD931" s="66">
        <f t="shared" si="364"/>
        <v>1200</v>
      </c>
      <c r="AE931" s="66">
        <f t="shared" si="365"/>
        <v>5.6781156213905888</v>
      </c>
      <c r="AF931" s="101">
        <f t="shared" si="366"/>
        <v>7914.7419640291382</v>
      </c>
      <c r="AG931" s="101">
        <f t="shared" si="367"/>
        <v>9893.4274550364207</v>
      </c>
    </row>
    <row r="932" spans="1:33" s="68" customFormat="1" x14ac:dyDescent="0.2">
      <c r="A932" s="147" t="s">
        <v>612</v>
      </c>
      <c r="B932" s="147"/>
      <c r="C932" s="147"/>
      <c r="D932" s="148">
        <v>1</v>
      </c>
      <c r="E932" s="149"/>
      <c r="F932" s="150">
        <v>0.2</v>
      </c>
      <c r="G932" s="150"/>
      <c r="H932" s="67">
        <v>14427</v>
      </c>
      <c r="I932" s="67">
        <f t="shared" ref="I932:I948" si="370">+$H$42*H932</f>
        <v>13790.577574281204</v>
      </c>
      <c r="J932" s="67">
        <f t="shared" si="360"/>
        <v>11032.462059424965</v>
      </c>
      <c r="K932" s="63"/>
      <c r="L932" s="149">
        <v>0</v>
      </c>
      <c r="M932" s="63">
        <f t="shared" si="368"/>
        <v>0</v>
      </c>
      <c r="N932" s="63">
        <f t="shared" si="361"/>
        <v>0</v>
      </c>
      <c r="O932" s="69"/>
      <c r="P932" s="149">
        <v>0</v>
      </c>
      <c r="Q932" s="63">
        <f t="shared" ref="Q932:Q948" si="371">+P932*$P$42</f>
        <v>0</v>
      </c>
      <c r="R932" s="64">
        <f t="shared" si="362"/>
        <v>0</v>
      </c>
      <c r="S932" s="148">
        <v>15</v>
      </c>
      <c r="T932" s="151" t="s">
        <v>15</v>
      </c>
      <c r="U932" s="65">
        <f>SUMIF('Avoided Costs 2012-2020_EGD'!$A:$A,'2012 Actuals_Auditor'!T932&amp;'2012 Actuals_Auditor'!S932,'Avoided Costs 2012-2020_EGD'!$E:$E)*J932</f>
        <v>26807.822323896438</v>
      </c>
      <c r="V932" s="65">
        <f>SUMIF('Avoided Costs 2012-2020_EGD'!$A:$A,'2012 Actuals_Auditor'!T932&amp;'2012 Actuals_Auditor'!S932,'Avoided Costs 2012-2020_EGD'!$K:$K)*N932</f>
        <v>0</v>
      </c>
      <c r="W932" s="65">
        <f>SUMIF('Avoided Costs 2012-2020_EGD'!$A:$A,'2012 Actuals_Auditor'!T932&amp;'2012 Actuals_Auditor'!S932,'Avoided Costs 2012-2020_EGD'!$M:$M)*R932</f>
        <v>0</v>
      </c>
      <c r="X932" s="65">
        <f t="shared" si="369"/>
        <v>26807.822323896438</v>
      </c>
      <c r="Y932" s="146">
        <v>12500</v>
      </c>
      <c r="Z932" s="66">
        <f t="shared" si="363"/>
        <v>10000</v>
      </c>
      <c r="AA932" s="66">
        <v>1443</v>
      </c>
      <c r="AB932" s="66"/>
      <c r="AC932" s="66"/>
      <c r="AD932" s="66">
        <f t="shared" si="364"/>
        <v>10000</v>
      </c>
      <c r="AE932" s="66">
        <f t="shared" si="365"/>
        <v>16807.822323896438</v>
      </c>
      <c r="AF932" s="101">
        <f t="shared" si="366"/>
        <v>165486.93089137448</v>
      </c>
      <c r="AG932" s="101">
        <f t="shared" si="367"/>
        <v>206858.66361421807</v>
      </c>
    </row>
    <row r="933" spans="1:33" s="68" customFormat="1" x14ac:dyDescent="0.2">
      <c r="A933" s="147" t="s">
        <v>613</v>
      </c>
      <c r="B933" s="147"/>
      <c r="C933" s="147"/>
      <c r="D933" s="148">
        <v>1</v>
      </c>
      <c r="E933" s="149"/>
      <c r="F933" s="150">
        <v>0.2</v>
      </c>
      <c r="G933" s="150"/>
      <c r="H933" s="67">
        <v>6692</v>
      </c>
      <c r="I933" s="67">
        <f t="shared" si="370"/>
        <v>6396.7938675462547</v>
      </c>
      <c r="J933" s="67">
        <f t="shared" si="360"/>
        <v>5117.4350940370041</v>
      </c>
      <c r="K933" s="63"/>
      <c r="L933" s="149">
        <v>0</v>
      </c>
      <c r="M933" s="63">
        <f t="shared" si="368"/>
        <v>0</v>
      </c>
      <c r="N933" s="63">
        <f t="shared" si="361"/>
        <v>0</v>
      </c>
      <c r="O933" s="69"/>
      <c r="P933" s="149">
        <v>0</v>
      </c>
      <c r="Q933" s="63">
        <f t="shared" si="371"/>
        <v>0</v>
      </c>
      <c r="R933" s="64">
        <f t="shared" si="362"/>
        <v>0</v>
      </c>
      <c r="S933" s="148">
        <v>25</v>
      </c>
      <c r="T933" s="151" t="s">
        <v>52</v>
      </c>
      <c r="U933" s="65">
        <f>SUMIF('Avoided Costs 2012-2020_EGD'!$A:$A,'2012 Actuals_Auditor'!T933&amp;'2012 Actuals_Auditor'!S933,'Avoided Costs 2012-2020_EGD'!$E:$E)*J933</f>
        <v>16512.896666594199</v>
      </c>
      <c r="V933" s="65">
        <f>SUMIF('Avoided Costs 2012-2020_EGD'!$A:$A,'2012 Actuals_Auditor'!T933&amp;'2012 Actuals_Auditor'!S933,'Avoided Costs 2012-2020_EGD'!$K:$K)*N933</f>
        <v>0</v>
      </c>
      <c r="W933" s="65">
        <f>SUMIF('Avoided Costs 2012-2020_EGD'!$A:$A,'2012 Actuals_Auditor'!T933&amp;'2012 Actuals_Auditor'!S933,'Avoided Costs 2012-2020_EGD'!$M:$M)*R933</f>
        <v>0</v>
      </c>
      <c r="X933" s="65">
        <f t="shared" si="369"/>
        <v>16512.896666594199</v>
      </c>
      <c r="Y933" s="146">
        <v>7281</v>
      </c>
      <c r="Z933" s="66">
        <f t="shared" si="363"/>
        <v>5824.8</v>
      </c>
      <c r="AA933" s="66">
        <v>1202</v>
      </c>
      <c r="AB933" s="66"/>
      <c r="AC933" s="66"/>
      <c r="AD933" s="66">
        <f t="shared" si="364"/>
        <v>5824.8</v>
      </c>
      <c r="AE933" s="66">
        <f t="shared" si="365"/>
        <v>10688.0966665942</v>
      </c>
      <c r="AF933" s="101">
        <f t="shared" si="366"/>
        <v>127935.8773509251</v>
      </c>
      <c r="AG933" s="101">
        <f t="shared" si="367"/>
        <v>159919.84668865637</v>
      </c>
    </row>
    <row r="934" spans="1:33" s="68" customFormat="1" x14ac:dyDescent="0.2">
      <c r="A934" s="147" t="s">
        <v>614</v>
      </c>
      <c r="B934" s="147"/>
      <c r="C934" s="147"/>
      <c r="D934" s="148">
        <v>1</v>
      </c>
      <c r="E934" s="149"/>
      <c r="F934" s="150">
        <v>0.2</v>
      </c>
      <c r="G934" s="150"/>
      <c r="H934" s="67">
        <v>20996</v>
      </c>
      <c r="I934" s="67">
        <f t="shared" si="370"/>
        <v>20069.797376419778</v>
      </c>
      <c r="J934" s="67">
        <f t="shared" si="360"/>
        <v>16055.837901135823</v>
      </c>
      <c r="K934" s="63"/>
      <c r="L934" s="149">
        <v>0</v>
      </c>
      <c r="M934" s="63">
        <f t="shared" si="368"/>
        <v>0</v>
      </c>
      <c r="N934" s="63">
        <f t="shared" si="361"/>
        <v>0</v>
      </c>
      <c r="O934" s="69"/>
      <c r="P934" s="149">
        <v>0</v>
      </c>
      <c r="Q934" s="63">
        <f t="shared" si="371"/>
        <v>0</v>
      </c>
      <c r="R934" s="64">
        <f t="shared" si="362"/>
        <v>0</v>
      </c>
      <c r="S934" s="148">
        <v>15</v>
      </c>
      <c r="T934" s="151" t="s">
        <v>15</v>
      </c>
      <c r="U934" s="65">
        <f>SUMIF('Avoided Costs 2012-2020_EGD'!$A:$A,'2012 Actuals_Auditor'!T934&amp;'2012 Actuals_Auditor'!S934,'Avoided Costs 2012-2020_EGD'!$E:$E)*J934</f>
        <v>39014.142754039618</v>
      </c>
      <c r="V934" s="65">
        <f>SUMIF('Avoided Costs 2012-2020_EGD'!$A:$A,'2012 Actuals_Auditor'!T934&amp;'2012 Actuals_Auditor'!S934,'Avoided Costs 2012-2020_EGD'!$K:$K)*N934</f>
        <v>0</v>
      </c>
      <c r="W934" s="65">
        <f>SUMIF('Avoided Costs 2012-2020_EGD'!$A:$A,'2012 Actuals_Auditor'!T934&amp;'2012 Actuals_Auditor'!S934,'Avoided Costs 2012-2020_EGD'!$M:$M)*R934</f>
        <v>0</v>
      </c>
      <c r="X934" s="65">
        <f t="shared" si="369"/>
        <v>39014.142754039618</v>
      </c>
      <c r="Y934" s="146">
        <v>20504</v>
      </c>
      <c r="Z934" s="66">
        <f t="shared" si="363"/>
        <v>16403.2</v>
      </c>
      <c r="AA934" s="66">
        <v>2100</v>
      </c>
      <c r="AB934" s="66"/>
      <c r="AC934" s="66"/>
      <c r="AD934" s="66">
        <f t="shared" si="364"/>
        <v>16403.2</v>
      </c>
      <c r="AE934" s="66">
        <f t="shared" si="365"/>
        <v>22610.942754039617</v>
      </c>
      <c r="AF934" s="101">
        <f t="shared" si="366"/>
        <v>240837.56851703735</v>
      </c>
      <c r="AG934" s="101">
        <f t="shared" si="367"/>
        <v>301046.96064629668</v>
      </c>
    </row>
    <row r="935" spans="1:33" s="68" customFormat="1" x14ac:dyDescent="0.2">
      <c r="A935" s="147" t="s">
        <v>615</v>
      </c>
      <c r="B935" s="147"/>
      <c r="C935" s="147"/>
      <c r="D935" s="148">
        <v>1</v>
      </c>
      <c r="E935" s="149"/>
      <c r="F935" s="150">
        <v>0.2</v>
      </c>
      <c r="G935" s="150"/>
      <c r="H935" s="67">
        <v>5400</v>
      </c>
      <c r="I935" s="67">
        <f t="shared" si="370"/>
        <v>5161.7882374103065</v>
      </c>
      <c r="J935" s="67">
        <f t="shared" si="360"/>
        <v>4129.4305899282454</v>
      </c>
      <c r="K935" s="63"/>
      <c r="L935" s="149">
        <v>0</v>
      </c>
      <c r="M935" s="63">
        <f t="shared" si="368"/>
        <v>0</v>
      </c>
      <c r="N935" s="63">
        <f t="shared" si="361"/>
        <v>0</v>
      </c>
      <c r="O935" s="69"/>
      <c r="P935" s="149">
        <v>0</v>
      </c>
      <c r="Q935" s="63">
        <f t="shared" si="371"/>
        <v>0</v>
      </c>
      <c r="R935" s="64">
        <f t="shared" si="362"/>
        <v>0</v>
      </c>
      <c r="S935" s="148">
        <v>15</v>
      </c>
      <c r="T935" s="151" t="s">
        <v>15</v>
      </c>
      <c r="U935" s="65">
        <f>SUMIF('Avoided Costs 2012-2020_EGD'!$A:$A,'2012 Actuals_Auditor'!T935&amp;'2012 Actuals_Auditor'!S935,'Avoided Costs 2012-2020_EGD'!$E:$E)*J935</f>
        <v>10034.119397590681</v>
      </c>
      <c r="V935" s="65">
        <f>SUMIF('Avoided Costs 2012-2020_EGD'!$A:$A,'2012 Actuals_Auditor'!T935&amp;'2012 Actuals_Auditor'!S935,'Avoided Costs 2012-2020_EGD'!$K:$K)*N935</f>
        <v>0</v>
      </c>
      <c r="W935" s="65">
        <f>SUMIF('Avoided Costs 2012-2020_EGD'!$A:$A,'2012 Actuals_Auditor'!T935&amp;'2012 Actuals_Auditor'!S935,'Avoided Costs 2012-2020_EGD'!$M:$M)*R935</f>
        <v>0</v>
      </c>
      <c r="X935" s="65">
        <f t="shared" si="369"/>
        <v>10034.119397590681</v>
      </c>
      <c r="Y935" s="146">
        <v>6050.75</v>
      </c>
      <c r="Z935" s="66">
        <f t="shared" si="363"/>
        <v>4840.6000000000004</v>
      </c>
      <c r="AA935" s="66">
        <v>540</v>
      </c>
      <c r="AB935" s="66"/>
      <c r="AC935" s="66"/>
      <c r="AD935" s="66">
        <f t="shared" si="364"/>
        <v>4840.6000000000004</v>
      </c>
      <c r="AE935" s="66">
        <f t="shared" si="365"/>
        <v>5193.5193975906805</v>
      </c>
      <c r="AF935" s="101">
        <f t="shared" si="366"/>
        <v>61941.458848923678</v>
      </c>
      <c r="AG935" s="101">
        <f t="shared" si="367"/>
        <v>77426.823561154597</v>
      </c>
    </row>
    <row r="936" spans="1:33" s="68" customFormat="1" x14ac:dyDescent="0.2">
      <c r="A936" s="147" t="s">
        <v>616</v>
      </c>
      <c r="B936" s="147"/>
      <c r="C936" s="147"/>
      <c r="D936" s="148">
        <v>1</v>
      </c>
      <c r="E936" s="149"/>
      <c r="F936" s="150">
        <v>0.2</v>
      </c>
      <c r="G936" s="150"/>
      <c r="H936" s="67">
        <v>28921</v>
      </c>
      <c r="I936" s="67">
        <f t="shared" si="370"/>
        <v>27645.199558174718</v>
      </c>
      <c r="J936" s="67">
        <f t="shared" si="360"/>
        <v>22116.159646539774</v>
      </c>
      <c r="K936" s="63"/>
      <c r="L936" s="149">
        <v>0</v>
      </c>
      <c r="M936" s="63">
        <f t="shared" si="368"/>
        <v>0</v>
      </c>
      <c r="N936" s="63">
        <f t="shared" si="361"/>
        <v>0</v>
      </c>
      <c r="O936" s="69"/>
      <c r="P936" s="149">
        <v>0</v>
      </c>
      <c r="Q936" s="63">
        <f t="shared" si="371"/>
        <v>0</v>
      </c>
      <c r="R936" s="64">
        <f t="shared" si="362"/>
        <v>0</v>
      </c>
      <c r="S936" s="148">
        <v>25</v>
      </c>
      <c r="T936" s="151" t="s">
        <v>52</v>
      </c>
      <c r="U936" s="65">
        <f>SUMIF('Avoided Costs 2012-2020_EGD'!$A:$A,'2012 Actuals_Auditor'!T936&amp;'2012 Actuals_Auditor'!S936,'Avoided Costs 2012-2020_EGD'!$E:$E)*J936</f>
        <v>71364.238567628621</v>
      </c>
      <c r="V936" s="65">
        <f>SUMIF('Avoided Costs 2012-2020_EGD'!$A:$A,'2012 Actuals_Auditor'!T936&amp;'2012 Actuals_Auditor'!S936,'Avoided Costs 2012-2020_EGD'!$K:$K)*N936</f>
        <v>0</v>
      </c>
      <c r="W936" s="65">
        <f>SUMIF('Avoided Costs 2012-2020_EGD'!$A:$A,'2012 Actuals_Auditor'!T936&amp;'2012 Actuals_Auditor'!S936,'Avoided Costs 2012-2020_EGD'!$M:$M)*R936</f>
        <v>0</v>
      </c>
      <c r="X936" s="65">
        <f t="shared" si="369"/>
        <v>71364.238567628621</v>
      </c>
      <c r="Y936" s="146">
        <v>19444</v>
      </c>
      <c r="Z936" s="66">
        <f t="shared" si="363"/>
        <v>15555.2</v>
      </c>
      <c r="AA936" s="66">
        <v>4428</v>
      </c>
      <c r="AB936" s="66"/>
      <c r="AC936" s="66"/>
      <c r="AD936" s="66">
        <f t="shared" si="364"/>
        <v>15555.2</v>
      </c>
      <c r="AE936" s="66">
        <f t="shared" si="365"/>
        <v>55809.038567628624</v>
      </c>
      <c r="AF936" s="101">
        <f t="shared" si="366"/>
        <v>552903.9911634943</v>
      </c>
      <c r="AG936" s="101">
        <f t="shared" si="367"/>
        <v>691129.98895436793</v>
      </c>
    </row>
    <row r="937" spans="1:33" s="68" customFormat="1" x14ac:dyDescent="0.2">
      <c r="A937" s="147" t="s">
        <v>617</v>
      </c>
      <c r="B937" s="147"/>
      <c r="C937" s="147"/>
      <c r="D937" s="148">
        <v>1</v>
      </c>
      <c r="E937" s="149"/>
      <c r="F937" s="150">
        <v>0.2</v>
      </c>
      <c r="G937" s="150"/>
      <c r="H937" s="67">
        <v>53914</v>
      </c>
      <c r="I937" s="67">
        <f t="shared" si="370"/>
        <v>51535.676116988754</v>
      </c>
      <c r="J937" s="67">
        <f t="shared" si="360"/>
        <v>41228.540893591009</v>
      </c>
      <c r="K937" s="63"/>
      <c r="L937" s="149">
        <v>0</v>
      </c>
      <c r="M937" s="63">
        <f t="shared" si="368"/>
        <v>0</v>
      </c>
      <c r="N937" s="63">
        <f t="shared" si="361"/>
        <v>0</v>
      </c>
      <c r="O937" s="69"/>
      <c r="P937" s="149">
        <v>0</v>
      </c>
      <c r="Q937" s="63">
        <f t="shared" si="371"/>
        <v>0</v>
      </c>
      <c r="R937" s="64">
        <f t="shared" si="362"/>
        <v>0</v>
      </c>
      <c r="S937" s="148">
        <v>15</v>
      </c>
      <c r="T937" s="151" t="s">
        <v>15</v>
      </c>
      <c r="U937" s="65">
        <f>SUMIF('Avoided Costs 2012-2020_EGD'!$A:$A,'2012 Actuals_Auditor'!T937&amp;'2012 Actuals_Auditor'!S937,'Avoided Costs 2012-2020_EGD'!$E:$E)*J937</f>
        <v>100181.39133364889</v>
      </c>
      <c r="V937" s="65">
        <f>SUMIF('Avoided Costs 2012-2020_EGD'!$A:$A,'2012 Actuals_Auditor'!T937&amp;'2012 Actuals_Auditor'!S937,'Avoided Costs 2012-2020_EGD'!$K:$K)*N937</f>
        <v>0</v>
      </c>
      <c r="W937" s="65">
        <f>SUMIF('Avoided Costs 2012-2020_EGD'!$A:$A,'2012 Actuals_Auditor'!T937&amp;'2012 Actuals_Auditor'!S937,'Avoided Costs 2012-2020_EGD'!$M:$M)*R937</f>
        <v>0</v>
      </c>
      <c r="X937" s="65">
        <f t="shared" si="369"/>
        <v>100181.39133364889</v>
      </c>
      <c r="Y937" s="146">
        <v>50000</v>
      </c>
      <c r="Z937" s="66">
        <f t="shared" si="363"/>
        <v>40000</v>
      </c>
      <c r="AA937" s="66">
        <v>5391.35</v>
      </c>
      <c r="AB937" s="66"/>
      <c r="AC937" s="66"/>
      <c r="AD937" s="66">
        <f t="shared" si="364"/>
        <v>40000</v>
      </c>
      <c r="AE937" s="66">
        <f t="shared" si="365"/>
        <v>60181.391333648891</v>
      </c>
      <c r="AF937" s="101">
        <f t="shared" si="366"/>
        <v>618428.11340386514</v>
      </c>
      <c r="AG937" s="101">
        <f t="shared" si="367"/>
        <v>773035.1417548313</v>
      </c>
    </row>
    <row r="938" spans="1:33" s="68" customFormat="1" x14ac:dyDescent="0.2">
      <c r="A938" s="147" t="s">
        <v>618</v>
      </c>
      <c r="B938" s="147"/>
      <c r="C938" s="147"/>
      <c r="D938" s="148">
        <v>1</v>
      </c>
      <c r="E938" s="149"/>
      <c r="F938" s="150">
        <v>0.2</v>
      </c>
      <c r="G938" s="150"/>
      <c r="H938" s="67">
        <v>11396</v>
      </c>
      <c r="I938" s="67">
        <f t="shared" si="370"/>
        <v>10893.28495435701</v>
      </c>
      <c r="J938" s="67">
        <f t="shared" si="360"/>
        <v>8714.6279634856091</v>
      </c>
      <c r="K938" s="63"/>
      <c r="L938" s="149">
        <v>0</v>
      </c>
      <c r="M938" s="63">
        <f t="shared" si="368"/>
        <v>0</v>
      </c>
      <c r="N938" s="63">
        <f t="shared" si="361"/>
        <v>0</v>
      </c>
      <c r="O938" s="69"/>
      <c r="P938" s="149">
        <v>0</v>
      </c>
      <c r="Q938" s="63">
        <f t="shared" si="371"/>
        <v>0</v>
      </c>
      <c r="R938" s="64">
        <f t="shared" si="362"/>
        <v>0</v>
      </c>
      <c r="S938" s="148">
        <v>15</v>
      </c>
      <c r="T938" s="151" t="s">
        <v>15</v>
      </c>
      <c r="U938" s="65">
        <f>SUMIF('Avoided Costs 2012-2020_EGD'!$A:$A,'2012 Actuals_Auditor'!T938&amp;'2012 Actuals_Auditor'!S938,'Avoided Costs 2012-2020_EGD'!$E:$E)*J938</f>
        <v>21175.708269433962</v>
      </c>
      <c r="V938" s="65">
        <f>SUMIF('Avoided Costs 2012-2020_EGD'!$A:$A,'2012 Actuals_Auditor'!T938&amp;'2012 Actuals_Auditor'!S938,'Avoided Costs 2012-2020_EGD'!$K:$K)*N938</f>
        <v>0</v>
      </c>
      <c r="W938" s="65">
        <f>SUMIF('Avoided Costs 2012-2020_EGD'!$A:$A,'2012 Actuals_Auditor'!T938&amp;'2012 Actuals_Auditor'!S938,'Avoided Costs 2012-2020_EGD'!$M:$M)*R938</f>
        <v>0</v>
      </c>
      <c r="X938" s="65">
        <f t="shared" si="369"/>
        <v>21175.708269433962</v>
      </c>
      <c r="Y938" s="146">
        <v>15803</v>
      </c>
      <c r="Z938" s="66">
        <f t="shared" si="363"/>
        <v>12642.400000000001</v>
      </c>
      <c r="AA938" s="66">
        <v>1140</v>
      </c>
      <c r="AB938" s="66"/>
      <c r="AC938" s="66"/>
      <c r="AD938" s="66">
        <f t="shared" si="364"/>
        <v>12642.400000000001</v>
      </c>
      <c r="AE938" s="66">
        <f t="shared" si="365"/>
        <v>8533.308269433961</v>
      </c>
      <c r="AF938" s="101">
        <f t="shared" si="366"/>
        <v>130719.41945228414</v>
      </c>
      <c r="AG938" s="101">
        <f t="shared" si="367"/>
        <v>163399.27431535514</v>
      </c>
    </row>
    <row r="939" spans="1:33" s="68" customFormat="1" x14ac:dyDescent="0.2">
      <c r="A939" s="147" t="s">
        <v>619</v>
      </c>
      <c r="B939" s="147"/>
      <c r="C939" s="147"/>
      <c r="D939" s="148">
        <v>1</v>
      </c>
      <c r="E939" s="149"/>
      <c r="F939" s="150">
        <v>0.2</v>
      </c>
      <c r="G939" s="150"/>
      <c r="H939" s="67">
        <v>10133</v>
      </c>
      <c r="I939" s="67">
        <f t="shared" si="370"/>
        <v>9686.0000388293774</v>
      </c>
      <c r="J939" s="67">
        <f t="shared" si="360"/>
        <v>7748.8000310635025</v>
      </c>
      <c r="K939" s="63"/>
      <c r="L939" s="149">
        <v>0</v>
      </c>
      <c r="M939" s="63">
        <f t="shared" si="368"/>
        <v>0</v>
      </c>
      <c r="N939" s="63">
        <f t="shared" si="361"/>
        <v>0</v>
      </c>
      <c r="O939" s="69"/>
      <c r="P939" s="149">
        <v>0</v>
      </c>
      <c r="Q939" s="63">
        <f t="shared" si="371"/>
        <v>0</v>
      </c>
      <c r="R939" s="64">
        <f t="shared" si="362"/>
        <v>0</v>
      </c>
      <c r="S939" s="148">
        <v>15</v>
      </c>
      <c r="T939" s="151" t="s">
        <v>15</v>
      </c>
      <c r="U939" s="65">
        <f>SUMIF('Avoided Costs 2012-2020_EGD'!$A:$A,'2012 Actuals_Auditor'!T939&amp;'2012 Actuals_Auditor'!S939,'Avoided Costs 2012-2020_EGD'!$E:$E)*J939</f>
        <v>18828.839232553033</v>
      </c>
      <c r="V939" s="65">
        <f>SUMIF('Avoided Costs 2012-2020_EGD'!$A:$A,'2012 Actuals_Auditor'!T939&amp;'2012 Actuals_Auditor'!S939,'Avoided Costs 2012-2020_EGD'!$K:$K)*N939</f>
        <v>0</v>
      </c>
      <c r="W939" s="65">
        <f>SUMIF('Avoided Costs 2012-2020_EGD'!$A:$A,'2012 Actuals_Auditor'!T939&amp;'2012 Actuals_Auditor'!S939,'Avoided Costs 2012-2020_EGD'!$M:$M)*R939</f>
        <v>0</v>
      </c>
      <c r="X939" s="65">
        <f t="shared" si="369"/>
        <v>18828.839232553033</v>
      </c>
      <c r="Y939" s="146">
        <v>15362</v>
      </c>
      <c r="Z939" s="66">
        <f t="shared" si="363"/>
        <v>12289.6</v>
      </c>
      <c r="AA939" s="66">
        <v>1013.27</v>
      </c>
      <c r="AB939" s="66"/>
      <c r="AC939" s="66"/>
      <c r="AD939" s="66">
        <f t="shared" si="364"/>
        <v>12289.6</v>
      </c>
      <c r="AE939" s="66">
        <f t="shared" si="365"/>
        <v>6539.2392325530327</v>
      </c>
      <c r="AF939" s="101">
        <f t="shared" si="366"/>
        <v>116232.00046595254</v>
      </c>
      <c r="AG939" s="101">
        <f t="shared" si="367"/>
        <v>145290.00058244067</v>
      </c>
    </row>
    <row r="940" spans="1:33" s="68" customFormat="1" x14ac:dyDescent="0.2">
      <c r="A940" s="147" t="s">
        <v>620</v>
      </c>
      <c r="B940" s="147"/>
      <c r="C940" s="147"/>
      <c r="D940" s="148">
        <v>0</v>
      </c>
      <c r="E940" s="149"/>
      <c r="F940" s="150">
        <v>0.2</v>
      </c>
      <c r="G940" s="150"/>
      <c r="H940" s="67">
        <v>1425</v>
      </c>
      <c r="I940" s="67">
        <f t="shared" si="370"/>
        <v>1362.1385626499421</v>
      </c>
      <c r="J940" s="67">
        <f t="shared" si="360"/>
        <v>1089.7108501199536</v>
      </c>
      <c r="K940" s="63"/>
      <c r="L940" s="149">
        <v>0</v>
      </c>
      <c r="M940" s="63">
        <f t="shared" si="368"/>
        <v>0</v>
      </c>
      <c r="N940" s="63">
        <f t="shared" si="361"/>
        <v>0</v>
      </c>
      <c r="O940" s="69"/>
      <c r="P940" s="149">
        <v>0</v>
      </c>
      <c r="Q940" s="63">
        <f t="shared" si="371"/>
        <v>0</v>
      </c>
      <c r="R940" s="64">
        <f t="shared" si="362"/>
        <v>0</v>
      </c>
      <c r="S940" s="148">
        <v>25</v>
      </c>
      <c r="T940" s="151" t="s">
        <v>52</v>
      </c>
      <c r="U940" s="65">
        <f>SUMIF('Avoided Costs 2012-2020_EGD'!$A:$A,'2012 Actuals_Auditor'!T940&amp;'2012 Actuals_Auditor'!S940,'Avoided Costs 2012-2020_EGD'!$E:$E)*J940</f>
        <v>3516.2698371035158</v>
      </c>
      <c r="V940" s="65">
        <f>SUMIF('Avoided Costs 2012-2020_EGD'!$A:$A,'2012 Actuals_Auditor'!T940&amp;'2012 Actuals_Auditor'!S940,'Avoided Costs 2012-2020_EGD'!$K:$K)*N940</f>
        <v>0</v>
      </c>
      <c r="W940" s="65">
        <f>SUMIF('Avoided Costs 2012-2020_EGD'!$A:$A,'2012 Actuals_Auditor'!T940&amp;'2012 Actuals_Auditor'!S940,'Avoided Costs 2012-2020_EGD'!$M:$M)*R940</f>
        <v>0</v>
      </c>
      <c r="X940" s="65">
        <f t="shared" si="369"/>
        <v>3516.2698371035158</v>
      </c>
      <c r="Y940" s="146">
        <v>2955</v>
      </c>
      <c r="Z940" s="66">
        <f t="shared" si="363"/>
        <v>2364</v>
      </c>
      <c r="AA940" s="66">
        <v>267</v>
      </c>
      <c r="AB940" s="66"/>
      <c r="AC940" s="66"/>
      <c r="AD940" s="66">
        <f t="shared" si="364"/>
        <v>2364</v>
      </c>
      <c r="AE940" s="66">
        <f t="shared" si="365"/>
        <v>1152.2698371035158</v>
      </c>
      <c r="AF940" s="101">
        <f t="shared" si="366"/>
        <v>27242.771252998842</v>
      </c>
      <c r="AG940" s="101">
        <f t="shared" si="367"/>
        <v>34053.464066248554</v>
      </c>
    </row>
    <row r="941" spans="1:33" s="68" customFormat="1" x14ac:dyDescent="0.2">
      <c r="A941" s="147" t="s">
        <v>621</v>
      </c>
      <c r="B941" s="147"/>
      <c r="C941" s="147"/>
      <c r="D941" s="148">
        <v>1</v>
      </c>
      <c r="E941" s="149"/>
      <c r="F941" s="150">
        <v>0.2</v>
      </c>
      <c r="G941" s="150"/>
      <c r="H941" s="67">
        <v>16992</v>
      </c>
      <c r="I941" s="67">
        <f t="shared" si="370"/>
        <v>16242.426987051098</v>
      </c>
      <c r="J941" s="67">
        <f t="shared" si="360"/>
        <v>12993.941589640879</v>
      </c>
      <c r="K941" s="63"/>
      <c r="L941" s="149">
        <v>0</v>
      </c>
      <c r="M941" s="63">
        <f t="shared" si="368"/>
        <v>0</v>
      </c>
      <c r="N941" s="63">
        <f t="shared" si="361"/>
        <v>0</v>
      </c>
      <c r="O941" s="69"/>
      <c r="P941" s="149">
        <v>0</v>
      </c>
      <c r="Q941" s="63">
        <f t="shared" si="371"/>
        <v>0</v>
      </c>
      <c r="R941" s="64">
        <f t="shared" si="362"/>
        <v>0</v>
      </c>
      <c r="S941" s="148">
        <v>25</v>
      </c>
      <c r="T941" s="151" t="s">
        <v>15</v>
      </c>
      <c r="U941" s="65">
        <f>SUMIF('Avoided Costs 2012-2020_EGD'!$A:$A,'2012 Actuals_Auditor'!T941&amp;'2012 Actuals_Auditor'!S941,'Avoided Costs 2012-2020_EGD'!$E:$E)*J941</f>
        <v>44621.130434988372</v>
      </c>
      <c r="V941" s="65">
        <f>SUMIF('Avoided Costs 2012-2020_EGD'!$A:$A,'2012 Actuals_Auditor'!T941&amp;'2012 Actuals_Auditor'!S941,'Avoided Costs 2012-2020_EGD'!$K:$K)*N941</f>
        <v>0</v>
      </c>
      <c r="W941" s="65">
        <f>SUMIF('Avoided Costs 2012-2020_EGD'!$A:$A,'2012 Actuals_Auditor'!T941&amp;'2012 Actuals_Auditor'!S941,'Avoided Costs 2012-2020_EGD'!$M:$M)*R941</f>
        <v>0</v>
      </c>
      <c r="X941" s="65">
        <f t="shared" si="369"/>
        <v>44621.130434988372</v>
      </c>
      <c r="Y941" s="146">
        <v>11030</v>
      </c>
      <c r="Z941" s="66">
        <f t="shared" si="363"/>
        <v>8824</v>
      </c>
      <c r="AA941" s="66">
        <v>2955</v>
      </c>
      <c r="AB941" s="66"/>
      <c r="AC941" s="66"/>
      <c r="AD941" s="66">
        <f t="shared" si="364"/>
        <v>8824</v>
      </c>
      <c r="AE941" s="66">
        <f t="shared" si="365"/>
        <v>35797.130434988372</v>
      </c>
      <c r="AF941" s="101">
        <f t="shared" si="366"/>
        <v>324848.53974102199</v>
      </c>
      <c r="AG941" s="101">
        <f t="shared" si="367"/>
        <v>406060.67467627744</v>
      </c>
    </row>
    <row r="942" spans="1:33" s="68" customFormat="1" x14ac:dyDescent="0.2">
      <c r="A942" s="147" t="s">
        <v>622</v>
      </c>
      <c r="B942" s="147"/>
      <c r="C942" s="147"/>
      <c r="D942" s="148">
        <v>1</v>
      </c>
      <c r="E942" s="149"/>
      <c r="F942" s="150">
        <v>0.2</v>
      </c>
      <c r="G942" s="150"/>
      <c r="H942" s="67">
        <v>12353</v>
      </c>
      <c r="I942" s="67">
        <f t="shared" si="370"/>
        <v>11808.068536431392</v>
      </c>
      <c r="J942" s="67">
        <f t="shared" si="360"/>
        <v>9446.4548291451138</v>
      </c>
      <c r="K942" s="63"/>
      <c r="L942" s="149">
        <v>0</v>
      </c>
      <c r="M942" s="63">
        <f t="shared" si="368"/>
        <v>0</v>
      </c>
      <c r="N942" s="63">
        <f t="shared" si="361"/>
        <v>0</v>
      </c>
      <c r="O942" s="69"/>
      <c r="P942" s="149">
        <v>0</v>
      </c>
      <c r="Q942" s="63">
        <f t="shared" si="371"/>
        <v>0</v>
      </c>
      <c r="R942" s="64">
        <f t="shared" si="362"/>
        <v>0</v>
      </c>
      <c r="S942" s="148">
        <v>15</v>
      </c>
      <c r="T942" s="151" t="s">
        <v>15</v>
      </c>
      <c r="U942" s="65">
        <f>SUMIF('Avoided Costs 2012-2020_EGD'!$A:$A,'2012 Actuals_Auditor'!T942&amp;'2012 Actuals_Auditor'!S942,'Avoided Costs 2012-2020_EGD'!$E:$E)*J942</f>
        <v>22953.977207118089</v>
      </c>
      <c r="V942" s="65">
        <f>SUMIF('Avoided Costs 2012-2020_EGD'!$A:$A,'2012 Actuals_Auditor'!T942&amp;'2012 Actuals_Auditor'!S942,'Avoided Costs 2012-2020_EGD'!$K:$K)*N942</f>
        <v>0</v>
      </c>
      <c r="W942" s="65">
        <f>SUMIF('Avoided Costs 2012-2020_EGD'!$A:$A,'2012 Actuals_Auditor'!T942&amp;'2012 Actuals_Auditor'!S942,'Avoided Costs 2012-2020_EGD'!$M:$M)*R942</f>
        <v>0</v>
      </c>
      <c r="X942" s="65">
        <f t="shared" si="369"/>
        <v>22953.977207118089</v>
      </c>
      <c r="Y942" s="146">
        <v>9408</v>
      </c>
      <c r="Z942" s="66">
        <f t="shared" si="363"/>
        <v>7526.4000000000005</v>
      </c>
      <c r="AA942" s="66">
        <v>1235.3</v>
      </c>
      <c r="AB942" s="66"/>
      <c r="AC942" s="66"/>
      <c r="AD942" s="66">
        <f t="shared" si="364"/>
        <v>7526.4000000000005</v>
      </c>
      <c r="AE942" s="66">
        <f t="shared" si="365"/>
        <v>15427.577207118087</v>
      </c>
      <c r="AF942" s="101">
        <f t="shared" si="366"/>
        <v>141696.82243717671</v>
      </c>
      <c r="AG942" s="101">
        <f t="shared" si="367"/>
        <v>177121.02804647089</v>
      </c>
    </row>
    <row r="943" spans="1:33" s="68" customFormat="1" x14ac:dyDescent="0.2">
      <c r="A943" s="147" t="s">
        <v>623</v>
      </c>
      <c r="B943" s="147"/>
      <c r="C943" s="147"/>
      <c r="D943" s="148">
        <v>0</v>
      </c>
      <c r="E943" s="149"/>
      <c r="F943" s="150">
        <v>0.2</v>
      </c>
      <c r="G943" s="150"/>
      <c r="H943" s="67">
        <v>4874</v>
      </c>
      <c r="I943" s="67">
        <f t="shared" si="370"/>
        <v>4658.9918276181179</v>
      </c>
      <c r="J943" s="67">
        <f t="shared" si="360"/>
        <v>3727.1934620944944</v>
      </c>
      <c r="K943" s="63"/>
      <c r="L943" s="149">
        <v>0</v>
      </c>
      <c r="M943" s="63">
        <f t="shared" si="368"/>
        <v>0</v>
      </c>
      <c r="N943" s="63">
        <f t="shared" si="361"/>
        <v>0</v>
      </c>
      <c r="O943" s="69"/>
      <c r="P943" s="149">
        <v>0</v>
      </c>
      <c r="Q943" s="63">
        <f t="shared" si="371"/>
        <v>0</v>
      </c>
      <c r="R943" s="64">
        <f t="shared" si="362"/>
        <v>0</v>
      </c>
      <c r="S943" s="148">
        <v>25</v>
      </c>
      <c r="T943" s="151" t="s">
        <v>52</v>
      </c>
      <c r="U943" s="65">
        <f>SUMIF('Avoided Costs 2012-2020_EGD'!$A:$A,'2012 Actuals_Auditor'!T943&amp;'2012 Actuals_Auditor'!S943,'Avoided Costs 2012-2020_EGD'!$E:$E)*J943</f>
        <v>12026.876621784237</v>
      </c>
      <c r="V943" s="65">
        <f>SUMIF('Avoided Costs 2012-2020_EGD'!$A:$A,'2012 Actuals_Auditor'!T943&amp;'2012 Actuals_Auditor'!S943,'Avoided Costs 2012-2020_EGD'!$K:$K)*N943</f>
        <v>0</v>
      </c>
      <c r="W943" s="65">
        <f>SUMIF('Avoided Costs 2012-2020_EGD'!$A:$A,'2012 Actuals_Auditor'!T943&amp;'2012 Actuals_Auditor'!S943,'Avoided Costs 2012-2020_EGD'!$M:$M)*R943</f>
        <v>0</v>
      </c>
      <c r="X943" s="65">
        <f t="shared" si="369"/>
        <v>12026.876621784237</v>
      </c>
      <c r="Y943" s="146">
        <v>6893</v>
      </c>
      <c r="Z943" s="66">
        <f t="shared" si="363"/>
        <v>5514.4000000000005</v>
      </c>
      <c r="AA943" s="66">
        <v>1132</v>
      </c>
      <c r="AB943" s="66"/>
      <c r="AC943" s="66"/>
      <c r="AD943" s="66">
        <f t="shared" si="364"/>
        <v>5514.4000000000005</v>
      </c>
      <c r="AE943" s="66">
        <f t="shared" si="365"/>
        <v>6512.4766217842362</v>
      </c>
      <c r="AF943" s="101">
        <f t="shared" si="366"/>
        <v>93179.836552362365</v>
      </c>
      <c r="AG943" s="101">
        <f t="shared" si="367"/>
        <v>116474.79569045294</v>
      </c>
    </row>
    <row r="944" spans="1:33" s="68" customFormat="1" x14ac:dyDescent="0.2">
      <c r="A944" s="147" t="s">
        <v>624</v>
      </c>
      <c r="B944" s="147"/>
      <c r="C944" s="147"/>
      <c r="D944" s="148">
        <v>1</v>
      </c>
      <c r="E944" s="149"/>
      <c r="F944" s="150">
        <v>0.2</v>
      </c>
      <c r="G944" s="150"/>
      <c r="H944" s="67">
        <v>22292</v>
      </c>
      <c r="I944" s="67">
        <f t="shared" si="370"/>
        <v>21308.626553398251</v>
      </c>
      <c r="J944" s="67">
        <f t="shared" si="360"/>
        <v>17046.901242718603</v>
      </c>
      <c r="K944" s="63"/>
      <c r="L944" s="149">
        <v>0</v>
      </c>
      <c r="M944" s="63">
        <f t="shared" si="368"/>
        <v>0</v>
      </c>
      <c r="N944" s="63">
        <f t="shared" si="361"/>
        <v>0</v>
      </c>
      <c r="O944" s="69"/>
      <c r="P944" s="149">
        <v>0</v>
      </c>
      <c r="Q944" s="63">
        <f t="shared" si="371"/>
        <v>0</v>
      </c>
      <c r="R944" s="64">
        <f t="shared" si="362"/>
        <v>0</v>
      </c>
      <c r="S944" s="148">
        <v>25</v>
      </c>
      <c r="T944" s="151" t="s">
        <v>15</v>
      </c>
      <c r="U944" s="65">
        <f>SUMIF('Avoided Costs 2012-2020_EGD'!$A:$A,'2012 Actuals_Auditor'!T944&amp;'2012 Actuals_Auditor'!S944,'Avoided Costs 2012-2020_EGD'!$E:$E)*J944</f>
        <v>58538.973614451555</v>
      </c>
      <c r="V944" s="65">
        <f>SUMIF('Avoided Costs 2012-2020_EGD'!$A:$A,'2012 Actuals_Auditor'!T944&amp;'2012 Actuals_Auditor'!S944,'Avoided Costs 2012-2020_EGD'!$K:$K)*N944</f>
        <v>0</v>
      </c>
      <c r="W944" s="65">
        <f>SUMIF('Avoided Costs 2012-2020_EGD'!$A:$A,'2012 Actuals_Auditor'!T944&amp;'2012 Actuals_Auditor'!S944,'Avoided Costs 2012-2020_EGD'!$M:$M)*R944</f>
        <v>0</v>
      </c>
      <c r="X944" s="65">
        <f t="shared" si="369"/>
        <v>58538.973614451555</v>
      </c>
      <c r="Y944" s="146">
        <v>15756</v>
      </c>
      <c r="Z944" s="66">
        <f t="shared" si="363"/>
        <v>12604.800000000001</v>
      </c>
      <c r="AA944" s="66">
        <v>5035</v>
      </c>
      <c r="AB944" s="66"/>
      <c r="AC944" s="66"/>
      <c r="AD944" s="66">
        <f t="shared" si="364"/>
        <v>12604.800000000001</v>
      </c>
      <c r="AE944" s="66">
        <f t="shared" si="365"/>
        <v>45934.173614451553</v>
      </c>
      <c r="AF944" s="101">
        <f t="shared" si="366"/>
        <v>426172.53106796509</v>
      </c>
      <c r="AG944" s="101">
        <f t="shared" si="367"/>
        <v>532715.66383495624</v>
      </c>
    </row>
    <row r="945" spans="1:33" s="68" customFormat="1" x14ac:dyDescent="0.2">
      <c r="A945" s="147" t="s">
        <v>625</v>
      </c>
      <c r="B945" s="147"/>
      <c r="C945" s="147"/>
      <c r="D945" s="148">
        <v>1</v>
      </c>
      <c r="E945" s="149"/>
      <c r="F945" s="150">
        <v>0.2</v>
      </c>
      <c r="G945" s="150"/>
      <c r="H945" s="67">
        <v>27038</v>
      </c>
      <c r="I945" s="67">
        <f t="shared" si="370"/>
        <v>25845.264882055533</v>
      </c>
      <c r="J945" s="67">
        <f t="shared" si="360"/>
        <v>20676.211905644428</v>
      </c>
      <c r="K945" s="63"/>
      <c r="L945" s="149">
        <v>0</v>
      </c>
      <c r="M945" s="63">
        <f t="shared" si="368"/>
        <v>0</v>
      </c>
      <c r="N945" s="63">
        <f t="shared" si="361"/>
        <v>0</v>
      </c>
      <c r="O945" s="69"/>
      <c r="P945" s="149">
        <v>0</v>
      </c>
      <c r="Q945" s="63">
        <f t="shared" si="371"/>
        <v>0</v>
      </c>
      <c r="R945" s="64">
        <f t="shared" si="362"/>
        <v>0</v>
      </c>
      <c r="S945" s="148">
        <v>25</v>
      </c>
      <c r="T945" s="151" t="s">
        <v>52</v>
      </c>
      <c r="U945" s="65">
        <f>SUMIF('Avoided Costs 2012-2020_EGD'!$A:$A,'2012 Actuals_Auditor'!T945&amp;'2012 Actuals_Auditor'!S945,'Avoided Costs 2012-2020_EGD'!$E:$E)*J945</f>
        <v>66717.827267091139</v>
      </c>
      <c r="V945" s="65">
        <f>SUMIF('Avoided Costs 2012-2020_EGD'!$A:$A,'2012 Actuals_Auditor'!T945&amp;'2012 Actuals_Auditor'!S945,'Avoided Costs 2012-2020_EGD'!$K:$K)*N945</f>
        <v>0</v>
      </c>
      <c r="W945" s="65">
        <f>SUMIF('Avoided Costs 2012-2020_EGD'!$A:$A,'2012 Actuals_Auditor'!T945&amp;'2012 Actuals_Auditor'!S945,'Avoided Costs 2012-2020_EGD'!$M:$M)*R945</f>
        <v>0</v>
      </c>
      <c r="X945" s="65">
        <f t="shared" si="369"/>
        <v>66717.827267091139</v>
      </c>
      <c r="Y945" s="146">
        <v>28501</v>
      </c>
      <c r="Z945" s="66">
        <f t="shared" si="363"/>
        <v>22800.800000000003</v>
      </c>
      <c r="AA945" s="66">
        <v>2416</v>
      </c>
      <c r="AB945" s="66"/>
      <c r="AC945" s="66"/>
      <c r="AD945" s="66">
        <f t="shared" si="364"/>
        <v>22800.800000000003</v>
      </c>
      <c r="AE945" s="66">
        <f t="shared" si="365"/>
        <v>43917.027267091136</v>
      </c>
      <c r="AF945" s="101">
        <f t="shared" si="366"/>
        <v>516905.29764111072</v>
      </c>
      <c r="AG945" s="101">
        <f t="shared" si="367"/>
        <v>646131.62205138837</v>
      </c>
    </row>
    <row r="946" spans="1:33" s="68" customFormat="1" x14ac:dyDescent="0.2">
      <c r="A946" s="147" t="s">
        <v>626</v>
      </c>
      <c r="B946" s="147"/>
      <c r="C946" s="147"/>
      <c r="D946" s="148">
        <v>1</v>
      </c>
      <c r="E946" s="149"/>
      <c r="F946" s="150">
        <v>0.2</v>
      </c>
      <c r="G946" s="150"/>
      <c r="H946" s="67">
        <v>83251</v>
      </c>
      <c r="I946" s="67">
        <f t="shared" si="370"/>
        <v>79578.524546786197</v>
      </c>
      <c r="J946" s="67">
        <f t="shared" si="360"/>
        <v>63662.819637428962</v>
      </c>
      <c r="K946" s="63"/>
      <c r="L946" s="149">
        <v>0</v>
      </c>
      <c r="M946" s="63">
        <f t="shared" si="368"/>
        <v>0</v>
      </c>
      <c r="N946" s="63">
        <f t="shared" si="361"/>
        <v>0</v>
      </c>
      <c r="O946" s="69"/>
      <c r="P946" s="149">
        <v>0</v>
      </c>
      <c r="Q946" s="63">
        <f t="shared" si="371"/>
        <v>0</v>
      </c>
      <c r="R946" s="64">
        <f t="shared" si="362"/>
        <v>0</v>
      </c>
      <c r="S946" s="148">
        <v>25</v>
      </c>
      <c r="T946" s="151" t="s">
        <v>15</v>
      </c>
      <c r="U946" s="65">
        <f>SUMIF('Avoided Costs 2012-2020_EGD'!$A:$A,'2012 Actuals_Auditor'!T946&amp;'2012 Actuals_Auditor'!S946,'Avoided Costs 2012-2020_EGD'!$E:$E)*J946</f>
        <v>218617.80425160174</v>
      </c>
      <c r="V946" s="65">
        <f>SUMIF('Avoided Costs 2012-2020_EGD'!$A:$A,'2012 Actuals_Auditor'!T946&amp;'2012 Actuals_Auditor'!S946,'Avoided Costs 2012-2020_EGD'!$K:$K)*N946</f>
        <v>0</v>
      </c>
      <c r="W946" s="65">
        <f>SUMIF('Avoided Costs 2012-2020_EGD'!$A:$A,'2012 Actuals_Auditor'!T946&amp;'2012 Actuals_Auditor'!S946,'Avoided Costs 2012-2020_EGD'!$M:$M)*R946</f>
        <v>0</v>
      </c>
      <c r="X946" s="65">
        <f t="shared" si="369"/>
        <v>218617.80425160174</v>
      </c>
      <c r="Y946" s="146">
        <v>26087</v>
      </c>
      <c r="Z946" s="66">
        <f t="shared" si="363"/>
        <v>20869.600000000002</v>
      </c>
      <c r="AA946" s="66">
        <v>14317</v>
      </c>
      <c r="AB946" s="66"/>
      <c r="AC946" s="66"/>
      <c r="AD946" s="66">
        <f t="shared" si="364"/>
        <v>20869.600000000002</v>
      </c>
      <c r="AE946" s="66">
        <f t="shared" si="365"/>
        <v>197748.20425160174</v>
      </c>
      <c r="AF946" s="101">
        <f t="shared" si="366"/>
        <v>1591570.490935724</v>
      </c>
      <c r="AG946" s="101">
        <f t="shared" si="367"/>
        <v>1989463.1136696548</v>
      </c>
    </row>
    <row r="947" spans="1:33" s="68" customFormat="1" x14ac:dyDescent="0.2">
      <c r="A947" s="147" t="s">
        <v>627</v>
      </c>
      <c r="B947" s="147"/>
      <c r="C947" s="147"/>
      <c r="D947" s="148">
        <v>1</v>
      </c>
      <c r="E947" s="149"/>
      <c r="F947" s="150">
        <v>0.2</v>
      </c>
      <c r="G947" s="150"/>
      <c r="H947" s="67">
        <v>144829</v>
      </c>
      <c r="I947" s="67">
        <f t="shared" si="370"/>
        <v>138440.11641405505</v>
      </c>
      <c r="J947" s="67">
        <f t="shared" si="360"/>
        <v>110752.09313124405</v>
      </c>
      <c r="K947" s="63"/>
      <c r="L947" s="149">
        <v>0</v>
      </c>
      <c r="M947" s="63">
        <f t="shared" si="368"/>
        <v>0</v>
      </c>
      <c r="N947" s="63">
        <f t="shared" si="361"/>
        <v>0</v>
      </c>
      <c r="O947" s="69"/>
      <c r="P947" s="149">
        <v>0</v>
      </c>
      <c r="Q947" s="63">
        <f t="shared" si="371"/>
        <v>0</v>
      </c>
      <c r="R947" s="64">
        <f t="shared" si="362"/>
        <v>0</v>
      </c>
      <c r="S947" s="148">
        <v>25</v>
      </c>
      <c r="T947" s="151" t="s">
        <v>15</v>
      </c>
      <c r="U947" s="65">
        <f>SUMIF('Avoided Costs 2012-2020_EGD'!$A:$A,'2012 Actuals_Auditor'!T947&amp;'2012 Actuals_Auditor'!S947,'Avoided Costs 2012-2020_EGD'!$E:$E)*J947</f>
        <v>380322.13393178734</v>
      </c>
      <c r="V947" s="65">
        <f>SUMIF('Avoided Costs 2012-2020_EGD'!$A:$A,'2012 Actuals_Auditor'!T947&amp;'2012 Actuals_Auditor'!S947,'Avoided Costs 2012-2020_EGD'!$K:$K)*N947</f>
        <v>0</v>
      </c>
      <c r="W947" s="65">
        <f>SUMIF('Avoided Costs 2012-2020_EGD'!$A:$A,'2012 Actuals_Auditor'!T947&amp;'2012 Actuals_Auditor'!S947,'Avoided Costs 2012-2020_EGD'!$M:$M)*R947</f>
        <v>0</v>
      </c>
      <c r="X947" s="65">
        <f t="shared" si="369"/>
        <v>380322.13393178734</v>
      </c>
      <c r="Y947" s="146">
        <v>20000</v>
      </c>
      <c r="Z947" s="66">
        <f t="shared" si="363"/>
        <v>16000</v>
      </c>
      <c r="AA947" s="66">
        <v>30000</v>
      </c>
      <c r="AB947" s="66"/>
      <c r="AC947" s="66"/>
      <c r="AD947" s="66">
        <f t="shared" si="364"/>
        <v>16000</v>
      </c>
      <c r="AE947" s="66">
        <f t="shared" si="365"/>
        <v>364322.13393178734</v>
      </c>
      <c r="AF947" s="101">
        <f t="shared" si="366"/>
        <v>2768802.3282811013</v>
      </c>
      <c r="AG947" s="101">
        <f t="shared" si="367"/>
        <v>3461002.9103513765</v>
      </c>
    </row>
    <row r="948" spans="1:33" s="68" customFormat="1" x14ac:dyDescent="0.2">
      <c r="A948" s="147" t="s">
        <v>628</v>
      </c>
      <c r="B948" s="147"/>
      <c r="C948" s="147"/>
      <c r="D948" s="148">
        <v>1</v>
      </c>
      <c r="E948" s="149"/>
      <c r="F948" s="150">
        <v>0.2</v>
      </c>
      <c r="G948" s="150"/>
      <c r="H948" s="67">
        <v>123040</v>
      </c>
      <c r="I948" s="67">
        <f t="shared" si="370"/>
        <v>117612.30087610448</v>
      </c>
      <c r="J948" s="67">
        <f t="shared" si="360"/>
        <v>94089.840700883593</v>
      </c>
      <c r="K948" s="63"/>
      <c r="L948" s="149">
        <v>0</v>
      </c>
      <c r="M948" s="63">
        <f t="shared" si="368"/>
        <v>0</v>
      </c>
      <c r="N948" s="63">
        <f t="shared" si="361"/>
        <v>0</v>
      </c>
      <c r="O948" s="69"/>
      <c r="P948" s="149">
        <v>0</v>
      </c>
      <c r="Q948" s="63">
        <f t="shared" si="371"/>
        <v>0</v>
      </c>
      <c r="R948" s="64">
        <f t="shared" si="362"/>
        <v>0</v>
      </c>
      <c r="S948" s="148">
        <v>25</v>
      </c>
      <c r="T948" s="151" t="s">
        <v>15</v>
      </c>
      <c r="U948" s="65">
        <f>SUMIF('Avoided Costs 2012-2020_EGD'!$A:$A,'2012 Actuals_Auditor'!T948&amp;'2012 Actuals_Auditor'!S948,'Avoided Costs 2012-2020_EGD'!$E:$E)*J948</f>
        <v>323104.04241531133</v>
      </c>
      <c r="V948" s="65">
        <f>SUMIF('Avoided Costs 2012-2020_EGD'!$A:$A,'2012 Actuals_Auditor'!T948&amp;'2012 Actuals_Auditor'!S948,'Avoided Costs 2012-2020_EGD'!$K:$K)*N948</f>
        <v>0</v>
      </c>
      <c r="W948" s="65">
        <f>SUMIF('Avoided Costs 2012-2020_EGD'!$A:$A,'2012 Actuals_Auditor'!T948&amp;'2012 Actuals_Auditor'!S948,'Avoided Costs 2012-2020_EGD'!$M:$M)*R948</f>
        <v>0</v>
      </c>
      <c r="X948" s="65">
        <f t="shared" si="369"/>
        <v>323104.04241531133</v>
      </c>
      <c r="Y948" s="146">
        <v>15000</v>
      </c>
      <c r="Z948" s="66">
        <f t="shared" si="363"/>
        <v>12000</v>
      </c>
      <c r="AA948" s="66">
        <v>23248</v>
      </c>
      <c r="AB948" s="66"/>
      <c r="AC948" s="66"/>
      <c r="AD948" s="66">
        <f t="shared" si="364"/>
        <v>12000</v>
      </c>
      <c r="AE948" s="66">
        <f t="shared" si="365"/>
        <v>311104.04241531133</v>
      </c>
      <c r="AF948" s="101">
        <f t="shared" si="366"/>
        <v>2352246.0175220896</v>
      </c>
      <c r="AG948" s="101">
        <f t="shared" si="367"/>
        <v>2940307.5219026119</v>
      </c>
    </row>
    <row r="949" spans="1:33" s="68" customFormat="1" x14ac:dyDescent="0.2">
      <c r="A949" s="147" t="s">
        <v>629</v>
      </c>
      <c r="B949" s="147"/>
      <c r="C949" s="147"/>
      <c r="D949" s="148">
        <v>1</v>
      </c>
      <c r="E949" s="149"/>
      <c r="F949" s="150">
        <v>0.2</v>
      </c>
      <c r="G949" s="150"/>
      <c r="H949" s="67">
        <v>54650</v>
      </c>
      <c r="I949" s="67">
        <f>H949</f>
        <v>54650</v>
      </c>
      <c r="J949" s="67">
        <f t="shared" si="360"/>
        <v>43720</v>
      </c>
      <c r="K949" s="63"/>
      <c r="L949" s="149">
        <v>0</v>
      </c>
      <c r="M949" s="63">
        <f>L949</f>
        <v>0</v>
      </c>
      <c r="N949" s="63">
        <f t="shared" si="361"/>
        <v>0</v>
      </c>
      <c r="O949" s="69"/>
      <c r="P949" s="149">
        <v>0</v>
      </c>
      <c r="Q949" s="63">
        <f>+P949</f>
        <v>0</v>
      </c>
      <c r="R949" s="64">
        <f t="shared" si="362"/>
        <v>0</v>
      </c>
      <c r="S949" s="148">
        <v>25</v>
      </c>
      <c r="T949" s="151" t="s">
        <v>15</v>
      </c>
      <c r="U949" s="65">
        <f>SUMIF('Avoided Costs 2012-2020_EGD'!$A:$A,'2012 Actuals_Auditor'!T949&amp;'2012 Actuals_Auditor'!S949,'Avoided Costs 2012-2020_EGD'!$E:$E)*J949</f>
        <v>150134.26135245603</v>
      </c>
      <c r="V949" s="65">
        <f>SUMIF('Avoided Costs 2012-2020_EGD'!$A:$A,'2012 Actuals_Auditor'!T949&amp;'2012 Actuals_Auditor'!S949,'Avoided Costs 2012-2020_EGD'!$K:$K)*N949</f>
        <v>0</v>
      </c>
      <c r="W949" s="65">
        <f>SUMIF('Avoided Costs 2012-2020_EGD'!$A:$A,'2012 Actuals_Auditor'!T949&amp;'2012 Actuals_Auditor'!S949,'Avoided Costs 2012-2020_EGD'!$M:$M)*R949</f>
        <v>0</v>
      </c>
      <c r="X949" s="65">
        <f t="shared" si="369"/>
        <v>150134.26135245603</v>
      </c>
      <c r="Y949" s="146">
        <v>14100</v>
      </c>
      <c r="Z949" s="66">
        <f t="shared" si="363"/>
        <v>11280</v>
      </c>
      <c r="AA949" s="66">
        <v>4400</v>
      </c>
      <c r="AB949" s="66"/>
      <c r="AC949" s="66"/>
      <c r="AD949" s="66">
        <f t="shared" si="364"/>
        <v>11280</v>
      </c>
      <c r="AE949" s="66">
        <f t="shared" si="365"/>
        <v>138854.26135245603</v>
      </c>
      <c r="AF949" s="101">
        <f t="shared" si="366"/>
        <v>1093000</v>
      </c>
      <c r="AG949" s="101">
        <f t="shared" si="367"/>
        <v>1366250</v>
      </c>
    </row>
    <row r="950" spans="1:33" s="68" customFormat="1" x14ac:dyDescent="0.2">
      <c r="A950" s="147" t="s">
        <v>630</v>
      </c>
      <c r="B950" s="147"/>
      <c r="C950" s="147"/>
      <c r="D950" s="148">
        <v>1</v>
      </c>
      <c r="E950" s="149"/>
      <c r="F950" s="150">
        <v>0.2</v>
      </c>
      <c r="G950" s="150"/>
      <c r="H950" s="67">
        <v>53713</v>
      </c>
      <c r="I950" s="67">
        <f>+$H$42*H950</f>
        <v>51343.542888151816</v>
      </c>
      <c r="J950" s="67">
        <f t="shared" si="360"/>
        <v>41074.834310521459</v>
      </c>
      <c r="K950" s="63"/>
      <c r="L950" s="149">
        <v>0</v>
      </c>
      <c r="M950" s="63">
        <f t="shared" si="368"/>
        <v>0</v>
      </c>
      <c r="N950" s="63">
        <f t="shared" si="361"/>
        <v>0</v>
      </c>
      <c r="O950" s="69"/>
      <c r="P950" s="149">
        <v>0</v>
      </c>
      <c r="Q950" s="63">
        <f>+P950*$P$42</f>
        <v>0</v>
      </c>
      <c r="R950" s="64">
        <f t="shared" si="362"/>
        <v>0</v>
      </c>
      <c r="S950" s="148">
        <v>25</v>
      </c>
      <c r="T950" s="151" t="s">
        <v>15</v>
      </c>
      <c r="U950" s="65">
        <f>SUMIF('Avoided Costs 2012-2020_EGD'!$A:$A,'2012 Actuals_Auditor'!T950&amp;'2012 Actuals_Auditor'!S950,'Avoided Costs 2012-2020_EGD'!$E:$E)*J950</f>
        <v>141050.77560349167</v>
      </c>
      <c r="V950" s="65">
        <f>SUMIF('Avoided Costs 2012-2020_EGD'!$A:$A,'2012 Actuals_Auditor'!T950&amp;'2012 Actuals_Auditor'!S950,'Avoided Costs 2012-2020_EGD'!$K:$K)*N950</f>
        <v>0</v>
      </c>
      <c r="W950" s="65">
        <f>SUMIF('Avoided Costs 2012-2020_EGD'!$A:$A,'2012 Actuals_Auditor'!T950&amp;'2012 Actuals_Auditor'!S950,'Avoided Costs 2012-2020_EGD'!$M:$M)*R950</f>
        <v>0</v>
      </c>
      <c r="X950" s="65">
        <f t="shared" si="369"/>
        <v>141050.77560349167</v>
      </c>
      <c r="Y950" s="146">
        <v>7217</v>
      </c>
      <c r="Z950" s="66">
        <f t="shared" si="363"/>
        <v>5773.6</v>
      </c>
      <c r="AA950" s="66">
        <v>2926</v>
      </c>
      <c r="AB950" s="66"/>
      <c r="AC950" s="66"/>
      <c r="AD950" s="66">
        <f t="shared" si="364"/>
        <v>5773.6</v>
      </c>
      <c r="AE950" s="66">
        <f t="shared" si="365"/>
        <v>135277.17560349166</v>
      </c>
      <c r="AF950" s="101">
        <f t="shared" si="366"/>
        <v>1026870.8577630365</v>
      </c>
      <c r="AG950" s="101">
        <f t="shared" si="367"/>
        <v>1283588.5722037954</v>
      </c>
    </row>
    <row r="951" spans="1:33" s="68" customFormat="1" x14ac:dyDescent="0.2">
      <c r="A951" s="147" t="s">
        <v>631</v>
      </c>
      <c r="B951" s="147"/>
      <c r="C951" s="147"/>
      <c r="D951" s="148">
        <v>1</v>
      </c>
      <c r="E951" s="149"/>
      <c r="F951" s="150">
        <v>0.2</v>
      </c>
      <c r="G951" s="150"/>
      <c r="H951" s="67">
        <v>10129</v>
      </c>
      <c r="I951" s="67">
        <f>H951</f>
        <v>10129</v>
      </c>
      <c r="J951" s="67">
        <f t="shared" si="360"/>
        <v>8103.2000000000007</v>
      </c>
      <c r="K951" s="63"/>
      <c r="L951" s="149">
        <v>0</v>
      </c>
      <c r="M951" s="63">
        <f>L951</f>
        <v>0</v>
      </c>
      <c r="N951" s="63">
        <f t="shared" si="361"/>
        <v>0</v>
      </c>
      <c r="O951" s="69"/>
      <c r="P951" s="149">
        <v>0</v>
      </c>
      <c r="Q951" s="63">
        <f>+P951</f>
        <v>0</v>
      </c>
      <c r="R951" s="64">
        <f t="shared" si="362"/>
        <v>0</v>
      </c>
      <c r="S951" s="148">
        <v>25</v>
      </c>
      <c r="T951" s="151" t="s">
        <v>15</v>
      </c>
      <c r="U951" s="65">
        <f>SUMIF('Avoided Costs 2012-2020_EGD'!$A:$A,'2012 Actuals_Auditor'!T951&amp;'2012 Actuals_Auditor'!S951,'Avoided Costs 2012-2020_EGD'!$E:$E)*J951</f>
        <v>27826.348275188055</v>
      </c>
      <c r="V951" s="65">
        <f>SUMIF('Avoided Costs 2012-2020_EGD'!$A:$A,'2012 Actuals_Auditor'!T951&amp;'2012 Actuals_Auditor'!S951,'Avoided Costs 2012-2020_EGD'!$K:$K)*N951</f>
        <v>0</v>
      </c>
      <c r="W951" s="65">
        <f>SUMIF('Avoided Costs 2012-2020_EGD'!$A:$A,'2012 Actuals_Auditor'!T951&amp;'2012 Actuals_Auditor'!S951,'Avoided Costs 2012-2020_EGD'!$M:$M)*R951</f>
        <v>0</v>
      </c>
      <c r="X951" s="65">
        <f t="shared" si="369"/>
        <v>27826.348275188055</v>
      </c>
      <c r="Y951" s="146">
        <v>10500</v>
      </c>
      <c r="Z951" s="66">
        <f t="shared" si="363"/>
        <v>8400</v>
      </c>
      <c r="AA951" s="66">
        <v>1250</v>
      </c>
      <c r="AB951" s="66"/>
      <c r="AC951" s="66"/>
      <c r="AD951" s="66">
        <f t="shared" si="364"/>
        <v>8400</v>
      </c>
      <c r="AE951" s="66">
        <f t="shared" si="365"/>
        <v>19426.348275188055</v>
      </c>
      <c r="AF951" s="101">
        <f t="shared" si="366"/>
        <v>202580.00000000003</v>
      </c>
      <c r="AG951" s="101">
        <f t="shared" si="367"/>
        <v>253225</v>
      </c>
    </row>
    <row r="952" spans="1:33" s="68" customFormat="1" x14ac:dyDescent="0.2">
      <c r="A952" s="147" t="s">
        <v>632</v>
      </c>
      <c r="B952" s="147"/>
      <c r="C952" s="147"/>
      <c r="D952" s="148">
        <v>1</v>
      </c>
      <c r="E952" s="149"/>
      <c r="F952" s="150">
        <v>0.2</v>
      </c>
      <c r="G952" s="150"/>
      <c r="H952" s="67">
        <v>12141</v>
      </c>
      <c r="I952" s="67">
        <f>H952</f>
        <v>12141</v>
      </c>
      <c r="J952" s="67">
        <f t="shared" si="360"/>
        <v>9712.8000000000011</v>
      </c>
      <c r="K952" s="63"/>
      <c r="L952" s="149">
        <v>0</v>
      </c>
      <c r="M952" s="63">
        <f>L952</f>
        <v>0</v>
      </c>
      <c r="N952" s="63">
        <f t="shared" si="361"/>
        <v>0</v>
      </c>
      <c r="O952" s="69"/>
      <c r="P952" s="149">
        <v>0</v>
      </c>
      <c r="Q952" s="63">
        <f>+P952</f>
        <v>0</v>
      </c>
      <c r="R952" s="64">
        <f t="shared" si="362"/>
        <v>0</v>
      </c>
      <c r="S952" s="148">
        <v>25</v>
      </c>
      <c r="T952" s="151" t="s">
        <v>15</v>
      </c>
      <c r="U952" s="65">
        <f>SUMIF('Avoided Costs 2012-2020_EGD'!$A:$A,'2012 Actuals_Auditor'!T952&amp;'2012 Actuals_Auditor'!S952,'Avoided Costs 2012-2020_EGD'!$E:$E)*J952</f>
        <v>33353.70662543767</v>
      </c>
      <c r="V952" s="65">
        <f>SUMIF('Avoided Costs 2012-2020_EGD'!$A:$A,'2012 Actuals_Auditor'!T952&amp;'2012 Actuals_Auditor'!S952,'Avoided Costs 2012-2020_EGD'!$K:$K)*N952</f>
        <v>0</v>
      </c>
      <c r="W952" s="65">
        <f>SUMIF('Avoided Costs 2012-2020_EGD'!$A:$A,'2012 Actuals_Auditor'!T952&amp;'2012 Actuals_Auditor'!S952,'Avoided Costs 2012-2020_EGD'!$M:$M)*R952</f>
        <v>0</v>
      </c>
      <c r="X952" s="65">
        <f t="shared" si="369"/>
        <v>33353.70662543767</v>
      </c>
      <c r="Y952" s="146">
        <v>10300</v>
      </c>
      <c r="Z952" s="66">
        <f t="shared" si="363"/>
        <v>8240</v>
      </c>
      <c r="AA952" s="66">
        <v>1400</v>
      </c>
      <c r="AB952" s="66"/>
      <c r="AC952" s="66"/>
      <c r="AD952" s="66">
        <f t="shared" si="364"/>
        <v>8240</v>
      </c>
      <c r="AE952" s="66">
        <f t="shared" si="365"/>
        <v>25113.70662543767</v>
      </c>
      <c r="AF952" s="101">
        <f t="shared" si="366"/>
        <v>242820.00000000003</v>
      </c>
      <c r="AG952" s="101">
        <f t="shared" si="367"/>
        <v>303525</v>
      </c>
    </row>
    <row r="953" spans="1:33" s="68" customFormat="1" x14ac:dyDescent="0.2">
      <c r="A953" s="147" t="s">
        <v>633</v>
      </c>
      <c r="B953" s="147"/>
      <c r="C953" s="147"/>
      <c r="D953" s="148">
        <v>1</v>
      </c>
      <c r="E953" s="149"/>
      <c r="F953" s="150">
        <v>0.2</v>
      </c>
      <c r="G953" s="150"/>
      <c r="H953" s="67">
        <v>11810</v>
      </c>
      <c r="I953" s="67">
        <f>H953</f>
        <v>11810</v>
      </c>
      <c r="J953" s="67">
        <f t="shared" si="360"/>
        <v>9448</v>
      </c>
      <c r="K953" s="63"/>
      <c r="L953" s="149">
        <v>0</v>
      </c>
      <c r="M953" s="63">
        <f>L953</f>
        <v>0</v>
      </c>
      <c r="N953" s="63">
        <f t="shared" si="361"/>
        <v>0</v>
      </c>
      <c r="O953" s="69"/>
      <c r="P953" s="149">
        <v>0</v>
      </c>
      <c r="Q953" s="63">
        <f>+P953</f>
        <v>0</v>
      </c>
      <c r="R953" s="64">
        <f t="shared" si="362"/>
        <v>0</v>
      </c>
      <c r="S953" s="148">
        <v>25</v>
      </c>
      <c r="T953" s="151" t="s">
        <v>15</v>
      </c>
      <c r="U953" s="65">
        <f>SUMIF('Avoided Costs 2012-2020_EGD'!$A:$A,'2012 Actuals_Auditor'!T953&amp;'2012 Actuals_Auditor'!S953,'Avoided Costs 2012-2020_EGD'!$E:$E)*J953</f>
        <v>32444.384749725628</v>
      </c>
      <c r="V953" s="65">
        <f>SUMIF('Avoided Costs 2012-2020_EGD'!$A:$A,'2012 Actuals_Auditor'!T953&amp;'2012 Actuals_Auditor'!S953,'Avoided Costs 2012-2020_EGD'!$K:$K)*N953</f>
        <v>0</v>
      </c>
      <c r="W953" s="65">
        <f>SUMIF('Avoided Costs 2012-2020_EGD'!$A:$A,'2012 Actuals_Auditor'!T953&amp;'2012 Actuals_Auditor'!S953,'Avoided Costs 2012-2020_EGD'!$M:$M)*R953</f>
        <v>0</v>
      </c>
      <c r="X953" s="65">
        <f t="shared" si="369"/>
        <v>32444.384749725628</v>
      </c>
      <c r="Y953" s="146">
        <v>15044</v>
      </c>
      <c r="Z953" s="66">
        <f t="shared" si="363"/>
        <v>12035.2</v>
      </c>
      <c r="AA953" s="66">
        <v>1600</v>
      </c>
      <c r="AB953" s="66"/>
      <c r="AC953" s="66"/>
      <c r="AD953" s="66">
        <f t="shared" si="364"/>
        <v>12035.2</v>
      </c>
      <c r="AE953" s="66">
        <f t="shared" si="365"/>
        <v>20409.184749725628</v>
      </c>
      <c r="AF953" s="101">
        <f t="shared" si="366"/>
        <v>236200</v>
      </c>
      <c r="AG953" s="101">
        <f t="shared" si="367"/>
        <v>295250</v>
      </c>
    </row>
    <row r="954" spans="1:33" s="68" customFormat="1" x14ac:dyDescent="0.2">
      <c r="A954" s="147" t="s">
        <v>634</v>
      </c>
      <c r="B954" s="147"/>
      <c r="C954" s="147"/>
      <c r="D954" s="148">
        <v>1</v>
      </c>
      <c r="E954" s="149"/>
      <c r="F954" s="150">
        <v>0.2</v>
      </c>
      <c r="G954" s="150"/>
      <c r="H954" s="67">
        <v>2038</v>
      </c>
      <c r="I954" s="67">
        <f>+$H$42*H954</f>
        <v>1948.0971162670751</v>
      </c>
      <c r="J954" s="67">
        <f t="shared" si="360"/>
        <v>1558.4776930136602</v>
      </c>
      <c r="K954" s="63"/>
      <c r="L954" s="149">
        <v>0</v>
      </c>
      <c r="M954" s="63">
        <f t="shared" si="368"/>
        <v>0</v>
      </c>
      <c r="N954" s="63">
        <f t="shared" si="361"/>
        <v>0</v>
      </c>
      <c r="O954" s="69"/>
      <c r="P954" s="149">
        <v>0</v>
      </c>
      <c r="Q954" s="63">
        <f>+P954*$P$42</f>
        <v>0</v>
      </c>
      <c r="R954" s="64">
        <f t="shared" si="362"/>
        <v>0</v>
      </c>
      <c r="S954" s="148">
        <v>15</v>
      </c>
      <c r="T954" s="151" t="s">
        <v>52</v>
      </c>
      <c r="U954" s="65">
        <f>SUMIF('Avoided Costs 2012-2020_EGD'!$A:$A,'2012 Actuals_Auditor'!T954&amp;'2012 Actuals_Auditor'!S954,'Avoided Costs 2012-2020_EGD'!$E:$E)*J954</f>
        <v>3561.1188400527444</v>
      </c>
      <c r="V954" s="65">
        <f>SUMIF('Avoided Costs 2012-2020_EGD'!$A:$A,'2012 Actuals_Auditor'!T954&amp;'2012 Actuals_Auditor'!S954,'Avoided Costs 2012-2020_EGD'!$K:$K)*N954</f>
        <v>0</v>
      </c>
      <c r="W954" s="65">
        <f>SUMIF('Avoided Costs 2012-2020_EGD'!$A:$A,'2012 Actuals_Auditor'!T954&amp;'2012 Actuals_Auditor'!S954,'Avoided Costs 2012-2020_EGD'!$M:$M)*R954</f>
        <v>0</v>
      </c>
      <c r="X954" s="65">
        <f t="shared" si="369"/>
        <v>3561.1188400527444</v>
      </c>
      <c r="Y954" s="146">
        <v>4000</v>
      </c>
      <c r="Z954" s="66">
        <f t="shared" si="363"/>
        <v>3200</v>
      </c>
      <c r="AA954" s="66">
        <v>204</v>
      </c>
      <c r="AB954" s="66"/>
      <c r="AC954" s="66"/>
      <c r="AD954" s="66">
        <f t="shared" si="364"/>
        <v>3200</v>
      </c>
      <c r="AE954" s="66">
        <f t="shared" si="365"/>
        <v>361.11884005274442</v>
      </c>
      <c r="AF954" s="101">
        <f t="shared" si="366"/>
        <v>23377.165395204902</v>
      </c>
      <c r="AG954" s="101">
        <f t="shared" si="367"/>
        <v>29221.456744006126</v>
      </c>
    </row>
    <row r="955" spans="1:33" s="68" customFormat="1" x14ac:dyDescent="0.2">
      <c r="A955" s="147" t="s">
        <v>635</v>
      </c>
      <c r="B955" s="147"/>
      <c r="C955" s="147"/>
      <c r="D955" s="148">
        <v>1</v>
      </c>
      <c r="E955" s="149"/>
      <c r="F955" s="150">
        <v>0.2</v>
      </c>
      <c r="G955" s="150"/>
      <c r="H955" s="67">
        <v>2713</v>
      </c>
      <c r="I955" s="67">
        <f>+$H$42*H955</f>
        <v>2593.3206459433636</v>
      </c>
      <c r="J955" s="67">
        <f t="shared" si="360"/>
        <v>2074.656516754691</v>
      </c>
      <c r="K955" s="63"/>
      <c r="L955" s="149">
        <v>0</v>
      </c>
      <c r="M955" s="63">
        <f t="shared" si="368"/>
        <v>0</v>
      </c>
      <c r="N955" s="63">
        <f t="shared" si="361"/>
        <v>0</v>
      </c>
      <c r="O955" s="69"/>
      <c r="P955" s="149">
        <v>0</v>
      </c>
      <c r="Q955" s="63">
        <f>+P955*$P$42</f>
        <v>0</v>
      </c>
      <c r="R955" s="64">
        <f t="shared" si="362"/>
        <v>0</v>
      </c>
      <c r="S955" s="148">
        <v>15</v>
      </c>
      <c r="T955" s="151" t="s">
        <v>52</v>
      </c>
      <c r="U955" s="65">
        <f>SUMIF('Avoided Costs 2012-2020_EGD'!$A:$A,'2012 Actuals_Auditor'!T955&amp;'2012 Actuals_Auditor'!S955,'Avoided Costs 2012-2020_EGD'!$E:$E)*J955</f>
        <v>4740.5865618562784</v>
      </c>
      <c r="V955" s="65">
        <f>SUMIF('Avoided Costs 2012-2020_EGD'!$A:$A,'2012 Actuals_Auditor'!T955&amp;'2012 Actuals_Auditor'!S955,'Avoided Costs 2012-2020_EGD'!$K:$K)*N955</f>
        <v>0</v>
      </c>
      <c r="W955" s="65">
        <f>SUMIF('Avoided Costs 2012-2020_EGD'!$A:$A,'2012 Actuals_Auditor'!T955&amp;'2012 Actuals_Auditor'!S955,'Avoided Costs 2012-2020_EGD'!$M:$M)*R955</f>
        <v>0</v>
      </c>
      <c r="X955" s="65">
        <f t="shared" si="369"/>
        <v>4740.5865618562784</v>
      </c>
      <c r="Y955" s="146">
        <v>6000</v>
      </c>
      <c r="Z955" s="66">
        <f t="shared" si="363"/>
        <v>4800</v>
      </c>
      <c r="AA955" s="66">
        <v>271</v>
      </c>
      <c r="AB955" s="66"/>
      <c r="AC955" s="66"/>
      <c r="AD955" s="66">
        <f t="shared" si="364"/>
        <v>4800</v>
      </c>
      <c r="AE955" s="66">
        <f t="shared" si="365"/>
        <v>-59.413438143721578</v>
      </c>
      <c r="AF955" s="101">
        <f t="shared" si="366"/>
        <v>31119.847751320365</v>
      </c>
      <c r="AG955" s="101">
        <f t="shared" si="367"/>
        <v>38899.809689150454</v>
      </c>
    </row>
    <row r="956" spans="1:33" s="68" customFormat="1" x14ac:dyDescent="0.2">
      <c r="A956" s="147" t="s">
        <v>636</v>
      </c>
      <c r="B956" s="147"/>
      <c r="C956" s="147"/>
      <c r="D956" s="148">
        <v>0</v>
      </c>
      <c r="E956" s="149"/>
      <c r="F956" s="150">
        <v>0.2</v>
      </c>
      <c r="G956" s="150"/>
      <c r="H956" s="67">
        <v>1079</v>
      </c>
      <c r="I956" s="67">
        <f>+$H$42*H956</f>
        <v>1031.4017607714297</v>
      </c>
      <c r="J956" s="67">
        <f t="shared" si="360"/>
        <v>825.12140861714386</v>
      </c>
      <c r="K956" s="63"/>
      <c r="L956" s="149">
        <v>0</v>
      </c>
      <c r="M956" s="63">
        <f t="shared" si="368"/>
        <v>0</v>
      </c>
      <c r="N956" s="63">
        <f t="shared" si="361"/>
        <v>0</v>
      </c>
      <c r="O956" s="69"/>
      <c r="P956" s="149">
        <v>0</v>
      </c>
      <c r="Q956" s="63">
        <f>+P956*$P$42</f>
        <v>0</v>
      </c>
      <c r="R956" s="64">
        <f t="shared" si="362"/>
        <v>0</v>
      </c>
      <c r="S956" s="148">
        <v>15</v>
      </c>
      <c r="T956" s="151" t="s">
        <v>52</v>
      </c>
      <c r="U956" s="65">
        <f>SUMIF('Avoided Costs 2012-2020_EGD'!$A:$A,'2012 Actuals_Auditor'!T956&amp;'2012 Actuals_Auditor'!S956,'Avoided Costs 2012-2020_EGD'!$E:$E)*J956</f>
        <v>1885.4009952977974</v>
      </c>
      <c r="V956" s="65">
        <f>SUMIF('Avoided Costs 2012-2020_EGD'!$A:$A,'2012 Actuals_Auditor'!T956&amp;'2012 Actuals_Auditor'!S956,'Avoided Costs 2012-2020_EGD'!$K:$K)*N956</f>
        <v>0</v>
      </c>
      <c r="W956" s="65">
        <f>SUMIF('Avoided Costs 2012-2020_EGD'!$A:$A,'2012 Actuals_Auditor'!T956&amp;'2012 Actuals_Auditor'!S956,'Avoided Costs 2012-2020_EGD'!$M:$M)*R956</f>
        <v>0</v>
      </c>
      <c r="X956" s="65">
        <f t="shared" si="369"/>
        <v>1885.4009952977974</v>
      </c>
      <c r="Y956" s="146">
        <v>2000</v>
      </c>
      <c r="Z956" s="66">
        <f t="shared" si="363"/>
        <v>1600</v>
      </c>
      <c r="AA956" s="66">
        <v>108</v>
      </c>
      <c r="AB956" s="66"/>
      <c r="AC956" s="66"/>
      <c r="AD956" s="66">
        <f t="shared" si="364"/>
        <v>1600</v>
      </c>
      <c r="AE956" s="66">
        <f t="shared" si="365"/>
        <v>285.40099529779741</v>
      </c>
      <c r="AF956" s="101">
        <f t="shared" si="366"/>
        <v>12376.821129257158</v>
      </c>
      <c r="AG956" s="101">
        <f t="shared" si="367"/>
        <v>15471.026411571445</v>
      </c>
    </row>
    <row r="957" spans="1:33" s="68" customFormat="1" x14ac:dyDescent="0.2">
      <c r="A957" s="147" t="s">
        <v>637</v>
      </c>
      <c r="B957" s="147"/>
      <c r="C957" s="147"/>
      <c r="D957" s="148">
        <v>1</v>
      </c>
      <c r="E957" s="149"/>
      <c r="F957" s="150">
        <v>0.2</v>
      </c>
      <c r="G957" s="150"/>
      <c r="H957" s="67">
        <v>12514</v>
      </c>
      <c r="I957" s="67">
        <f>+$H$42*H957</f>
        <v>11961.966296843069</v>
      </c>
      <c r="J957" s="67">
        <f t="shared" si="360"/>
        <v>9569.5730374744562</v>
      </c>
      <c r="K957" s="63"/>
      <c r="L957" s="149">
        <v>0</v>
      </c>
      <c r="M957" s="63">
        <f t="shared" si="368"/>
        <v>0</v>
      </c>
      <c r="N957" s="63">
        <f t="shared" si="361"/>
        <v>0</v>
      </c>
      <c r="O957" s="69"/>
      <c r="P957" s="149">
        <v>0</v>
      </c>
      <c r="Q957" s="63">
        <f>+P957*$P$42</f>
        <v>0</v>
      </c>
      <c r="R957" s="64">
        <f t="shared" si="362"/>
        <v>0</v>
      </c>
      <c r="S957" s="148">
        <v>15</v>
      </c>
      <c r="T957" s="151" t="s">
        <v>15</v>
      </c>
      <c r="U957" s="65">
        <f>SUMIF('Avoided Costs 2012-2020_EGD'!$A:$A,'2012 Actuals_Auditor'!T957&amp;'2012 Actuals_Auditor'!S957,'Avoided Costs 2012-2020_EGD'!$E:$E)*J957</f>
        <v>23253.142618786995</v>
      </c>
      <c r="V957" s="65">
        <f>SUMIF('Avoided Costs 2012-2020_EGD'!$A:$A,'2012 Actuals_Auditor'!T957&amp;'2012 Actuals_Auditor'!S957,'Avoided Costs 2012-2020_EGD'!$K:$K)*N957</f>
        <v>0</v>
      </c>
      <c r="W957" s="65">
        <f>SUMIF('Avoided Costs 2012-2020_EGD'!$A:$A,'2012 Actuals_Auditor'!T957&amp;'2012 Actuals_Auditor'!S957,'Avoided Costs 2012-2020_EGD'!$M:$M)*R957</f>
        <v>0</v>
      </c>
      <c r="X957" s="65">
        <f t="shared" si="369"/>
        <v>23253.142618786995</v>
      </c>
      <c r="Y957" s="146">
        <v>10000</v>
      </c>
      <c r="Z957" s="66">
        <f t="shared" si="363"/>
        <v>8000</v>
      </c>
      <c r="AA957" s="66">
        <v>1251</v>
      </c>
      <c r="AB957" s="66"/>
      <c r="AC957" s="66"/>
      <c r="AD957" s="66">
        <f t="shared" si="364"/>
        <v>8000</v>
      </c>
      <c r="AE957" s="66">
        <f t="shared" si="365"/>
        <v>15253.142618786995</v>
      </c>
      <c r="AF957" s="101">
        <f t="shared" si="366"/>
        <v>143543.59556211685</v>
      </c>
      <c r="AG957" s="101">
        <f t="shared" si="367"/>
        <v>179429.49445264603</v>
      </c>
    </row>
    <row r="958" spans="1:33" s="68" customFormat="1" x14ac:dyDescent="0.2">
      <c r="A958" s="147" t="s">
        <v>638</v>
      </c>
      <c r="B958" s="147"/>
      <c r="C958" s="147"/>
      <c r="D958" s="148">
        <v>1</v>
      </c>
      <c r="E958" s="149"/>
      <c r="F958" s="150">
        <v>0.2</v>
      </c>
      <c r="G958" s="150"/>
      <c r="H958" s="67">
        <v>3496</v>
      </c>
      <c r="I958" s="67">
        <f t="shared" ref="I958:I965" si="372">H958</f>
        <v>3496</v>
      </c>
      <c r="J958" s="67">
        <f t="shared" si="360"/>
        <v>2796.8</v>
      </c>
      <c r="K958" s="63"/>
      <c r="L958" s="149">
        <v>0</v>
      </c>
      <c r="M958" s="63">
        <f t="shared" ref="M958:M965" si="373">L958</f>
        <v>0</v>
      </c>
      <c r="N958" s="63">
        <f t="shared" si="361"/>
        <v>0</v>
      </c>
      <c r="O958" s="69"/>
      <c r="P958" s="149">
        <v>0</v>
      </c>
      <c r="Q958" s="63">
        <f t="shared" ref="Q958:Q965" si="374">+P958</f>
        <v>0</v>
      </c>
      <c r="R958" s="64">
        <f t="shared" si="362"/>
        <v>0</v>
      </c>
      <c r="S958" s="148">
        <v>25</v>
      </c>
      <c r="T958" s="151" t="s">
        <v>15</v>
      </c>
      <c r="U958" s="65">
        <f>SUMIF('Avoided Costs 2012-2020_EGD'!$A:$A,'2012 Actuals_Auditor'!T958&amp;'2012 Actuals_Auditor'!S958,'Avoided Costs 2012-2020_EGD'!$E:$E)*J958</f>
        <v>9604.1972129585774</v>
      </c>
      <c r="V958" s="65">
        <f>SUMIF('Avoided Costs 2012-2020_EGD'!$A:$A,'2012 Actuals_Auditor'!T958&amp;'2012 Actuals_Auditor'!S958,'Avoided Costs 2012-2020_EGD'!$K:$K)*N958</f>
        <v>0</v>
      </c>
      <c r="W958" s="65">
        <f>SUMIF('Avoided Costs 2012-2020_EGD'!$A:$A,'2012 Actuals_Auditor'!T958&amp;'2012 Actuals_Auditor'!S958,'Avoided Costs 2012-2020_EGD'!$M:$M)*R958</f>
        <v>0</v>
      </c>
      <c r="X958" s="65">
        <f t="shared" si="369"/>
        <v>9604.1972129585774</v>
      </c>
      <c r="Y958" s="146">
        <v>4500</v>
      </c>
      <c r="Z958" s="66">
        <f t="shared" si="363"/>
        <v>3600</v>
      </c>
      <c r="AA958" s="66">
        <v>400</v>
      </c>
      <c r="AB958" s="66"/>
      <c r="AC958" s="66"/>
      <c r="AD958" s="66">
        <f t="shared" si="364"/>
        <v>3600</v>
      </c>
      <c r="AE958" s="66">
        <f t="shared" si="365"/>
        <v>6004.1972129585774</v>
      </c>
      <c r="AF958" s="101">
        <f t="shared" si="366"/>
        <v>69920</v>
      </c>
      <c r="AG958" s="101">
        <f t="shared" si="367"/>
        <v>87400</v>
      </c>
    </row>
    <row r="959" spans="1:33" s="68" customFormat="1" x14ac:dyDescent="0.2">
      <c r="A959" s="147" t="s">
        <v>639</v>
      </c>
      <c r="B959" s="147"/>
      <c r="C959" s="147"/>
      <c r="D959" s="148">
        <v>1</v>
      </c>
      <c r="E959" s="149"/>
      <c r="F959" s="150">
        <v>0.2</v>
      </c>
      <c r="G959" s="150"/>
      <c r="H959" s="67">
        <v>6991</v>
      </c>
      <c r="I959" s="67">
        <f t="shared" si="372"/>
        <v>6991</v>
      </c>
      <c r="J959" s="67">
        <f t="shared" si="360"/>
        <v>5592.8</v>
      </c>
      <c r="K959" s="63"/>
      <c r="L959" s="149">
        <v>0</v>
      </c>
      <c r="M959" s="63">
        <f t="shared" si="373"/>
        <v>0</v>
      </c>
      <c r="N959" s="63">
        <f t="shared" si="361"/>
        <v>0</v>
      </c>
      <c r="O959" s="69"/>
      <c r="P959" s="149">
        <v>0</v>
      </c>
      <c r="Q959" s="63">
        <f t="shared" si="374"/>
        <v>0</v>
      </c>
      <c r="R959" s="64">
        <f t="shared" si="362"/>
        <v>0</v>
      </c>
      <c r="S959" s="148">
        <v>25</v>
      </c>
      <c r="T959" s="151" t="s">
        <v>15</v>
      </c>
      <c r="U959" s="65">
        <f>SUMIF('Avoided Costs 2012-2020_EGD'!$A:$A,'2012 Actuals_Auditor'!T959&amp;'2012 Actuals_Auditor'!S959,'Avoided Costs 2012-2020_EGD'!$E:$E)*J959</f>
        <v>19205.647229918024</v>
      </c>
      <c r="V959" s="65">
        <f>SUMIF('Avoided Costs 2012-2020_EGD'!$A:$A,'2012 Actuals_Auditor'!T959&amp;'2012 Actuals_Auditor'!S959,'Avoided Costs 2012-2020_EGD'!$K:$K)*N959</f>
        <v>0</v>
      </c>
      <c r="W959" s="65">
        <f>SUMIF('Avoided Costs 2012-2020_EGD'!$A:$A,'2012 Actuals_Auditor'!T959&amp;'2012 Actuals_Auditor'!S959,'Avoided Costs 2012-2020_EGD'!$M:$M)*R959</f>
        <v>0</v>
      </c>
      <c r="X959" s="65">
        <f t="shared" si="369"/>
        <v>19205.647229918024</v>
      </c>
      <c r="Y959" s="146">
        <v>9000</v>
      </c>
      <c r="Z959" s="66">
        <f t="shared" si="363"/>
        <v>7200</v>
      </c>
      <c r="AA959" s="66">
        <v>800</v>
      </c>
      <c r="AB959" s="66"/>
      <c r="AC959" s="66"/>
      <c r="AD959" s="66">
        <f t="shared" si="364"/>
        <v>7200</v>
      </c>
      <c r="AE959" s="66">
        <f t="shared" si="365"/>
        <v>12005.647229918024</v>
      </c>
      <c r="AF959" s="101">
        <f t="shared" si="366"/>
        <v>139820</v>
      </c>
      <c r="AG959" s="101">
        <f t="shared" si="367"/>
        <v>174775</v>
      </c>
    </row>
    <row r="960" spans="1:33" s="68" customFormat="1" x14ac:dyDescent="0.2">
      <c r="A960" s="147" t="s">
        <v>640</v>
      </c>
      <c r="B960" s="147"/>
      <c r="C960" s="147"/>
      <c r="D960" s="148">
        <v>1</v>
      </c>
      <c r="E960" s="149"/>
      <c r="F960" s="150">
        <v>0.2</v>
      </c>
      <c r="G960" s="150"/>
      <c r="H960" s="67">
        <v>12141</v>
      </c>
      <c r="I960" s="67">
        <f t="shared" si="372"/>
        <v>12141</v>
      </c>
      <c r="J960" s="67">
        <f t="shared" si="360"/>
        <v>9712.8000000000011</v>
      </c>
      <c r="K960" s="63"/>
      <c r="L960" s="149">
        <v>0</v>
      </c>
      <c r="M960" s="63">
        <f t="shared" si="373"/>
        <v>0</v>
      </c>
      <c r="N960" s="63">
        <f t="shared" si="361"/>
        <v>0</v>
      </c>
      <c r="O960" s="69"/>
      <c r="P960" s="149">
        <v>0</v>
      </c>
      <c r="Q960" s="63">
        <f t="shared" si="374"/>
        <v>0</v>
      </c>
      <c r="R960" s="64">
        <f t="shared" si="362"/>
        <v>0</v>
      </c>
      <c r="S960" s="148">
        <v>25</v>
      </c>
      <c r="T960" s="151" t="s">
        <v>15</v>
      </c>
      <c r="U960" s="65">
        <f>SUMIF('Avoided Costs 2012-2020_EGD'!$A:$A,'2012 Actuals_Auditor'!T960&amp;'2012 Actuals_Auditor'!S960,'Avoided Costs 2012-2020_EGD'!$E:$E)*J960</f>
        <v>33353.70662543767</v>
      </c>
      <c r="V960" s="65">
        <f>SUMIF('Avoided Costs 2012-2020_EGD'!$A:$A,'2012 Actuals_Auditor'!T960&amp;'2012 Actuals_Auditor'!S960,'Avoided Costs 2012-2020_EGD'!$K:$K)*N960</f>
        <v>0</v>
      </c>
      <c r="W960" s="65">
        <f>SUMIF('Avoided Costs 2012-2020_EGD'!$A:$A,'2012 Actuals_Auditor'!T960&amp;'2012 Actuals_Auditor'!S960,'Avoided Costs 2012-2020_EGD'!$M:$M)*R960</f>
        <v>0</v>
      </c>
      <c r="X960" s="65">
        <f t="shared" si="369"/>
        <v>33353.70662543767</v>
      </c>
      <c r="Y960" s="146">
        <v>10300</v>
      </c>
      <c r="Z960" s="66">
        <f t="shared" si="363"/>
        <v>8240</v>
      </c>
      <c r="AA960" s="66">
        <v>1400</v>
      </c>
      <c r="AB960" s="66"/>
      <c r="AC960" s="66"/>
      <c r="AD960" s="66">
        <f t="shared" si="364"/>
        <v>8240</v>
      </c>
      <c r="AE960" s="66">
        <f t="shared" si="365"/>
        <v>25113.70662543767</v>
      </c>
      <c r="AF960" s="101">
        <f t="shared" si="366"/>
        <v>242820.00000000003</v>
      </c>
      <c r="AG960" s="101">
        <f t="shared" si="367"/>
        <v>303525</v>
      </c>
    </row>
    <row r="961" spans="1:33" s="68" customFormat="1" x14ac:dyDescent="0.2">
      <c r="A961" s="147" t="s">
        <v>641</v>
      </c>
      <c r="B961" s="147"/>
      <c r="C961" s="147"/>
      <c r="D961" s="148">
        <v>1</v>
      </c>
      <c r="E961" s="149"/>
      <c r="F961" s="150">
        <v>0.2</v>
      </c>
      <c r="G961" s="150"/>
      <c r="H961" s="67">
        <v>12141</v>
      </c>
      <c r="I961" s="67">
        <f t="shared" si="372"/>
        <v>12141</v>
      </c>
      <c r="J961" s="67">
        <f t="shared" si="360"/>
        <v>9712.8000000000011</v>
      </c>
      <c r="K961" s="63"/>
      <c r="L961" s="149">
        <v>0</v>
      </c>
      <c r="M961" s="63">
        <f t="shared" si="373"/>
        <v>0</v>
      </c>
      <c r="N961" s="63">
        <f t="shared" si="361"/>
        <v>0</v>
      </c>
      <c r="O961" s="69"/>
      <c r="P961" s="149">
        <v>0</v>
      </c>
      <c r="Q961" s="63">
        <f t="shared" si="374"/>
        <v>0</v>
      </c>
      <c r="R961" s="64">
        <f t="shared" si="362"/>
        <v>0</v>
      </c>
      <c r="S961" s="148">
        <v>25</v>
      </c>
      <c r="T961" s="151" t="s">
        <v>15</v>
      </c>
      <c r="U961" s="65">
        <f>SUMIF('Avoided Costs 2012-2020_EGD'!$A:$A,'2012 Actuals_Auditor'!T961&amp;'2012 Actuals_Auditor'!S961,'Avoided Costs 2012-2020_EGD'!$E:$E)*J961</f>
        <v>33353.70662543767</v>
      </c>
      <c r="V961" s="65">
        <f>SUMIF('Avoided Costs 2012-2020_EGD'!$A:$A,'2012 Actuals_Auditor'!T961&amp;'2012 Actuals_Auditor'!S961,'Avoided Costs 2012-2020_EGD'!$K:$K)*N961</f>
        <v>0</v>
      </c>
      <c r="W961" s="65">
        <f>SUMIF('Avoided Costs 2012-2020_EGD'!$A:$A,'2012 Actuals_Auditor'!T961&amp;'2012 Actuals_Auditor'!S961,'Avoided Costs 2012-2020_EGD'!$M:$M)*R961</f>
        <v>0</v>
      </c>
      <c r="X961" s="65">
        <f t="shared" si="369"/>
        <v>33353.70662543767</v>
      </c>
      <c r="Y961" s="146">
        <v>10300</v>
      </c>
      <c r="Z961" s="66">
        <f t="shared" si="363"/>
        <v>8240</v>
      </c>
      <c r="AA961" s="66">
        <v>1400</v>
      </c>
      <c r="AB961" s="66"/>
      <c r="AC961" s="66"/>
      <c r="AD961" s="66">
        <f t="shared" si="364"/>
        <v>8240</v>
      </c>
      <c r="AE961" s="66">
        <f t="shared" si="365"/>
        <v>25113.70662543767</v>
      </c>
      <c r="AF961" s="101">
        <f t="shared" si="366"/>
        <v>242820.00000000003</v>
      </c>
      <c r="AG961" s="101">
        <f t="shared" si="367"/>
        <v>303525</v>
      </c>
    </row>
    <row r="962" spans="1:33" s="68" customFormat="1" x14ac:dyDescent="0.2">
      <c r="A962" s="147" t="s">
        <v>642</v>
      </c>
      <c r="B962" s="147"/>
      <c r="C962" s="147"/>
      <c r="D962" s="148">
        <v>1</v>
      </c>
      <c r="E962" s="149"/>
      <c r="F962" s="150">
        <v>0.2</v>
      </c>
      <c r="G962" s="150"/>
      <c r="H962" s="67">
        <v>6991</v>
      </c>
      <c r="I962" s="67">
        <f t="shared" si="372"/>
        <v>6991</v>
      </c>
      <c r="J962" s="67">
        <f t="shared" si="360"/>
        <v>5592.8</v>
      </c>
      <c r="K962" s="63"/>
      <c r="L962" s="149">
        <v>0</v>
      </c>
      <c r="M962" s="63">
        <f t="shared" si="373"/>
        <v>0</v>
      </c>
      <c r="N962" s="63">
        <f t="shared" si="361"/>
        <v>0</v>
      </c>
      <c r="O962" s="69"/>
      <c r="P962" s="149">
        <v>0</v>
      </c>
      <c r="Q962" s="63">
        <f t="shared" si="374"/>
        <v>0</v>
      </c>
      <c r="R962" s="64">
        <f t="shared" si="362"/>
        <v>0</v>
      </c>
      <c r="S962" s="148">
        <v>25</v>
      </c>
      <c r="T962" s="151" t="s">
        <v>15</v>
      </c>
      <c r="U962" s="65">
        <f>SUMIF('Avoided Costs 2012-2020_EGD'!$A:$A,'2012 Actuals_Auditor'!T962&amp;'2012 Actuals_Auditor'!S962,'Avoided Costs 2012-2020_EGD'!$E:$E)*J962</f>
        <v>19205.647229918024</v>
      </c>
      <c r="V962" s="65">
        <f>SUMIF('Avoided Costs 2012-2020_EGD'!$A:$A,'2012 Actuals_Auditor'!T962&amp;'2012 Actuals_Auditor'!S962,'Avoided Costs 2012-2020_EGD'!$K:$K)*N962</f>
        <v>0</v>
      </c>
      <c r="W962" s="65">
        <f>SUMIF('Avoided Costs 2012-2020_EGD'!$A:$A,'2012 Actuals_Auditor'!T962&amp;'2012 Actuals_Auditor'!S962,'Avoided Costs 2012-2020_EGD'!$M:$M)*R962</f>
        <v>0</v>
      </c>
      <c r="X962" s="65">
        <f t="shared" si="369"/>
        <v>19205.647229918024</v>
      </c>
      <c r="Y962" s="146">
        <v>9000</v>
      </c>
      <c r="Z962" s="66">
        <f t="shared" si="363"/>
        <v>7200</v>
      </c>
      <c r="AA962" s="66">
        <v>800</v>
      </c>
      <c r="AB962" s="66"/>
      <c r="AC962" s="66"/>
      <c r="AD962" s="66">
        <f t="shared" si="364"/>
        <v>7200</v>
      </c>
      <c r="AE962" s="66">
        <f t="shared" si="365"/>
        <v>12005.647229918024</v>
      </c>
      <c r="AF962" s="101">
        <f t="shared" si="366"/>
        <v>139820</v>
      </c>
      <c r="AG962" s="101">
        <f t="shared" si="367"/>
        <v>174775</v>
      </c>
    </row>
    <row r="963" spans="1:33" s="68" customFormat="1" x14ac:dyDescent="0.2">
      <c r="A963" s="147" t="s">
        <v>643</v>
      </c>
      <c r="B963" s="147"/>
      <c r="C963" s="147"/>
      <c r="D963" s="148">
        <v>1</v>
      </c>
      <c r="E963" s="149"/>
      <c r="F963" s="150">
        <v>0.2</v>
      </c>
      <c r="G963" s="150"/>
      <c r="H963" s="67">
        <v>6633</v>
      </c>
      <c r="I963" s="67">
        <f t="shared" si="372"/>
        <v>6633</v>
      </c>
      <c r="J963" s="67">
        <f t="shared" si="360"/>
        <v>5306.4000000000005</v>
      </c>
      <c r="K963" s="63"/>
      <c r="L963" s="149">
        <v>0</v>
      </c>
      <c r="M963" s="63">
        <f t="shared" si="373"/>
        <v>0</v>
      </c>
      <c r="N963" s="63">
        <f t="shared" si="361"/>
        <v>0</v>
      </c>
      <c r="O963" s="69"/>
      <c r="P963" s="149">
        <v>0</v>
      </c>
      <c r="Q963" s="63">
        <f t="shared" si="374"/>
        <v>0</v>
      </c>
      <c r="R963" s="64">
        <f t="shared" si="362"/>
        <v>0</v>
      </c>
      <c r="S963" s="148">
        <v>25</v>
      </c>
      <c r="T963" s="151" t="s">
        <v>15</v>
      </c>
      <c r="U963" s="65">
        <f>SUMIF('Avoided Costs 2012-2020_EGD'!$A:$A,'2012 Actuals_Auditor'!T963&amp;'2012 Actuals_Auditor'!S963,'Avoided Costs 2012-2020_EGD'!$E:$E)*J963</f>
        <v>18222.151062229477</v>
      </c>
      <c r="V963" s="65">
        <f>SUMIF('Avoided Costs 2012-2020_EGD'!$A:$A,'2012 Actuals_Auditor'!T963&amp;'2012 Actuals_Auditor'!S963,'Avoided Costs 2012-2020_EGD'!$K:$K)*N963</f>
        <v>0</v>
      </c>
      <c r="W963" s="65">
        <f>SUMIF('Avoided Costs 2012-2020_EGD'!$A:$A,'2012 Actuals_Auditor'!T963&amp;'2012 Actuals_Auditor'!S963,'Avoided Costs 2012-2020_EGD'!$M:$M)*R963</f>
        <v>0</v>
      </c>
      <c r="X963" s="65">
        <f t="shared" si="369"/>
        <v>18222.151062229477</v>
      </c>
      <c r="Y963" s="146">
        <v>6000</v>
      </c>
      <c r="Z963" s="66">
        <f t="shared" si="363"/>
        <v>4800</v>
      </c>
      <c r="AA963" s="66">
        <v>850</v>
      </c>
      <c r="AB963" s="66"/>
      <c r="AC963" s="66"/>
      <c r="AD963" s="66">
        <f t="shared" si="364"/>
        <v>4800</v>
      </c>
      <c r="AE963" s="66">
        <f t="shared" si="365"/>
        <v>13422.151062229477</v>
      </c>
      <c r="AF963" s="101">
        <f t="shared" si="366"/>
        <v>132660</v>
      </c>
      <c r="AG963" s="101">
        <f t="shared" si="367"/>
        <v>165825</v>
      </c>
    </row>
    <row r="964" spans="1:33" s="68" customFormat="1" x14ac:dyDescent="0.2">
      <c r="A964" s="147" t="s">
        <v>644</v>
      </c>
      <c r="B964" s="147"/>
      <c r="C964" s="147"/>
      <c r="D964" s="148">
        <v>0</v>
      </c>
      <c r="E964" s="149"/>
      <c r="F964" s="150">
        <v>0.2</v>
      </c>
      <c r="G964" s="150"/>
      <c r="H964" s="67">
        <v>14950</v>
      </c>
      <c r="I964" s="67">
        <f t="shared" si="372"/>
        <v>14950</v>
      </c>
      <c r="J964" s="67">
        <f t="shared" si="360"/>
        <v>11960</v>
      </c>
      <c r="K964" s="63"/>
      <c r="L964" s="149">
        <v>0</v>
      </c>
      <c r="M964" s="63">
        <f t="shared" si="373"/>
        <v>0</v>
      </c>
      <c r="N964" s="63">
        <f t="shared" si="361"/>
        <v>0</v>
      </c>
      <c r="O964" s="69"/>
      <c r="P964" s="149">
        <v>0</v>
      </c>
      <c r="Q964" s="63">
        <f t="shared" si="374"/>
        <v>0</v>
      </c>
      <c r="R964" s="64">
        <f t="shared" si="362"/>
        <v>0</v>
      </c>
      <c r="S964" s="148">
        <v>25</v>
      </c>
      <c r="T964" s="151" t="s">
        <v>52</v>
      </c>
      <c r="U964" s="65">
        <f>SUMIF('Avoided Costs 2012-2020_EGD'!$A:$A,'2012 Actuals_Auditor'!T964&amp;'2012 Actuals_Auditor'!S964,'Avoided Costs 2012-2020_EGD'!$E:$E)*J964</f>
        <v>38592.427750103387</v>
      </c>
      <c r="V964" s="65">
        <f>SUMIF('Avoided Costs 2012-2020_EGD'!$A:$A,'2012 Actuals_Auditor'!T964&amp;'2012 Actuals_Auditor'!S964,'Avoided Costs 2012-2020_EGD'!$K:$K)*N964</f>
        <v>0</v>
      </c>
      <c r="W964" s="65">
        <f>SUMIF('Avoided Costs 2012-2020_EGD'!$A:$A,'2012 Actuals_Auditor'!T964&amp;'2012 Actuals_Auditor'!S964,'Avoided Costs 2012-2020_EGD'!$M:$M)*R964</f>
        <v>0</v>
      </c>
      <c r="X964" s="65">
        <f t="shared" si="369"/>
        <v>38592.427750103387</v>
      </c>
      <c r="Y964" s="146">
        <v>14800</v>
      </c>
      <c r="Z964" s="66">
        <f t="shared" si="363"/>
        <v>11840</v>
      </c>
      <c r="AA964" s="66">
        <v>0</v>
      </c>
      <c r="AB964" s="66"/>
      <c r="AC964" s="66"/>
      <c r="AD964" s="66">
        <f t="shared" si="364"/>
        <v>11840</v>
      </c>
      <c r="AE964" s="66">
        <f t="shared" si="365"/>
        <v>26752.427750103387</v>
      </c>
      <c r="AF964" s="101">
        <f t="shared" si="366"/>
        <v>299000</v>
      </c>
      <c r="AG964" s="101">
        <f t="shared" si="367"/>
        <v>373750</v>
      </c>
    </row>
    <row r="965" spans="1:33" s="68" customFormat="1" x14ac:dyDescent="0.2">
      <c r="A965" s="147" t="s">
        <v>645</v>
      </c>
      <c r="B965" s="147"/>
      <c r="C965" s="147"/>
      <c r="D965" s="148">
        <v>1</v>
      </c>
      <c r="E965" s="149"/>
      <c r="F965" s="150">
        <v>0.2</v>
      </c>
      <c r="G965" s="150"/>
      <c r="H965" s="67">
        <v>218600</v>
      </c>
      <c r="I965" s="67">
        <f t="shared" si="372"/>
        <v>218600</v>
      </c>
      <c r="J965" s="67">
        <f t="shared" si="360"/>
        <v>174880</v>
      </c>
      <c r="K965" s="63"/>
      <c r="L965" s="149">
        <v>0</v>
      </c>
      <c r="M965" s="63">
        <f t="shared" si="373"/>
        <v>0</v>
      </c>
      <c r="N965" s="63">
        <f t="shared" si="361"/>
        <v>0</v>
      </c>
      <c r="O965" s="69"/>
      <c r="P965" s="149">
        <v>0</v>
      </c>
      <c r="Q965" s="63">
        <f t="shared" si="374"/>
        <v>0</v>
      </c>
      <c r="R965" s="64">
        <f t="shared" si="362"/>
        <v>0</v>
      </c>
      <c r="S965" s="148">
        <v>25</v>
      </c>
      <c r="T965" s="151" t="s">
        <v>15</v>
      </c>
      <c r="U965" s="65">
        <f>SUMIF('Avoided Costs 2012-2020_EGD'!$A:$A,'2012 Actuals_Auditor'!T965&amp;'2012 Actuals_Auditor'!S965,'Avoided Costs 2012-2020_EGD'!$E:$E)*J965</f>
        <v>600537.04540982412</v>
      </c>
      <c r="V965" s="65">
        <f>SUMIF('Avoided Costs 2012-2020_EGD'!$A:$A,'2012 Actuals_Auditor'!T965&amp;'2012 Actuals_Auditor'!S965,'Avoided Costs 2012-2020_EGD'!$K:$K)*N965</f>
        <v>0</v>
      </c>
      <c r="W965" s="65">
        <f>SUMIF('Avoided Costs 2012-2020_EGD'!$A:$A,'2012 Actuals_Auditor'!T965&amp;'2012 Actuals_Auditor'!S965,'Avoided Costs 2012-2020_EGD'!$M:$M)*R965</f>
        <v>0</v>
      </c>
      <c r="X965" s="65">
        <f t="shared" si="369"/>
        <v>600537.04540982412</v>
      </c>
      <c r="Y965" s="146">
        <v>56400</v>
      </c>
      <c r="Z965" s="66">
        <f t="shared" si="363"/>
        <v>45120</v>
      </c>
      <c r="AA965" s="66">
        <v>22000</v>
      </c>
      <c r="AB965" s="66"/>
      <c r="AC965" s="66"/>
      <c r="AD965" s="66">
        <f t="shared" si="364"/>
        <v>45120</v>
      </c>
      <c r="AE965" s="66">
        <f t="shared" si="365"/>
        <v>555417.04540982412</v>
      </c>
      <c r="AF965" s="101">
        <f t="shared" si="366"/>
        <v>4372000</v>
      </c>
      <c r="AG965" s="101">
        <f t="shared" si="367"/>
        <v>5465000</v>
      </c>
    </row>
    <row r="966" spans="1:33" s="59" customFormat="1" x14ac:dyDescent="0.2">
      <c r="A966" s="152" t="s">
        <v>3</v>
      </c>
      <c r="B966" s="152" t="s">
        <v>646</v>
      </c>
      <c r="C966" s="155"/>
      <c r="D966" s="153">
        <f>SUM(D594:D965)</f>
        <v>275</v>
      </c>
      <c r="E966" s="67"/>
      <c r="F966" s="154"/>
      <c r="G966" s="228"/>
      <c r="H966" s="67">
        <f>SUM(H594:H965)</f>
        <v>13623333</v>
      </c>
      <c r="I966" s="67">
        <f>SUM(I594:I965)</f>
        <v>13048637.329602126</v>
      </c>
      <c r="J966" s="67">
        <f>SUM(J594:J965)</f>
        <v>10438909.863681698</v>
      </c>
      <c r="K966" s="64"/>
      <c r="L966" s="67">
        <f>SUM(L594:L965)</f>
        <v>4324594</v>
      </c>
      <c r="M966" s="67">
        <f>SUM(M594:M965)</f>
        <v>4324594</v>
      </c>
      <c r="N966" s="67">
        <f>SUM(N594:N965)</f>
        <v>3459675.1999999993</v>
      </c>
      <c r="O966" s="229"/>
      <c r="P966" s="67">
        <f>SUM(P594:P965)</f>
        <v>0</v>
      </c>
      <c r="Q966" s="67">
        <f>SUM(Q594:Q965)</f>
        <v>0</v>
      </c>
      <c r="R966" s="67">
        <f>SUM(R594:R965)</f>
        <v>0</v>
      </c>
      <c r="S966" s="153"/>
      <c r="T966" s="155"/>
      <c r="U966" s="66">
        <f>SUM(U594:U965)</f>
        <v>31575134.335348751</v>
      </c>
      <c r="V966" s="66">
        <f>SUM(V594:V965)</f>
        <v>3571395.9049836891</v>
      </c>
      <c r="W966" s="66">
        <f>SUM(W594:W965)</f>
        <v>0</v>
      </c>
      <c r="X966" s="66">
        <f>SUM(X594:X965)</f>
        <v>35146530.24033244</v>
      </c>
      <c r="Y966" s="146"/>
      <c r="Z966" s="66">
        <f>SUM(Z594:Z965)</f>
        <v>4677856.3680000016</v>
      </c>
      <c r="AA966" s="66">
        <v>2277358.98</v>
      </c>
      <c r="AB966" s="66">
        <v>71538.25</v>
      </c>
      <c r="AC966" s="66">
        <f>AB966+AA966</f>
        <v>2348897.23</v>
      </c>
      <c r="AD966" s="66">
        <f t="shared" si="364"/>
        <v>4749394.6180000016</v>
      </c>
      <c r="AE966" s="230">
        <f t="shared" si="365"/>
        <v>30397135.622332439</v>
      </c>
      <c r="AF966" s="101">
        <f>SUM(AF594:AF965)</f>
        <v>220345072.26120761</v>
      </c>
      <c r="AG966" s="101">
        <f>SUM(AG594:AG965)</f>
        <v>275431340.32650936</v>
      </c>
    </row>
    <row r="967" spans="1:33" x14ac:dyDescent="0.2">
      <c r="A967" s="140"/>
      <c r="F967" s="17"/>
      <c r="G967" s="17"/>
      <c r="M967" s="17"/>
      <c r="O967" s="17"/>
      <c r="P967" s="17"/>
      <c r="Q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</row>
    <row r="968" spans="1:33" x14ac:dyDescent="0.2">
      <c r="A968" s="140"/>
      <c r="B968" s="59" t="s">
        <v>82</v>
      </c>
      <c r="J968" s="13"/>
      <c r="K968" s="54"/>
      <c r="L968" s="54"/>
      <c r="O968" s="21"/>
      <c r="P968" s="22"/>
      <c r="R968" s="13"/>
      <c r="S968" s="13"/>
      <c r="Z968" s="57"/>
      <c r="AA968" s="57"/>
      <c r="AC968" s="57"/>
      <c r="AD968" s="57"/>
      <c r="AE968" s="57"/>
      <c r="AF968" s="100"/>
      <c r="AG968" s="100"/>
    </row>
    <row r="969" spans="1:33" s="59" customFormat="1" x14ac:dyDescent="0.2">
      <c r="A969" s="60" t="s">
        <v>654</v>
      </c>
      <c r="B969" s="59" t="s">
        <v>100</v>
      </c>
      <c r="C969" s="56"/>
      <c r="D969" s="156">
        <v>28</v>
      </c>
      <c r="E969" s="90">
        <v>117</v>
      </c>
      <c r="F969" s="157">
        <v>0.1</v>
      </c>
      <c r="G969" s="157">
        <v>0</v>
      </c>
      <c r="H969" s="13">
        <f>D969*E969</f>
        <v>3276</v>
      </c>
      <c r="I969" s="13">
        <f>+H969</f>
        <v>3276</v>
      </c>
      <c r="J969" s="13">
        <f>(E969*D969)*(1-F969)*(1-G969)</f>
        <v>2948.4</v>
      </c>
      <c r="K969" s="71">
        <v>396</v>
      </c>
      <c r="L969" s="16">
        <v>11088</v>
      </c>
      <c r="M969" s="16"/>
      <c r="N969" s="13">
        <f>(K969*D969)*(1-F969)</f>
        <v>9979.2000000000007</v>
      </c>
      <c r="O969" s="74">
        <v>58.121000000000002</v>
      </c>
      <c r="P969" s="16">
        <v>1627</v>
      </c>
      <c r="Q969" s="75">
        <f>+P969</f>
        <v>1627</v>
      </c>
      <c r="R969" s="13">
        <f>(O969*D969)*(1-F969)*(1-G969)</f>
        <v>1464.6492000000001</v>
      </c>
      <c r="S969" s="71">
        <v>11</v>
      </c>
      <c r="T969" s="76" t="s">
        <v>52</v>
      </c>
      <c r="U969" s="57">
        <f>SUMIF('Avoided Costs 2012-2020_EGD'!$A:$A,'2012 Actuals_Auditor'!T969&amp;'2012 Actuals_Auditor'!S969,'Avoided Costs 2012-2020_EGD'!$E:$E)*J969</f>
        <v>5196.7589720138139</v>
      </c>
      <c r="V969" s="57">
        <f>SUMIF('Avoided Costs 2012-2020_EGD'!$A:$A,'2012 Actuals_Auditor'!T969&amp;'2012 Actuals_Auditor'!S969,'Avoided Costs 2012-2020_EGD'!$K:$K)*N969</f>
        <v>8207.2032288392475</v>
      </c>
      <c r="W969" s="57">
        <f>SUMIF('Avoided Costs 2012-2020_EGD'!$A:$A,'2012 Actuals_Auditor'!T969&amp;'2012 Actuals_Auditor'!S969,'Avoided Costs 2012-2020_EGD'!$M:$M)*R969</f>
        <v>28987.91811290618</v>
      </c>
      <c r="X969" s="57">
        <f>SUM(U969:W969)</f>
        <v>42391.88031375924</v>
      </c>
      <c r="Y969" s="96">
        <v>600</v>
      </c>
      <c r="Z969" s="57">
        <f>(Y969*D969)*(1-F969)</f>
        <v>15120</v>
      </c>
      <c r="AA969" s="77">
        <v>0</v>
      </c>
      <c r="AB969" s="77">
        <v>0</v>
      </c>
      <c r="AC969" s="57">
        <v>0</v>
      </c>
      <c r="AD969" s="57">
        <f>Z969+AB969</f>
        <v>15120</v>
      </c>
      <c r="AE969" s="77">
        <f>X969-AD969</f>
        <v>27271.88031375924</v>
      </c>
      <c r="AF969" s="102">
        <f>J969*S969</f>
        <v>32432.400000000001</v>
      </c>
      <c r="AG969" s="102">
        <f>(I969*S969)</f>
        <v>36036</v>
      </c>
    </row>
    <row r="970" spans="1:33" s="59" customFormat="1" x14ac:dyDescent="0.2">
      <c r="A970" s="60" t="s">
        <v>655</v>
      </c>
      <c r="B970" s="59" t="s">
        <v>103</v>
      </c>
      <c r="C970" s="56"/>
      <c r="D970" s="71">
        <v>8472</v>
      </c>
      <c r="E970" s="71">
        <v>69</v>
      </c>
      <c r="F970" s="72">
        <v>0.1</v>
      </c>
      <c r="G970" s="73">
        <v>0.155</v>
      </c>
      <c r="H970" s="13">
        <f>D970*E970</f>
        <v>584568</v>
      </c>
      <c r="I970" s="13">
        <f>+H970</f>
        <v>584568</v>
      </c>
      <c r="J970" s="13">
        <f>(E970*D970)*(1-F970)*(1-G970)</f>
        <v>444563.96400000004</v>
      </c>
      <c r="K970" s="71">
        <v>0</v>
      </c>
      <c r="L970" s="16">
        <v>0</v>
      </c>
      <c r="M970" s="16"/>
      <c r="N970" s="13">
        <f>(K970*D970)*(1-F970)</f>
        <v>0</v>
      </c>
      <c r="O970" s="74">
        <v>15.71</v>
      </c>
      <c r="P970" s="16">
        <f>O970*D970</f>
        <v>133095.12</v>
      </c>
      <c r="Q970" s="75">
        <f>+P970</f>
        <v>133095.12</v>
      </c>
      <c r="R970" s="13">
        <f>(O970*D970)*(1-F970)*(1-G970)</f>
        <v>101218.83875999998</v>
      </c>
      <c r="S970" s="71">
        <v>10</v>
      </c>
      <c r="T970" s="76" t="s">
        <v>52</v>
      </c>
      <c r="U970" s="57">
        <f>SUMIF('Avoided Costs 2012-2020_EGD'!$A:$A,'2012 Actuals_Auditor'!T970&amp;'2012 Actuals_Auditor'!S970,'Avoided Costs 2012-2020_EGD'!$E:$E)*J970</f>
        <v>718225.70379558729</v>
      </c>
      <c r="V970" s="57">
        <f>SUMIF('Avoided Costs 2012-2020_EGD'!$A:$A,'2012 Actuals_Auditor'!T970&amp;'2012 Actuals_Auditor'!S970,'Avoided Costs 2012-2020_EGD'!$K:$K)*N970</f>
        <v>0</v>
      </c>
      <c r="W970" s="57">
        <f>SUMIF('Avoided Costs 2012-2020_EGD'!$A:$A,'2012 Actuals_Auditor'!T970&amp;'2012 Actuals_Auditor'!S970,'Avoided Costs 2012-2020_EGD'!$M:$M)*R970</f>
        <v>1861556.4746034767</v>
      </c>
      <c r="X970" s="57">
        <f>SUM(U970:W970)</f>
        <v>2579782.1783990641</v>
      </c>
      <c r="Y970" s="96">
        <v>12.5</v>
      </c>
      <c r="Z970" s="57">
        <f>(Y970*D970)*(1-F970)</f>
        <v>95310</v>
      </c>
      <c r="AA970" s="77">
        <v>0</v>
      </c>
      <c r="AB970" s="77">
        <v>0</v>
      </c>
      <c r="AC970" s="57">
        <f>AB970+AA970</f>
        <v>0</v>
      </c>
      <c r="AD970" s="82">
        <f>Z970+AB970</f>
        <v>95310</v>
      </c>
      <c r="AE970" s="89">
        <f>X970-AD970</f>
        <v>2484472.1783990641</v>
      </c>
      <c r="AF970" s="103">
        <f>J970*S970</f>
        <v>4445639.6400000006</v>
      </c>
      <c r="AG970" s="103">
        <f>(I970*S970)</f>
        <v>5845680</v>
      </c>
    </row>
    <row r="971" spans="1:33" s="59" customFormat="1" x14ac:dyDescent="0.2">
      <c r="A971" s="152" t="s">
        <v>46</v>
      </c>
      <c r="B971" s="152"/>
      <c r="C971" s="155"/>
      <c r="D971" s="67">
        <f>SUM(D969:D970)</f>
        <v>8500</v>
      </c>
      <c r="E971" s="67"/>
      <c r="F971" s="154"/>
      <c r="G971" s="228"/>
      <c r="H971" s="67">
        <f>SUM(H969:H970)</f>
        <v>587844</v>
      </c>
      <c r="I971" s="67">
        <f>SUM(I969:I970)</f>
        <v>587844</v>
      </c>
      <c r="J971" s="67">
        <f>SUM(J969:J970)</f>
        <v>447512.36400000006</v>
      </c>
      <c r="K971" s="64"/>
      <c r="L971" s="67">
        <f>SUM(L969:L970)</f>
        <v>11088</v>
      </c>
      <c r="M971" s="67">
        <f>SUM(M969:M970)</f>
        <v>0</v>
      </c>
      <c r="N971" s="67">
        <f>SUM(N969:N970)</f>
        <v>9979.2000000000007</v>
      </c>
      <c r="O971" s="229"/>
      <c r="P971" s="67">
        <f>SUM(P969:P970)</f>
        <v>134722.12</v>
      </c>
      <c r="Q971" s="67">
        <f>SUM(Q969:Q970)</f>
        <v>134722.12</v>
      </c>
      <c r="R971" s="67">
        <f>SUM(R969:R970)</f>
        <v>102683.48795999998</v>
      </c>
      <c r="S971" s="153"/>
      <c r="T971" s="155"/>
      <c r="U971" s="66">
        <f>SUM(U969:U970)</f>
        <v>723422.46276760113</v>
      </c>
      <c r="V971" s="66">
        <f>SUM(V969:V970)</f>
        <v>8207.2032288392475</v>
      </c>
      <c r="W971" s="66">
        <f>SUM(W969:W970)</f>
        <v>1890544.3927163829</v>
      </c>
      <c r="X971" s="66">
        <f>SUM(X969:X970)</f>
        <v>2622174.0587128233</v>
      </c>
      <c r="Y971" s="146"/>
      <c r="Z971" s="66">
        <f>SUM(Z969:Z970)</f>
        <v>110430</v>
      </c>
      <c r="AA971" s="66">
        <v>0</v>
      </c>
      <c r="AB971" s="66">
        <v>0</v>
      </c>
      <c r="AC971" s="66">
        <f>SUM(AC969:AC970)</f>
        <v>0</v>
      </c>
      <c r="AD971" s="245">
        <f>SUM(AD969:AD970)</f>
        <v>110430</v>
      </c>
      <c r="AE971" s="245">
        <f>SUM(AE969:AE970)</f>
        <v>2511744.0587128233</v>
      </c>
      <c r="AF971" s="246">
        <f>SUM(AF969:AF970)</f>
        <v>4478072.040000001</v>
      </c>
      <c r="AG971" s="246">
        <f>SUM(AG969:AG970)</f>
        <v>5881716</v>
      </c>
    </row>
    <row r="972" spans="1:33" s="59" customFormat="1" x14ac:dyDescent="0.2">
      <c r="A972" s="60"/>
      <c r="B972" s="60"/>
      <c r="C972" s="56"/>
      <c r="D972" s="247"/>
      <c r="E972" s="71"/>
      <c r="F972" s="157"/>
      <c r="G972" s="248"/>
      <c r="H972" s="71"/>
      <c r="I972" s="71"/>
      <c r="J972" s="71"/>
      <c r="K972" s="90"/>
      <c r="L972" s="71"/>
      <c r="M972" s="71"/>
      <c r="N972" s="247"/>
      <c r="O972" s="249"/>
      <c r="P972" s="71"/>
      <c r="Q972" s="71"/>
      <c r="R972" s="247"/>
      <c r="S972" s="156"/>
      <c r="T972" s="56"/>
      <c r="U972" s="77"/>
      <c r="V972" s="77"/>
      <c r="W972" s="77"/>
      <c r="X972" s="77"/>
      <c r="Y972" s="96"/>
      <c r="Z972" s="77"/>
      <c r="AA972" s="77"/>
      <c r="AB972" s="77"/>
      <c r="AC972" s="77"/>
      <c r="AD972" s="77"/>
      <c r="AE972" s="77"/>
      <c r="AF972" s="102"/>
      <c r="AG972" s="102"/>
    </row>
    <row r="973" spans="1:33" x14ac:dyDescent="0.2">
      <c r="A973" s="234" t="s">
        <v>49</v>
      </c>
      <c r="B973" s="224"/>
      <c r="C973" s="135"/>
      <c r="D973" s="131">
        <f>D971+D966</f>
        <v>8775</v>
      </c>
      <c r="E973" s="131"/>
      <c r="F973" s="132"/>
      <c r="G973" s="133"/>
      <c r="H973" s="131">
        <f>H971+H966</f>
        <v>14211177</v>
      </c>
      <c r="I973" s="131">
        <f>I971+I966</f>
        <v>13636481.329602126</v>
      </c>
      <c r="J973" s="131">
        <f>J971+J966</f>
        <v>10886422.227681698</v>
      </c>
      <c r="K973" s="131"/>
      <c r="L973" s="131">
        <f>L971+L966</f>
        <v>4335682</v>
      </c>
      <c r="M973" s="131">
        <f>M971+M966</f>
        <v>4324594</v>
      </c>
      <c r="N973" s="131">
        <f>N971+N966</f>
        <v>3469654.3999999994</v>
      </c>
      <c r="O973" s="131"/>
      <c r="P973" s="131">
        <f>P971+P966</f>
        <v>134722.12</v>
      </c>
      <c r="Q973" s="131">
        <f>Q971+Q966</f>
        <v>134722.12</v>
      </c>
      <c r="R973" s="131">
        <f>R971+R966</f>
        <v>102683.48795999998</v>
      </c>
      <c r="S973" s="131"/>
      <c r="T973" s="250"/>
      <c r="U973" s="131">
        <f>U971+U966</f>
        <v>32298556.798116352</v>
      </c>
      <c r="V973" s="131">
        <f>V971+V966</f>
        <v>3579603.1082125283</v>
      </c>
      <c r="W973" s="131">
        <f>W971+W966</f>
        <v>1890544.3927163829</v>
      </c>
      <c r="X973" s="131">
        <f>X971+X966</f>
        <v>37768704.299045265</v>
      </c>
      <c r="Y973" s="136"/>
      <c r="Z973" s="131">
        <f>Z971+Z966</f>
        <v>4788286.3680000016</v>
      </c>
      <c r="AA973" s="225">
        <f t="shared" ref="AA973:AG973" si="375">AA971+AA966</f>
        <v>2277358.98</v>
      </c>
      <c r="AB973" s="225">
        <f t="shared" si="375"/>
        <v>71538.25</v>
      </c>
      <c r="AC973" s="225">
        <f t="shared" si="375"/>
        <v>2348897.23</v>
      </c>
      <c r="AD973" s="225">
        <f t="shared" si="375"/>
        <v>4859824.6180000016</v>
      </c>
      <c r="AE973" s="225">
        <f t="shared" si="375"/>
        <v>32908879.681045264</v>
      </c>
      <c r="AF973" s="226">
        <f t="shared" si="375"/>
        <v>224823144.3012076</v>
      </c>
      <c r="AG973" s="226">
        <f t="shared" si="375"/>
        <v>281313056.32650936</v>
      </c>
    </row>
    <row r="974" spans="1:33" s="59" customFormat="1" x14ac:dyDescent="0.2">
      <c r="A974" s="60"/>
      <c r="B974" s="10"/>
      <c r="C974" s="11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</row>
    <row r="975" spans="1:33" x14ac:dyDescent="0.2">
      <c r="A975" s="251" t="s">
        <v>51</v>
      </c>
      <c r="B975" s="10" t="s">
        <v>30</v>
      </c>
      <c r="H975" s="17">
        <v>0</v>
      </c>
      <c r="K975" s="227"/>
      <c r="L975" s="227">
        <v>0</v>
      </c>
      <c r="M975" s="227"/>
      <c r="O975" s="21"/>
      <c r="P975" s="227">
        <v>0</v>
      </c>
      <c r="Q975" s="227"/>
      <c r="AF975" s="100"/>
      <c r="AG975" s="100"/>
    </row>
    <row r="976" spans="1:33" s="68" customFormat="1" x14ac:dyDescent="0.2">
      <c r="A976" s="147" t="s">
        <v>1112</v>
      </c>
      <c r="B976" s="147"/>
      <c r="C976" s="147"/>
      <c r="D976" s="148">
        <v>1</v>
      </c>
      <c r="E976" s="149"/>
      <c r="F976" s="150">
        <v>0.26</v>
      </c>
      <c r="G976" s="150"/>
      <c r="H976" s="67">
        <v>248539</v>
      </c>
      <c r="I976" s="67">
        <f>+$H$42*H976</f>
        <v>237575.12717365188</v>
      </c>
      <c r="J976" s="67">
        <f t="shared" ref="J976:J1007" si="376">I976*(1-F976)</f>
        <v>175805.59410850238</v>
      </c>
      <c r="K976" s="63"/>
      <c r="L976" s="149">
        <v>351672</v>
      </c>
      <c r="M976" s="63">
        <f t="shared" ref="M976:M1047" si="377">+$L$42*L976</f>
        <v>351672</v>
      </c>
      <c r="N976" s="63">
        <f t="shared" ref="N976:N1007" si="378">M976*(1-F976)</f>
        <v>260237.28</v>
      </c>
      <c r="O976" s="69"/>
      <c r="P976" s="149">
        <v>0</v>
      </c>
      <c r="Q976" s="63">
        <f>+P976*$P$42</f>
        <v>0</v>
      </c>
      <c r="R976" s="64">
        <f t="shared" ref="R976:R1007" si="379">Q976*(1-F976)</f>
        <v>0</v>
      </c>
      <c r="S976" s="148">
        <v>25</v>
      </c>
      <c r="T976" s="151" t="s">
        <v>71</v>
      </c>
      <c r="U976" s="65">
        <f>SUMIF('Avoided Costs 2012-2020_EGD'!$A:$A,'2012 Actuals_Auditor'!T976&amp;'2012 Actuals_Auditor'!S976,'Avoided Costs 2012-2020_EGD'!$E:$E)*J976</f>
        <v>597619.27991051879</v>
      </c>
      <c r="V976" s="65">
        <f>SUMIF('Avoided Costs 2012-2020_EGD'!$A:$A,'2012 Actuals_Auditor'!T976&amp;'2012 Actuals_Auditor'!S976,'Avoided Costs 2012-2020_EGD'!$K:$K)*N976</f>
        <v>366514.92636361998</v>
      </c>
      <c r="W976" s="65">
        <f>SUMIF('Avoided Costs 2012-2020_EGD'!$A:$A,'2012 Actuals_Auditor'!T976&amp;'2012 Actuals_Auditor'!S976,'Avoided Costs 2012-2020_EGD'!$M:$M)*R976</f>
        <v>0</v>
      </c>
      <c r="X976" s="65">
        <f t="shared" ref="X976:X1006" si="380">SUM(U976:W976)</f>
        <v>964134.20627413876</v>
      </c>
      <c r="Y976" s="146">
        <v>833570</v>
      </c>
      <c r="Z976" s="66">
        <f t="shared" ref="Z976:Z1007" si="381">Y976*(1-F976)</f>
        <v>616841.80000000005</v>
      </c>
      <c r="AA976" s="66">
        <v>28203</v>
      </c>
      <c r="AB976" s="66"/>
      <c r="AC976" s="66"/>
      <c r="AD976" s="66">
        <f t="shared" ref="AD976:AD1007" si="382">Z976+AB976</f>
        <v>616841.80000000005</v>
      </c>
      <c r="AE976" s="66">
        <f t="shared" ref="AE976:AE1007" si="383">X976-AD976</f>
        <v>347292.40627413872</v>
      </c>
      <c r="AF976" s="101">
        <f t="shared" ref="AF976:AF1007" si="384">J976*S976</f>
        <v>4395139.8527125595</v>
      </c>
      <c r="AG976" s="101">
        <f t="shared" ref="AG976:AG1007" si="385">(I976*S976)</f>
        <v>5939378.1793412967</v>
      </c>
    </row>
    <row r="977" spans="1:33" s="68" customFormat="1" x14ac:dyDescent="0.2">
      <c r="A977" s="147" t="s">
        <v>1113</v>
      </c>
      <c r="B977" s="147"/>
      <c r="C977" s="147"/>
      <c r="D977" s="148">
        <v>1</v>
      </c>
      <c r="E977" s="149"/>
      <c r="F977" s="150">
        <v>0.26</v>
      </c>
      <c r="G977" s="150"/>
      <c r="H977" s="67">
        <v>32922</v>
      </c>
      <c r="I977" s="67">
        <f>+$H$42*H977</f>
        <v>31469.702287411503</v>
      </c>
      <c r="J977" s="67">
        <f t="shared" si="376"/>
        <v>23287.579692684511</v>
      </c>
      <c r="K977" s="63"/>
      <c r="L977" s="149">
        <v>77644</v>
      </c>
      <c r="M977" s="63">
        <f t="shared" si="377"/>
        <v>77644</v>
      </c>
      <c r="N977" s="63">
        <f t="shared" si="378"/>
        <v>57456.56</v>
      </c>
      <c r="O977" s="69"/>
      <c r="P977" s="149">
        <v>0</v>
      </c>
      <c r="Q977" s="63">
        <f>+P977*$P$42</f>
        <v>0</v>
      </c>
      <c r="R977" s="64">
        <f t="shared" si="379"/>
        <v>0</v>
      </c>
      <c r="S977" s="148">
        <v>25</v>
      </c>
      <c r="T977" s="151" t="s">
        <v>71</v>
      </c>
      <c r="U977" s="65">
        <f>SUMIF('Avoided Costs 2012-2020_EGD'!$A:$A,'2012 Actuals_Auditor'!T977&amp;'2012 Actuals_Auditor'!S977,'Avoided Costs 2012-2020_EGD'!$E:$E)*J977</f>
        <v>79161.909934513693</v>
      </c>
      <c r="V977" s="65">
        <f>SUMIF('Avoided Costs 2012-2020_EGD'!$A:$A,'2012 Actuals_Auditor'!T977&amp;'2012 Actuals_Auditor'!S977,'Avoided Costs 2012-2020_EGD'!$K:$K)*N977</f>
        <v>80921.099611504207</v>
      </c>
      <c r="W977" s="65">
        <f>SUMIF('Avoided Costs 2012-2020_EGD'!$A:$A,'2012 Actuals_Auditor'!T977&amp;'2012 Actuals_Auditor'!S977,'Avoided Costs 2012-2020_EGD'!$M:$M)*R977</f>
        <v>0</v>
      </c>
      <c r="X977" s="65">
        <f t="shared" si="380"/>
        <v>160083.00954601791</v>
      </c>
      <c r="Y977" s="146">
        <v>33800</v>
      </c>
      <c r="Z977" s="66">
        <f t="shared" si="381"/>
        <v>25012</v>
      </c>
      <c r="AA977" s="66">
        <v>3292.17</v>
      </c>
      <c r="AB977" s="66"/>
      <c r="AC977" s="66"/>
      <c r="AD977" s="66">
        <f t="shared" si="382"/>
        <v>25012</v>
      </c>
      <c r="AE977" s="66">
        <f t="shared" si="383"/>
        <v>135071.00954601791</v>
      </c>
      <c r="AF977" s="101">
        <f t="shared" si="384"/>
        <v>582189.49231711274</v>
      </c>
      <c r="AG977" s="101">
        <f t="shared" si="385"/>
        <v>786742.55718528759</v>
      </c>
    </row>
    <row r="978" spans="1:33" s="68" customFormat="1" x14ac:dyDescent="0.2">
      <c r="A978" s="147" t="s">
        <v>1114</v>
      </c>
      <c r="B978" s="147"/>
      <c r="C978" s="147"/>
      <c r="D978" s="148">
        <v>1</v>
      </c>
      <c r="E978" s="149"/>
      <c r="F978" s="150">
        <v>0.26</v>
      </c>
      <c r="G978" s="150"/>
      <c r="H978" s="67">
        <v>109300</v>
      </c>
      <c r="I978" s="67">
        <f>H978</f>
        <v>109300</v>
      </c>
      <c r="J978" s="67">
        <f t="shared" si="376"/>
        <v>80882</v>
      </c>
      <c r="K978" s="63"/>
      <c r="L978" s="149">
        <v>0</v>
      </c>
      <c r="M978" s="63">
        <f>L978</f>
        <v>0</v>
      </c>
      <c r="N978" s="63">
        <f t="shared" si="378"/>
        <v>0</v>
      </c>
      <c r="O978" s="69"/>
      <c r="P978" s="149">
        <v>0</v>
      </c>
      <c r="Q978" s="63">
        <f>+P978</f>
        <v>0</v>
      </c>
      <c r="R978" s="64">
        <f t="shared" si="379"/>
        <v>0</v>
      </c>
      <c r="S978" s="148">
        <v>25</v>
      </c>
      <c r="T978" s="151" t="s">
        <v>15</v>
      </c>
      <c r="U978" s="65">
        <f>SUMIF('Avoided Costs 2012-2020_EGD'!$A:$A,'2012 Actuals_Auditor'!T978&amp;'2012 Actuals_Auditor'!S978,'Avoided Costs 2012-2020_EGD'!$E:$E)*J978</f>
        <v>277748.38350204361</v>
      </c>
      <c r="V978" s="65">
        <f>SUMIF('Avoided Costs 2012-2020_EGD'!$A:$A,'2012 Actuals_Auditor'!T978&amp;'2012 Actuals_Auditor'!S978,'Avoided Costs 2012-2020_EGD'!$K:$K)*N978</f>
        <v>0</v>
      </c>
      <c r="W978" s="65">
        <f>SUMIF('Avoided Costs 2012-2020_EGD'!$A:$A,'2012 Actuals_Auditor'!T978&amp;'2012 Actuals_Auditor'!S978,'Avoided Costs 2012-2020_EGD'!$M:$M)*R978</f>
        <v>0</v>
      </c>
      <c r="X978" s="65">
        <f t="shared" si="380"/>
        <v>277748.38350204361</v>
      </c>
      <c r="Y978" s="146">
        <v>28200</v>
      </c>
      <c r="Z978" s="66">
        <f t="shared" si="381"/>
        <v>20868</v>
      </c>
      <c r="AA978" s="66">
        <v>8800</v>
      </c>
      <c r="AB978" s="66"/>
      <c r="AC978" s="66"/>
      <c r="AD978" s="66">
        <f t="shared" si="382"/>
        <v>20868</v>
      </c>
      <c r="AE978" s="66">
        <f t="shared" si="383"/>
        <v>256880.38350204361</v>
      </c>
      <c r="AF978" s="101">
        <f t="shared" si="384"/>
        <v>2022050</v>
      </c>
      <c r="AG978" s="101">
        <f t="shared" si="385"/>
        <v>2732500</v>
      </c>
    </row>
    <row r="979" spans="1:33" s="68" customFormat="1" x14ac:dyDescent="0.2">
      <c r="A979" s="147" t="s">
        <v>1115</v>
      </c>
      <c r="B979" s="147"/>
      <c r="C979" s="147"/>
      <c r="D979" s="148">
        <v>1</v>
      </c>
      <c r="E979" s="149"/>
      <c r="F979" s="150">
        <v>0.26</v>
      </c>
      <c r="G979" s="150"/>
      <c r="H979" s="67">
        <v>360971</v>
      </c>
      <c r="I979" s="67">
        <f t="shared" ref="I979:I993" si="386">+$H$42*H979</f>
        <v>345047.38182337699</v>
      </c>
      <c r="J979" s="67">
        <f t="shared" si="376"/>
        <v>255335.06254929898</v>
      </c>
      <c r="K979" s="63"/>
      <c r="L979" s="149">
        <v>312475</v>
      </c>
      <c r="M979" s="63">
        <f t="shared" si="377"/>
        <v>312475</v>
      </c>
      <c r="N979" s="63">
        <f t="shared" si="378"/>
        <v>231231.5</v>
      </c>
      <c r="O979" s="69"/>
      <c r="P979" s="149">
        <v>0</v>
      </c>
      <c r="Q979" s="63">
        <f t="shared" ref="Q979:Q993" si="387">+P979*$P$42</f>
        <v>0</v>
      </c>
      <c r="R979" s="64">
        <f t="shared" si="379"/>
        <v>0</v>
      </c>
      <c r="S979" s="148">
        <v>25</v>
      </c>
      <c r="T979" s="151" t="s">
        <v>71</v>
      </c>
      <c r="U979" s="65">
        <f>SUMIF('Avoided Costs 2012-2020_EGD'!$A:$A,'2012 Actuals_Auditor'!T979&amp;'2012 Actuals_Auditor'!S979,'Avoided Costs 2012-2020_EGD'!$E:$E)*J979</f>
        <v>867965.30560024746</v>
      </c>
      <c r="V979" s="65">
        <f>SUMIF('Avoided Costs 2012-2020_EGD'!$A:$A,'2012 Actuals_Auditor'!T979&amp;'2012 Actuals_Auditor'!S979,'Avoided Costs 2012-2020_EGD'!$K:$K)*N979</f>
        <v>325663.5490328265</v>
      </c>
      <c r="W979" s="65">
        <f>SUMIF('Avoided Costs 2012-2020_EGD'!$A:$A,'2012 Actuals_Auditor'!T979&amp;'2012 Actuals_Auditor'!S979,'Avoided Costs 2012-2020_EGD'!$M:$M)*R979</f>
        <v>0</v>
      </c>
      <c r="X979" s="65">
        <f t="shared" si="380"/>
        <v>1193628.854633074</v>
      </c>
      <c r="Y979" s="146">
        <v>884850</v>
      </c>
      <c r="Z979" s="66">
        <f t="shared" si="381"/>
        <v>654789</v>
      </c>
      <c r="AA979" s="66">
        <v>30000</v>
      </c>
      <c r="AB979" s="66"/>
      <c r="AC979" s="66"/>
      <c r="AD979" s="66">
        <f t="shared" si="382"/>
        <v>654789</v>
      </c>
      <c r="AE979" s="66">
        <f t="shared" si="383"/>
        <v>538839.85463307402</v>
      </c>
      <c r="AF979" s="101">
        <f t="shared" si="384"/>
        <v>6383376.5637324741</v>
      </c>
      <c r="AG979" s="101">
        <f t="shared" si="385"/>
        <v>8626184.5455844253</v>
      </c>
    </row>
    <row r="980" spans="1:33" s="68" customFormat="1" x14ac:dyDescent="0.2">
      <c r="A980" s="147" t="s">
        <v>1116</v>
      </c>
      <c r="B980" s="147"/>
      <c r="C980" s="147"/>
      <c r="D980" s="148">
        <v>1</v>
      </c>
      <c r="E980" s="149"/>
      <c r="F980" s="150">
        <v>0.26</v>
      </c>
      <c r="G980" s="150"/>
      <c r="H980" s="67">
        <v>283734</v>
      </c>
      <c r="I980" s="67">
        <f t="shared" si="386"/>
        <v>271217.55995432887</v>
      </c>
      <c r="J980" s="67">
        <f t="shared" si="376"/>
        <v>200700.99436620335</v>
      </c>
      <c r="K980" s="63"/>
      <c r="L980" s="149">
        <v>196632</v>
      </c>
      <c r="M980" s="63">
        <f t="shared" si="377"/>
        <v>196632</v>
      </c>
      <c r="N980" s="63">
        <f t="shared" si="378"/>
        <v>145507.68</v>
      </c>
      <c r="O980" s="69"/>
      <c r="P980" s="149">
        <v>0</v>
      </c>
      <c r="Q980" s="63">
        <f t="shared" si="387"/>
        <v>0</v>
      </c>
      <c r="R980" s="64">
        <f t="shared" si="379"/>
        <v>0</v>
      </c>
      <c r="S980" s="148">
        <v>25</v>
      </c>
      <c r="T980" s="151" t="s">
        <v>71</v>
      </c>
      <c r="U980" s="65">
        <f>SUMIF('Avoided Costs 2012-2020_EGD'!$A:$A,'2012 Actuals_Auditor'!T980&amp;'2012 Actuals_Auditor'!S980,'Avoided Costs 2012-2020_EGD'!$E:$E)*J980</f>
        <v>682246.68468985206</v>
      </c>
      <c r="V980" s="65">
        <f>SUMIF('Avoided Costs 2012-2020_EGD'!$A:$A,'2012 Actuals_Auditor'!T980&amp;'2012 Actuals_Auditor'!S980,'Avoided Costs 2012-2020_EGD'!$K:$K)*N980</f>
        <v>204931.19441050559</v>
      </c>
      <c r="W980" s="65">
        <f>SUMIF('Avoided Costs 2012-2020_EGD'!$A:$A,'2012 Actuals_Auditor'!T980&amp;'2012 Actuals_Auditor'!S980,'Avoided Costs 2012-2020_EGD'!$M:$M)*R980</f>
        <v>0</v>
      </c>
      <c r="X980" s="65">
        <f t="shared" si="380"/>
        <v>887177.87910035765</v>
      </c>
      <c r="Y980" s="146">
        <v>505468.37</v>
      </c>
      <c r="Z980" s="66">
        <f t="shared" si="381"/>
        <v>374046.59379999997</v>
      </c>
      <c r="AA980" s="66">
        <v>30000</v>
      </c>
      <c r="AB980" s="66"/>
      <c r="AC980" s="66"/>
      <c r="AD980" s="66">
        <f t="shared" si="382"/>
        <v>374046.59379999997</v>
      </c>
      <c r="AE980" s="66">
        <f t="shared" si="383"/>
        <v>513131.28530035767</v>
      </c>
      <c r="AF980" s="101">
        <f t="shared" si="384"/>
        <v>5017524.859155084</v>
      </c>
      <c r="AG980" s="101">
        <f t="shared" si="385"/>
        <v>6780438.9988582218</v>
      </c>
    </row>
    <row r="981" spans="1:33" s="68" customFormat="1" x14ac:dyDescent="0.2">
      <c r="A981" s="147" t="s">
        <v>1117</v>
      </c>
      <c r="B981" s="147"/>
      <c r="C981" s="147"/>
      <c r="D981" s="148">
        <v>1</v>
      </c>
      <c r="E981" s="149"/>
      <c r="F981" s="150">
        <v>0.26</v>
      </c>
      <c r="G981" s="150"/>
      <c r="H981" s="67">
        <v>172601</v>
      </c>
      <c r="I981" s="67">
        <f t="shared" si="386"/>
        <v>164987.00214171415</v>
      </c>
      <c r="J981" s="67">
        <f t="shared" si="376"/>
        <v>122090.38158486848</v>
      </c>
      <c r="K981" s="63"/>
      <c r="L981" s="149">
        <v>348510</v>
      </c>
      <c r="M981" s="63">
        <f t="shared" si="377"/>
        <v>348510</v>
      </c>
      <c r="N981" s="63">
        <f t="shared" si="378"/>
        <v>257897.4</v>
      </c>
      <c r="O981" s="69"/>
      <c r="P981" s="149">
        <v>0</v>
      </c>
      <c r="Q981" s="63">
        <f t="shared" si="387"/>
        <v>0</v>
      </c>
      <c r="R981" s="64">
        <f t="shared" si="379"/>
        <v>0</v>
      </c>
      <c r="S981" s="148">
        <v>25</v>
      </c>
      <c r="T981" s="151" t="s">
        <v>71</v>
      </c>
      <c r="U981" s="65">
        <f>SUMIF('Avoided Costs 2012-2020_EGD'!$A:$A,'2012 Actuals_Auditor'!T981&amp;'2012 Actuals_Auditor'!S981,'Avoided Costs 2012-2020_EGD'!$E:$E)*J981</f>
        <v>415024.14241561876</v>
      </c>
      <c r="V981" s="65">
        <f>SUMIF('Avoided Costs 2012-2020_EGD'!$A:$A,'2012 Actuals_Auditor'!T981&amp;'2012 Actuals_Auditor'!S981,'Avoided Costs 2012-2020_EGD'!$K:$K)*N981</f>
        <v>363219.46867247095</v>
      </c>
      <c r="W981" s="65">
        <f>SUMIF('Avoided Costs 2012-2020_EGD'!$A:$A,'2012 Actuals_Auditor'!T981&amp;'2012 Actuals_Auditor'!S981,'Avoided Costs 2012-2020_EGD'!$M:$M)*R981</f>
        <v>0</v>
      </c>
      <c r="X981" s="65">
        <f t="shared" si="380"/>
        <v>778243.61108808964</v>
      </c>
      <c r="Y981" s="146">
        <v>842068</v>
      </c>
      <c r="Z981" s="66">
        <f t="shared" si="381"/>
        <v>623130.31999999995</v>
      </c>
      <c r="AA981" s="66">
        <v>20579</v>
      </c>
      <c r="AB981" s="66"/>
      <c r="AC981" s="66"/>
      <c r="AD981" s="66">
        <f t="shared" si="382"/>
        <v>623130.31999999995</v>
      </c>
      <c r="AE981" s="66">
        <f t="shared" si="383"/>
        <v>155113.2910880897</v>
      </c>
      <c r="AF981" s="101">
        <f t="shared" si="384"/>
        <v>3052259.5396217117</v>
      </c>
      <c r="AG981" s="101">
        <f t="shared" si="385"/>
        <v>4124675.0535428538</v>
      </c>
    </row>
    <row r="982" spans="1:33" s="68" customFormat="1" x14ac:dyDescent="0.2">
      <c r="A982" s="147" t="s">
        <v>1118</v>
      </c>
      <c r="B982" s="147"/>
      <c r="C982" s="147"/>
      <c r="D982" s="148">
        <v>1</v>
      </c>
      <c r="E982" s="149"/>
      <c r="F982" s="150">
        <v>0.26</v>
      </c>
      <c r="G982" s="150"/>
      <c r="H982" s="67">
        <v>190</v>
      </c>
      <c r="I982" s="67">
        <f t="shared" si="386"/>
        <v>181.61847501999227</v>
      </c>
      <c r="J982" s="67">
        <f t="shared" si="376"/>
        <v>134.39767151479427</v>
      </c>
      <c r="K982" s="63"/>
      <c r="L982" s="149">
        <v>39382</v>
      </c>
      <c r="M982" s="63">
        <f t="shared" si="377"/>
        <v>39382</v>
      </c>
      <c r="N982" s="63">
        <f t="shared" si="378"/>
        <v>29142.68</v>
      </c>
      <c r="O982" s="69"/>
      <c r="P982" s="149">
        <v>0</v>
      </c>
      <c r="Q982" s="63">
        <f t="shared" si="387"/>
        <v>0</v>
      </c>
      <c r="R982" s="64">
        <f t="shared" si="379"/>
        <v>0</v>
      </c>
      <c r="S982" s="148">
        <v>25</v>
      </c>
      <c r="T982" s="151" t="s">
        <v>71</v>
      </c>
      <c r="U982" s="65">
        <f>SUMIF('Avoided Costs 2012-2020_EGD'!$A:$A,'2012 Actuals_Auditor'!T982&amp;'2012 Actuals_Auditor'!S982,'Avoided Costs 2012-2020_EGD'!$E:$E)*J982</f>
        <v>456.86054576142408</v>
      </c>
      <c r="V982" s="65">
        <f>SUMIF('Avoided Costs 2012-2020_EGD'!$A:$A,'2012 Actuals_Auditor'!T982&amp;'2012 Actuals_Auditor'!S982,'Avoided Costs 2012-2020_EGD'!$K:$K)*N982</f>
        <v>41044.185576480588</v>
      </c>
      <c r="W982" s="65">
        <f>SUMIF('Avoided Costs 2012-2020_EGD'!$A:$A,'2012 Actuals_Auditor'!T982&amp;'2012 Actuals_Auditor'!S982,'Avoided Costs 2012-2020_EGD'!$M:$M)*R982</f>
        <v>0</v>
      </c>
      <c r="X982" s="65">
        <f t="shared" si="380"/>
        <v>41501.046122242013</v>
      </c>
      <c r="Y982" s="146">
        <v>35164</v>
      </c>
      <c r="Z982" s="66">
        <f t="shared" si="381"/>
        <v>26021.360000000001</v>
      </c>
      <c r="AA982" s="66">
        <v>394</v>
      </c>
      <c r="AB982" s="66"/>
      <c r="AC982" s="66"/>
      <c r="AD982" s="66">
        <f t="shared" si="382"/>
        <v>26021.360000000001</v>
      </c>
      <c r="AE982" s="66">
        <f t="shared" si="383"/>
        <v>15479.686122242012</v>
      </c>
      <c r="AF982" s="101">
        <f t="shared" si="384"/>
        <v>3359.9417878698569</v>
      </c>
      <c r="AG982" s="101">
        <f t="shared" si="385"/>
        <v>4540.4618754998064</v>
      </c>
    </row>
    <row r="983" spans="1:33" s="68" customFormat="1" x14ac:dyDescent="0.2">
      <c r="A983" s="147" t="s">
        <v>1119</v>
      </c>
      <c r="B983" s="147"/>
      <c r="C983" s="147"/>
      <c r="D983" s="148">
        <v>0</v>
      </c>
      <c r="E983" s="149"/>
      <c r="F983" s="150">
        <v>0.26</v>
      </c>
      <c r="G983" s="150"/>
      <c r="H983" s="67">
        <v>12420</v>
      </c>
      <c r="I983" s="67">
        <f t="shared" si="386"/>
        <v>11872.112946043706</v>
      </c>
      <c r="J983" s="67">
        <f t="shared" si="376"/>
        <v>8785.3635800723423</v>
      </c>
      <c r="K983" s="63"/>
      <c r="L983" s="149">
        <v>0</v>
      </c>
      <c r="M983" s="63">
        <f t="shared" si="377"/>
        <v>0</v>
      </c>
      <c r="N983" s="63">
        <f t="shared" si="378"/>
        <v>0</v>
      </c>
      <c r="O983" s="69"/>
      <c r="P983" s="149">
        <v>0</v>
      </c>
      <c r="Q983" s="63">
        <f t="shared" si="387"/>
        <v>0</v>
      </c>
      <c r="R983" s="64">
        <f t="shared" si="379"/>
        <v>0</v>
      </c>
      <c r="S983" s="148">
        <v>25</v>
      </c>
      <c r="T983" s="151" t="s">
        <v>71</v>
      </c>
      <c r="U983" s="65">
        <f>SUMIF('Avoided Costs 2012-2020_EGD'!$A:$A,'2012 Actuals_Auditor'!T983&amp;'2012 Actuals_Auditor'!S983,'Avoided Costs 2012-2020_EGD'!$E:$E)*J983</f>
        <v>29864.252517667828</v>
      </c>
      <c r="V983" s="65">
        <f>SUMIF('Avoided Costs 2012-2020_EGD'!$A:$A,'2012 Actuals_Auditor'!T983&amp;'2012 Actuals_Auditor'!S983,'Avoided Costs 2012-2020_EGD'!$K:$K)*N983</f>
        <v>0</v>
      </c>
      <c r="W983" s="65">
        <f>SUMIF('Avoided Costs 2012-2020_EGD'!$A:$A,'2012 Actuals_Auditor'!T983&amp;'2012 Actuals_Auditor'!S983,'Avoided Costs 2012-2020_EGD'!$M:$M)*R983</f>
        <v>0</v>
      </c>
      <c r="X983" s="65">
        <f t="shared" si="380"/>
        <v>29864.252517667828</v>
      </c>
      <c r="Y983" s="146">
        <v>29415</v>
      </c>
      <c r="Z983" s="66">
        <f t="shared" si="381"/>
        <v>21767.1</v>
      </c>
      <c r="AA983" s="66">
        <v>1863</v>
      </c>
      <c r="AB983" s="66"/>
      <c r="AC983" s="66"/>
      <c r="AD983" s="66">
        <f t="shared" si="382"/>
        <v>21767.1</v>
      </c>
      <c r="AE983" s="66">
        <f t="shared" si="383"/>
        <v>8097.1525176678297</v>
      </c>
      <c r="AF983" s="101">
        <f t="shared" si="384"/>
        <v>219634.08950180857</v>
      </c>
      <c r="AG983" s="101">
        <f t="shared" si="385"/>
        <v>296802.82365109265</v>
      </c>
    </row>
    <row r="984" spans="1:33" s="68" customFormat="1" x14ac:dyDescent="0.2">
      <c r="A984" s="147" t="s">
        <v>1120</v>
      </c>
      <c r="B984" s="147"/>
      <c r="C984" s="147"/>
      <c r="D984" s="148">
        <v>1</v>
      </c>
      <c r="E984" s="149"/>
      <c r="F984" s="150">
        <v>0.26</v>
      </c>
      <c r="G984" s="150"/>
      <c r="H984" s="67">
        <v>80023</v>
      </c>
      <c r="I984" s="67">
        <f t="shared" si="386"/>
        <v>76492.922244867586</v>
      </c>
      <c r="J984" s="67">
        <f t="shared" si="376"/>
        <v>56604.762461202015</v>
      </c>
      <c r="K984" s="63"/>
      <c r="L984" s="149">
        <v>0</v>
      </c>
      <c r="M984" s="63">
        <f t="shared" si="377"/>
        <v>0</v>
      </c>
      <c r="N984" s="63">
        <f t="shared" si="378"/>
        <v>0</v>
      </c>
      <c r="O984" s="69"/>
      <c r="P984" s="149">
        <v>0</v>
      </c>
      <c r="Q984" s="63">
        <f t="shared" si="387"/>
        <v>0</v>
      </c>
      <c r="R984" s="64">
        <f t="shared" si="379"/>
        <v>0</v>
      </c>
      <c r="S984" s="148">
        <v>25</v>
      </c>
      <c r="T984" s="151" t="s">
        <v>71</v>
      </c>
      <c r="U984" s="65">
        <f>SUMIF('Avoided Costs 2012-2020_EGD'!$A:$A,'2012 Actuals_Auditor'!T984&amp;'2012 Actuals_Auditor'!S984,'Avoided Costs 2012-2020_EGD'!$E:$E)*J984</f>
        <v>192417.63922877074</v>
      </c>
      <c r="V984" s="65">
        <f>SUMIF('Avoided Costs 2012-2020_EGD'!$A:$A,'2012 Actuals_Auditor'!T984&amp;'2012 Actuals_Auditor'!S984,'Avoided Costs 2012-2020_EGD'!$K:$K)*N984</f>
        <v>0</v>
      </c>
      <c r="W984" s="65">
        <f>SUMIF('Avoided Costs 2012-2020_EGD'!$A:$A,'2012 Actuals_Auditor'!T984&amp;'2012 Actuals_Auditor'!S984,'Avoided Costs 2012-2020_EGD'!$M:$M)*R984</f>
        <v>0</v>
      </c>
      <c r="X984" s="65">
        <f t="shared" si="380"/>
        <v>192417.63922877074</v>
      </c>
      <c r="Y984" s="146">
        <v>203207</v>
      </c>
      <c r="Z984" s="66">
        <f t="shared" si="381"/>
        <v>150373.18</v>
      </c>
      <c r="AA984" s="66">
        <v>8002</v>
      </c>
      <c r="AB984" s="66"/>
      <c r="AC984" s="66"/>
      <c r="AD984" s="66">
        <f t="shared" si="382"/>
        <v>150373.18</v>
      </c>
      <c r="AE984" s="66">
        <f t="shared" si="383"/>
        <v>42044.459228770749</v>
      </c>
      <c r="AF984" s="101">
        <f t="shared" si="384"/>
        <v>1415119.0615300504</v>
      </c>
      <c r="AG984" s="101">
        <f t="shared" si="385"/>
        <v>1912323.0561216897</v>
      </c>
    </row>
    <row r="985" spans="1:33" s="68" customFormat="1" x14ac:dyDescent="0.2">
      <c r="A985" s="147" t="s">
        <v>1121</v>
      </c>
      <c r="B985" s="147"/>
      <c r="C985" s="147"/>
      <c r="D985" s="148">
        <v>1</v>
      </c>
      <c r="E985" s="149"/>
      <c r="F985" s="150">
        <v>0.26</v>
      </c>
      <c r="G985" s="150"/>
      <c r="H985" s="67">
        <v>2471</v>
      </c>
      <c r="I985" s="67">
        <f t="shared" si="386"/>
        <v>2361.9960619705312</v>
      </c>
      <c r="J985" s="67">
        <f t="shared" si="376"/>
        <v>1747.8770858581931</v>
      </c>
      <c r="K985" s="63"/>
      <c r="L985" s="149">
        <v>65756</v>
      </c>
      <c r="M985" s="63">
        <f t="shared" si="377"/>
        <v>65756</v>
      </c>
      <c r="N985" s="63">
        <f t="shared" si="378"/>
        <v>48659.44</v>
      </c>
      <c r="O985" s="69"/>
      <c r="P985" s="149">
        <v>0</v>
      </c>
      <c r="Q985" s="63">
        <f t="shared" si="387"/>
        <v>0</v>
      </c>
      <c r="R985" s="64">
        <f t="shared" si="379"/>
        <v>0</v>
      </c>
      <c r="S985" s="148">
        <v>25</v>
      </c>
      <c r="T985" s="151" t="s">
        <v>71</v>
      </c>
      <c r="U985" s="65">
        <f>SUMIF('Avoided Costs 2012-2020_EGD'!$A:$A,'2012 Actuals_Auditor'!T985&amp;'2012 Actuals_Auditor'!S985,'Avoided Costs 2012-2020_EGD'!$E:$E)*J985</f>
        <v>5941.5916240867318</v>
      </c>
      <c r="V985" s="65">
        <f>SUMIF('Avoided Costs 2012-2020_EGD'!$A:$A,'2012 Actuals_Auditor'!T985&amp;'2012 Actuals_Auditor'!S985,'Avoided Costs 2012-2020_EGD'!$K:$K)*N985</f>
        <v>68531.345964325272</v>
      </c>
      <c r="W985" s="65">
        <f>SUMIF('Avoided Costs 2012-2020_EGD'!$A:$A,'2012 Actuals_Auditor'!T985&amp;'2012 Actuals_Auditor'!S985,'Avoided Costs 2012-2020_EGD'!$M:$M)*R985</f>
        <v>0</v>
      </c>
      <c r="X985" s="65">
        <f t="shared" si="380"/>
        <v>74472.937588412009</v>
      </c>
      <c r="Y985" s="146">
        <v>27731.43</v>
      </c>
      <c r="Z985" s="66">
        <f t="shared" si="381"/>
        <v>20521.2582</v>
      </c>
      <c r="AA985" s="66">
        <v>873</v>
      </c>
      <c r="AB985" s="66"/>
      <c r="AC985" s="66"/>
      <c r="AD985" s="66">
        <f t="shared" si="382"/>
        <v>20521.2582</v>
      </c>
      <c r="AE985" s="66">
        <f t="shared" si="383"/>
        <v>53951.679388412012</v>
      </c>
      <c r="AF985" s="101">
        <f t="shared" si="384"/>
        <v>43696.927146454829</v>
      </c>
      <c r="AG985" s="101">
        <f t="shared" si="385"/>
        <v>59049.901549263283</v>
      </c>
    </row>
    <row r="986" spans="1:33" s="68" customFormat="1" x14ac:dyDescent="0.2">
      <c r="A986" s="147" t="s">
        <v>1122</v>
      </c>
      <c r="B986" s="147"/>
      <c r="C986" s="147"/>
      <c r="D986" s="148">
        <v>1</v>
      </c>
      <c r="E986" s="149"/>
      <c r="F986" s="150">
        <v>0.26</v>
      </c>
      <c r="G986" s="150"/>
      <c r="H986" s="67">
        <v>5932</v>
      </c>
      <c r="I986" s="67">
        <f t="shared" si="386"/>
        <v>5670.3199674662856</v>
      </c>
      <c r="J986" s="67">
        <f t="shared" si="376"/>
        <v>4196.0367759250512</v>
      </c>
      <c r="K986" s="63"/>
      <c r="L986" s="149">
        <v>21878</v>
      </c>
      <c r="M986" s="63">
        <f t="shared" si="377"/>
        <v>21878</v>
      </c>
      <c r="N986" s="63">
        <f t="shared" si="378"/>
        <v>16189.72</v>
      </c>
      <c r="O986" s="69"/>
      <c r="P986" s="149">
        <v>0</v>
      </c>
      <c r="Q986" s="63">
        <f t="shared" si="387"/>
        <v>0</v>
      </c>
      <c r="R986" s="64">
        <f t="shared" si="379"/>
        <v>0</v>
      </c>
      <c r="S986" s="148">
        <v>25</v>
      </c>
      <c r="T986" s="151" t="s">
        <v>71</v>
      </c>
      <c r="U986" s="65">
        <f>SUMIF('Avoided Costs 2012-2020_EGD'!$A:$A,'2012 Actuals_Auditor'!T986&amp;'2012 Actuals_Auditor'!S986,'Avoided Costs 2012-2020_EGD'!$E:$E)*J986</f>
        <v>14263.667144509305</v>
      </c>
      <c r="V986" s="65">
        <f>SUMIF('Avoided Costs 2012-2020_EGD'!$A:$A,'2012 Actuals_Auditor'!T986&amp;'2012 Actuals_Auditor'!S986,'Avoided Costs 2012-2020_EGD'!$K:$K)*N986</f>
        <v>22801.398914281712</v>
      </c>
      <c r="W986" s="65">
        <f>SUMIF('Avoided Costs 2012-2020_EGD'!$A:$A,'2012 Actuals_Auditor'!T986&amp;'2012 Actuals_Auditor'!S986,'Avoided Costs 2012-2020_EGD'!$M:$M)*R986</f>
        <v>0</v>
      </c>
      <c r="X986" s="65">
        <f t="shared" si="380"/>
        <v>37065.066058791017</v>
      </c>
      <c r="Y986" s="146">
        <v>19422</v>
      </c>
      <c r="Z986" s="66">
        <f t="shared" si="381"/>
        <v>14372.28</v>
      </c>
      <c r="AA986" s="66">
        <v>802</v>
      </c>
      <c r="AB986" s="66"/>
      <c r="AC986" s="66"/>
      <c r="AD986" s="66">
        <f t="shared" si="382"/>
        <v>14372.28</v>
      </c>
      <c r="AE986" s="66">
        <f t="shared" si="383"/>
        <v>22692.786058791018</v>
      </c>
      <c r="AF986" s="101">
        <f t="shared" si="384"/>
        <v>104900.91939812628</v>
      </c>
      <c r="AG986" s="101">
        <f t="shared" si="385"/>
        <v>141757.99918665714</v>
      </c>
    </row>
    <row r="987" spans="1:33" s="68" customFormat="1" x14ac:dyDescent="0.2">
      <c r="A987" s="141" t="s">
        <v>1123</v>
      </c>
      <c r="B987" s="141"/>
      <c r="C987" s="141"/>
      <c r="D987" s="142">
        <v>1</v>
      </c>
      <c r="E987" s="143"/>
      <c r="F987" s="144">
        <v>0.26</v>
      </c>
      <c r="G987" s="144"/>
      <c r="H987" s="67">
        <v>17954</v>
      </c>
      <c r="I987" s="67">
        <f t="shared" si="386"/>
        <v>17161.990002678638</v>
      </c>
      <c r="J987" s="67">
        <f t="shared" si="376"/>
        <v>12699.872601982192</v>
      </c>
      <c r="K987" s="143"/>
      <c r="L987" s="143">
        <v>40146</v>
      </c>
      <c r="M987" s="63">
        <f t="shared" si="377"/>
        <v>40146</v>
      </c>
      <c r="N987" s="63">
        <f t="shared" si="378"/>
        <v>29708.04</v>
      </c>
      <c r="O987" s="143"/>
      <c r="P987" s="143">
        <v>0</v>
      </c>
      <c r="Q987" s="63">
        <f t="shared" si="387"/>
        <v>0</v>
      </c>
      <c r="R987" s="64">
        <f t="shared" si="379"/>
        <v>0</v>
      </c>
      <c r="S987" s="142">
        <v>25</v>
      </c>
      <c r="T987" s="145" t="s">
        <v>71</v>
      </c>
      <c r="U987" s="65">
        <f>SUMIF('Avoided Costs 2012-2020_EGD'!$A:$A,'2012 Actuals_Auditor'!T987&amp;'2012 Actuals_Auditor'!S987,'Avoided Costs 2012-2020_EGD'!$E:$E)*J987</f>
        <v>43170.917045266353</v>
      </c>
      <c r="V987" s="65">
        <f>SUMIF('Avoided Costs 2012-2020_EGD'!$A:$A,'2012 Actuals_Auditor'!T987&amp;'2012 Actuals_Auditor'!S987,'Avoided Costs 2012-2020_EGD'!$K:$K)*N987</f>
        <v>41840.431520831597</v>
      </c>
      <c r="W987" s="65">
        <f>SUMIF('Avoided Costs 2012-2020_EGD'!$A:$A,'2012 Actuals_Auditor'!T987&amp;'2012 Actuals_Auditor'!S987,'Avoided Costs 2012-2020_EGD'!$M:$M)*R987</f>
        <v>0</v>
      </c>
      <c r="X987" s="65">
        <f t="shared" si="380"/>
        <v>85011.34856609795</v>
      </c>
      <c r="Y987" s="146">
        <v>217236.48000000001</v>
      </c>
      <c r="Z987" s="66">
        <f t="shared" si="381"/>
        <v>160754.9952</v>
      </c>
      <c r="AA987" s="66">
        <v>2177</v>
      </c>
      <c r="AB987" s="66"/>
      <c r="AC987" s="66"/>
      <c r="AD987" s="66">
        <f t="shared" si="382"/>
        <v>160754.9952</v>
      </c>
      <c r="AE987" s="66">
        <f t="shared" si="383"/>
        <v>-75743.646633902055</v>
      </c>
      <c r="AF987" s="101">
        <f t="shared" si="384"/>
        <v>317496.8150495548</v>
      </c>
      <c r="AG987" s="101">
        <f t="shared" si="385"/>
        <v>429049.75006696593</v>
      </c>
    </row>
    <row r="988" spans="1:33" s="68" customFormat="1" x14ac:dyDescent="0.2">
      <c r="A988" s="147" t="s">
        <v>1124</v>
      </c>
      <c r="B988" s="147"/>
      <c r="C988" s="147"/>
      <c r="D988" s="148">
        <v>1</v>
      </c>
      <c r="E988" s="149"/>
      <c r="F988" s="150">
        <v>0.26</v>
      </c>
      <c r="G988" s="150"/>
      <c r="H988" s="67">
        <v>93063</v>
      </c>
      <c r="I988" s="67">
        <f t="shared" si="386"/>
        <v>88957.684951502844</v>
      </c>
      <c r="J988" s="67">
        <f t="shared" si="376"/>
        <v>65828.686864112111</v>
      </c>
      <c r="K988" s="63"/>
      <c r="L988" s="149">
        <v>-256900</v>
      </c>
      <c r="M988" s="63">
        <f t="shared" si="377"/>
        <v>-256900</v>
      </c>
      <c r="N988" s="63">
        <f t="shared" si="378"/>
        <v>-190106</v>
      </c>
      <c r="O988" s="69"/>
      <c r="P988" s="149">
        <v>0</v>
      </c>
      <c r="Q988" s="63">
        <f t="shared" si="387"/>
        <v>0</v>
      </c>
      <c r="R988" s="64">
        <f t="shared" si="379"/>
        <v>0</v>
      </c>
      <c r="S988" s="148">
        <v>25</v>
      </c>
      <c r="T988" s="151" t="s">
        <v>71</v>
      </c>
      <c r="U988" s="65">
        <f>SUMIF('Avoided Costs 2012-2020_EGD'!$A:$A,'2012 Actuals_Auditor'!T988&amp;'2012 Actuals_Auditor'!S988,'Avoided Costs 2012-2020_EGD'!$E:$E)*J988</f>
        <v>223772.69984313374</v>
      </c>
      <c r="V988" s="65">
        <f>SUMIF('Avoided Costs 2012-2020_EGD'!$A:$A,'2012 Actuals_Auditor'!T988&amp;'2012 Actuals_Auditor'!S988,'Avoided Costs 2012-2020_EGD'!$K:$K)*N988</f>
        <v>-267742.90982169175</v>
      </c>
      <c r="W988" s="65">
        <f>SUMIF('Avoided Costs 2012-2020_EGD'!$A:$A,'2012 Actuals_Auditor'!T988&amp;'2012 Actuals_Auditor'!S988,'Avoided Costs 2012-2020_EGD'!$M:$M)*R988</f>
        <v>0</v>
      </c>
      <c r="X988" s="65">
        <f t="shared" si="380"/>
        <v>-43970.209978558007</v>
      </c>
      <c r="Y988" s="146">
        <v>157291</v>
      </c>
      <c r="Z988" s="66">
        <f t="shared" si="381"/>
        <v>116395.34</v>
      </c>
      <c r="AA988" s="66">
        <v>9363</v>
      </c>
      <c r="AB988" s="66"/>
      <c r="AC988" s="66"/>
      <c r="AD988" s="66">
        <f t="shared" si="382"/>
        <v>116395.34</v>
      </c>
      <c r="AE988" s="66">
        <f t="shared" si="383"/>
        <v>-160365.549978558</v>
      </c>
      <c r="AF988" s="101">
        <f t="shared" si="384"/>
        <v>1645717.1716028028</v>
      </c>
      <c r="AG988" s="101">
        <f t="shared" si="385"/>
        <v>2223942.1237875712</v>
      </c>
    </row>
    <row r="989" spans="1:33" s="68" customFormat="1" x14ac:dyDescent="0.2">
      <c r="A989" s="141" t="s">
        <v>1125</v>
      </c>
      <c r="B989" s="141"/>
      <c r="C989" s="141"/>
      <c r="D989" s="142">
        <v>1</v>
      </c>
      <c r="E989" s="143"/>
      <c r="F989" s="144">
        <v>0.26</v>
      </c>
      <c r="G989" s="144"/>
      <c r="H989" s="67">
        <v>10643</v>
      </c>
      <c r="I989" s="67">
        <f t="shared" si="386"/>
        <v>10173.502261251462</v>
      </c>
      <c r="J989" s="67">
        <f t="shared" si="376"/>
        <v>7528.3916733260821</v>
      </c>
      <c r="K989" s="143"/>
      <c r="L989" s="143">
        <v>19246</v>
      </c>
      <c r="M989" s="63">
        <f t="shared" si="377"/>
        <v>19246</v>
      </c>
      <c r="N989" s="63">
        <f t="shared" si="378"/>
        <v>14242.039999999999</v>
      </c>
      <c r="O989" s="143"/>
      <c r="P989" s="143">
        <v>0</v>
      </c>
      <c r="Q989" s="63">
        <f t="shared" si="387"/>
        <v>0</v>
      </c>
      <c r="R989" s="64">
        <f t="shared" si="379"/>
        <v>0</v>
      </c>
      <c r="S989" s="142">
        <v>25</v>
      </c>
      <c r="T989" s="145" t="s">
        <v>71</v>
      </c>
      <c r="U989" s="65">
        <f>SUMIF('Avoided Costs 2012-2020_EGD'!$A:$A,'2012 Actuals_Auditor'!T989&amp;'2012 Actuals_Auditor'!S989,'Avoided Costs 2012-2020_EGD'!$E:$E)*J989</f>
        <v>25591.404150204406</v>
      </c>
      <c r="V989" s="65">
        <f>SUMIF('Avoided Costs 2012-2020_EGD'!$A:$A,'2012 Actuals_Auditor'!T989&amp;'2012 Actuals_Auditor'!S989,'Avoided Costs 2012-2020_EGD'!$K:$K)*N989</f>
        <v>20058.310791857839</v>
      </c>
      <c r="W989" s="65">
        <f>SUMIF('Avoided Costs 2012-2020_EGD'!$A:$A,'2012 Actuals_Auditor'!T989&amp;'2012 Actuals_Auditor'!S989,'Avoided Costs 2012-2020_EGD'!$M:$M)*R989</f>
        <v>0</v>
      </c>
      <c r="X989" s="65">
        <f t="shared" si="380"/>
        <v>45649.714942062245</v>
      </c>
      <c r="Y989" s="146">
        <v>7406</v>
      </c>
      <c r="Z989" s="66">
        <f t="shared" si="381"/>
        <v>5480.44</v>
      </c>
      <c r="AA989" s="66">
        <v>1596</v>
      </c>
      <c r="AB989" s="66"/>
      <c r="AC989" s="66"/>
      <c r="AD989" s="66">
        <f t="shared" si="382"/>
        <v>5480.44</v>
      </c>
      <c r="AE989" s="66">
        <f t="shared" si="383"/>
        <v>40169.274942062242</v>
      </c>
      <c r="AF989" s="101">
        <f t="shared" si="384"/>
        <v>188209.79183315206</v>
      </c>
      <c r="AG989" s="101">
        <f t="shared" si="385"/>
        <v>254337.55653128657</v>
      </c>
    </row>
    <row r="990" spans="1:33" s="68" customFormat="1" x14ac:dyDescent="0.2">
      <c r="A990" s="141" t="s">
        <v>1126</v>
      </c>
      <c r="B990" s="141"/>
      <c r="C990" s="141"/>
      <c r="D990" s="142">
        <v>1</v>
      </c>
      <c r="E990" s="143"/>
      <c r="F990" s="144">
        <v>0.26</v>
      </c>
      <c r="G990" s="144"/>
      <c r="H990" s="67">
        <v>43946</v>
      </c>
      <c r="I990" s="67">
        <f t="shared" si="386"/>
        <v>42007.397385413584</v>
      </c>
      <c r="J990" s="67">
        <f t="shared" si="376"/>
        <v>31085.47406520605</v>
      </c>
      <c r="K990" s="143"/>
      <c r="L990" s="143">
        <v>39687</v>
      </c>
      <c r="M990" s="63">
        <f t="shared" si="377"/>
        <v>39687</v>
      </c>
      <c r="N990" s="63">
        <f t="shared" si="378"/>
        <v>29368.38</v>
      </c>
      <c r="O990" s="143"/>
      <c r="P990" s="143">
        <v>0</v>
      </c>
      <c r="Q990" s="63">
        <f t="shared" si="387"/>
        <v>0</v>
      </c>
      <c r="R990" s="64">
        <f t="shared" si="379"/>
        <v>0</v>
      </c>
      <c r="S990" s="142">
        <v>25</v>
      </c>
      <c r="T990" s="145" t="s">
        <v>71</v>
      </c>
      <c r="U990" s="65">
        <f>SUMIF('Avoided Costs 2012-2020_EGD'!$A:$A,'2012 Actuals_Auditor'!T990&amp;'2012 Actuals_Auditor'!S990,'Avoided Costs 2012-2020_EGD'!$E:$E)*J990</f>
        <v>105669.43970542918</v>
      </c>
      <c r="V990" s="65">
        <f>SUMIF('Avoided Costs 2012-2020_EGD'!$A:$A,'2012 Actuals_Auditor'!T990&amp;'2012 Actuals_Auditor'!S990,'Avoided Costs 2012-2020_EGD'!$K:$K)*N990</f>
        <v>41362.058630180924</v>
      </c>
      <c r="W990" s="65">
        <f>SUMIF('Avoided Costs 2012-2020_EGD'!$A:$A,'2012 Actuals_Auditor'!T990&amp;'2012 Actuals_Auditor'!S990,'Avoided Costs 2012-2020_EGD'!$M:$M)*R990</f>
        <v>0</v>
      </c>
      <c r="X990" s="65">
        <f t="shared" si="380"/>
        <v>147031.49833561009</v>
      </c>
      <c r="Y990" s="146">
        <v>337070</v>
      </c>
      <c r="Z990" s="66">
        <f t="shared" si="381"/>
        <v>249431.8</v>
      </c>
      <c r="AA990" s="66">
        <v>4772.6000000000004</v>
      </c>
      <c r="AB990" s="66"/>
      <c r="AC990" s="66"/>
      <c r="AD990" s="66">
        <f t="shared" si="382"/>
        <v>249431.8</v>
      </c>
      <c r="AE990" s="66">
        <f t="shared" si="383"/>
        <v>-102400.3016643899</v>
      </c>
      <c r="AF990" s="101">
        <f t="shared" si="384"/>
        <v>777136.85163015127</v>
      </c>
      <c r="AG990" s="101">
        <f t="shared" si="385"/>
        <v>1050184.9346353395</v>
      </c>
    </row>
    <row r="991" spans="1:33" s="68" customFormat="1" x14ac:dyDescent="0.2">
      <c r="A991" s="141" t="s">
        <v>1127</v>
      </c>
      <c r="B991" s="141"/>
      <c r="C991" s="141"/>
      <c r="D991" s="142">
        <v>1</v>
      </c>
      <c r="E991" s="143"/>
      <c r="F991" s="144">
        <v>0.26</v>
      </c>
      <c r="G991" s="144"/>
      <c r="H991" s="67">
        <v>957</v>
      </c>
      <c r="I991" s="67">
        <f t="shared" si="386"/>
        <v>914.78358207438214</v>
      </c>
      <c r="J991" s="67">
        <f t="shared" si="376"/>
        <v>676.9398507350428</v>
      </c>
      <c r="K991" s="143"/>
      <c r="L991" s="143">
        <v>44340</v>
      </c>
      <c r="M991" s="63">
        <f t="shared" si="377"/>
        <v>44340</v>
      </c>
      <c r="N991" s="63">
        <f t="shared" si="378"/>
        <v>32811.599999999999</v>
      </c>
      <c r="O991" s="143"/>
      <c r="P991" s="143">
        <v>0</v>
      </c>
      <c r="Q991" s="63">
        <f t="shared" si="387"/>
        <v>0</v>
      </c>
      <c r="R991" s="64">
        <f t="shared" si="379"/>
        <v>0</v>
      </c>
      <c r="S991" s="142">
        <v>25</v>
      </c>
      <c r="T991" s="145" t="s">
        <v>71</v>
      </c>
      <c r="U991" s="65">
        <f>SUMIF('Avoided Costs 2012-2020_EGD'!$A:$A,'2012 Actuals_Auditor'!T991&amp;'2012 Actuals_Auditor'!S991,'Avoided Costs 2012-2020_EGD'!$E:$E)*J991</f>
        <v>2301.1344331246469</v>
      </c>
      <c r="V991" s="65">
        <f>SUMIF('Avoided Costs 2012-2020_EGD'!$A:$A,'2012 Actuals_Auditor'!T991&amp;'2012 Actuals_Auditor'!S991,'Avoided Costs 2012-2020_EGD'!$K:$K)*N991</f>
        <v>46211.446560894554</v>
      </c>
      <c r="W991" s="65">
        <f>SUMIF('Avoided Costs 2012-2020_EGD'!$A:$A,'2012 Actuals_Auditor'!T991&amp;'2012 Actuals_Auditor'!S991,'Avoided Costs 2012-2020_EGD'!$M:$M)*R991</f>
        <v>0</v>
      </c>
      <c r="X991" s="65">
        <f t="shared" si="380"/>
        <v>48512.580994019198</v>
      </c>
      <c r="Y991" s="146">
        <v>43042.11</v>
      </c>
      <c r="Z991" s="66">
        <f t="shared" si="381"/>
        <v>31851.161400000001</v>
      </c>
      <c r="AA991" s="66">
        <v>518</v>
      </c>
      <c r="AB991" s="66"/>
      <c r="AC991" s="66"/>
      <c r="AD991" s="66">
        <f t="shared" si="382"/>
        <v>31851.161400000001</v>
      </c>
      <c r="AE991" s="66">
        <f t="shared" si="383"/>
        <v>16661.419594019197</v>
      </c>
      <c r="AF991" s="101">
        <f t="shared" si="384"/>
        <v>16923.496268376071</v>
      </c>
      <c r="AG991" s="101">
        <f t="shared" si="385"/>
        <v>22869.589551859553</v>
      </c>
    </row>
    <row r="992" spans="1:33" s="68" customFormat="1" x14ac:dyDescent="0.2">
      <c r="A992" s="141" t="s">
        <v>1128</v>
      </c>
      <c r="B992" s="141"/>
      <c r="C992" s="141"/>
      <c r="D992" s="142">
        <v>1</v>
      </c>
      <c r="E992" s="143"/>
      <c r="F992" s="144">
        <v>0.26</v>
      </c>
      <c r="G992" s="144"/>
      <c r="H992" s="67">
        <v>2105452</v>
      </c>
      <c r="I992" s="67">
        <f t="shared" si="386"/>
        <v>2012573.5866725936</v>
      </c>
      <c r="J992" s="67">
        <f t="shared" si="376"/>
        <v>1489304.4541377192</v>
      </c>
      <c r="K992" s="143"/>
      <c r="L992" s="143">
        <v>4402186</v>
      </c>
      <c r="M992" s="63">
        <f t="shared" si="377"/>
        <v>4402186</v>
      </c>
      <c r="N992" s="63">
        <f t="shared" si="378"/>
        <v>3257617.64</v>
      </c>
      <c r="O992" s="143"/>
      <c r="P992" s="143">
        <v>0</v>
      </c>
      <c r="Q992" s="63">
        <f t="shared" si="387"/>
        <v>0</v>
      </c>
      <c r="R992" s="64">
        <f t="shared" si="379"/>
        <v>0</v>
      </c>
      <c r="S992" s="142">
        <v>25</v>
      </c>
      <c r="T992" s="145" t="s">
        <v>71</v>
      </c>
      <c r="U992" s="65">
        <f>SUMIF('Avoided Costs 2012-2020_EGD'!$A:$A,'2012 Actuals_Auditor'!T992&amp;'2012 Actuals_Auditor'!S992,'Avoided Costs 2012-2020_EGD'!$E:$E)*J992</f>
        <v>5062620.7883920101</v>
      </c>
      <c r="V992" s="65">
        <f>SUMIF('Avoided Costs 2012-2020_EGD'!$A:$A,'2012 Actuals_Auditor'!T992&amp;'2012 Actuals_Auditor'!S992,'Avoided Costs 2012-2020_EGD'!$K:$K)*N992</f>
        <v>4587987.8910716772</v>
      </c>
      <c r="W992" s="65">
        <f>SUMIF('Avoided Costs 2012-2020_EGD'!$A:$A,'2012 Actuals_Auditor'!T992&amp;'2012 Actuals_Auditor'!S992,'Avoided Costs 2012-2020_EGD'!$M:$M)*R992</f>
        <v>0</v>
      </c>
      <c r="X992" s="65">
        <f t="shared" si="380"/>
        <v>9650608.6794636883</v>
      </c>
      <c r="Y992" s="146">
        <v>1596159</v>
      </c>
      <c r="Z992" s="66">
        <f t="shared" si="381"/>
        <v>1181157.6599999999</v>
      </c>
      <c r="AA992" s="66">
        <v>30000</v>
      </c>
      <c r="AB992" s="66"/>
      <c r="AC992" s="66"/>
      <c r="AD992" s="66">
        <f t="shared" si="382"/>
        <v>1181157.6599999999</v>
      </c>
      <c r="AE992" s="66">
        <f t="shared" si="383"/>
        <v>8469451.0194636881</v>
      </c>
      <c r="AF992" s="101">
        <f t="shared" si="384"/>
        <v>37232611.353442982</v>
      </c>
      <c r="AG992" s="101">
        <f t="shared" si="385"/>
        <v>50314339.666814841</v>
      </c>
    </row>
    <row r="993" spans="1:33" s="68" customFormat="1" x14ac:dyDescent="0.2">
      <c r="A993" s="141" t="s">
        <v>1129</v>
      </c>
      <c r="B993" s="141"/>
      <c r="C993" s="141"/>
      <c r="D993" s="142">
        <v>1</v>
      </c>
      <c r="E993" s="143"/>
      <c r="F993" s="144">
        <v>0.26</v>
      </c>
      <c r="G993" s="144"/>
      <c r="H993" s="67">
        <v>107415</v>
      </c>
      <c r="I993" s="67">
        <f t="shared" si="386"/>
        <v>102676.57102248669</v>
      </c>
      <c r="J993" s="67">
        <f t="shared" si="376"/>
        <v>75980.662556640149</v>
      </c>
      <c r="K993" s="143"/>
      <c r="L993" s="143">
        <v>0</v>
      </c>
      <c r="M993" s="63">
        <f t="shared" si="377"/>
        <v>0</v>
      </c>
      <c r="N993" s="63">
        <f t="shared" si="378"/>
        <v>0</v>
      </c>
      <c r="O993" s="143"/>
      <c r="P993" s="143">
        <v>0</v>
      </c>
      <c r="Q993" s="63">
        <f t="shared" si="387"/>
        <v>0</v>
      </c>
      <c r="R993" s="64">
        <f t="shared" si="379"/>
        <v>0</v>
      </c>
      <c r="S993" s="142">
        <v>25</v>
      </c>
      <c r="T993" s="145" t="s">
        <v>71</v>
      </c>
      <c r="U993" s="65">
        <f>SUMIF('Avoided Costs 2012-2020_EGD'!$A:$A,'2012 Actuals_Auditor'!T993&amp;'2012 Actuals_Auditor'!S993,'Avoided Costs 2012-2020_EGD'!$E:$E)*J993</f>
        <v>258282.5027524388</v>
      </c>
      <c r="V993" s="65">
        <f>SUMIF('Avoided Costs 2012-2020_EGD'!$A:$A,'2012 Actuals_Auditor'!T993&amp;'2012 Actuals_Auditor'!S993,'Avoided Costs 2012-2020_EGD'!$K:$K)*N993</f>
        <v>0</v>
      </c>
      <c r="W993" s="65">
        <f>SUMIF('Avoided Costs 2012-2020_EGD'!$A:$A,'2012 Actuals_Auditor'!T993&amp;'2012 Actuals_Auditor'!S993,'Avoided Costs 2012-2020_EGD'!$M:$M)*R993</f>
        <v>0</v>
      </c>
      <c r="X993" s="65">
        <f t="shared" si="380"/>
        <v>258282.5027524388</v>
      </c>
      <c r="Y993" s="146">
        <v>48312</v>
      </c>
      <c r="Z993" s="66">
        <f t="shared" si="381"/>
        <v>35750.879999999997</v>
      </c>
      <c r="AA993" s="66">
        <v>8539</v>
      </c>
      <c r="AB993" s="66"/>
      <c r="AC993" s="66"/>
      <c r="AD993" s="66">
        <f t="shared" si="382"/>
        <v>35750.879999999997</v>
      </c>
      <c r="AE993" s="66">
        <f t="shared" si="383"/>
        <v>222531.62275243879</v>
      </c>
      <c r="AF993" s="101">
        <f t="shared" si="384"/>
        <v>1899516.5639160038</v>
      </c>
      <c r="AG993" s="101">
        <f t="shared" si="385"/>
        <v>2566914.2755621672</v>
      </c>
    </row>
    <row r="994" spans="1:33" s="68" customFormat="1" x14ac:dyDescent="0.2">
      <c r="A994" s="141" t="s">
        <v>1130</v>
      </c>
      <c r="B994" s="141"/>
      <c r="C994" s="141"/>
      <c r="D994" s="142">
        <v>1</v>
      </c>
      <c r="E994" s="143"/>
      <c r="F994" s="144">
        <v>0.26</v>
      </c>
      <c r="G994" s="144"/>
      <c r="H994" s="67">
        <v>7475</v>
      </c>
      <c r="I994" s="67">
        <f>H994</f>
        <v>7475</v>
      </c>
      <c r="J994" s="67">
        <f t="shared" si="376"/>
        <v>5531.5</v>
      </c>
      <c r="K994" s="143"/>
      <c r="L994" s="143">
        <v>0</v>
      </c>
      <c r="M994" s="63">
        <f>L994</f>
        <v>0</v>
      </c>
      <c r="N994" s="63">
        <f t="shared" si="378"/>
        <v>0</v>
      </c>
      <c r="O994" s="143"/>
      <c r="P994" s="143">
        <v>0</v>
      </c>
      <c r="Q994" s="63">
        <f>+P994</f>
        <v>0</v>
      </c>
      <c r="R994" s="64">
        <f t="shared" si="379"/>
        <v>0</v>
      </c>
      <c r="S994" s="142">
        <v>25</v>
      </c>
      <c r="T994" s="145" t="s">
        <v>52</v>
      </c>
      <c r="U994" s="65">
        <f>SUMIF('Avoided Costs 2012-2020_EGD'!$A:$A,'2012 Actuals_Auditor'!T994&amp;'2012 Actuals_Auditor'!S994,'Avoided Costs 2012-2020_EGD'!$E:$E)*J994</f>
        <v>17848.997834422815</v>
      </c>
      <c r="V994" s="65">
        <f>SUMIF('Avoided Costs 2012-2020_EGD'!$A:$A,'2012 Actuals_Auditor'!T994&amp;'2012 Actuals_Auditor'!S994,'Avoided Costs 2012-2020_EGD'!$K:$K)*N994</f>
        <v>0</v>
      </c>
      <c r="W994" s="65">
        <f>SUMIF('Avoided Costs 2012-2020_EGD'!$A:$A,'2012 Actuals_Auditor'!T994&amp;'2012 Actuals_Auditor'!S994,'Avoided Costs 2012-2020_EGD'!$M:$M)*R994</f>
        <v>0</v>
      </c>
      <c r="X994" s="65">
        <f t="shared" si="380"/>
        <v>17848.997834422815</v>
      </c>
      <c r="Y994" s="146">
        <v>7400</v>
      </c>
      <c r="Z994" s="66">
        <f t="shared" si="381"/>
        <v>5476</v>
      </c>
      <c r="AA994" s="66">
        <v>1400</v>
      </c>
      <c r="AB994" s="66"/>
      <c r="AC994" s="66"/>
      <c r="AD994" s="66">
        <f t="shared" si="382"/>
        <v>5476</v>
      </c>
      <c r="AE994" s="66">
        <f t="shared" si="383"/>
        <v>12372.997834422815</v>
      </c>
      <c r="AF994" s="101">
        <f t="shared" si="384"/>
        <v>138287.5</v>
      </c>
      <c r="AG994" s="101">
        <f t="shared" si="385"/>
        <v>186875</v>
      </c>
    </row>
    <row r="995" spans="1:33" s="68" customFormat="1" x14ac:dyDescent="0.2">
      <c r="A995" s="141" t="s">
        <v>1131</v>
      </c>
      <c r="B995" s="141"/>
      <c r="C995" s="141"/>
      <c r="D995" s="142">
        <v>1</v>
      </c>
      <c r="E995" s="143"/>
      <c r="F995" s="144">
        <v>0.26</v>
      </c>
      <c r="G995" s="144"/>
      <c r="H995" s="67">
        <v>14637</v>
      </c>
      <c r="I995" s="67">
        <f t="shared" ref="I995:I1026" si="388">+$H$42*H995</f>
        <v>13991.313783513826</v>
      </c>
      <c r="J995" s="67">
        <f t="shared" si="376"/>
        <v>10353.572199800232</v>
      </c>
      <c r="K995" s="143"/>
      <c r="L995" s="143">
        <v>98995</v>
      </c>
      <c r="M995" s="63">
        <f t="shared" si="377"/>
        <v>98995</v>
      </c>
      <c r="N995" s="63">
        <f t="shared" si="378"/>
        <v>73256.3</v>
      </c>
      <c r="O995" s="143"/>
      <c r="P995" s="143">
        <v>0</v>
      </c>
      <c r="Q995" s="63">
        <f t="shared" ref="Q995:Q1026" si="389">+P995*$P$42</f>
        <v>0</v>
      </c>
      <c r="R995" s="64">
        <f t="shared" si="379"/>
        <v>0</v>
      </c>
      <c r="S995" s="142">
        <v>25</v>
      </c>
      <c r="T995" s="145" t="s">
        <v>71</v>
      </c>
      <c r="U995" s="65">
        <f>SUMIF('Avoided Costs 2012-2020_EGD'!$A:$A,'2012 Actuals_Auditor'!T995&amp;'2012 Actuals_Auditor'!S995,'Avoided Costs 2012-2020_EGD'!$E:$E)*J995</f>
        <v>35195.093727947184</v>
      </c>
      <c r="V995" s="65">
        <f>SUMIF('Avoided Costs 2012-2020_EGD'!$A:$A,'2012 Actuals_Auditor'!T995&amp;'2012 Actuals_Auditor'!S995,'Avoided Costs 2012-2020_EGD'!$K:$K)*N995</f>
        <v>103173.25557726109</v>
      </c>
      <c r="W995" s="65">
        <f>SUMIF('Avoided Costs 2012-2020_EGD'!$A:$A,'2012 Actuals_Auditor'!T995&amp;'2012 Actuals_Auditor'!S995,'Avoided Costs 2012-2020_EGD'!$M:$M)*R995</f>
        <v>0</v>
      </c>
      <c r="X995" s="65">
        <f t="shared" si="380"/>
        <v>138368.34930520828</v>
      </c>
      <c r="Y995" s="146">
        <v>146825.51</v>
      </c>
      <c r="Z995" s="66">
        <f t="shared" si="381"/>
        <v>108650.87740000001</v>
      </c>
      <c r="AA995" s="66">
        <v>2406.5</v>
      </c>
      <c r="AB995" s="66"/>
      <c r="AC995" s="66"/>
      <c r="AD995" s="66">
        <f t="shared" si="382"/>
        <v>108650.87740000001</v>
      </c>
      <c r="AE995" s="66">
        <f t="shared" si="383"/>
        <v>29717.471905208266</v>
      </c>
      <c r="AF995" s="101">
        <f t="shared" si="384"/>
        <v>258839.3049950058</v>
      </c>
      <c r="AG995" s="101">
        <f t="shared" si="385"/>
        <v>349782.84458784567</v>
      </c>
    </row>
    <row r="996" spans="1:33" s="68" customFormat="1" x14ac:dyDescent="0.2">
      <c r="A996" s="141" t="s">
        <v>1132</v>
      </c>
      <c r="B996" s="141"/>
      <c r="C996" s="141"/>
      <c r="D996" s="142">
        <v>1</v>
      </c>
      <c r="E996" s="143"/>
      <c r="F996" s="144">
        <v>0.26</v>
      </c>
      <c r="G996" s="144"/>
      <c r="H996" s="67">
        <v>92111</v>
      </c>
      <c r="I996" s="67">
        <f t="shared" si="388"/>
        <v>88047.680802981617</v>
      </c>
      <c r="J996" s="67">
        <f t="shared" si="376"/>
        <v>65155.283794206392</v>
      </c>
      <c r="K996" s="143"/>
      <c r="L996" s="143">
        <v>349024</v>
      </c>
      <c r="M996" s="63">
        <f t="shared" si="377"/>
        <v>349024</v>
      </c>
      <c r="N996" s="63">
        <f t="shared" si="378"/>
        <v>258277.76000000001</v>
      </c>
      <c r="O996" s="143"/>
      <c r="P996" s="143">
        <v>0</v>
      </c>
      <c r="Q996" s="63">
        <f t="shared" si="389"/>
        <v>0</v>
      </c>
      <c r="R996" s="64">
        <f t="shared" si="379"/>
        <v>0</v>
      </c>
      <c r="S996" s="142">
        <v>25</v>
      </c>
      <c r="T996" s="145" t="s">
        <v>71</v>
      </c>
      <c r="U996" s="65">
        <f>SUMIF('Avoided Costs 2012-2020_EGD'!$A:$A,'2012 Actuals_Auditor'!T996&amp;'2012 Actuals_Auditor'!S996,'Avoided Costs 2012-2020_EGD'!$E:$E)*J996</f>
        <v>221483.58805595015</v>
      </c>
      <c r="V996" s="65">
        <f>SUMIF('Avoided Costs 2012-2020_EGD'!$A:$A,'2012 Actuals_Auditor'!T996&amp;'2012 Actuals_Auditor'!S996,'Avoided Costs 2012-2020_EGD'!$K:$K)*N996</f>
        <v>363755.16293346102</v>
      </c>
      <c r="W996" s="65">
        <f>SUMIF('Avoided Costs 2012-2020_EGD'!$A:$A,'2012 Actuals_Auditor'!T996&amp;'2012 Actuals_Auditor'!S996,'Avoided Costs 2012-2020_EGD'!$M:$M)*R996</f>
        <v>0</v>
      </c>
      <c r="X996" s="65">
        <f t="shared" si="380"/>
        <v>585238.75098941114</v>
      </c>
      <c r="Y996" s="146">
        <v>263213</v>
      </c>
      <c r="Z996" s="66">
        <f t="shared" si="381"/>
        <v>194777.62</v>
      </c>
      <c r="AA996" s="66">
        <v>12535.1</v>
      </c>
      <c r="AB996" s="66"/>
      <c r="AC996" s="66"/>
      <c r="AD996" s="66">
        <f t="shared" si="382"/>
        <v>194777.62</v>
      </c>
      <c r="AE996" s="66">
        <f t="shared" si="383"/>
        <v>390461.13098941115</v>
      </c>
      <c r="AF996" s="101">
        <f t="shared" si="384"/>
        <v>1628882.0948551598</v>
      </c>
      <c r="AG996" s="101">
        <f t="shared" si="385"/>
        <v>2201192.0200745403</v>
      </c>
    </row>
    <row r="997" spans="1:33" s="68" customFormat="1" x14ac:dyDescent="0.2">
      <c r="A997" s="141" t="s">
        <v>1133</v>
      </c>
      <c r="B997" s="141"/>
      <c r="C997" s="141"/>
      <c r="D997" s="142">
        <v>1</v>
      </c>
      <c r="E997" s="143"/>
      <c r="F997" s="144">
        <v>0.26</v>
      </c>
      <c r="G997" s="144"/>
      <c r="H997" s="67">
        <v>93992</v>
      </c>
      <c r="I997" s="67">
        <f t="shared" si="388"/>
        <v>89845.703705679553</v>
      </c>
      <c r="J997" s="67">
        <f t="shared" si="376"/>
        <v>66485.820742202864</v>
      </c>
      <c r="K997" s="143"/>
      <c r="L997" s="143">
        <v>691503</v>
      </c>
      <c r="M997" s="63">
        <f t="shared" si="377"/>
        <v>691503</v>
      </c>
      <c r="N997" s="63">
        <f t="shared" si="378"/>
        <v>511712.22</v>
      </c>
      <c r="O997" s="143"/>
      <c r="P997" s="143">
        <v>0</v>
      </c>
      <c r="Q997" s="63">
        <f t="shared" si="389"/>
        <v>0</v>
      </c>
      <c r="R997" s="64">
        <f t="shared" si="379"/>
        <v>0</v>
      </c>
      <c r="S997" s="142">
        <v>25</v>
      </c>
      <c r="T997" s="145" t="s">
        <v>71</v>
      </c>
      <c r="U997" s="65">
        <f>SUMIF('Avoided Costs 2012-2020_EGD'!$A:$A,'2012 Actuals_Auditor'!T997&amp;'2012 Actuals_Auditor'!S997,'Avoided Costs 2012-2020_EGD'!$E:$E)*J997</f>
        <v>226006.50745898829</v>
      </c>
      <c r="V997" s="65">
        <f>SUMIF('Avoided Costs 2012-2020_EGD'!$A:$A,'2012 Actuals_Auditor'!T997&amp;'2012 Actuals_Auditor'!S997,'Avoided Costs 2012-2020_EGD'!$K:$K)*N997</f>
        <v>720689.08279653278</v>
      </c>
      <c r="W997" s="65">
        <f>SUMIF('Avoided Costs 2012-2020_EGD'!$A:$A,'2012 Actuals_Auditor'!T997&amp;'2012 Actuals_Auditor'!S997,'Avoided Costs 2012-2020_EGD'!$M:$M)*R997</f>
        <v>0</v>
      </c>
      <c r="X997" s="65">
        <f t="shared" si="380"/>
        <v>946695.59025552101</v>
      </c>
      <c r="Y997" s="146">
        <v>314250</v>
      </c>
      <c r="Z997" s="66">
        <f t="shared" si="381"/>
        <v>232545</v>
      </c>
      <c r="AA997" s="66">
        <v>9399</v>
      </c>
      <c r="AB997" s="66"/>
      <c r="AC997" s="66"/>
      <c r="AD997" s="66">
        <f t="shared" si="382"/>
        <v>232545</v>
      </c>
      <c r="AE997" s="66">
        <f t="shared" si="383"/>
        <v>714150.59025552101</v>
      </c>
      <c r="AF997" s="101">
        <f t="shared" si="384"/>
        <v>1662145.5185550717</v>
      </c>
      <c r="AG997" s="101">
        <f t="shared" si="385"/>
        <v>2246142.5926419888</v>
      </c>
    </row>
    <row r="998" spans="1:33" s="68" customFormat="1" x14ac:dyDescent="0.2">
      <c r="A998" s="141" t="s">
        <v>1134</v>
      </c>
      <c r="B998" s="141"/>
      <c r="C998" s="141"/>
      <c r="D998" s="142">
        <v>1</v>
      </c>
      <c r="E998" s="143"/>
      <c r="F998" s="144">
        <v>0.26</v>
      </c>
      <c r="G998" s="144"/>
      <c r="H998" s="67">
        <v>61962</v>
      </c>
      <c r="I998" s="67">
        <f t="shared" si="388"/>
        <v>59228.652364151378</v>
      </c>
      <c r="J998" s="67">
        <f t="shared" si="376"/>
        <v>43829.202749472017</v>
      </c>
      <c r="K998" s="143"/>
      <c r="L998" s="143">
        <v>1138898</v>
      </c>
      <c r="M998" s="63">
        <f t="shared" si="377"/>
        <v>1138898</v>
      </c>
      <c r="N998" s="63">
        <f t="shared" si="378"/>
        <v>842784.52</v>
      </c>
      <c r="O998" s="143"/>
      <c r="P998" s="143">
        <v>0</v>
      </c>
      <c r="Q998" s="63">
        <f t="shared" si="389"/>
        <v>0</v>
      </c>
      <c r="R998" s="64">
        <f t="shared" si="379"/>
        <v>0</v>
      </c>
      <c r="S998" s="142">
        <v>25</v>
      </c>
      <c r="T998" s="145" t="s">
        <v>71</v>
      </c>
      <c r="U998" s="65">
        <f>SUMIF('Avoided Costs 2012-2020_EGD'!$A:$A,'2012 Actuals_Auditor'!T998&amp;'2012 Actuals_Auditor'!S998,'Avoided Costs 2012-2020_EGD'!$E:$E)*J998</f>
        <v>148989.43756036504</v>
      </c>
      <c r="V998" s="65">
        <f>SUMIF('Avoided Costs 2012-2020_EGD'!$A:$A,'2012 Actuals_Auditor'!T998&amp;'2012 Actuals_Auditor'!S998,'Avoided Costs 2012-2020_EGD'!$K:$K)*N998</f>
        <v>1186967.1643055861</v>
      </c>
      <c r="W998" s="65">
        <f>SUMIF('Avoided Costs 2012-2020_EGD'!$A:$A,'2012 Actuals_Auditor'!T998&amp;'2012 Actuals_Auditor'!S998,'Avoided Costs 2012-2020_EGD'!$M:$M)*R998</f>
        <v>0</v>
      </c>
      <c r="X998" s="65">
        <f t="shared" si="380"/>
        <v>1335956.6018659512</v>
      </c>
      <c r="Y998" s="146">
        <v>643000</v>
      </c>
      <c r="Z998" s="66">
        <f t="shared" si="381"/>
        <v>475820</v>
      </c>
      <c r="AA998" s="66">
        <v>6196.2</v>
      </c>
      <c r="AB998" s="66"/>
      <c r="AC998" s="66"/>
      <c r="AD998" s="66">
        <f t="shared" si="382"/>
        <v>475820</v>
      </c>
      <c r="AE998" s="66">
        <f t="shared" si="383"/>
        <v>860136.6018659512</v>
      </c>
      <c r="AF998" s="101">
        <f t="shared" si="384"/>
        <v>1095730.0687368005</v>
      </c>
      <c r="AG998" s="101">
        <f t="shared" si="385"/>
        <v>1480716.3091037844</v>
      </c>
    </row>
    <row r="999" spans="1:33" s="68" customFormat="1" x14ac:dyDescent="0.2">
      <c r="A999" s="141" t="s">
        <v>1135</v>
      </c>
      <c r="B999" s="141"/>
      <c r="C999" s="141"/>
      <c r="D999" s="142">
        <v>1</v>
      </c>
      <c r="E999" s="143"/>
      <c r="F999" s="144">
        <v>0.26</v>
      </c>
      <c r="G999" s="144"/>
      <c r="H999" s="67">
        <v>3748</v>
      </c>
      <c r="I999" s="67">
        <f t="shared" si="388"/>
        <v>3582.6633914470053</v>
      </c>
      <c r="J999" s="67">
        <f t="shared" si="376"/>
        <v>2651.1709096707841</v>
      </c>
      <c r="K999" s="143"/>
      <c r="L999" s="143">
        <v>148037</v>
      </c>
      <c r="M999" s="63">
        <f t="shared" si="377"/>
        <v>148037</v>
      </c>
      <c r="N999" s="63">
        <f t="shared" si="378"/>
        <v>109547.38</v>
      </c>
      <c r="O999" s="143"/>
      <c r="P999" s="143">
        <v>0</v>
      </c>
      <c r="Q999" s="63">
        <f t="shared" si="389"/>
        <v>0</v>
      </c>
      <c r="R999" s="64">
        <f t="shared" si="379"/>
        <v>0</v>
      </c>
      <c r="S999" s="142">
        <v>25</v>
      </c>
      <c r="T999" s="145" t="s">
        <v>71</v>
      </c>
      <c r="U999" s="65">
        <f>SUMIF('Avoided Costs 2012-2020_EGD'!$A:$A,'2012 Actuals_Auditor'!T999&amp;'2012 Actuals_Auditor'!S999,'Avoided Costs 2012-2020_EGD'!$E:$E)*J999</f>
        <v>9012.1753974411458</v>
      </c>
      <c r="V999" s="65">
        <f>SUMIF('Avoided Costs 2012-2020_EGD'!$A:$A,'2012 Actuals_Auditor'!T999&amp;'2012 Actuals_Auditor'!S999,'Avoided Costs 2012-2020_EGD'!$K:$K)*N999</f>
        <v>154285.15819880803</v>
      </c>
      <c r="W999" s="65">
        <f>SUMIF('Avoided Costs 2012-2020_EGD'!$A:$A,'2012 Actuals_Auditor'!T999&amp;'2012 Actuals_Auditor'!S999,'Avoided Costs 2012-2020_EGD'!$M:$M)*R999</f>
        <v>0</v>
      </c>
      <c r="X999" s="65">
        <f t="shared" si="380"/>
        <v>163297.33359624917</v>
      </c>
      <c r="Y999" s="146">
        <v>1017639</v>
      </c>
      <c r="Z999" s="66">
        <f t="shared" si="381"/>
        <v>753052.86</v>
      </c>
      <c r="AA999" s="66">
        <v>1785</v>
      </c>
      <c r="AB999" s="66"/>
      <c r="AC999" s="66"/>
      <c r="AD999" s="66">
        <f t="shared" si="382"/>
        <v>753052.86</v>
      </c>
      <c r="AE999" s="66">
        <f t="shared" si="383"/>
        <v>-589755.52640375076</v>
      </c>
      <c r="AF999" s="101">
        <f t="shared" si="384"/>
        <v>66279.272741769601</v>
      </c>
      <c r="AG999" s="101">
        <f t="shared" si="385"/>
        <v>89566.584786175139</v>
      </c>
    </row>
    <row r="1000" spans="1:33" s="68" customFormat="1" x14ac:dyDescent="0.2">
      <c r="A1000" s="141" t="s">
        <v>1136</v>
      </c>
      <c r="B1000" s="141"/>
      <c r="C1000" s="141"/>
      <c r="D1000" s="142">
        <v>1</v>
      </c>
      <c r="E1000" s="143"/>
      <c r="F1000" s="144">
        <v>0.26</v>
      </c>
      <c r="G1000" s="144"/>
      <c r="H1000" s="67">
        <v>279146</v>
      </c>
      <c r="I1000" s="67">
        <f t="shared" si="388"/>
        <v>266831.9517259514</v>
      </c>
      <c r="J1000" s="67">
        <f t="shared" si="376"/>
        <v>197455.64427720403</v>
      </c>
      <c r="K1000" s="143"/>
      <c r="L1000" s="143">
        <v>-340316</v>
      </c>
      <c r="M1000" s="63">
        <f t="shared" si="377"/>
        <v>-340316</v>
      </c>
      <c r="N1000" s="63">
        <f t="shared" si="378"/>
        <v>-251833.84</v>
      </c>
      <c r="O1000" s="143"/>
      <c r="P1000" s="143">
        <v>0</v>
      </c>
      <c r="Q1000" s="63">
        <f t="shared" si="389"/>
        <v>0</v>
      </c>
      <c r="R1000" s="64">
        <f t="shared" si="379"/>
        <v>0</v>
      </c>
      <c r="S1000" s="142">
        <v>25</v>
      </c>
      <c r="T1000" s="145" t="s">
        <v>71</v>
      </c>
      <c r="U1000" s="65">
        <f>SUMIF('Avoided Costs 2012-2020_EGD'!$A:$A,'2012 Actuals_Auditor'!T1000&amp;'2012 Actuals_Auditor'!S1000,'Avoided Costs 2012-2020_EGD'!$E:$E)*J1000</f>
        <v>671214.7047743079</v>
      </c>
      <c r="V1000" s="65">
        <f>SUMIF('Avoided Costs 2012-2020_EGD'!$A:$A,'2012 Actuals_Auditor'!T1000&amp;'2012 Actuals_Auditor'!S1000,'Avoided Costs 2012-2020_EGD'!$K:$K)*N1000</f>
        <v>-354679.62669863307</v>
      </c>
      <c r="W1000" s="65">
        <f>SUMIF('Avoided Costs 2012-2020_EGD'!$A:$A,'2012 Actuals_Auditor'!T1000&amp;'2012 Actuals_Auditor'!S1000,'Avoided Costs 2012-2020_EGD'!$M:$M)*R1000</f>
        <v>0</v>
      </c>
      <c r="X1000" s="65">
        <f t="shared" si="380"/>
        <v>316535.07807567483</v>
      </c>
      <c r="Y1000" s="146">
        <v>536230</v>
      </c>
      <c r="Z1000" s="66">
        <f t="shared" si="381"/>
        <v>396810.2</v>
      </c>
      <c r="AA1000" s="66">
        <v>27915</v>
      </c>
      <c r="AB1000" s="66"/>
      <c r="AC1000" s="66"/>
      <c r="AD1000" s="66">
        <f t="shared" si="382"/>
        <v>396810.2</v>
      </c>
      <c r="AE1000" s="66">
        <f t="shared" si="383"/>
        <v>-80275.121924325183</v>
      </c>
      <c r="AF1000" s="101">
        <f t="shared" si="384"/>
        <v>4936391.1069301004</v>
      </c>
      <c r="AG1000" s="101">
        <f t="shared" si="385"/>
        <v>6670798.7931487849</v>
      </c>
    </row>
    <row r="1001" spans="1:33" s="68" customFormat="1" x14ac:dyDescent="0.2">
      <c r="A1001" s="141" t="s">
        <v>1137</v>
      </c>
      <c r="B1001" s="141"/>
      <c r="C1001" s="141"/>
      <c r="D1001" s="142">
        <v>1</v>
      </c>
      <c r="E1001" s="143"/>
      <c r="F1001" s="144">
        <v>0.26</v>
      </c>
      <c r="G1001" s="144"/>
      <c r="H1001" s="67">
        <v>121926</v>
      </c>
      <c r="I1001" s="67">
        <f t="shared" si="388"/>
        <v>116547.44308046094</v>
      </c>
      <c r="J1001" s="67">
        <f t="shared" si="376"/>
        <v>86245.107879541101</v>
      </c>
      <c r="K1001" s="143"/>
      <c r="L1001" s="143">
        <v>35658</v>
      </c>
      <c r="M1001" s="63">
        <f t="shared" si="377"/>
        <v>35658</v>
      </c>
      <c r="N1001" s="63">
        <f t="shared" si="378"/>
        <v>26386.92</v>
      </c>
      <c r="O1001" s="143"/>
      <c r="P1001" s="143">
        <v>0</v>
      </c>
      <c r="Q1001" s="63">
        <f t="shared" si="389"/>
        <v>0</v>
      </c>
      <c r="R1001" s="64">
        <f t="shared" si="379"/>
        <v>0</v>
      </c>
      <c r="S1001" s="142">
        <v>25</v>
      </c>
      <c r="T1001" s="145" t="s">
        <v>71</v>
      </c>
      <c r="U1001" s="65">
        <f>SUMIF('Avoided Costs 2012-2020_EGD'!$A:$A,'2012 Actuals_Auditor'!T1001&amp;'2012 Actuals_Auditor'!S1001,'Avoided Costs 2012-2020_EGD'!$E:$E)*J1001</f>
        <v>293174.62580267055</v>
      </c>
      <c r="V1001" s="65">
        <f>SUMIF('Avoided Costs 2012-2020_EGD'!$A:$A,'2012 Actuals_Auditor'!T1001&amp;'2012 Actuals_Auditor'!S1001,'Avoided Costs 2012-2020_EGD'!$K:$K)*N1001</f>
        <v>37163.007701136172</v>
      </c>
      <c r="W1001" s="65">
        <f>SUMIF('Avoided Costs 2012-2020_EGD'!$A:$A,'2012 Actuals_Auditor'!T1001&amp;'2012 Actuals_Auditor'!S1001,'Avoided Costs 2012-2020_EGD'!$M:$M)*R1001</f>
        <v>0</v>
      </c>
      <c r="X1001" s="65">
        <f t="shared" si="380"/>
        <v>330337.63350380672</v>
      </c>
      <c r="Y1001" s="146">
        <v>268361</v>
      </c>
      <c r="Z1001" s="66">
        <f t="shared" si="381"/>
        <v>198587.13999999998</v>
      </c>
      <c r="AA1001" s="66">
        <v>12192.6</v>
      </c>
      <c r="AB1001" s="66"/>
      <c r="AC1001" s="66"/>
      <c r="AD1001" s="66">
        <f t="shared" si="382"/>
        <v>198587.13999999998</v>
      </c>
      <c r="AE1001" s="66">
        <f t="shared" si="383"/>
        <v>131750.49350380673</v>
      </c>
      <c r="AF1001" s="101">
        <f t="shared" si="384"/>
        <v>2156127.6969885277</v>
      </c>
      <c r="AG1001" s="101">
        <f t="shared" si="385"/>
        <v>2913686.0770115238</v>
      </c>
    </row>
    <row r="1002" spans="1:33" s="68" customFormat="1" x14ac:dyDescent="0.2">
      <c r="A1002" s="141" t="s">
        <v>1138</v>
      </c>
      <c r="B1002" s="141"/>
      <c r="C1002" s="141"/>
      <c r="D1002" s="142">
        <v>1</v>
      </c>
      <c r="E1002" s="143"/>
      <c r="F1002" s="144">
        <v>0.26</v>
      </c>
      <c r="G1002" s="144"/>
      <c r="H1002" s="67">
        <v>51110</v>
      </c>
      <c r="I1002" s="67">
        <f t="shared" si="388"/>
        <v>48855.369780377921</v>
      </c>
      <c r="J1002" s="67">
        <f t="shared" si="376"/>
        <v>36152.973637479663</v>
      </c>
      <c r="K1002" s="143"/>
      <c r="L1002" s="143">
        <v>147692</v>
      </c>
      <c r="M1002" s="63">
        <f t="shared" si="377"/>
        <v>147692</v>
      </c>
      <c r="N1002" s="63">
        <f t="shared" si="378"/>
        <v>109292.08</v>
      </c>
      <c r="O1002" s="143"/>
      <c r="P1002" s="143">
        <v>0</v>
      </c>
      <c r="Q1002" s="63">
        <f t="shared" si="389"/>
        <v>0</v>
      </c>
      <c r="R1002" s="64">
        <f t="shared" si="379"/>
        <v>0</v>
      </c>
      <c r="S1002" s="142">
        <v>25</v>
      </c>
      <c r="T1002" s="145" t="s">
        <v>71</v>
      </c>
      <c r="U1002" s="65">
        <f>SUMIF('Avoided Costs 2012-2020_EGD'!$A:$A,'2012 Actuals_Auditor'!T1002&amp;'2012 Actuals_Auditor'!S1002,'Avoided Costs 2012-2020_EGD'!$E:$E)*J1002</f>
        <v>122895.48680982308</v>
      </c>
      <c r="V1002" s="65">
        <f>SUMIF('Avoided Costs 2012-2020_EGD'!$A:$A,'2012 Actuals_Auditor'!T1002&amp;'2012 Actuals_Auditor'!S1002,'Avoided Costs 2012-2020_EGD'!$K:$K)*N1002</f>
        <v>153925.59687576993</v>
      </c>
      <c r="W1002" s="65">
        <f>SUMIF('Avoided Costs 2012-2020_EGD'!$A:$A,'2012 Actuals_Auditor'!T1002&amp;'2012 Actuals_Auditor'!S1002,'Avoided Costs 2012-2020_EGD'!$M:$M)*R1002</f>
        <v>0</v>
      </c>
      <c r="X1002" s="65">
        <f t="shared" si="380"/>
        <v>276821.08368559298</v>
      </c>
      <c r="Y1002" s="146">
        <v>127546.11</v>
      </c>
      <c r="Z1002" s="66">
        <f t="shared" si="381"/>
        <v>94384.121400000004</v>
      </c>
      <c r="AA1002" s="66">
        <v>6517.6</v>
      </c>
      <c r="AB1002" s="66"/>
      <c r="AC1002" s="66"/>
      <c r="AD1002" s="66">
        <f t="shared" si="382"/>
        <v>94384.121400000004</v>
      </c>
      <c r="AE1002" s="66">
        <f t="shared" si="383"/>
        <v>182436.96228559298</v>
      </c>
      <c r="AF1002" s="101">
        <f t="shared" si="384"/>
        <v>903824.34093699162</v>
      </c>
      <c r="AG1002" s="101">
        <f t="shared" si="385"/>
        <v>1221384.2445094481</v>
      </c>
    </row>
    <row r="1003" spans="1:33" s="68" customFormat="1" x14ac:dyDescent="0.2">
      <c r="A1003" s="141" t="s">
        <v>1139</v>
      </c>
      <c r="B1003" s="141"/>
      <c r="C1003" s="141"/>
      <c r="D1003" s="142">
        <v>1</v>
      </c>
      <c r="E1003" s="143"/>
      <c r="F1003" s="144">
        <v>0.26</v>
      </c>
      <c r="G1003" s="144"/>
      <c r="H1003" s="67">
        <v>44745</v>
      </c>
      <c r="I1003" s="67">
        <f t="shared" si="388"/>
        <v>42771.150867208184</v>
      </c>
      <c r="J1003" s="67">
        <f t="shared" si="376"/>
        <v>31650.651641734057</v>
      </c>
      <c r="K1003" s="143"/>
      <c r="L1003" s="143">
        <v>48034</v>
      </c>
      <c r="M1003" s="63">
        <f t="shared" si="377"/>
        <v>48034</v>
      </c>
      <c r="N1003" s="63">
        <f t="shared" si="378"/>
        <v>35545.159999999996</v>
      </c>
      <c r="O1003" s="143"/>
      <c r="P1003" s="143">
        <v>0</v>
      </c>
      <c r="Q1003" s="63">
        <f t="shared" si="389"/>
        <v>0</v>
      </c>
      <c r="R1003" s="64">
        <f t="shared" si="379"/>
        <v>0</v>
      </c>
      <c r="S1003" s="142">
        <v>25</v>
      </c>
      <c r="T1003" s="145" t="s">
        <v>71</v>
      </c>
      <c r="U1003" s="65">
        <f>SUMIF('Avoided Costs 2012-2020_EGD'!$A:$A,'2012 Actuals_Auditor'!T1003&amp;'2012 Actuals_Auditor'!S1003,'Avoided Costs 2012-2020_EGD'!$E:$E)*J1003</f>
        <v>107590.65852681539</v>
      </c>
      <c r="V1003" s="65">
        <f>SUMIF('Avoided Costs 2012-2020_EGD'!$A:$A,'2012 Actuals_Auditor'!T1003&amp;'2012 Actuals_Auditor'!S1003,'Avoided Costs 2012-2020_EGD'!$K:$K)*N1003</f>
        <v>50061.358234235653</v>
      </c>
      <c r="W1003" s="65">
        <f>SUMIF('Avoided Costs 2012-2020_EGD'!$A:$A,'2012 Actuals_Auditor'!T1003&amp;'2012 Actuals_Auditor'!S1003,'Avoided Costs 2012-2020_EGD'!$M:$M)*R1003</f>
        <v>0</v>
      </c>
      <c r="X1003" s="65">
        <f t="shared" si="380"/>
        <v>157652.01676105103</v>
      </c>
      <c r="Y1003" s="146">
        <v>143772.39000000001</v>
      </c>
      <c r="Z1003" s="66">
        <f t="shared" si="381"/>
        <v>106391.56860000001</v>
      </c>
      <c r="AA1003" s="66">
        <v>4932</v>
      </c>
      <c r="AB1003" s="66"/>
      <c r="AC1003" s="66"/>
      <c r="AD1003" s="66">
        <f t="shared" si="382"/>
        <v>106391.56860000001</v>
      </c>
      <c r="AE1003" s="66">
        <f t="shared" si="383"/>
        <v>51260.448161051012</v>
      </c>
      <c r="AF1003" s="101">
        <f t="shared" si="384"/>
        <v>791266.2910433514</v>
      </c>
      <c r="AG1003" s="101">
        <f t="shared" si="385"/>
        <v>1069278.7716802047</v>
      </c>
    </row>
    <row r="1004" spans="1:33" s="68" customFormat="1" x14ac:dyDescent="0.2">
      <c r="A1004" s="141" t="s">
        <v>1140</v>
      </c>
      <c r="B1004" s="141"/>
      <c r="C1004" s="141"/>
      <c r="D1004" s="142">
        <v>1</v>
      </c>
      <c r="E1004" s="143"/>
      <c r="F1004" s="144">
        <v>0.26</v>
      </c>
      <c r="G1004" s="144"/>
      <c r="H1004" s="67">
        <v>91148</v>
      </c>
      <c r="I1004" s="67">
        <f t="shared" si="388"/>
        <v>87127.161900643448</v>
      </c>
      <c r="J1004" s="67">
        <f t="shared" si="376"/>
        <v>64474.099806476152</v>
      </c>
      <c r="K1004" s="143"/>
      <c r="L1004" s="143">
        <v>-148169</v>
      </c>
      <c r="M1004" s="63">
        <f t="shared" si="377"/>
        <v>-148169</v>
      </c>
      <c r="N1004" s="63">
        <f t="shared" si="378"/>
        <v>-109645.06</v>
      </c>
      <c r="O1004" s="143"/>
      <c r="P1004" s="143">
        <v>0</v>
      </c>
      <c r="Q1004" s="63">
        <f t="shared" si="389"/>
        <v>0</v>
      </c>
      <c r="R1004" s="64">
        <f t="shared" si="379"/>
        <v>0</v>
      </c>
      <c r="S1004" s="142">
        <v>25</v>
      </c>
      <c r="T1004" s="145" t="s">
        <v>71</v>
      </c>
      <c r="U1004" s="65">
        <f>SUMIF('Avoided Costs 2012-2020_EGD'!$A:$A,'2012 Actuals_Auditor'!T1004&amp;'2012 Actuals_Auditor'!S1004,'Avoided Costs 2012-2020_EGD'!$E:$E)*J1004</f>
        <v>219168.02644769623</v>
      </c>
      <c r="V1004" s="65">
        <f>SUMIF('Avoided Costs 2012-2020_EGD'!$A:$A,'2012 Actuals_Auditor'!T1004&amp;'2012 Actuals_Auditor'!S1004,'Avoided Costs 2012-2020_EGD'!$K:$K)*N1004</f>
        <v>-154422.72948762259</v>
      </c>
      <c r="W1004" s="65">
        <f>SUMIF('Avoided Costs 2012-2020_EGD'!$A:$A,'2012 Actuals_Auditor'!T1004&amp;'2012 Actuals_Auditor'!S1004,'Avoided Costs 2012-2020_EGD'!$M:$M)*R1004</f>
        <v>0</v>
      </c>
      <c r="X1004" s="65">
        <f t="shared" si="380"/>
        <v>64745.29696007364</v>
      </c>
      <c r="Y1004" s="146">
        <v>208070</v>
      </c>
      <c r="Z1004" s="66">
        <f t="shared" si="381"/>
        <v>153971.79999999999</v>
      </c>
      <c r="AA1004" s="66">
        <v>9115</v>
      </c>
      <c r="AB1004" s="66"/>
      <c r="AC1004" s="66"/>
      <c r="AD1004" s="66">
        <f t="shared" si="382"/>
        <v>153971.79999999999</v>
      </c>
      <c r="AE1004" s="66">
        <f t="shared" si="383"/>
        <v>-89226.503039926349</v>
      </c>
      <c r="AF1004" s="101">
        <f t="shared" si="384"/>
        <v>1611852.4951619038</v>
      </c>
      <c r="AG1004" s="101">
        <f t="shared" si="385"/>
        <v>2178179.0475160861</v>
      </c>
    </row>
    <row r="1005" spans="1:33" s="68" customFormat="1" x14ac:dyDescent="0.2">
      <c r="A1005" s="141" t="s">
        <v>1141</v>
      </c>
      <c r="B1005" s="141"/>
      <c r="C1005" s="141"/>
      <c r="D1005" s="142">
        <v>1</v>
      </c>
      <c r="E1005" s="143"/>
      <c r="F1005" s="144">
        <v>0.26</v>
      </c>
      <c r="G1005" s="144"/>
      <c r="H1005" s="67">
        <v>37622</v>
      </c>
      <c r="I1005" s="67">
        <f t="shared" si="388"/>
        <v>35962.369827379734</v>
      </c>
      <c r="J1005" s="67">
        <f t="shared" si="376"/>
        <v>26612.153672261004</v>
      </c>
      <c r="K1005" s="143"/>
      <c r="L1005" s="143">
        <v>-85467</v>
      </c>
      <c r="M1005" s="63">
        <f t="shared" si="377"/>
        <v>-85467</v>
      </c>
      <c r="N1005" s="63">
        <f t="shared" si="378"/>
        <v>-63245.58</v>
      </c>
      <c r="O1005" s="143"/>
      <c r="P1005" s="143">
        <v>0</v>
      </c>
      <c r="Q1005" s="63">
        <f t="shared" si="389"/>
        <v>0</v>
      </c>
      <c r="R1005" s="64">
        <f t="shared" si="379"/>
        <v>0</v>
      </c>
      <c r="S1005" s="142">
        <v>25</v>
      </c>
      <c r="T1005" s="145" t="s">
        <v>71</v>
      </c>
      <c r="U1005" s="65">
        <f>SUMIF('Avoided Costs 2012-2020_EGD'!$A:$A,'2012 Actuals_Auditor'!T1005&amp;'2012 Actuals_Auditor'!S1005,'Avoided Costs 2012-2020_EGD'!$E:$E)*J1005</f>
        <v>90463.197119138407</v>
      </c>
      <c r="V1005" s="65">
        <f>SUMIF('Avoided Costs 2012-2020_EGD'!$A:$A,'2012 Actuals_Auditor'!T1005&amp;'2012 Actuals_Auditor'!S1005,'Avoided Costs 2012-2020_EGD'!$K:$K)*N1005</f>
        <v>-89074.28288723444</v>
      </c>
      <c r="W1005" s="65">
        <f>SUMIF('Avoided Costs 2012-2020_EGD'!$A:$A,'2012 Actuals_Auditor'!T1005&amp;'2012 Actuals_Auditor'!S1005,'Avoided Costs 2012-2020_EGD'!$M:$M)*R1005</f>
        <v>0</v>
      </c>
      <c r="X1005" s="65">
        <f t="shared" si="380"/>
        <v>1388.9142319039674</v>
      </c>
      <c r="Y1005" s="146">
        <v>208070</v>
      </c>
      <c r="Z1005" s="66">
        <f t="shared" si="381"/>
        <v>153971.79999999999</v>
      </c>
      <c r="AA1005" s="66">
        <v>3762</v>
      </c>
      <c r="AB1005" s="66"/>
      <c r="AC1005" s="66"/>
      <c r="AD1005" s="66">
        <f t="shared" si="382"/>
        <v>153971.79999999999</v>
      </c>
      <c r="AE1005" s="66">
        <f t="shared" si="383"/>
        <v>-152582.88576809602</v>
      </c>
      <c r="AF1005" s="101">
        <f t="shared" si="384"/>
        <v>665303.84180652513</v>
      </c>
      <c r="AG1005" s="101">
        <f t="shared" si="385"/>
        <v>899059.24568449333</v>
      </c>
    </row>
    <row r="1006" spans="1:33" s="68" customFormat="1" x14ac:dyDescent="0.2">
      <c r="A1006" s="141" t="s">
        <v>1142</v>
      </c>
      <c r="B1006" s="141"/>
      <c r="C1006" s="141"/>
      <c r="D1006" s="142">
        <v>1</v>
      </c>
      <c r="E1006" s="143"/>
      <c r="F1006" s="144">
        <v>0.26</v>
      </c>
      <c r="G1006" s="144"/>
      <c r="H1006" s="67">
        <v>84224</v>
      </c>
      <c r="I1006" s="67">
        <f t="shared" si="388"/>
        <v>80508.602316230681</v>
      </c>
      <c r="J1006" s="67">
        <f t="shared" si="376"/>
        <v>59576.365714010703</v>
      </c>
      <c r="K1006" s="143"/>
      <c r="L1006" s="143">
        <v>253648</v>
      </c>
      <c r="M1006" s="63">
        <f t="shared" si="377"/>
        <v>253648</v>
      </c>
      <c r="N1006" s="63">
        <f t="shared" si="378"/>
        <v>187699.52</v>
      </c>
      <c r="O1006" s="143"/>
      <c r="P1006" s="143">
        <v>0</v>
      </c>
      <c r="Q1006" s="63">
        <f t="shared" si="389"/>
        <v>0</v>
      </c>
      <c r="R1006" s="64">
        <f t="shared" si="379"/>
        <v>0</v>
      </c>
      <c r="S1006" s="142">
        <v>25</v>
      </c>
      <c r="T1006" s="145" t="s">
        <v>71</v>
      </c>
      <c r="U1006" s="65">
        <f>SUMIF('Avoided Costs 2012-2020_EGD'!$A:$A,'2012 Actuals_Auditor'!T1006&amp;'2012 Actuals_Auditor'!S1006,'Avoided Costs 2012-2020_EGD'!$E:$E)*J1006</f>
        <v>202519.06634847465</v>
      </c>
      <c r="V1006" s="65">
        <f>SUMIF('Avoided Costs 2012-2020_EGD'!$A:$A,'2012 Actuals_Auditor'!T1006&amp;'2012 Actuals_Auditor'!S1006,'Avoided Costs 2012-2020_EGD'!$K:$K)*N1006</f>
        <v>264353.65352453274</v>
      </c>
      <c r="W1006" s="65">
        <f>SUMIF('Avoided Costs 2012-2020_EGD'!$A:$A,'2012 Actuals_Auditor'!T1006&amp;'2012 Actuals_Auditor'!S1006,'Avoided Costs 2012-2020_EGD'!$M:$M)*R1006</f>
        <v>0</v>
      </c>
      <c r="X1006" s="65">
        <f t="shared" si="380"/>
        <v>466872.71987300739</v>
      </c>
      <c r="Y1006" s="146">
        <v>172519</v>
      </c>
      <c r="Z1006" s="66">
        <f t="shared" si="381"/>
        <v>127664.06</v>
      </c>
      <c r="AA1006" s="66">
        <v>10838</v>
      </c>
      <c r="AB1006" s="66"/>
      <c r="AC1006" s="66"/>
      <c r="AD1006" s="66">
        <f t="shared" si="382"/>
        <v>127664.06</v>
      </c>
      <c r="AE1006" s="66">
        <f t="shared" si="383"/>
        <v>339208.65987300739</v>
      </c>
      <c r="AF1006" s="101">
        <f t="shared" si="384"/>
        <v>1489409.1428502675</v>
      </c>
      <c r="AG1006" s="101">
        <f t="shared" si="385"/>
        <v>2012715.0579057671</v>
      </c>
    </row>
    <row r="1007" spans="1:33" s="68" customFormat="1" x14ac:dyDescent="0.2">
      <c r="A1007" s="141" t="s">
        <v>1143</v>
      </c>
      <c r="B1007" s="141"/>
      <c r="C1007" s="141"/>
      <c r="D1007" s="142">
        <v>1</v>
      </c>
      <c r="E1007" s="143"/>
      <c r="F1007" s="144">
        <v>0.26</v>
      </c>
      <c r="G1007" s="144"/>
      <c r="H1007" s="67">
        <v>105779</v>
      </c>
      <c r="I1007" s="67">
        <f t="shared" si="388"/>
        <v>101112.74036389349</v>
      </c>
      <c r="J1007" s="67">
        <f t="shared" si="376"/>
        <v>74823.427869281179</v>
      </c>
      <c r="K1007" s="143"/>
      <c r="L1007" s="143">
        <v>938038</v>
      </c>
      <c r="M1007" s="63">
        <f t="shared" si="377"/>
        <v>938038</v>
      </c>
      <c r="N1007" s="63">
        <f t="shared" si="378"/>
        <v>694148.12</v>
      </c>
      <c r="O1007" s="143"/>
      <c r="P1007" s="143">
        <v>0</v>
      </c>
      <c r="Q1007" s="63">
        <f t="shared" si="389"/>
        <v>0</v>
      </c>
      <c r="R1007" s="64">
        <f t="shared" si="379"/>
        <v>0</v>
      </c>
      <c r="S1007" s="142">
        <v>25</v>
      </c>
      <c r="T1007" s="145" t="s">
        <v>71</v>
      </c>
      <c r="U1007" s="65">
        <f>SUMIF('Avoided Costs 2012-2020_EGD'!$A:$A,'2012 Actuals_Auditor'!T1007&amp;'2012 Actuals_Auditor'!S1007,'Avoided Costs 2012-2020_EGD'!$E:$E)*J1007</f>
        <v>254348.69300051409</v>
      </c>
      <c r="V1007" s="65">
        <f>SUMIF('Avoided Costs 2012-2020_EGD'!$A:$A,'2012 Actuals_Auditor'!T1007&amp;'2012 Actuals_Auditor'!S1007,'Avoided Costs 2012-2020_EGD'!$K:$K)*N1007</f>
        <v>977629.51982608042</v>
      </c>
      <c r="W1007" s="65">
        <f>SUMIF('Avoided Costs 2012-2020_EGD'!$A:$A,'2012 Actuals_Auditor'!T1007&amp;'2012 Actuals_Auditor'!S1007,'Avoided Costs 2012-2020_EGD'!$M:$M)*R1007</f>
        <v>0</v>
      </c>
      <c r="X1007" s="65">
        <f t="shared" ref="X1007:X1038" si="390">SUM(U1007:W1007)</f>
        <v>1231978.2128265945</v>
      </c>
      <c r="Y1007" s="146">
        <v>221635</v>
      </c>
      <c r="Z1007" s="66">
        <f t="shared" si="381"/>
        <v>164009.9</v>
      </c>
      <c r="AA1007" s="66">
        <v>10577.92</v>
      </c>
      <c r="AB1007" s="66"/>
      <c r="AC1007" s="66"/>
      <c r="AD1007" s="66">
        <f t="shared" si="382"/>
        <v>164009.9</v>
      </c>
      <c r="AE1007" s="66">
        <f t="shared" si="383"/>
        <v>1067968.3128265946</v>
      </c>
      <c r="AF1007" s="101">
        <f t="shared" si="384"/>
        <v>1870585.6967320296</v>
      </c>
      <c r="AG1007" s="101">
        <f t="shared" si="385"/>
        <v>2527818.5090973373</v>
      </c>
    </row>
    <row r="1008" spans="1:33" s="68" customFormat="1" x14ac:dyDescent="0.2">
      <c r="A1008" s="147" t="s">
        <v>1144</v>
      </c>
      <c r="B1008" s="147"/>
      <c r="C1008" s="147"/>
      <c r="D1008" s="148">
        <v>1</v>
      </c>
      <c r="E1008" s="149"/>
      <c r="F1008" s="150">
        <v>0.26</v>
      </c>
      <c r="G1008" s="150"/>
      <c r="H1008" s="67">
        <v>180931</v>
      </c>
      <c r="I1008" s="67">
        <f t="shared" si="388"/>
        <v>172949.53844127487</v>
      </c>
      <c r="J1008" s="67">
        <f t="shared" ref="J1008:J1039" si="391">I1008*(1-F1008)</f>
        <v>127982.6584465434</v>
      </c>
      <c r="K1008" s="63"/>
      <c r="L1008" s="149">
        <v>-35901</v>
      </c>
      <c r="M1008" s="63">
        <f t="shared" si="377"/>
        <v>-35901</v>
      </c>
      <c r="N1008" s="63">
        <f t="shared" ref="N1008:N1039" si="392">M1008*(1-F1008)</f>
        <v>-26566.739999999998</v>
      </c>
      <c r="O1008" s="69"/>
      <c r="P1008" s="149">
        <v>0</v>
      </c>
      <c r="Q1008" s="63">
        <f t="shared" si="389"/>
        <v>0</v>
      </c>
      <c r="R1008" s="64">
        <f t="shared" ref="R1008:R1039" si="393">Q1008*(1-F1008)</f>
        <v>0</v>
      </c>
      <c r="S1008" s="148">
        <v>25</v>
      </c>
      <c r="T1008" s="151" t="s">
        <v>71</v>
      </c>
      <c r="U1008" s="65">
        <f>SUMIF('Avoided Costs 2012-2020_EGD'!$A:$A,'2012 Actuals_Auditor'!T1008&amp;'2012 Actuals_Auditor'!S1008,'Avoided Costs 2012-2020_EGD'!$E:$E)*J1008</f>
        <v>435053.87055347487</v>
      </c>
      <c r="V1008" s="65">
        <f>SUMIF('Avoided Costs 2012-2020_EGD'!$A:$A,'2012 Actuals_Auditor'!T1008&amp;'2012 Actuals_Auditor'!S1008,'Avoided Costs 2012-2020_EGD'!$K:$K)*N1008</f>
        <v>-37416.263937362994</v>
      </c>
      <c r="W1008" s="65">
        <f>SUMIF('Avoided Costs 2012-2020_EGD'!$A:$A,'2012 Actuals_Auditor'!T1008&amp;'2012 Actuals_Auditor'!S1008,'Avoided Costs 2012-2020_EGD'!$M:$M)*R1008</f>
        <v>0</v>
      </c>
      <c r="X1008" s="65">
        <f t="shared" si="390"/>
        <v>397637.60661611188</v>
      </c>
      <c r="Y1008" s="146">
        <v>1155000</v>
      </c>
      <c r="Z1008" s="66">
        <f t="shared" ref="Z1008:Z1039" si="394">Y1008*(1-F1008)</f>
        <v>854700</v>
      </c>
      <c r="AA1008" s="66">
        <v>18093</v>
      </c>
      <c r="AB1008" s="66"/>
      <c r="AC1008" s="66"/>
      <c r="AD1008" s="66">
        <f t="shared" ref="AD1008:AD1039" si="395">Z1008+AB1008</f>
        <v>854700</v>
      </c>
      <c r="AE1008" s="66">
        <f t="shared" ref="AE1008:AE1039" si="396">X1008-AD1008</f>
        <v>-457062.39338388812</v>
      </c>
      <c r="AF1008" s="101">
        <f t="shared" ref="AF1008:AF1039" si="397">J1008*S1008</f>
        <v>3199566.4611635851</v>
      </c>
      <c r="AG1008" s="101">
        <f t="shared" ref="AG1008:AG1039" si="398">(I1008*S1008)</f>
        <v>4323738.4610318718</v>
      </c>
    </row>
    <row r="1009" spans="1:33" s="68" customFormat="1" x14ac:dyDescent="0.2">
      <c r="A1009" s="141" t="s">
        <v>1145</v>
      </c>
      <c r="B1009" s="141"/>
      <c r="C1009" s="141"/>
      <c r="D1009" s="142">
        <v>1</v>
      </c>
      <c r="E1009" s="143"/>
      <c r="F1009" s="144">
        <v>0.26</v>
      </c>
      <c r="G1009" s="144"/>
      <c r="H1009" s="67">
        <v>121244</v>
      </c>
      <c r="I1009" s="67">
        <f t="shared" si="388"/>
        <v>115895.52834381023</v>
      </c>
      <c r="J1009" s="67">
        <f t="shared" si="391"/>
        <v>85762.690974419573</v>
      </c>
      <c r="K1009" s="143"/>
      <c r="L1009" s="143">
        <v>81015</v>
      </c>
      <c r="M1009" s="63">
        <f t="shared" si="377"/>
        <v>81015</v>
      </c>
      <c r="N1009" s="63">
        <f t="shared" si="392"/>
        <v>59951.1</v>
      </c>
      <c r="O1009" s="143"/>
      <c r="P1009" s="143">
        <v>0</v>
      </c>
      <c r="Q1009" s="63">
        <f t="shared" si="389"/>
        <v>0</v>
      </c>
      <c r="R1009" s="64">
        <f t="shared" si="393"/>
        <v>0</v>
      </c>
      <c r="S1009" s="142">
        <v>25</v>
      </c>
      <c r="T1009" s="145" t="s">
        <v>71</v>
      </c>
      <c r="U1009" s="65">
        <f>SUMIF('Avoided Costs 2012-2020_EGD'!$A:$A,'2012 Actuals_Auditor'!T1009&amp;'2012 Actuals_Auditor'!S1009,'Avoided Costs 2012-2020_EGD'!$E:$E)*J1009</f>
        <v>291534.73689630581</v>
      </c>
      <c r="V1009" s="65">
        <f>SUMIF('Avoided Costs 2012-2020_EGD'!$A:$A,'2012 Actuals_Auditor'!T1009&amp;'2012 Actuals_Auditor'!S1009,'Avoided Costs 2012-2020_EGD'!$K:$K)*N1009</f>
        <v>84434.378509942995</v>
      </c>
      <c r="W1009" s="65">
        <f>SUMIF('Avoided Costs 2012-2020_EGD'!$A:$A,'2012 Actuals_Auditor'!T1009&amp;'2012 Actuals_Auditor'!S1009,'Avoided Costs 2012-2020_EGD'!$M:$M)*R1009</f>
        <v>0</v>
      </c>
      <c r="X1009" s="65">
        <f t="shared" si="390"/>
        <v>375969.11540624883</v>
      </c>
      <c r="Y1009" s="146">
        <v>481531.29</v>
      </c>
      <c r="Z1009" s="66">
        <f t="shared" si="394"/>
        <v>356333.15460000001</v>
      </c>
      <c r="AA1009" s="66">
        <v>12121</v>
      </c>
      <c r="AB1009" s="66"/>
      <c r="AC1009" s="66"/>
      <c r="AD1009" s="66">
        <f t="shared" si="395"/>
        <v>356333.15460000001</v>
      </c>
      <c r="AE1009" s="66">
        <f t="shared" si="396"/>
        <v>19635.960806248826</v>
      </c>
      <c r="AF1009" s="101">
        <f t="shared" si="397"/>
        <v>2144067.2743604891</v>
      </c>
      <c r="AG1009" s="101">
        <f t="shared" si="398"/>
        <v>2897388.2085952559</v>
      </c>
    </row>
    <row r="1010" spans="1:33" s="68" customFormat="1" x14ac:dyDescent="0.2">
      <c r="A1010" s="147" t="s">
        <v>1146</v>
      </c>
      <c r="B1010" s="147"/>
      <c r="C1010" s="147"/>
      <c r="D1010" s="148">
        <v>1</v>
      </c>
      <c r="E1010" s="149"/>
      <c r="F1010" s="150">
        <v>0.26</v>
      </c>
      <c r="G1010" s="150"/>
      <c r="H1010" s="67">
        <v>131609</v>
      </c>
      <c r="I1010" s="67">
        <f t="shared" si="388"/>
        <v>125803.29409950612</v>
      </c>
      <c r="J1010" s="67">
        <f t="shared" si="391"/>
        <v>93094.43763363453</v>
      </c>
      <c r="K1010" s="63"/>
      <c r="L1010" s="149">
        <v>-264401</v>
      </c>
      <c r="M1010" s="63">
        <f t="shared" si="377"/>
        <v>-264401</v>
      </c>
      <c r="N1010" s="63">
        <f t="shared" si="392"/>
        <v>-195656.74</v>
      </c>
      <c r="O1010" s="69"/>
      <c r="P1010" s="149">
        <v>0</v>
      </c>
      <c r="Q1010" s="63">
        <f t="shared" si="389"/>
        <v>0</v>
      </c>
      <c r="R1010" s="64">
        <f t="shared" si="393"/>
        <v>0</v>
      </c>
      <c r="S1010" s="148">
        <v>25</v>
      </c>
      <c r="T1010" s="151" t="s">
        <v>71</v>
      </c>
      <c r="U1010" s="65">
        <f>SUMIF('Avoided Costs 2012-2020_EGD'!$A:$A,'2012 Actuals_Auditor'!T1010&amp;'2012 Actuals_Auditor'!S1010,'Avoided Costs 2012-2020_EGD'!$E:$E)*J1010</f>
        <v>316457.6819321856</v>
      </c>
      <c r="V1010" s="65">
        <f>SUMIF('Avoided Costs 2012-2020_EGD'!$A:$A,'2012 Actuals_Auditor'!T1010&amp;'2012 Actuals_Auditor'!S1010,'Avoided Costs 2012-2020_EGD'!$K:$K)*N1010</f>
        <v>-275560.50252925308</v>
      </c>
      <c r="W1010" s="65">
        <f>SUMIF('Avoided Costs 2012-2020_EGD'!$A:$A,'2012 Actuals_Auditor'!T1010&amp;'2012 Actuals_Auditor'!S1010,'Avoided Costs 2012-2020_EGD'!$M:$M)*R1010</f>
        <v>0</v>
      </c>
      <c r="X1010" s="65">
        <f t="shared" si="390"/>
        <v>40897.179402932525</v>
      </c>
      <c r="Y1010" s="146">
        <v>240200</v>
      </c>
      <c r="Z1010" s="66">
        <f t="shared" si="394"/>
        <v>177748</v>
      </c>
      <c r="AA1010" s="66">
        <v>13160.85</v>
      </c>
      <c r="AB1010" s="66"/>
      <c r="AC1010" s="66"/>
      <c r="AD1010" s="66">
        <f t="shared" si="395"/>
        <v>177748</v>
      </c>
      <c r="AE1010" s="66">
        <f t="shared" si="396"/>
        <v>-136850.82059706748</v>
      </c>
      <c r="AF1010" s="101">
        <f t="shared" si="397"/>
        <v>2327360.9408408632</v>
      </c>
      <c r="AG1010" s="101">
        <f t="shared" si="398"/>
        <v>3145082.352487653</v>
      </c>
    </row>
    <row r="1011" spans="1:33" s="68" customFormat="1" x14ac:dyDescent="0.2">
      <c r="A1011" s="147" t="s">
        <v>1147</v>
      </c>
      <c r="B1011" s="147"/>
      <c r="C1011" s="147"/>
      <c r="D1011" s="148">
        <v>1</v>
      </c>
      <c r="E1011" s="149"/>
      <c r="F1011" s="150">
        <v>0.26</v>
      </c>
      <c r="G1011" s="150"/>
      <c r="H1011" s="67">
        <v>137235</v>
      </c>
      <c r="I1011" s="67">
        <f t="shared" si="388"/>
        <v>131181.11273351917</v>
      </c>
      <c r="J1011" s="67">
        <f t="shared" si="391"/>
        <v>97074.023422804181</v>
      </c>
      <c r="K1011" s="63"/>
      <c r="L1011" s="149">
        <v>-159361</v>
      </c>
      <c r="M1011" s="63">
        <f t="shared" si="377"/>
        <v>-159361</v>
      </c>
      <c r="N1011" s="63">
        <f t="shared" si="392"/>
        <v>-117927.14</v>
      </c>
      <c r="O1011" s="69"/>
      <c r="P1011" s="149">
        <v>0</v>
      </c>
      <c r="Q1011" s="63">
        <f t="shared" si="389"/>
        <v>0</v>
      </c>
      <c r="R1011" s="64">
        <f t="shared" si="393"/>
        <v>0</v>
      </c>
      <c r="S1011" s="148">
        <v>25</v>
      </c>
      <c r="T1011" s="151" t="s">
        <v>71</v>
      </c>
      <c r="U1011" s="65">
        <f>SUMIF('Avoided Costs 2012-2020_EGD'!$A:$A,'2012 Actuals_Auditor'!T1011&amp;'2012 Actuals_Auditor'!S1011,'Avoided Costs 2012-2020_EGD'!$E:$E)*J1011</f>
        <v>329985.5631451002</v>
      </c>
      <c r="V1011" s="65">
        <f>SUMIF('Avoided Costs 2012-2020_EGD'!$A:$A,'2012 Actuals_Auditor'!T1011&amp;'2012 Actuals_Auditor'!S1011,'Avoided Costs 2012-2020_EGD'!$K:$K)*N1011</f>
        <v>-166087.1072483247</v>
      </c>
      <c r="W1011" s="65">
        <f>SUMIF('Avoided Costs 2012-2020_EGD'!$A:$A,'2012 Actuals_Auditor'!T1011&amp;'2012 Actuals_Auditor'!S1011,'Avoided Costs 2012-2020_EGD'!$M:$M)*R1011</f>
        <v>0</v>
      </c>
      <c r="X1011" s="65">
        <f t="shared" si="390"/>
        <v>163898.4558967755</v>
      </c>
      <c r="Y1011" s="146">
        <v>428300</v>
      </c>
      <c r="Z1011" s="66">
        <f t="shared" si="394"/>
        <v>316942</v>
      </c>
      <c r="AA1011" s="66">
        <v>13723.5</v>
      </c>
      <c r="AB1011" s="66"/>
      <c r="AC1011" s="66"/>
      <c r="AD1011" s="66">
        <f t="shared" si="395"/>
        <v>316942</v>
      </c>
      <c r="AE1011" s="66">
        <f t="shared" si="396"/>
        <v>-153043.5441032245</v>
      </c>
      <c r="AF1011" s="101">
        <f t="shared" si="397"/>
        <v>2426850.5855701044</v>
      </c>
      <c r="AG1011" s="101">
        <f t="shared" si="398"/>
        <v>3279527.8183379793</v>
      </c>
    </row>
    <row r="1012" spans="1:33" s="68" customFormat="1" x14ac:dyDescent="0.2">
      <c r="A1012" s="147" t="s">
        <v>1148</v>
      </c>
      <c r="B1012" s="147"/>
      <c r="C1012" s="147"/>
      <c r="D1012" s="148">
        <v>1</v>
      </c>
      <c r="E1012" s="149"/>
      <c r="F1012" s="150">
        <v>0.26</v>
      </c>
      <c r="G1012" s="150"/>
      <c r="H1012" s="67">
        <v>269885</v>
      </c>
      <c r="I1012" s="67">
        <f t="shared" si="388"/>
        <v>257979.48489879273</v>
      </c>
      <c r="J1012" s="67">
        <f t="shared" si="391"/>
        <v>190904.8188251066</v>
      </c>
      <c r="K1012" s="63"/>
      <c r="L1012" s="149">
        <v>0</v>
      </c>
      <c r="M1012" s="63">
        <f t="shared" si="377"/>
        <v>0</v>
      </c>
      <c r="N1012" s="63">
        <f t="shared" si="392"/>
        <v>0</v>
      </c>
      <c r="O1012" s="69"/>
      <c r="P1012" s="149">
        <v>0</v>
      </c>
      <c r="Q1012" s="63">
        <f t="shared" si="389"/>
        <v>0</v>
      </c>
      <c r="R1012" s="64">
        <f t="shared" si="393"/>
        <v>0</v>
      </c>
      <c r="S1012" s="148">
        <v>25</v>
      </c>
      <c r="T1012" s="151" t="s">
        <v>15</v>
      </c>
      <c r="U1012" s="65">
        <f>SUMIF('Avoided Costs 2012-2020_EGD'!$A:$A,'2012 Actuals_Auditor'!T1012&amp;'2012 Actuals_Auditor'!S1012,'Avoided Costs 2012-2020_EGD'!$E:$E)*J1012</f>
        <v>655566.19311371958</v>
      </c>
      <c r="V1012" s="65">
        <f>SUMIF('Avoided Costs 2012-2020_EGD'!$A:$A,'2012 Actuals_Auditor'!T1012&amp;'2012 Actuals_Auditor'!S1012,'Avoided Costs 2012-2020_EGD'!$K:$K)*N1012</f>
        <v>0</v>
      </c>
      <c r="W1012" s="65">
        <f>SUMIF('Avoided Costs 2012-2020_EGD'!$A:$A,'2012 Actuals_Auditor'!T1012&amp;'2012 Actuals_Auditor'!S1012,'Avoided Costs 2012-2020_EGD'!$M:$M)*R1012</f>
        <v>0</v>
      </c>
      <c r="X1012" s="65">
        <f t="shared" si="390"/>
        <v>655566.19311371958</v>
      </c>
      <c r="Y1012" s="146">
        <v>59425</v>
      </c>
      <c r="Z1012" s="66">
        <f t="shared" si="394"/>
        <v>43974.5</v>
      </c>
      <c r="AA1012" s="66">
        <v>21459</v>
      </c>
      <c r="AB1012" s="66"/>
      <c r="AC1012" s="66"/>
      <c r="AD1012" s="66">
        <f t="shared" si="395"/>
        <v>43974.5</v>
      </c>
      <c r="AE1012" s="66">
        <f t="shared" si="396"/>
        <v>611591.69311371958</v>
      </c>
      <c r="AF1012" s="101">
        <f t="shared" si="397"/>
        <v>4772620.4706276655</v>
      </c>
      <c r="AG1012" s="101">
        <f t="shared" si="398"/>
        <v>6449487.1224698182</v>
      </c>
    </row>
    <row r="1013" spans="1:33" s="68" customFormat="1" x14ac:dyDescent="0.2">
      <c r="A1013" s="147" t="s">
        <v>1149</v>
      </c>
      <c r="B1013" s="147"/>
      <c r="C1013" s="147"/>
      <c r="D1013" s="148">
        <v>1</v>
      </c>
      <c r="E1013" s="149"/>
      <c r="F1013" s="150">
        <v>0.26</v>
      </c>
      <c r="G1013" s="150"/>
      <c r="H1013" s="67">
        <v>83015</v>
      </c>
      <c r="I1013" s="67">
        <f t="shared" si="388"/>
        <v>79352.935283077153</v>
      </c>
      <c r="J1013" s="67">
        <f t="shared" si="391"/>
        <v>58721.172109477091</v>
      </c>
      <c r="K1013" s="63"/>
      <c r="L1013" s="149">
        <v>-92353</v>
      </c>
      <c r="M1013" s="63">
        <f t="shared" si="377"/>
        <v>-92353</v>
      </c>
      <c r="N1013" s="63">
        <f t="shared" si="392"/>
        <v>-68341.22</v>
      </c>
      <c r="O1013" s="69"/>
      <c r="P1013" s="149">
        <v>0</v>
      </c>
      <c r="Q1013" s="63">
        <f t="shared" si="389"/>
        <v>0</v>
      </c>
      <c r="R1013" s="64">
        <f t="shared" si="393"/>
        <v>0</v>
      </c>
      <c r="S1013" s="148">
        <v>25</v>
      </c>
      <c r="T1013" s="151" t="s">
        <v>71</v>
      </c>
      <c r="U1013" s="65">
        <f>SUMIF('Avoided Costs 2012-2020_EGD'!$A:$A,'2012 Actuals_Auditor'!T1013&amp;'2012 Actuals_Auditor'!S1013,'Avoided Costs 2012-2020_EGD'!$E:$E)*J1013</f>
        <v>199611.99055991907</v>
      </c>
      <c r="V1013" s="65">
        <f>SUMIF('Avoided Costs 2012-2020_EGD'!$A:$A,'2012 Actuals_Auditor'!T1013&amp;'2012 Actuals_Auditor'!S1013,'Avoided Costs 2012-2020_EGD'!$K:$K)*N1013</f>
        <v>-96250.918453727892</v>
      </c>
      <c r="W1013" s="65">
        <f>SUMIF('Avoided Costs 2012-2020_EGD'!$A:$A,'2012 Actuals_Auditor'!T1013&amp;'2012 Actuals_Auditor'!S1013,'Avoided Costs 2012-2020_EGD'!$M:$M)*R1013</f>
        <v>0</v>
      </c>
      <c r="X1013" s="65">
        <f t="shared" si="390"/>
        <v>103361.07210619118</v>
      </c>
      <c r="Y1013" s="146">
        <v>238880</v>
      </c>
      <c r="Z1013" s="66">
        <f t="shared" si="394"/>
        <v>176771.20000000001</v>
      </c>
      <c r="AA1013" s="66">
        <v>8301.5</v>
      </c>
      <c r="AB1013" s="66"/>
      <c r="AC1013" s="66"/>
      <c r="AD1013" s="66">
        <f t="shared" si="395"/>
        <v>176771.20000000001</v>
      </c>
      <c r="AE1013" s="66">
        <f t="shared" si="396"/>
        <v>-73410.127893808836</v>
      </c>
      <c r="AF1013" s="101">
        <f t="shared" si="397"/>
        <v>1468029.3027369273</v>
      </c>
      <c r="AG1013" s="101">
        <f t="shared" si="398"/>
        <v>1983823.3820769289</v>
      </c>
    </row>
    <row r="1014" spans="1:33" s="68" customFormat="1" x14ac:dyDescent="0.2">
      <c r="A1014" s="147" t="s">
        <v>1150</v>
      </c>
      <c r="B1014" s="147"/>
      <c r="C1014" s="147"/>
      <c r="D1014" s="148">
        <v>1</v>
      </c>
      <c r="E1014" s="149"/>
      <c r="F1014" s="150">
        <v>0.26</v>
      </c>
      <c r="G1014" s="150"/>
      <c r="H1014" s="67">
        <v>313927</v>
      </c>
      <c r="I1014" s="67">
        <f t="shared" si="388"/>
        <v>300078.64740842691</v>
      </c>
      <c r="J1014" s="67">
        <f t="shared" si="391"/>
        <v>222058.19908223592</v>
      </c>
      <c r="K1014" s="63"/>
      <c r="L1014" s="149">
        <v>544008</v>
      </c>
      <c r="M1014" s="63">
        <f t="shared" si="377"/>
        <v>544008</v>
      </c>
      <c r="N1014" s="63">
        <f t="shared" si="392"/>
        <v>402565.92</v>
      </c>
      <c r="O1014" s="69"/>
      <c r="P1014" s="149">
        <v>0</v>
      </c>
      <c r="Q1014" s="63">
        <f t="shared" si="389"/>
        <v>0</v>
      </c>
      <c r="R1014" s="64">
        <f t="shared" si="393"/>
        <v>0</v>
      </c>
      <c r="S1014" s="148">
        <v>25</v>
      </c>
      <c r="T1014" s="151" t="s">
        <v>71</v>
      </c>
      <c r="U1014" s="65">
        <f>SUMIF('Avoided Costs 2012-2020_EGD'!$A:$A,'2012 Actuals_Auditor'!T1014&amp;'2012 Actuals_Auditor'!S1014,'Avoided Costs 2012-2020_EGD'!$E:$E)*J1014</f>
        <v>754846.63446971891</v>
      </c>
      <c r="V1014" s="65">
        <f>SUMIF('Avoided Costs 2012-2020_EGD'!$A:$A,'2012 Actuals_Auditor'!T1014&amp;'2012 Actuals_Auditor'!S1014,'Avoided Costs 2012-2020_EGD'!$K:$K)*N1014</f>
        <v>566968.80064725131</v>
      </c>
      <c r="W1014" s="65">
        <f>SUMIF('Avoided Costs 2012-2020_EGD'!$A:$A,'2012 Actuals_Auditor'!T1014&amp;'2012 Actuals_Auditor'!S1014,'Avoided Costs 2012-2020_EGD'!$M:$M)*R1014</f>
        <v>0</v>
      </c>
      <c r="X1014" s="65">
        <f t="shared" si="390"/>
        <v>1321815.4351169702</v>
      </c>
      <c r="Y1014" s="146">
        <v>862475</v>
      </c>
      <c r="Z1014" s="66">
        <f t="shared" si="394"/>
        <v>638231.5</v>
      </c>
      <c r="AA1014" s="66">
        <v>30000</v>
      </c>
      <c r="AB1014" s="66"/>
      <c r="AC1014" s="66"/>
      <c r="AD1014" s="66">
        <f t="shared" si="395"/>
        <v>638231.5</v>
      </c>
      <c r="AE1014" s="66">
        <f t="shared" si="396"/>
        <v>683583.93511697021</v>
      </c>
      <c r="AF1014" s="101">
        <f t="shared" si="397"/>
        <v>5551454.9770558979</v>
      </c>
      <c r="AG1014" s="101">
        <f t="shared" si="398"/>
        <v>7501966.1852106731</v>
      </c>
    </row>
    <row r="1015" spans="1:33" s="68" customFormat="1" x14ac:dyDescent="0.2">
      <c r="A1015" s="147" t="s">
        <v>1151</v>
      </c>
      <c r="B1015" s="147"/>
      <c r="C1015" s="147"/>
      <c r="D1015" s="148">
        <v>1</v>
      </c>
      <c r="E1015" s="149"/>
      <c r="F1015" s="150">
        <v>0.26</v>
      </c>
      <c r="G1015" s="150"/>
      <c r="H1015" s="67">
        <v>14931</v>
      </c>
      <c r="I1015" s="67">
        <f t="shared" si="388"/>
        <v>14272.344476439499</v>
      </c>
      <c r="J1015" s="67">
        <f t="shared" si="391"/>
        <v>10561.534912565228</v>
      </c>
      <c r="K1015" s="63"/>
      <c r="L1015" s="149">
        <v>0</v>
      </c>
      <c r="M1015" s="63">
        <f t="shared" si="377"/>
        <v>0</v>
      </c>
      <c r="N1015" s="63">
        <f t="shared" si="392"/>
        <v>0</v>
      </c>
      <c r="O1015" s="69"/>
      <c r="P1015" s="149">
        <v>0</v>
      </c>
      <c r="Q1015" s="63">
        <f t="shared" si="389"/>
        <v>0</v>
      </c>
      <c r="R1015" s="64">
        <f t="shared" si="393"/>
        <v>0</v>
      </c>
      <c r="S1015" s="148">
        <v>25</v>
      </c>
      <c r="T1015" s="151" t="s">
        <v>71</v>
      </c>
      <c r="U1015" s="65">
        <f>SUMIF('Avoided Costs 2012-2020_EGD'!$A:$A,'2012 Actuals_Auditor'!T1015&amp;'2012 Actuals_Auditor'!S1015,'Avoided Costs 2012-2020_EGD'!$E:$E)*J1015</f>
        <v>35902.025309283279</v>
      </c>
      <c r="V1015" s="65">
        <f>SUMIF('Avoided Costs 2012-2020_EGD'!$A:$A,'2012 Actuals_Auditor'!T1015&amp;'2012 Actuals_Auditor'!S1015,'Avoided Costs 2012-2020_EGD'!$K:$K)*N1015</f>
        <v>0</v>
      </c>
      <c r="W1015" s="65">
        <f>SUMIF('Avoided Costs 2012-2020_EGD'!$A:$A,'2012 Actuals_Auditor'!T1015&amp;'2012 Actuals_Auditor'!S1015,'Avoided Costs 2012-2020_EGD'!$M:$M)*R1015</f>
        <v>0</v>
      </c>
      <c r="X1015" s="65">
        <f t="shared" si="390"/>
        <v>35902.025309283279</v>
      </c>
      <c r="Y1015" s="146">
        <v>6156</v>
      </c>
      <c r="Z1015" s="66">
        <f t="shared" si="394"/>
        <v>4555.4399999999996</v>
      </c>
      <c r="AA1015" s="66">
        <v>1644</v>
      </c>
      <c r="AB1015" s="66"/>
      <c r="AC1015" s="66"/>
      <c r="AD1015" s="66">
        <f t="shared" si="395"/>
        <v>4555.4399999999996</v>
      </c>
      <c r="AE1015" s="66">
        <f t="shared" si="396"/>
        <v>31346.58530928328</v>
      </c>
      <c r="AF1015" s="101">
        <f t="shared" si="397"/>
        <v>264038.37281413074</v>
      </c>
      <c r="AG1015" s="101">
        <f t="shared" si="398"/>
        <v>356808.61191098747</v>
      </c>
    </row>
    <row r="1016" spans="1:33" s="68" customFormat="1" x14ac:dyDescent="0.2">
      <c r="A1016" s="147" t="s">
        <v>1344</v>
      </c>
      <c r="B1016" s="147"/>
      <c r="C1016" s="147"/>
      <c r="D1016" s="148">
        <v>1</v>
      </c>
      <c r="E1016" s="149"/>
      <c r="F1016" s="150">
        <v>0.05</v>
      </c>
      <c r="G1016" s="150"/>
      <c r="H1016" s="67">
        <v>12480</v>
      </c>
      <c r="I1016" s="67">
        <f t="shared" si="388"/>
        <v>11929.466148681598</v>
      </c>
      <c r="J1016" s="67">
        <f t="shared" si="391"/>
        <v>11332.992841247518</v>
      </c>
      <c r="K1016" s="63"/>
      <c r="L1016" s="149">
        <v>0</v>
      </c>
      <c r="M1016" s="63">
        <f t="shared" ref="M1016:M1029" si="399">+$L$42*L1016</f>
        <v>0</v>
      </c>
      <c r="N1016" s="63">
        <f t="shared" si="392"/>
        <v>0</v>
      </c>
      <c r="O1016" s="69"/>
      <c r="P1016" s="149">
        <v>0</v>
      </c>
      <c r="Q1016" s="63">
        <f t="shared" si="389"/>
        <v>0</v>
      </c>
      <c r="R1016" s="64">
        <f t="shared" si="393"/>
        <v>0</v>
      </c>
      <c r="S1016" s="148">
        <v>14</v>
      </c>
      <c r="T1016" s="151" t="s">
        <v>15</v>
      </c>
      <c r="U1016" s="65">
        <f>SUMIF('Avoided Costs 2012-2020_EGD'!$A:$A,'2012 Actuals_Auditor'!T1016&amp;'2012 Actuals_Auditor'!S1016,'Avoided Costs 2012-2020_EGD'!$E:$E)*J1016</f>
        <v>26071.412441473007</v>
      </c>
      <c r="V1016" s="65">
        <f>SUMIF('Avoided Costs 2012-2020_EGD'!$A:$A,'2012 Actuals_Auditor'!T1016&amp;'2012 Actuals_Auditor'!S1016,'Avoided Costs 2012-2020_EGD'!$K:$K)*N1016</f>
        <v>0</v>
      </c>
      <c r="W1016" s="65">
        <f>SUMIF('Avoided Costs 2012-2020_EGD'!$A:$A,'2012 Actuals_Auditor'!T1016&amp;'2012 Actuals_Auditor'!S1016,'Avoided Costs 2012-2020_EGD'!$M:$M)*R1016</f>
        <v>0</v>
      </c>
      <c r="X1016" s="65">
        <f t="shared" ref="X1016:X1029" si="400">SUM(U1016:W1016)</f>
        <v>26071.412441473007</v>
      </c>
      <c r="Y1016" s="146">
        <v>76320</v>
      </c>
      <c r="Z1016" s="66">
        <f t="shared" si="394"/>
        <v>72504</v>
      </c>
      <c r="AA1016" s="66">
        <v>0</v>
      </c>
      <c r="AB1016" s="66"/>
      <c r="AC1016" s="66"/>
      <c r="AD1016" s="66">
        <f t="shared" si="395"/>
        <v>72504</v>
      </c>
      <c r="AE1016" s="66">
        <f t="shared" si="396"/>
        <v>-46432.587558526997</v>
      </c>
      <c r="AF1016" s="101">
        <f t="shared" si="397"/>
        <v>158661.89977746527</v>
      </c>
      <c r="AG1016" s="101">
        <f t="shared" si="398"/>
        <v>167012.52608154237</v>
      </c>
    </row>
    <row r="1017" spans="1:33" s="68" customFormat="1" x14ac:dyDescent="0.2">
      <c r="A1017" s="147" t="s">
        <v>1345</v>
      </c>
      <c r="B1017" s="147"/>
      <c r="C1017" s="147"/>
      <c r="D1017" s="148">
        <v>1</v>
      </c>
      <c r="E1017" s="149"/>
      <c r="F1017" s="150">
        <v>0.05</v>
      </c>
      <c r="G1017" s="150"/>
      <c r="H1017" s="67">
        <v>16328</v>
      </c>
      <c r="I1017" s="67">
        <f t="shared" si="388"/>
        <v>15607.718211191757</v>
      </c>
      <c r="J1017" s="67">
        <f t="shared" si="391"/>
        <v>14827.332300632168</v>
      </c>
      <c r="K1017" s="63"/>
      <c r="L1017" s="149">
        <v>0</v>
      </c>
      <c r="M1017" s="63">
        <f t="shared" si="399"/>
        <v>0</v>
      </c>
      <c r="N1017" s="63">
        <f t="shared" si="392"/>
        <v>0</v>
      </c>
      <c r="O1017" s="69"/>
      <c r="P1017" s="149">
        <v>0</v>
      </c>
      <c r="Q1017" s="63">
        <f t="shared" si="389"/>
        <v>0</v>
      </c>
      <c r="R1017" s="64">
        <f t="shared" si="393"/>
        <v>0</v>
      </c>
      <c r="S1017" s="148">
        <v>14</v>
      </c>
      <c r="T1017" s="151" t="s">
        <v>15</v>
      </c>
      <c r="U1017" s="65">
        <f>SUMIF('Avoided Costs 2012-2020_EGD'!$A:$A,'2012 Actuals_Auditor'!T1017&amp;'2012 Actuals_Auditor'!S1017,'Avoided Costs 2012-2020_EGD'!$E:$E)*J1017</f>
        <v>34110.097944260517</v>
      </c>
      <c r="V1017" s="65">
        <f>SUMIF('Avoided Costs 2012-2020_EGD'!$A:$A,'2012 Actuals_Auditor'!T1017&amp;'2012 Actuals_Auditor'!S1017,'Avoided Costs 2012-2020_EGD'!$K:$K)*N1017</f>
        <v>0</v>
      </c>
      <c r="W1017" s="65">
        <f>SUMIF('Avoided Costs 2012-2020_EGD'!$A:$A,'2012 Actuals_Auditor'!T1017&amp;'2012 Actuals_Auditor'!S1017,'Avoided Costs 2012-2020_EGD'!$M:$M)*R1017</f>
        <v>0</v>
      </c>
      <c r="X1017" s="65">
        <f t="shared" si="400"/>
        <v>34110.097944260517</v>
      </c>
      <c r="Y1017" s="146">
        <v>210000</v>
      </c>
      <c r="Z1017" s="66">
        <f t="shared" si="394"/>
        <v>199500</v>
      </c>
      <c r="AA1017" s="66">
        <v>0</v>
      </c>
      <c r="AB1017" s="66"/>
      <c r="AC1017" s="66"/>
      <c r="AD1017" s="66">
        <f t="shared" si="395"/>
        <v>199500</v>
      </c>
      <c r="AE1017" s="66">
        <f t="shared" si="396"/>
        <v>-165389.90205573948</v>
      </c>
      <c r="AF1017" s="101">
        <f t="shared" si="397"/>
        <v>207582.65220885034</v>
      </c>
      <c r="AG1017" s="101">
        <f t="shared" si="398"/>
        <v>218508.05495668459</v>
      </c>
    </row>
    <row r="1018" spans="1:33" s="68" customFormat="1" x14ac:dyDescent="0.2">
      <c r="A1018" s="147" t="s">
        <v>1346</v>
      </c>
      <c r="B1018" s="147"/>
      <c r="C1018" s="147"/>
      <c r="D1018" s="148">
        <v>1</v>
      </c>
      <c r="E1018" s="149"/>
      <c r="F1018" s="150">
        <v>0.05</v>
      </c>
      <c r="G1018" s="150"/>
      <c r="H1018" s="67">
        <v>936</v>
      </c>
      <c r="I1018" s="67">
        <f t="shared" si="388"/>
        <v>894.70996115111984</v>
      </c>
      <c r="J1018" s="67">
        <f t="shared" si="391"/>
        <v>849.97446309356383</v>
      </c>
      <c r="K1018" s="63"/>
      <c r="L1018" s="149">
        <v>0</v>
      </c>
      <c r="M1018" s="63">
        <f t="shared" si="399"/>
        <v>0</v>
      </c>
      <c r="N1018" s="63">
        <f t="shared" si="392"/>
        <v>0</v>
      </c>
      <c r="O1018" s="69"/>
      <c r="P1018" s="149">
        <v>0</v>
      </c>
      <c r="Q1018" s="63">
        <f t="shared" si="389"/>
        <v>0</v>
      </c>
      <c r="R1018" s="64">
        <f t="shared" si="393"/>
        <v>0</v>
      </c>
      <c r="S1018" s="148">
        <v>14</v>
      </c>
      <c r="T1018" s="151" t="s">
        <v>15</v>
      </c>
      <c r="U1018" s="65">
        <f>SUMIF('Avoided Costs 2012-2020_EGD'!$A:$A,'2012 Actuals_Auditor'!T1018&amp;'2012 Actuals_Auditor'!S1018,'Avoided Costs 2012-2020_EGD'!$E:$E)*J1018</f>
        <v>1955.3559331104755</v>
      </c>
      <c r="V1018" s="65">
        <f>SUMIF('Avoided Costs 2012-2020_EGD'!$A:$A,'2012 Actuals_Auditor'!T1018&amp;'2012 Actuals_Auditor'!S1018,'Avoided Costs 2012-2020_EGD'!$K:$K)*N1018</f>
        <v>0</v>
      </c>
      <c r="W1018" s="65">
        <f>SUMIF('Avoided Costs 2012-2020_EGD'!$A:$A,'2012 Actuals_Auditor'!T1018&amp;'2012 Actuals_Auditor'!S1018,'Avoided Costs 2012-2020_EGD'!$M:$M)*R1018</f>
        <v>0</v>
      </c>
      <c r="X1018" s="65">
        <f t="shared" si="400"/>
        <v>1955.3559331104755</v>
      </c>
      <c r="Y1018" s="146">
        <v>19756</v>
      </c>
      <c r="Z1018" s="66">
        <f t="shared" si="394"/>
        <v>18768.2</v>
      </c>
      <c r="AA1018" s="66">
        <v>0</v>
      </c>
      <c r="AB1018" s="66"/>
      <c r="AC1018" s="66"/>
      <c r="AD1018" s="66">
        <f t="shared" si="395"/>
        <v>18768.2</v>
      </c>
      <c r="AE1018" s="66">
        <f t="shared" si="396"/>
        <v>-16812.844066889524</v>
      </c>
      <c r="AF1018" s="101">
        <f t="shared" si="397"/>
        <v>11899.642483309894</v>
      </c>
      <c r="AG1018" s="101">
        <f t="shared" si="398"/>
        <v>12525.939456115677</v>
      </c>
    </row>
    <row r="1019" spans="1:33" s="68" customFormat="1" x14ac:dyDescent="0.2">
      <c r="A1019" s="147" t="s">
        <v>1347</v>
      </c>
      <c r="B1019" s="147"/>
      <c r="C1019" s="147"/>
      <c r="D1019" s="148">
        <v>1</v>
      </c>
      <c r="E1019" s="149"/>
      <c r="F1019" s="150">
        <v>0.05</v>
      </c>
      <c r="G1019" s="150"/>
      <c r="H1019" s="67">
        <v>15028</v>
      </c>
      <c r="I1019" s="67">
        <f t="shared" si="388"/>
        <v>14365.065487370757</v>
      </c>
      <c r="J1019" s="67">
        <f t="shared" si="391"/>
        <v>13646.812213002218</v>
      </c>
      <c r="K1019" s="63"/>
      <c r="L1019" s="149">
        <v>0</v>
      </c>
      <c r="M1019" s="63">
        <f t="shared" si="399"/>
        <v>0</v>
      </c>
      <c r="N1019" s="63">
        <f t="shared" si="392"/>
        <v>0</v>
      </c>
      <c r="O1019" s="69"/>
      <c r="P1019" s="149">
        <v>0</v>
      </c>
      <c r="Q1019" s="63">
        <f t="shared" si="389"/>
        <v>0</v>
      </c>
      <c r="R1019" s="64">
        <f t="shared" si="393"/>
        <v>0</v>
      </c>
      <c r="S1019" s="148">
        <v>14</v>
      </c>
      <c r="T1019" s="151" t="s">
        <v>15</v>
      </c>
      <c r="U1019" s="65">
        <f>SUMIF('Avoided Costs 2012-2020_EGD'!$A:$A,'2012 Actuals_Auditor'!T1019&amp;'2012 Actuals_Auditor'!S1019,'Avoided Costs 2012-2020_EGD'!$E:$E)*J1019</f>
        <v>31394.32581494041</v>
      </c>
      <c r="V1019" s="65">
        <f>SUMIF('Avoided Costs 2012-2020_EGD'!$A:$A,'2012 Actuals_Auditor'!T1019&amp;'2012 Actuals_Auditor'!S1019,'Avoided Costs 2012-2020_EGD'!$K:$K)*N1019</f>
        <v>0</v>
      </c>
      <c r="W1019" s="65">
        <f>SUMIF('Avoided Costs 2012-2020_EGD'!$A:$A,'2012 Actuals_Auditor'!T1019&amp;'2012 Actuals_Auditor'!S1019,'Avoided Costs 2012-2020_EGD'!$M:$M)*R1019</f>
        <v>0</v>
      </c>
      <c r="X1019" s="65">
        <f t="shared" si="400"/>
        <v>31394.32581494041</v>
      </c>
      <c r="Y1019" s="146">
        <v>57800</v>
      </c>
      <c r="Z1019" s="66">
        <f t="shared" si="394"/>
        <v>54910</v>
      </c>
      <c r="AA1019" s="66">
        <v>0</v>
      </c>
      <c r="AB1019" s="66"/>
      <c r="AC1019" s="66"/>
      <c r="AD1019" s="66">
        <f t="shared" si="395"/>
        <v>54910</v>
      </c>
      <c r="AE1019" s="66">
        <f t="shared" si="396"/>
        <v>-23515.67418505959</v>
      </c>
      <c r="AF1019" s="101">
        <f t="shared" si="397"/>
        <v>191055.37098203105</v>
      </c>
      <c r="AG1019" s="101">
        <f t="shared" si="398"/>
        <v>201110.91682319061</v>
      </c>
    </row>
    <row r="1020" spans="1:33" s="68" customFormat="1" x14ac:dyDescent="0.2">
      <c r="A1020" s="147" t="s">
        <v>1348</v>
      </c>
      <c r="B1020" s="147"/>
      <c r="C1020" s="147"/>
      <c r="D1020" s="148">
        <v>1</v>
      </c>
      <c r="E1020" s="149"/>
      <c r="F1020" s="150">
        <v>0.05</v>
      </c>
      <c r="G1020" s="150"/>
      <c r="H1020" s="67">
        <v>12480</v>
      </c>
      <c r="I1020" s="67">
        <f t="shared" si="388"/>
        <v>11929.466148681598</v>
      </c>
      <c r="J1020" s="67">
        <f t="shared" si="391"/>
        <v>11332.992841247518</v>
      </c>
      <c r="K1020" s="63"/>
      <c r="L1020" s="149">
        <v>0</v>
      </c>
      <c r="M1020" s="63">
        <f t="shared" si="399"/>
        <v>0</v>
      </c>
      <c r="N1020" s="63">
        <f t="shared" si="392"/>
        <v>0</v>
      </c>
      <c r="O1020" s="69"/>
      <c r="P1020" s="149">
        <v>0</v>
      </c>
      <c r="Q1020" s="63">
        <f t="shared" si="389"/>
        <v>0</v>
      </c>
      <c r="R1020" s="64">
        <f t="shared" si="393"/>
        <v>0</v>
      </c>
      <c r="S1020" s="148">
        <v>14</v>
      </c>
      <c r="T1020" s="151" t="s">
        <v>15</v>
      </c>
      <c r="U1020" s="65">
        <f>SUMIF('Avoided Costs 2012-2020_EGD'!$A:$A,'2012 Actuals_Auditor'!T1020&amp;'2012 Actuals_Auditor'!S1020,'Avoided Costs 2012-2020_EGD'!$E:$E)*J1020</f>
        <v>26071.412441473007</v>
      </c>
      <c r="V1020" s="65">
        <f>SUMIF('Avoided Costs 2012-2020_EGD'!$A:$A,'2012 Actuals_Auditor'!T1020&amp;'2012 Actuals_Auditor'!S1020,'Avoided Costs 2012-2020_EGD'!$K:$K)*N1020</f>
        <v>0</v>
      </c>
      <c r="W1020" s="65">
        <f>SUMIF('Avoided Costs 2012-2020_EGD'!$A:$A,'2012 Actuals_Auditor'!T1020&amp;'2012 Actuals_Auditor'!S1020,'Avoided Costs 2012-2020_EGD'!$M:$M)*R1020</f>
        <v>0</v>
      </c>
      <c r="X1020" s="65">
        <f t="shared" si="400"/>
        <v>26071.412441473007</v>
      </c>
      <c r="Y1020" s="146">
        <v>76320</v>
      </c>
      <c r="Z1020" s="66">
        <f t="shared" si="394"/>
        <v>72504</v>
      </c>
      <c r="AA1020" s="66">
        <v>0</v>
      </c>
      <c r="AB1020" s="66"/>
      <c r="AC1020" s="66"/>
      <c r="AD1020" s="66">
        <f t="shared" si="395"/>
        <v>72504</v>
      </c>
      <c r="AE1020" s="66">
        <f t="shared" si="396"/>
        <v>-46432.587558526997</v>
      </c>
      <c r="AF1020" s="101">
        <f t="shared" si="397"/>
        <v>158661.89977746527</v>
      </c>
      <c r="AG1020" s="101">
        <f t="shared" si="398"/>
        <v>167012.52608154237</v>
      </c>
    </row>
    <row r="1021" spans="1:33" s="68" customFormat="1" x14ac:dyDescent="0.2">
      <c r="A1021" s="147" t="s">
        <v>1349</v>
      </c>
      <c r="B1021" s="147"/>
      <c r="C1021" s="147"/>
      <c r="D1021" s="148">
        <v>1</v>
      </c>
      <c r="E1021" s="149"/>
      <c r="F1021" s="150">
        <v>0.05</v>
      </c>
      <c r="G1021" s="150"/>
      <c r="H1021" s="67">
        <v>25480</v>
      </c>
      <c r="I1021" s="67">
        <f t="shared" si="388"/>
        <v>24355.993386891594</v>
      </c>
      <c r="J1021" s="67">
        <f t="shared" si="391"/>
        <v>23138.193717547012</v>
      </c>
      <c r="K1021" s="63"/>
      <c r="L1021" s="149">
        <v>0</v>
      </c>
      <c r="M1021" s="63">
        <f t="shared" si="399"/>
        <v>0</v>
      </c>
      <c r="N1021" s="63">
        <f t="shared" si="392"/>
        <v>0</v>
      </c>
      <c r="O1021" s="69"/>
      <c r="P1021" s="149">
        <v>0</v>
      </c>
      <c r="Q1021" s="63">
        <f t="shared" si="389"/>
        <v>0</v>
      </c>
      <c r="R1021" s="64">
        <f t="shared" si="393"/>
        <v>0</v>
      </c>
      <c r="S1021" s="148">
        <v>14</v>
      </c>
      <c r="T1021" s="151" t="s">
        <v>15</v>
      </c>
      <c r="U1021" s="65">
        <f>SUMIF('Avoided Costs 2012-2020_EGD'!$A:$A,'2012 Actuals_Auditor'!T1021&amp;'2012 Actuals_Auditor'!S1021,'Avoided Costs 2012-2020_EGD'!$E:$E)*J1021</f>
        <v>53229.133734674047</v>
      </c>
      <c r="V1021" s="65">
        <f>SUMIF('Avoided Costs 2012-2020_EGD'!$A:$A,'2012 Actuals_Auditor'!T1021&amp;'2012 Actuals_Auditor'!S1021,'Avoided Costs 2012-2020_EGD'!$K:$K)*N1021</f>
        <v>0</v>
      </c>
      <c r="W1021" s="65">
        <f>SUMIF('Avoided Costs 2012-2020_EGD'!$A:$A,'2012 Actuals_Auditor'!T1021&amp;'2012 Actuals_Auditor'!S1021,'Avoided Costs 2012-2020_EGD'!$M:$M)*R1021</f>
        <v>0</v>
      </c>
      <c r="X1021" s="65">
        <f t="shared" si="400"/>
        <v>53229.133734674047</v>
      </c>
      <c r="Y1021" s="146">
        <v>54537</v>
      </c>
      <c r="Z1021" s="66">
        <f t="shared" si="394"/>
        <v>51810.149999999994</v>
      </c>
      <c r="AA1021" s="66">
        <v>0</v>
      </c>
      <c r="AB1021" s="66"/>
      <c r="AC1021" s="66"/>
      <c r="AD1021" s="66">
        <f t="shared" si="395"/>
        <v>51810.149999999994</v>
      </c>
      <c r="AE1021" s="66">
        <f t="shared" si="396"/>
        <v>1418.9837346740533</v>
      </c>
      <c r="AF1021" s="101">
        <f t="shared" si="397"/>
        <v>323934.71204565815</v>
      </c>
      <c r="AG1021" s="101">
        <f t="shared" si="398"/>
        <v>340983.90741648234</v>
      </c>
    </row>
    <row r="1022" spans="1:33" s="68" customFormat="1" x14ac:dyDescent="0.2">
      <c r="A1022" s="147" t="s">
        <v>1350</v>
      </c>
      <c r="B1022" s="147"/>
      <c r="C1022" s="147"/>
      <c r="D1022" s="148">
        <v>1</v>
      </c>
      <c r="E1022" s="149"/>
      <c r="F1022" s="150">
        <v>0.05</v>
      </c>
      <c r="G1022" s="150"/>
      <c r="H1022" s="67">
        <v>17524</v>
      </c>
      <c r="I1022" s="67">
        <f t="shared" si="388"/>
        <v>16750.958717107078</v>
      </c>
      <c r="J1022" s="67">
        <f t="shared" si="391"/>
        <v>15913.410781251723</v>
      </c>
      <c r="K1022" s="63"/>
      <c r="L1022" s="149">
        <v>0</v>
      </c>
      <c r="M1022" s="63">
        <f t="shared" si="399"/>
        <v>0</v>
      </c>
      <c r="N1022" s="63">
        <f t="shared" si="392"/>
        <v>0</v>
      </c>
      <c r="O1022" s="69"/>
      <c r="P1022" s="149">
        <v>0</v>
      </c>
      <c r="Q1022" s="63">
        <f t="shared" si="389"/>
        <v>0</v>
      </c>
      <c r="R1022" s="64">
        <f t="shared" si="393"/>
        <v>0</v>
      </c>
      <c r="S1022" s="148">
        <v>14</v>
      </c>
      <c r="T1022" s="151" t="s">
        <v>15</v>
      </c>
      <c r="U1022" s="65">
        <f>SUMIF('Avoided Costs 2012-2020_EGD'!$A:$A,'2012 Actuals_Auditor'!T1022&amp;'2012 Actuals_Auditor'!S1022,'Avoided Costs 2012-2020_EGD'!$E:$E)*J1022</f>
        <v>36608.608303235014</v>
      </c>
      <c r="V1022" s="65">
        <f>SUMIF('Avoided Costs 2012-2020_EGD'!$A:$A,'2012 Actuals_Auditor'!T1022&amp;'2012 Actuals_Auditor'!S1022,'Avoided Costs 2012-2020_EGD'!$K:$K)*N1022</f>
        <v>0</v>
      </c>
      <c r="W1022" s="65">
        <f>SUMIF('Avoided Costs 2012-2020_EGD'!$A:$A,'2012 Actuals_Auditor'!T1022&amp;'2012 Actuals_Auditor'!S1022,'Avoided Costs 2012-2020_EGD'!$M:$M)*R1022</f>
        <v>0</v>
      </c>
      <c r="X1022" s="65">
        <f t="shared" si="400"/>
        <v>36608.608303235014</v>
      </c>
      <c r="Y1022" s="146">
        <v>80375</v>
      </c>
      <c r="Z1022" s="66">
        <f t="shared" si="394"/>
        <v>76356.25</v>
      </c>
      <c r="AA1022" s="66">
        <v>0</v>
      </c>
      <c r="AB1022" s="66"/>
      <c r="AC1022" s="66"/>
      <c r="AD1022" s="66">
        <f t="shared" si="395"/>
        <v>76356.25</v>
      </c>
      <c r="AE1022" s="66">
        <f t="shared" si="396"/>
        <v>-39747.641696764986</v>
      </c>
      <c r="AF1022" s="101">
        <f t="shared" si="397"/>
        <v>222787.75093752414</v>
      </c>
      <c r="AG1022" s="101">
        <f t="shared" si="398"/>
        <v>234513.4220394991</v>
      </c>
    </row>
    <row r="1023" spans="1:33" s="68" customFormat="1" x14ac:dyDescent="0.2">
      <c r="A1023" s="147" t="s">
        <v>1351</v>
      </c>
      <c r="B1023" s="147"/>
      <c r="C1023" s="147"/>
      <c r="D1023" s="148">
        <v>1</v>
      </c>
      <c r="E1023" s="149"/>
      <c r="F1023" s="150">
        <v>0.05</v>
      </c>
      <c r="G1023" s="150"/>
      <c r="H1023" s="67">
        <v>16432</v>
      </c>
      <c r="I1023" s="67">
        <f t="shared" si="388"/>
        <v>15707.130429097437</v>
      </c>
      <c r="J1023" s="67">
        <f t="shared" si="391"/>
        <v>14921.773907642564</v>
      </c>
      <c r="K1023" s="63"/>
      <c r="L1023" s="149">
        <v>0</v>
      </c>
      <c r="M1023" s="63">
        <f t="shared" si="399"/>
        <v>0</v>
      </c>
      <c r="N1023" s="63">
        <f t="shared" si="392"/>
        <v>0</v>
      </c>
      <c r="O1023" s="69"/>
      <c r="P1023" s="149">
        <v>0</v>
      </c>
      <c r="Q1023" s="63">
        <f t="shared" si="389"/>
        <v>0</v>
      </c>
      <c r="R1023" s="64">
        <f t="shared" si="393"/>
        <v>0</v>
      </c>
      <c r="S1023" s="148">
        <v>14</v>
      </c>
      <c r="T1023" s="151" t="s">
        <v>15</v>
      </c>
      <c r="U1023" s="65">
        <f>SUMIF('Avoided Costs 2012-2020_EGD'!$A:$A,'2012 Actuals_Auditor'!T1023&amp;'2012 Actuals_Auditor'!S1023,'Avoided Costs 2012-2020_EGD'!$E:$E)*J1023</f>
        <v>34327.359714606122</v>
      </c>
      <c r="V1023" s="65">
        <f>SUMIF('Avoided Costs 2012-2020_EGD'!$A:$A,'2012 Actuals_Auditor'!T1023&amp;'2012 Actuals_Auditor'!S1023,'Avoided Costs 2012-2020_EGD'!$K:$K)*N1023</f>
        <v>0</v>
      </c>
      <c r="W1023" s="65">
        <f>SUMIF('Avoided Costs 2012-2020_EGD'!$A:$A,'2012 Actuals_Auditor'!T1023&amp;'2012 Actuals_Auditor'!S1023,'Avoided Costs 2012-2020_EGD'!$M:$M)*R1023</f>
        <v>0</v>
      </c>
      <c r="X1023" s="65">
        <f t="shared" si="400"/>
        <v>34327.359714606122</v>
      </c>
      <c r="Y1023" s="146">
        <v>210000</v>
      </c>
      <c r="Z1023" s="66">
        <f t="shared" si="394"/>
        <v>199500</v>
      </c>
      <c r="AA1023" s="66">
        <v>0</v>
      </c>
      <c r="AB1023" s="66"/>
      <c r="AC1023" s="66"/>
      <c r="AD1023" s="66">
        <f t="shared" si="395"/>
        <v>199500</v>
      </c>
      <c r="AE1023" s="66">
        <f t="shared" si="396"/>
        <v>-165172.64028539386</v>
      </c>
      <c r="AF1023" s="101">
        <f t="shared" si="397"/>
        <v>208904.8347069959</v>
      </c>
      <c r="AG1023" s="101">
        <f t="shared" si="398"/>
        <v>219899.82600736411</v>
      </c>
    </row>
    <row r="1024" spans="1:33" s="68" customFormat="1" x14ac:dyDescent="0.2">
      <c r="A1024" s="147" t="s">
        <v>1352</v>
      </c>
      <c r="B1024" s="147"/>
      <c r="C1024" s="147"/>
      <c r="D1024" s="148">
        <v>1</v>
      </c>
      <c r="E1024" s="149"/>
      <c r="F1024" s="150">
        <v>0.05</v>
      </c>
      <c r="G1024" s="150"/>
      <c r="H1024" s="67">
        <v>2600</v>
      </c>
      <c r="I1024" s="67">
        <f t="shared" si="388"/>
        <v>2485.3054476419998</v>
      </c>
      <c r="J1024" s="67">
        <f t="shared" si="391"/>
        <v>2361.0401752598996</v>
      </c>
      <c r="K1024" s="63"/>
      <c r="L1024" s="149">
        <v>0</v>
      </c>
      <c r="M1024" s="63">
        <f t="shared" si="399"/>
        <v>0</v>
      </c>
      <c r="N1024" s="63">
        <f t="shared" si="392"/>
        <v>0</v>
      </c>
      <c r="O1024" s="69"/>
      <c r="P1024" s="149">
        <v>0</v>
      </c>
      <c r="Q1024" s="63">
        <f t="shared" si="389"/>
        <v>0</v>
      </c>
      <c r="R1024" s="64">
        <f t="shared" si="393"/>
        <v>0</v>
      </c>
      <c r="S1024" s="148">
        <v>14</v>
      </c>
      <c r="T1024" s="151" t="s">
        <v>15</v>
      </c>
      <c r="U1024" s="65">
        <f>SUMIF('Avoided Costs 2012-2020_EGD'!$A:$A,'2012 Actuals_Auditor'!T1024&amp;'2012 Actuals_Auditor'!S1024,'Avoided Costs 2012-2020_EGD'!$E:$E)*J1024</f>
        <v>5431.5442586402096</v>
      </c>
      <c r="V1024" s="65">
        <f>SUMIF('Avoided Costs 2012-2020_EGD'!$A:$A,'2012 Actuals_Auditor'!T1024&amp;'2012 Actuals_Auditor'!S1024,'Avoided Costs 2012-2020_EGD'!$K:$K)*N1024</f>
        <v>0</v>
      </c>
      <c r="W1024" s="65">
        <f>SUMIF('Avoided Costs 2012-2020_EGD'!$A:$A,'2012 Actuals_Auditor'!T1024&amp;'2012 Actuals_Auditor'!S1024,'Avoided Costs 2012-2020_EGD'!$M:$M)*R1024</f>
        <v>0</v>
      </c>
      <c r="X1024" s="65">
        <f t="shared" si="400"/>
        <v>5431.5442586402096</v>
      </c>
      <c r="Y1024" s="146">
        <v>29500</v>
      </c>
      <c r="Z1024" s="66">
        <f t="shared" si="394"/>
        <v>28025</v>
      </c>
      <c r="AA1024" s="66">
        <v>0</v>
      </c>
      <c r="AB1024" s="66"/>
      <c r="AC1024" s="66"/>
      <c r="AD1024" s="66">
        <f t="shared" si="395"/>
        <v>28025</v>
      </c>
      <c r="AE1024" s="66">
        <f t="shared" si="396"/>
        <v>-22593.45574135979</v>
      </c>
      <c r="AF1024" s="101">
        <f t="shared" si="397"/>
        <v>33054.562453638595</v>
      </c>
      <c r="AG1024" s="101">
        <f t="shared" si="398"/>
        <v>34794.276266987996</v>
      </c>
    </row>
    <row r="1025" spans="1:33" s="68" customFormat="1" x14ac:dyDescent="0.2">
      <c r="A1025" s="147" t="s">
        <v>1353</v>
      </c>
      <c r="B1025" s="147"/>
      <c r="C1025" s="147"/>
      <c r="D1025" s="148">
        <v>1</v>
      </c>
      <c r="E1025" s="149"/>
      <c r="F1025" s="150">
        <v>0.05</v>
      </c>
      <c r="G1025" s="150"/>
      <c r="H1025" s="67">
        <v>12584</v>
      </c>
      <c r="I1025" s="67">
        <f t="shared" si="388"/>
        <v>12028.878366587278</v>
      </c>
      <c r="J1025" s="67">
        <f t="shared" si="391"/>
        <v>11427.434448257913</v>
      </c>
      <c r="K1025" s="63"/>
      <c r="L1025" s="149">
        <v>0</v>
      </c>
      <c r="M1025" s="63">
        <f t="shared" si="399"/>
        <v>0</v>
      </c>
      <c r="N1025" s="63">
        <f t="shared" si="392"/>
        <v>0</v>
      </c>
      <c r="O1025" s="69"/>
      <c r="P1025" s="149">
        <v>0</v>
      </c>
      <c r="Q1025" s="63">
        <f t="shared" si="389"/>
        <v>0</v>
      </c>
      <c r="R1025" s="64">
        <f t="shared" si="393"/>
        <v>0</v>
      </c>
      <c r="S1025" s="148">
        <v>14</v>
      </c>
      <c r="T1025" s="151" t="s">
        <v>15</v>
      </c>
      <c r="U1025" s="65">
        <f>SUMIF('Avoided Costs 2012-2020_EGD'!$A:$A,'2012 Actuals_Auditor'!T1025&amp;'2012 Actuals_Auditor'!S1025,'Avoided Costs 2012-2020_EGD'!$E:$E)*J1025</f>
        <v>26288.674211818612</v>
      </c>
      <c r="V1025" s="65">
        <f>SUMIF('Avoided Costs 2012-2020_EGD'!$A:$A,'2012 Actuals_Auditor'!T1025&amp;'2012 Actuals_Auditor'!S1025,'Avoided Costs 2012-2020_EGD'!$K:$K)*N1025</f>
        <v>0</v>
      </c>
      <c r="W1025" s="65">
        <f>SUMIF('Avoided Costs 2012-2020_EGD'!$A:$A,'2012 Actuals_Auditor'!T1025&amp;'2012 Actuals_Auditor'!S1025,'Avoided Costs 2012-2020_EGD'!$M:$M)*R1025</f>
        <v>0</v>
      </c>
      <c r="X1025" s="65">
        <f t="shared" si="400"/>
        <v>26288.674211818612</v>
      </c>
      <c r="Y1025" s="146">
        <v>76956</v>
      </c>
      <c r="Z1025" s="66">
        <f t="shared" si="394"/>
        <v>73108.2</v>
      </c>
      <c r="AA1025" s="66">
        <v>0</v>
      </c>
      <c r="AB1025" s="66"/>
      <c r="AC1025" s="66"/>
      <c r="AD1025" s="66">
        <f t="shared" si="395"/>
        <v>73108.2</v>
      </c>
      <c r="AE1025" s="66">
        <f t="shared" si="396"/>
        <v>-46819.525788181389</v>
      </c>
      <c r="AF1025" s="101">
        <f t="shared" si="397"/>
        <v>159984.08227561077</v>
      </c>
      <c r="AG1025" s="101">
        <f t="shared" si="398"/>
        <v>168404.29713222189</v>
      </c>
    </row>
    <row r="1026" spans="1:33" s="68" customFormat="1" x14ac:dyDescent="0.2">
      <c r="A1026" s="147" t="s">
        <v>1354</v>
      </c>
      <c r="B1026" s="147"/>
      <c r="C1026" s="147"/>
      <c r="D1026" s="148">
        <v>1</v>
      </c>
      <c r="E1026" s="149"/>
      <c r="F1026" s="150">
        <v>0.05</v>
      </c>
      <c r="G1026" s="150"/>
      <c r="H1026" s="67">
        <v>9204</v>
      </c>
      <c r="I1026" s="67">
        <f t="shared" si="388"/>
        <v>8797.9812846526784</v>
      </c>
      <c r="J1026" s="67">
        <f t="shared" si="391"/>
        <v>8358.0822204200449</v>
      </c>
      <c r="K1026" s="63"/>
      <c r="L1026" s="149">
        <v>0</v>
      </c>
      <c r="M1026" s="63">
        <f t="shared" si="399"/>
        <v>0</v>
      </c>
      <c r="N1026" s="63">
        <f t="shared" si="392"/>
        <v>0</v>
      </c>
      <c r="O1026" s="69"/>
      <c r="P1026" s="149">
        <v>0</v>
      </c>
      <c r="Q1026" s="63">
        <f t="shared" si="389"/>
        <v>0</v>
      </c>
      <c r="R1026" s="64">
        <f t="shared" si="393"/>
        <v>0</v>
      </c>
      <c r="S1026" s="148">
        <v>14</v>
      </c>
      <c r="T1026" s="151" t="s">
        <v>15</v>
      </c>
      <c r="U1026" s="65">
        <f>SUMIF('Avoided Costs 2012-2020_EGD'!$A:$A,'2012 Actuals_Auditor'!T1026&amp;'2012 Actuals_Auditor'!S1026,'Avoided Costs 2012-2020_EGD'!$E:$E)*J1026</f>
        <v>19227.666675586344</v>
      </c>
      <c r="V1026" s="65">
        <f>SUMIF('Avoided Costs 2012-2020_EGD'!$A:$A,'2012 Actuals_Auditor'!T1026&amp;'2012 Actuals_Auditor'!S1026,'Avoided Costs 2012-2020_EGD'!$K:$K)*N1026</f>
        <v>0</v>
      </c>
      <c r="W1026" s="65">
        <f>SUMIF('Avoided Costs 2012-2020_EGD'!$A:$A,'2012 Actuals_Auditor'!T1026&amp;'2012 Actuals_Auditor'!S1026,'Avoided Costs 2012-2020_EGD'!$M:$M)*R1026</f>
        <v>0</v>
      </c>
      <c r="X1026" s="65">
        <f t="shared" si="400"/>
        <v>19227.666675586344</v>
      </c>
      <c r="Y1026" s="146">
        <v>76676</v>
      </c>
      <c r="Z1026" s="66">
        <f t="shared" si="394"/>
        <v>72842.2</v>
      </c>
      <c r="AA1026" s="66">
        <v>0</v>
      </c>
      <c r="AB1026" s="66"/>
      <c r="AC1026" s="66"/>
      <c r="AD1026" s="66">
        <f t="shared" si="395"/>
        <v>72842.2</v>
      </c>
      <c r="AE1026" s="66">
        <f t="shared" si="396"/>
        <v>-53614.533324413656</v>
      </c>
      <c r="AF1026" s="101">
        <f t="shared" si="397"/>
        <v>117013.15108588063</v>
      </c>
      <c r="AG1026" s="101">
        <f t="shared" si="398"/>
        <v>123171.7379851375</v>
      </c>
    </row>
    <row r="1027" spans="1:33" s="68" customFormat="1" x14ac:dyDescent="0.2">
      <c r="A1027" s="147" t="s">
        <v>1355</v>
      </c>
      <c r="B1027" s="147"/>
      <c r="C1027" s="147"/>
      <c r="D1027" s="148">
        <v>1</v>
      </c>
      <c r="E1027" s="149"/>
      <c r="F1027" s="150">
        <v>0.05</v>
      </c>
      <c r="G1027" s="150"/>
      <c r="H1027" s="67">
        <v>7124</v>
      </c>
      <c r="I1027" s="67">
        <f t="shared" ref="I1027:I1047" si="401">+$H$42*H1027</f>
        <v>6809.7369265390789</v>
      </c>
      <c r="J1027" s="67">
        <f t="shared" si="391"/>
        <v>6469.2500802121249</v>
      </c>
      <c r="K1027" s="63"/>
      <c r="L1027" s="149">
        <v>0</v>
      </c>
      <c r="M1027" s="63">
        <f t="shared" si="399"/>
        <v>0</v>
      </c>
      <c r="N1027" s="63">
        <f t="shared" si="392"/>
        <v>0</v>
      </c>
      <c r="O1027" s="69"/>
      <c r="P1027" s="149">
        <v>0</v>
      </c>
      <c r="Q1027" s="63">
        <f t="shared" ref="Q1027:Q1047" si="402">+P1027*$P$42</f>
        <v>0</v>
      </c>
      <c r="R1027" s="64">
        <f t="shared" si="393"/>
        <v>0</v>
      </c>
      <c r="S1027" s="148">
        <v>14</v>
      </c>
      <c r="T1027" s="151" t="s">
        <v>15</v>
      </c>
      <c r="U1027" s="65">
        <f>SUMIF('Avoided Costs 2012-2020_EGD'!$A:$A,'2012 Actuals_Auditor'!T1027&amp;'2012 Actuals_Auditor'!S1027,'Avoided Costs 2012-2020_EGD'!$E:$E)*J1027</f>
        <v>14882.431268674174</v>
      </c>
      <c r="V1027" s="65">
        <f>SUMIF('Avoided Costs 2012-2020_EGD'!$A:$A,'2012 Actuals_Auditor'!T1027&amp;'2012 Actuals_Auditor'!S1027,'Avoided Costs 2012-2020_EGD'!$K:$K)*N1027</f>
        <v>0</v>
      </c>
      <c r="W1027" s="65">
        <f>SUMIF('Avoided Costs 2012-2020_EGD'!$A:$A,'2012 Actuals_Auditor'!T1027&amp;'2012 Actuals_Auditor'!S1027,'Avoided Costs 2012-2020_EGD'!$M:$M)*R1027</f>
        <v>0</v>
      </c>
      <c r="X1027" s="65">
        <f t="shared" si="400"/>
        <v>14882.431268674174</v>
      </c>
      <c r="Y1027" s="146">
        <v>31270</v>
      </c>
      <c r="Z1027" s="66">
        <f t="shared" si="394"/>
        <v>29706.5</v>
      </c>
      <c r="AA1027" s="66">
        <v>0</v>
      </c>
      <c r="AB1027" s="66"/>
      <c r="AC1027" s="66"/>
      <c r="AD1027" s="66">
        <f t="shared" si="395"/>
        <v>29706.5</v>
      </c>
      <c r="AE1027" s="66">
        <f t="shared" si="396"/>
        <v>-14824.068731325826</v>
      </c>
      <c r="AF1027" s="101">
        <f t="shared" si="397"/>
        <v>90569.501122969756</v>
      </c>
      <c r="AG1027" s="101">
        <f t="shared" si="398"/>
        <v>95336.316971547101</v>
      </c>
    </row>
    <row r="1028" spans="1:33" s="68" customFormat="1" x14ac:dyDescent="0.2">
      <c r="A1028" s="147" t="s">
        <v>1356</v>
      </c>
      <c r="B1028" s="147"/>
      <c r="C1028" s="147"/>
      <c r="D1028" s="148">
        <v>1</v>
      </c>
      <c r="E1028" s="149"/>
      <c r="F1028" s="150">
        <v>0.05</v>
      </c>
      <c r="G1028" s="150"/>
      <c r="H1028" s="67">
        <v>22664</v>
      </c>
      <c r="I1028" s="67">
        <f t="shared" si="401"/>
        <v>21664.216409753182</v>
      </c>
      <c r="J1028" s="67">
        <f t="shared" si="391"/>
        <v>20581.005589265522</v>
      </c>
      <c r="K1028" s="63"/>
      <c r="L1028" s="149">
        <v>0</v>
      </c>
      <c r="M1028" s="63">
        <f t="shared" si="399"/>
        <v>0</v>
      </c>
      <c r="N1028" s="63">
        <f t="shared" si="392"/>
        <v>0</v>
      </c>
      <c r="O1028" s="69"/>
      <c r="P1028" s="149">
        <v>0</v>
      </c>
      <c r="Q1028" s="63">
        <f t="shared" si="402"/>
        <v>0</v>
      </c>
      <c r="R1028" s="64">
        <f t="shared" si="393"/>
        <v>0</v>
      </c>
      <c r="S1028" s="148">
        <v>14</v>
      </c>
      <c r="T1028" s="151" t="s">
        <v>15</v>
      </c>
      <c r="U1028" s="65">
        <f>SUMIF('Avoided Costs 2012-2020_EGD'!$A:$A,'2012 Actuals_Auditor'!T1028&amp;'2012 Actuals_Auditor'!S1028,'Avoided Costs 2012-2020_EGD'!$E:$E)*J1028</f>
        <v>47346.353491469883</v>
      </c>
      <c r="V1028" s="65">
        <f>SUMIF('Avoided Costs 2012-2020_EGD'!$A:$A,'2012 Actuals_Auditor'!T1028&amp;'2012 Actuals_Auditor'!S1028,'Avoided Costs 2012-2020_EGD'!$K:$K)*N1028</f>
        <v>0</v>
      </c>
      <c r="W1028" s="65">
        <f>SUMIF('Avoided Costs 2012-2020_EGD'!$A:$A,'2012 Actuals_Auditor'!T1028&amp;'2012 Actuals_Auditor'!S1028,'Avoided Costs 2012-2020_EGD'!$M:$M)*R1028</f>
        <v>0</v>
      </c>
      <c r="X1028" s="65">
        <f t="shared" si="400"/>
        <v>47346.353491469883</v>
      </c>
      <c r="Y1028" s="146">
        <v>187142</v>
      </c>
      <c r="Z1028" s="66">
        <f t="shared" si="394"/>
        <v>177784.9</v>
      </c>
      <c r="AA1028" s="66">
        <v>0</v>
      </c>
      <c r="AB1028" s="66"/>
      <c r="AC1028" s="66"/>
      <c r="AD1028" s="66">
        <f t="shared" si="395"/>
        <v>177784.9</v>
      </c>
      <c r="AE1028" s="66">
        <f t="shared" si="396"/>
        <v>-130438.54650853011</v>
      </c>
      <c r="AF1028" s="101">
        <f t="shared" si="397"/>
        <v>288134.07824971731</v>
      </c>
      <c r="AG1028" s="101">
        <f t="shared" si="398"/>
        <v>303299.02973654453</v>
      </c>
    </row>
    <row r="1029" spans="1:33" s="68" customFormat="1" x14ac:dyDescent="0.2">
      <c r="A1029" s="147" t="s">
        <v>1357</v>
      </c>
      <c r="B1029" s="147"/>
      <c r="C1029" s="147"/>
      <c r="D1029" s="148">
        <v>1</v>
      </c>
      <c r="E1029" s="149"/>
      <c r="F1029" s="150">
        <v>0.05</v>
      </c>
      <c r="G1029" s="150"/>
      <c r="H1029" s="67">
        <v>1664</v>
      </c>
      <c r="I1029" s="67">
        <f t="shared" si="401"/>
        <v>1590.5954864908797</v>
      </c>
      <c r="J1029" s="67">
        <f t="shared" si="391"/>
        <v>1511.0657121663357</v>
      </c>
      <c r="K1029" s="63"/>
      <c r="L1029" s="149">
        <v>0</v>
      </c>
      <c r="M1029" s="63">
        <f t="shared" si="399"/>
        <v>0</v>
      </c>
      <c r="N1029" s="63">
        <f t="shared" si="392"/>
        <v>0</v>
      </c>
      <c r="O1029" s="69"/>
      <c r="P1029" s="149">
        <v>0</v>
      </c>
      <c r="Q1029" s="63">
        <f t="shared" si="402"/>
        <v>0</v>
      </c>
      <c r="R1029" s="64">
        <f t="shared" si="393"/>
        <v>0</v>
      </c>
      <c r="S1029" s="148">
        <v>14</v>
      </c>
      <c r="T1029" s="151" t="s">
        <v>15</v>
      </c>
      <c r="U1029" s="65">
        <f>SUMIF('Avoided Costs 2012-2020_EGD'!$A:$A,'2012 Actuals_Auditor'!T1029&amp;'2012 Actuals_Auditor'!S1029,'Avoided Costs 2012-2020_EGD'!$E:$E)*J1029</f>
        <v>3476.1883255297344</v>
      </c>
      <c r="V1029" s="65">
        <f>SUMIF('Avoided Costs 2012-2020_EGD'!$A:$A,'2012 Actuals_Auditor'!T1029&amp;'2012 Actuals_Auditor'!S1029,'Avoided Costs 2012-2020_EGD'!$K:$K)*N1029</f>
        <v>0</v>
      </c>
      <c r="W1029" s="65">
        <f>SUMIF('Avoided Costs 2012-2020_EGD'!$A:$A,'2012 Actuals_Auditor'!T1029&amp;'2012 Actuals_Auditor'!S1029,'Avoided Costs 2012-2020_EGD'!$M:$M)*R1029</f>
        <v>0</v>
      </c>
      <c r="X1029" s="65">
        <f t="shared" si="400"/>
        <v>3476.1883255297344</v>
      </c>
      <c r="Y1029" s="146">
        <v>17600</v>
      </c>
      <c r="Z1029" s="66">
        <f t="shared" si="394"/>
        <v>16720</v>
      </c>
      <c r="AA1029" s="66">
        <v>0</v>
      </c>
      <c r="AB1029" s="66"/>
      <c r="AC1029" s="66"/>
      <c r="AD1029" s="66">
        <f t="shared" si="395"/>
        <v>16720</v>
      </c>
      <c r="AE1029" s="66">
        <f t="shared" si="396"/>
        <v>-13243.811674470266</v>
      </c>
      <c r="AF1029" s="101">
        <f t="shared" si="397"/>
        <v>21154.919970328701</v>
      </c>
      <c r="AG1029" s="101">
        <f t="shared" si="398"/>
        <v>22268.336810872315</v>
      </c>
    </row>
    <row r="1030" spans="1:33" s="68" customFormat="1" x14ac:dyDescent="0.2">
      <c r="A1030" s="147" t="s">
        <v>1152</v>
      </c>
      <c r="B1030" s="147"/>
      <c r="C1030" s="147"/>
      <c r="D1030" s="148">
        <v>1</v>
      </c>
      <c r="E1030" s="149"/>
      <c r="F1030" s="150">
        <v>0.26</v>
      </c>
      <c r="G1030" s="150"/>
      <c r="H1030" s="67">
        <v>438494</v>
      </c>
      <c r="I1030" s="67">
        <f t="shared" si="401"/>
        <v>419150.58729166572</v>
      </c>
      <c r="J1030" s="67">
        <f t="shared" si="391"/>
        <v>310171.43459583266</v>
      </c>
      <c r="K1030" s="63"/>
      <c r="L1030" s="149">
        <v>278992</v>
      </c>
      <c r="M1030" s="63">
        <f t="shared" si="377"/>
        <v>278992</v>
      </c>
      <c r="N1030" s="63">
        <f t="shared" si="392"/>
        <v>206454.08</v>
      </c>
      <c r="O1030" s="69"/>
      <c r="P1030" s="149">
        <v>0</v>
      </c>
      <c r="Q1030" s="63">
        <f t="shared" si="402"/>
        <v>0</v>
      </c>
      <c r="R1030" s="64">
        <f t="shared" si="393"/>
        <v>0</v>
      </c>
      <c r="S1030" s="148">
        <v>25</v>
      </c>
      <c r="T1030" s="151" t="s">
        <v>71</v>
      </c>
      <c r="U1030" s="65">
        <f>SUMIF('Avoided Costs 2012-2020_EGD'!$A:$A,'2012 Actuals_Auditor'!T1030&amp;'2012 Actuals_Auditor'!S1030,'Avoided Costs 2012-2020_EGD'!$E:$E)*J1030</f>
        <v>1054371.6218584732</v>
      </c>
      <c r="V1030" s="65">
        <f>SUMIF('Avoided Costs 2012-2020_EGD'!$A:$A,'2012 Actuals_Auditor'!T1030&amp;'2012 Actuals_Auditor'!S1030,'Avoided Costs 2012-2020_EGD'!$K:$K)*N1030</f>
        <v>290767.3409769304</v>
      </c>
      <c r="W1030" s="65">
        <f>SUMIF('Avoided Costs 2012-2020_EGD'!$A:$A,'2012 Actuals_Auditor'!T1030&amp;'2012 Actuals_Auditor'!S1030,'Avoided Costs 2012-2020_EGD'!$M:$M)*R1030</f>
        <v>0</v>
      </c>
      <c r="X1030" s="65">
        <f t="shared" si="390"/>
        <v>1345138.9628354036</v>
      </c>
      <c r="Y1030" s="146">
        <v>950962</v>
      </c>
      <c r="Z1030" s="66">
        <f t="shared" si="394"/>
        <v>703711.88</v>
      </c>
      <c r="AA1030" s="66">
        <v>30000</v>
      </c>
      <c r="AB1030" s="66"/>
      <c r="AC1030" s="66"/>
      <c r="AD1030" s="66">
        <f t="shared" si="395"/>
        <v>703711.88</v>
      </c>
      <c r="AE1030" s="66">
        <f t="shared" si="396"/>
        <v>641427.08283540362</v>
      </c>
      <c r="AF1030" s="101">
        <f t="shared" si="397"/>
        <v>7754285.8648958169</v>
      </c>
      <c r="AG1030" s="101">
        <f t="shared" si="398"/>
        <v>10478764.682291644</v>
      </c>
    </row>
    <row r="1031" spans="1:33" s="68" customFormat="1" x14ac:dyDescent="0.2">
      <c r="A1031" s="147" t="s">
        <v>1153</v>
      </c>
      <c r="B1031" s="147"/>
      <c r="C1031" s="147"/>
      <c r="D1031" s="148">
        <v>1</v>
      </c>
      <c r="E1031" s="149"/>
      <c r="F1031" s="150">
        <v>0.26</v>
      </c>
      <c r="G1031" s="150"/>
      <c r="H1031" s="67">
        <v>80712</v>
      </c>
      <c r="I1031" s="67">
        <f t="shared" si="401"/>
        <v>77151.528188492724</v>
      </c>
      <c r="J1031" s="67">
        <f t="shared" si="391"/>
        <v>57092.130859484612</v>
      </c>
      <c r="K1031" s="63"/>
      <c r="L1031" s="149">
        <v>-232865</v>
      </c>
      <c r="M1031" s="63">
        <f t="shared" si="377"/>
        <v>-232865</v>
      </c>
      <c r="N1031" s="63">
        <f t="shared" si="392"/>
        <v>-172320.1</v>
      </c>
      <c r="O1031" s="69"/>
      <c r="P1031" s="149">
        <v>0</v>
      </c>
      <c r="Q1031" s="63">
        <f t="shared" si="402"/>
        <v>0</v>
      </c>
      <c r="R1031" s="64">
        <f t="shared" si="393"/>
        <v>0</v>
      </c>
      <c r="S1031" s="148">
        <v>25</v>
      </c>
      <c r="T1031" s="151" t="s">
        <v>71</v>
      </c>
      <c r="U1031" s="65">
        <f>SUMIF('Avoided Costs 2012-2020_EGD'!$A:$A,'2012 Actuals_Auditor'!T1031&amp;'2012 Actuals_Auditor'!S1031,'Avoided Costs 2012-2020_EGD'!$E:$E)*J1031</f>
        <v>194074.35983945295</v>
      </c>
      <c r="V1031" s="65">
        <f>SUMIF('Avoided Costs 2012-2020_EGD'!$A:$A,'2012 Actuals_Auditor'!T1031&amp;'2012 Actuals_Auditor'!S1031,'Avoided Costs 2012-2020_EGD'!$K:$K)*N1031</f>
        <v>-242693.47098337192</v>
      </c>
      <c r="W1031" s="65">
        <f>SUMIF('Avoided Costs 2012-2020_EGD'!$A:$A,'2012 Actuals_Auditor'!T1031&amp;'2012 Actuals_Auditor'!S1031,'Avoided Costs 2012-2020_EGD'!$M:$M)*R1031</f>
        <v>0</v>
      </c>
      <c r="X1031" s="65">
        <f t="shared" si="390"/>
        <v>-48619.11114391897</v>
      </c>
      <c r="Y1031" s="146">
        <v>317500</v>
      </c>
      <c r="Z1031" s="66">
        <f t="shared" si="394"/>
        <v>234950</v>
      </c>
      <c r="AA1031" s="66">
        <v>8071</v>
      </c>
      <c r="AB1031" s="66"/>
      <c r="AC1031" s="66"/>
      <c r="AD1031" s="66">
        <f t="shared" si="395"/>
        <v>234950</v>
      </c>
      <c r="AE1031" s="66">
        <f t="shared" si="396"/>
        <v>-283569.11114391894</v>
      </c>
      <c r="AF1031" s="101">
        <f t="shared" si="397"/>
        <v>1427303.2714871154</v>
      </c>
      <c r="AG1031" s="101">
        <f t="shared" si="398"/>
        <v>1928788.204712318</v>
      </c>
    </row>
    <row r="1032" spans="1:33" s="68" customFormat="1" x14ac:dyDescent="0.2">
      <c r="A1032" s="147" t="s">
        <v>1154</v>
      </c>
      <c r="B1032" s="147"/>
      <c r="C1032" s="147"/>
      <c r="D1032" s="148">
        <v>1</v>
      </c>
      <c r="E1032" s="149"/>
      <c r="F1032" s="150">
        <v>0.26</v>
      </c>
      <c r="G1032" s="150"/>
      <c r="H1032" s="67">
        <v>88907</v>
      </c>
      <c r="I1032" s="67">
        <f t="shared" si="401"/>
        <v>84985.019782118179</v>
      </c>
      <c r="J1032" s="67">
        <f t="shared" si="391"/>
        <v>62888.914638767448</v>
      </c>
      <c r="K1032" s="63"/>
      <c r="L1032" s="149">
        <v>53208</v>
      </c>
      <c r="M1032" s="63">
        <f t="shared" si="377"/>
        <v>53208</v>
      </c>
      <c r="N1032" s="63">
        <f t="shared" si="392"/>
        <v>39373.919999999998</v>
      </c>
      <c r="O1032" s="69"/>
      <c r="P1032" s="149">
        <v>0</v>
      </c>
      <c r="Q1032" s="63">
        <f t="shared" si="402"/>
        <v>0</v>
      </c>
      <c r="R1032" s="64">
        <f t="shared" si="393"/>
        <v>0</v>
      </c>
      <c r="S1032" s="148">
        <v>25</v>
      </c>
      <c r="T1032" s="151" t="s">
        <v>71</v>
      </c>
      <c r="U1032" s="65">
        <f>SUMIF('Avoided Costs 2012-2020_EGD'!$A:$A,'2012 Actuals_Auditor'!T1032&amp;'2012 Actuals_Auditor'!S1032,'Avoided Costs 2012-2020_EGD'!$E:$E)*J1032</f>
        <v>213779.47653689963</v>
      </c>
      <c r="V1032" s="65">
        <f>SUMIF('Avoided Costs 2012-2020_EGD'!$A:$A,'2012 Actuals_Auditor'!T1032&amp;'2012 Actuals_Auditor'!S1032,'Avoided Costs 2012-2020_EGD'!$K:$K)*N1032</f>
        <v>55453.735873073463</v>
      </c>
      <c r="W1032" s="65">
        <f>SUMIF('Avoided Costs 2012-2020_EGD'!$A:$A,'2012 Actuals_Auditor'!T1032&amp;'2012 Actuals_Auditor'!S1032,'Avoided Costs 2012-2020_EGD'!$M:$M)*R1032</f>
        <v>0</v>
      </c>
      <c r="X1032" s="65">
        <f t="shared" si="390"/>
        <v>269233.21240997309</v>
      </c>
      <c r="Y1032" s="146">
        <v>213800</v>
      </c>
      <c r="Z1032" s="66">
        <f t="shared" si="394"/>
        <v>158212</v>
      </c>
      <c r="AA1032" s="66">
        <v>8890.66</v>
      </c>
      <c r="AB1032" s="66"/>
      <c r="AC1032" s="66"/>
      <c r="AD1032" s="66">
        <f t="shared" si="395"/>
        <v>158212</v>
      </c>
      <c r="AE1032" s="66">
        <f t="shared" si="396"/>
        <v>111021.21240997309</v>
      </c>
      <c r="AF1032" s="101">
        <f t="shared" si="397"/>
        <v>1572222.8659691862</v>
      </c>
      <c r="AG1032" s="101">
        <f t="shared" si="398"/>
        <v>2124625.4945529546</v>
      </c>
    </row>
    <row r="1033" spans="1:33" s="68" customFormat="1" x14ac:dyDescent="0.2">
      <c r="A1033" s="147" t="s">
        <v>1155</v>
      </c>
      <c r="B1033" s="147"/>
      <c r="C1033" s="147"/>
      <c r="D1033" s="148">
        <v>1</v>
      </c>
      <c r="E1033" s="149"/>
      <c r="F1033" s="150">
        <v>0.26</v>
      </c>
      <c r="G1033" s="150"/>
      <c r="H1033" s="67">
        <v>275395</v>
      </c>
      <c r="I1033" s="67">
        <f t="shared" si="401"/>
        <v>263246.42067437246</v>
      </c>
      <c r="J1033" s="67">
        <f t="shared" si="391"/>
        <v>194802.35129903562</v>
      </c>
      <c r="K1033" s="63"/>
      <c r="L1033" s="149">
        <v>863580</v>
      </c>
      <c r="M1033" s="63">
        <f t="shared" si="377"/>
        <v>863580</v>
      </c>
      <c r="N1033" s="63">
        <f t="shared" si="392"/>
        <v>639049.19999999995</v>
      </c>
      <c r="O1033" s="69"/>
      <c r="P1033" s="149">
        <v>0</v>
      </c>
      <c r="Q1033" s="63">
        <f t="shared" si="402"/>
        <v>0</v>
      </c>
      <c r="R1033" s="64">
        <f t="shared" si="393"/>
        <v>0</v>
      </c>
      <c r="S1033" s="148">
        <v>25</v>
      </c>
      <c r="T1033" s="151" t="s">
        <v>71</v>
      </c>
      <c r="U1033" s="65">
        <f>SUMIF('Avoided Costs 2012-2020_EGD'!$A:$A,'2012 Actuals_Auditor'!T1033&amp;'2012 Actuals_Auditor'!S1033,'Avoided Costs 2012-2020_EGD'!$E:$E)*J1033</f>
        <v>662195.315789302</v>
      </c>
      <c r="V1033" s="65">
        <f>SUMIF('Avoided Costs 2012-2020_EGD'!$A:$A,'2012 Actuals_Auditor'!T1033&amp;'2012 Actuals_Auditor'!S1033,'Avoided Costs 2012-2020_EGD'!$K:$K)*N1033</f>
        <v>900028.89086732781</v>
      </c>
      <c r="W1033" s="65">
        <f>SUMIF('Avoided Costs 2012-2020_EGD'!$A:$A,'2012 Actuals_Auditor'!T1033&amp;'2012 Actuals_Auditor'!S1033,'Avoided Costs 2012-2020_EGD'!$M:$M)*R1033</f>
        <v>0</v>
      </c>
      <c r="X1033" s="65">
        <f t="shared" si="390"/>
        <v>1562224.2066566297</v>
      </c>
      <c r="Y1033" s="146">
        <v>655700</v>
      </c>
      <c r="Z1033" s="66">
        <f t="shared" si="394"/>
        <v>485218</v>
      </c>
      <c r="AA1033" s="66">
        <v>27539.48</v>
      </c>
      <c r="AB1033" s="66"/>
      <c r="AC1033" s="66"/>
      <c r="AD1033" s="66">
        <f t="shared" si="395"/>
        <v>485218</v>
      </c>
      <c r="AE1033" s="66">
        <f t="shared" si="396"/>
        <v>1077006.2066566297</v>
      </c>
      <c r="AF1033" s="101">
        <f t="shared" si="397"/>
        <v>4870058.7824758906</v>
      </c>
      <c r="AG1033" s="101">
        <f t="shared" si="398"/>
        <v>6581160.5168593116</v>
      </c>
    </row>
    <row r="1034" spans="1:33" s="68" customFormat="1" x14ac:dyDescent="0.2">
      <c r="A1034" s="147" t="s">
        <v>1156</v>
      </c>
      <c r="B1034" s="147"/>
      <c r="C1034" s="147"/>
      <c r="D1034" s="148">
        <v>0</v>
      </c>
      <c r="E1034" s="149"/>
      <c r="F1034" s="150">
        <v>0.26</v>
      </c>
      <c r="G1034" s="150"/>
      <c r="H1034" s="67">
        <v>12960</v>
      </c>
      <c r="I1034" s="67">
        <f t="shared" si="401"/>
        <v>12388.291769784737</v>
      </c>
      <c r="J1034" s="67">
        <f t="shared" si="391"/>
        <v>9167.3359096407057</v>
      </c>
      <c r="K1034" s="63"/>
      <c r="L1034" s="149">
        <v>0</v>
      </c>
      <c r="M1034" s="63">
        <f t="shared" si="377"/>
        <v>0</v>
      </c>
      <c r="N1034" s="63">
        <f t="shared" si="392"/>
        <v>0</v>
      </c>
      <c r="O1034" s="69"/>
      <c r="P1034" s="149">
        <v>0</v>
      </c>
      <c r="Q1034" s="63">
        <f t="shared" si="402"/>
        <v>0</v>
      </c>
      <c r="R1034" s="64">
        <f t="shared" si="393"/>
        <v>0</v>
      </c>
      <c r="S1034" s="148">
        <v>25</v>
      </c>
      <c r="T1034" s="151" t="s">
        <v>71</v>
      </c>
      <c r="U1034" s="65">
        <f>SUMIF('Avoided Costs 2012-2020_EGD'!$A:$A,'2012 Actuals_Auditor'!T1034&amp;'2012 Actuals_Auditor'!S1034,'Avoided Costs 2012-2020_EGD'!$E:$E)*J1034</f>
        <v>31162.698279305561</v>
      </c>
      <c r="V1034" s="65">
        <f>SUMIF('Avoided Costs 2012-2020_EGD'!$A:$A,'2012 Actuals_Auditor'!T1034&amp;'2012 Actuals_Auditor'!S1034,'Avoided Costs 2012-2020_EGD'!$K:$K)*N1034</f>
        <v>0</v>
      </c>
      <c r="W1034" s="65">
        <f>SUMIF('Avoided Costs 2012-2020_EGD'!$A:$A,'2012 Actuals_Auditor'!T1034&amp;'2012 Actuals_Auditor'!S1034,'Avoided Costs 2012-2020_EGD'!$M:$M)*R1034</f>
        <v>0</v>
      </c>
      <c r="X1034" s="65">
        <f t="shared" si="390"/>
        <v>31162.698279305561</v>
      </c>
      <c r="Y1034" s="146">
        <v>6400</v>
      </c>
      <c r="Z1034" s="66">
        <f t="shared" si="394"/>
        <v>4736</v>
      </c>
      <c r="AA1034" s="66">
        <v>1296</v>
      </c>
      <c r="AB1034" s="66"/>
      <c r="AC1034" s="66"/>
      <c r="AD1034" s="66">
        <f t="shared" si="395"/>
        <v>4736</v>
      </c>
      <c r="AE1034" s="66">
        <f t="shared" si="396"/>
        <v>26426.698279305561</v>
      </c>
      <c r="AF1034" s="101">
        <f t="shared" si="397"/>
        <v>229183.39774101763</v>
      </c>
      <c r="AG1034" s="101">
        <f t="shared" si="398"/>
        <v>309707.29424461845</v>
      </c>
    </row>
    <row r="1035" spans="1:33" s="68" customFormat="1" x14ac:dyDescent="0.2">
      <c r="A1035" s="147" t="s">
        <v>1157</v>
      </c>
      <c r="B1035" s="147"/>
      <c r="C1035" s="147"/>
      <c r="D1035" s="148">
        <v>1</v>
      </c>
      <c r="E1035" s="149"/>
      <c r="F1035" s="150">
        <v>0.26</v>
      </c>
      <c r="G1035" s="150"/>
      <c r="H1035" s="67">
        <v>44868</v>
      </c>
      <c r="I1035" s="67">
        <f t="shared" si="401"/>
        <v>42888.724932615864</v>
      </c>
      <c r="J1035" s="67">
        <f t="shared" si="391"/>
        <v>31737.656450135739</v>
      </c>
      <c r="K1035" s="63"/>
      <c r="L1035" s="149">
        <v>0</v>
      </c>
      <c r="M1035" s="63">
        <f t="shared" si="377"/>
        <v>0</v>
      </c>
      <c r="N1035" s="63">
        <f t="shared" si="392"/>
        <v>0</v>
      </c>
      <c r="O1035" s="69"/>
      <c r="P1035" s="149">
        <v>0</v>
      </c>
      <c r="Q1035" s="63">
        <f t="shared" si="402"/>
        <v>0</v>
      </c>
      <c r="R1035" s="64">
        <f t="shared" si="393"/>
        <v>0</v>
      </c>
      <c r="S1035" s="148">
        <v>25</v>
      </c>
      <c r="T1035" s="151" t="s">
        <v>71</v>
      </c>
      <c r="U1035" s="65">
        <f>SUMIF('Avoided Costs 2012-2020_EGD'!$A:$A,'2012 Actuals_Auditor'!T1035&amp;'2012 Actuals_Auditor'!S1035,'Avoided Costs 2012-2020_EGD'!$E:$E)*J1035</f>
        <v>107886.4156169662</v>
      </c>
      <c r="V1035" s="65">
        <f>SUMIF('Avoided Costs 2012-2020_EGD'!$A:$A,'2012 Actuals_Auditor'!T1035&amp;'2012 Actuals_Auditor'!S1035,'Avoided Costs 2012-2020_EGD'!$K:$K)*N1035</f>
        <v>0</v>
      </c>
      <c r="W1035" s="65">
        <f>SUMIF('Avoided Costs 2012-2020_EGD'!$A:$A,'2012 Actuals_Auditor'!T1035&amp;'2012 Actuals_Auditor'!S1035,'Avoided Costs 2012-2020_EGD'!$M:$M)*R1035</f>
        <v>0</v>
      </c>
      <c r="X1035" s="65">
        <f t="shared" si="390"/>
        <v>107886.4156169662</v>
      </c>
      <c r="Y1035" s="146">
        <v>60182</v>
      </c>
      <c r="Z1035" s="66">
        <f t="shared" si="394"/>
        <v>44534.68</v>
      </c>
      <c r="AA1035" s="66">
        <v>5174</v>
      </c>
      <c r="AB1035" s="66"/>
      <c r="AC1035" s="66"/>
      <c r="AD1035" s="66">
        <f t="shared" si="395"/>
        <v>44534.68</v>
      </c>
      <c r="AE1035" s="66">
        <f t="shared" si="396"/>
        <v>63351.735616966202</v>
      </c>
      <c r="AF1035" s="101">
        <f t="shared" si="397"/>
        <v>793441.41125339351</v>
      </c>
      <c r="AG1035" s="101">
        <f t="shared" si="398"/>
        <v>1072218.1233153965</v>
      </c>
    </row>
    <row r="1036" spans="1:33" s="68" customFormat="1" x14ac:dyDescent="0.2">
      <c r="A1036" s="147" t="s">
        <v>1158</v>
      </c>
      <c r="B1036" s="147"/>
      <c r="C1036" s="147"/>
      <c r="D1036" s="148">
        <v>1</v>
      </c>
      <c r="E1036" s="149"/>
      <c r="F1036" s="150">
        <v>0.26</v>
      </c>
      <c r="G1036" s="150"/>
      <c r="H1036" s="67">
        <v>67976</v>
      </c>
      <c r="I1036" s="67">
        <f t="shared" si="401"/>
        <v>64977.355041889445</v>
      </c>
      <c r="J1036" s="67">
        <f t="shared" si="391"/>
        <v>48083.242730998187</v>
      </c>
      <c r="K1036" s="63"/>
      <c r="L1036" s="149">
        <v>-91034</v>
      </c>
      <c r="M1036" s="63">
        <f t="shared" si="377"/>
        <v>-91034</v>
      </c>
      <c r="N1036" s="63">
        <f t="shared" si="392"/>
        <v>-67365.16</v>
      </c>
      <c r="O1036" s="69"/>
      <c r="P1036" s="149">
        <v>0</v>
      </c>
      <c r="Q1036" s="63">
        <f t="shared" si="402"/>
        <v>0</v>
      </c>
      <c r="R1036" s="64">
        <f t="shared" si="393"/>
        <v>0</v>
      </c>
      <c r="S1036" s="148">
        <v>25</v>
      </c>
      <c r="T1036" s="151" t="s">
        <v>71</v>
      </c>
      <c r="U1036" s="65">
        <f>SUMIF('Avoided Costs 2012-2020_EGD'!$A:$A,'2012 Actuals_Auditor'!T1036&amp;'2012 Actuals_Auditor'!S1036,'Avoided Costs 2012-2020_EGD'!$E:$E)*J1036</f>
        <v>163450.27609830821</v>
      </c>
      <c r="V1036" s="65">
        <f>SUMIF('Avoided Costs 2012-2020_EGD'!$A:$A,'2012 Actuals_Auditor'!T1036&amp;'2012 Actuals_Auditor'!S1036,'Avoided Costs 2012-2020_EGD'!$K:$K)*N1036</f>
        <v>-94876.247772315633</v>
      </c>
      <c r="W1036" s="65">
        <f>SUMIF('Avoided Costs 2012-2020_EGD'!$A:$A,'2012 Actuals_Auditor'!T1036&amp;'2012 Actuals_Auditor'!S1036,'Avoided Costs 2012-2020_EGD'!$M:$M)*R1036</f>
        <v>0</v>
      </c>
      <c r="X1036" s="65">
        <f t="shared" si="390"/>
        <v>68574.028325992578</v>
      </c>
      <c r="Y1036" s="146">
        <v>135000</v>
      </c>
      <c r="Z1036" s="66">
        <f t="shared" si="394"/>
        <v>99900</v>
      </c>
      <c r="AA1036" s="66">
        <v>6797.58</v>
      </c>
      <c r="AB1036" s="66"/>
      <c r="AC1036" s="66"/>
      <c r="AD1036" s="66">
        <f t="shared" si="395"/>
        <v>99900</v>
      </c>
      <c r="AE1036" s="66">
        <f t="shared" si="396"/>
        <v>-31325.971674007422</v>
      </c>
      <c r="AF1036" s="101">
        <f t="shared" si="397"/>
        <v>1202081.0682749546</v>
      </c>
      <c r="AG1036" s="101">
        <f t="shared" si="398"/>
        <v>1624433.8760472361</v>
      </c>
    </row>
    <row r="1037" spans="1:33" s="68" customFormat="1" x14ac:dyDescent="0.2">
      <c r="A1037" s="141" t="s">
        <v>1159</v>
      </c>
      <c r="B1037" s="141"/>
      <c r="C1037" s="141"/>
      <c r="D1037" s="142">
        <v>1</v>
      </c>
      <c r="E1037" s="143"/>
      <c r="F1037" s="144">
        <v>0.26</v>
      </c>
      <c r="G1037" s="144"/>
      <c r="H1037" s="67">
        <v>79339</v>
      </c>
      <c r="I1037" s="67">
        <f t="shared" si="401"/>
        <v>75839.095734795614</v>
      </c>
      <c r="J1037" s="67">
        <f t="shared" si="391"/>
        <v>56120.930843748756</v>
      </c>
      <c r="K1037" s="143"/>
      <c r="L1037" s="143">
        <v>900029</v>
      </c>
      <c r="M1037" s="63">
        <f t="shared" si="377"/>
        <v>900029</v>
      </c>
      <c r="N1037" s="63">
        <f t="shared" si="392"/>
        <v>666021.46</v>
      </c>
      <c r="O1037" s="143"/>
      <c r="P1037" s="143">
        <v>0</v>
      </c>
      <c r="Q1037" s="63">
        <f t="shared" si="402"/>
        <v>0</v>
      </c>
      <c r="R1037" s="64">
        <f t="shared" si="393"/>
        <v>0</v>
      </c>
      <c r="S1037" s="142">
        <v>25</v>
      </c>
      <c r="T1037" s="145" t="s">
        <v>71</v>
      </c>
      <c r="U1037" s="65">
        <f>SUMIF('Avoided Costs 2012-2020_EGD'!$A:$A,'2012 Actuals_Auditor'!T1037&amp;'2012 Actuals_Auditor'!S1037,'Avoided Costs 2012-2020_EGD'!$E:$E)*J1037</f>
        <v>190772.94126402962</v>
      </c>
      <c r="V1037" s="65">
        <f>SUMIF('Avoided Costs 2012-2020_EGD'!$A:$A,'2012 Actuals_Auditor'!T1037&amp;'2012 Actuals_Auditor'!S1037,'Avoided Costs 2012-2020_EGD'!$K:$K)*N1037</f>
        <v>938016.28409461805</v>
      </c>
      <c r="W1037" s="65">
        <f>SUMIF('Avoided Costs 2012-2020_EGD'!$A:$A,'2012 Actuals_Auditor'!T1037&amp;'2012 Actuals_Auditor'!S1037,'Avoided Costs 2012-2020_EGD'!$M:$M)*R1037</f>
        <v>0</v>
      </c>
      <c r="X1037" s="65">
        <f t="shared" si="390"/>
        <v>1128789.2253586478</v>
      </c>
      <c r="Y1037" s="146">
        <v>324000</v>
      </c>
      <c r="Z1037" s="66">
        <f t="shared" si="394"/>
        <v>239760</v>
      </c>
      <c r="AA1037" s="66">
        <v>7934</v>
      </c>
      <c r="AB1037" s="66"/>
      <c r="AC1037" s="66"/>
      <c r="AD1037" s="66">
        <f t="shared" si="395"/>
        <v>239760</v>
      </c>
      <c r="AE1037" s="66">
        <f t="shared" si="396"/>
        <v>889029.22535864776</v>
      </c>
      <c r="AF1037" s="101">
        <f t="shared" si="397"/>
        <v>1403023.2710937189</v>
      </c>
      <c r="AG1037" s="101">
        <f t="shared" si="398"/>
        <v>1895977.3933698903</v>
      </c>
    </row>
    <row r="1038" spans="1:33" s="68" customFormat="1" x14ac:dyDescent="0.2">
      <c r="A1038" s="141" t="s">
        <v>1160</v>
      </c>
      <c r="B1038" s="141"/>
      <c r="C1038" s="141"/>
      <c r="D1038" s="142">
        <v>1</v>
      </c>
      <c r="E1038" s="143"/>
      <c r="F1038" s="144">
        <v>0.26</v>
      </c>
      <c r="G1038" s="144"/>
      <c r="H1038" s="67">
        <v>131274</v>
      </c>
      <c r="I1038" s="67">
        <f t="shared" si="401"/>
        <v>125483.07205144456</v>
      </c>
      <c r="J1038" s="67">
        <f t="shared" si="391"/>
        <v>92857.473318068965</v>
      </c>
      <c r="K1038" s="143"/>
      <c r="L1038" s="143">
        <v>562219</v>
      </c>
      <c r="M1038" s="63">
        <f t="shared" si="377"/>
        <v>562219</v>
      </c>
      <c r="N1038" s="63">
        <f t="shared" si="392"/>
        <v>416042.06</v>
      </c>
      <c r="O1038" s="143"/>
      <c r="P1038" s="143">
        <v>0</v>
      </c>
      <c r="Q1038" s="63">
        <f t="shared" si="402"/>
        <v>0</v>
      </c>
      <c r="R1038" s="64">
        <f t="shared" si="393"/>
        <v>0</v>
      </c>
      <c r="S1038" s="142">
        <v>25</v>
      </c>
      <c r="T1038" s="145" t="s">
        <v>71</v>
      </c>
      <c r="U1038" s="65">
        <f>SUMIF('Avoided Costs 2012-2020_EGD'!$A:$A,'2012 Actuals_Auditor'!T1038&amp;'2012 Actuals_Auditor'!S1038,'Avoided Costs 2012-2020_EGD'!$E:$E)*J1038</f>
        <v>315652.16465413256</v>
      </c>
      <c r="V1038" s="65">
        <f>SUMIF('Avoided Costs 2012-2020_EGD'!$A:$A,'2012 Actuals_Auditor'!T1038&amp;'2012 Actuals_Auditor'!S1038,'Avoided Costs 2012-2020_EGD'!$K:$K)*N1038</f>
        <v>585948.42746999499</v>
      </c>
      <c r="W1038" s="65">
        <f>SUMIF('Avoided Costs 2012-2020_EGD'!$A:$A,'2012 Actuals_Auditor'!T1038&amp;'2012 Actuals_Auditor'!S1038,'Avoided Costs 2012-2020_EGD'!$M:$M)*R1038</f>
        <v>0</v>
      </c>
      <c r="X1038" s="65">
        <f t="shared" si="390"/>
        <v>901600.59212412755</v>
      </c>
      <c r="Y1038" s="146">
        <v>210529</v>
      </c>
      <c r="Z1038" s="66">
        <f t="shared" si="394"/>
        <v>155791.46</v>
      </c>
      <c r="AA1038" s="66">
        <v>18481.900000000001</v>
      </c>
      <c r="AB1038" s="66"/>
      <c r="AC1038" s="66"/>
      <c r="AD1038" s="66">
        <f t="shared" si="395"/>
        <v>155791.46</v>
      </c>
      <c r="AE1038" s="66">
        <f t="shared" si="396"/>
        <v>745809.13212412759</v>
      </c>
      <c r="AF1038" s="101">
        <f t="shared" si="397"/>
        <v>2321436.8329517241</v>
      </c>
      <c r="AG1038" s="101">
        <f t="shared" si="398"/>
        <v>3137076.8012861139</v>
      </c>
    </row>
    <row r="1039" spans="1:33" s="68" customFormat="1" x14ac:dyDescent="0.2">
      <c r="A1039" s="141" t="s">
        <v>1161</v>
      </c>
      <c r="B1039" s="141"/>
      <c r="C1039" s="141"/>
      <c r="D1039" s="142">
        <v>1</v>
      </c>
      <c r="E1039" s="143"/>
      <c r="F1039" s="144">
        <v>0.26</v>
      </c>
      <c r="G1039" s="144"/>
      <c r="H1039" s="67">
        <v>29386</v>
      </c>
      <c r="I1039" s="67">
        <f t="shared" si="401"/>
        <v>28089.686878618384</v>
      </c>
      <c r="J1039" s="67">
        <f t="shared" si="391"/>
        <v>20786.368290177605</v>
      </c>
      <c r="K1039" s="143"/>
      <c r="L1039" s="143">
        <v>224868</v>
      </c>
      <c r="M1039" s="63">
        <f t="shared" si="377"/>
        <v>224868</v>
      </c>
      <c r="N1039" s="63">
        <f t="shared" si="392"/>
        <v>166402.32</v>
      </c>
      <c r="O1039" s="143"/>
      <c r="P1039" s="143">
        <v>0</v>
      </c>
      <c r="Q1039" s="63">
        <f t="shared" si="402"/>
        <v>0</v>
      </c>
      <c r="R1039" s="64">
        <f t="shared" si="393"/>
        <v>0</v>
      </c>
      <c r="S1039" s="142">
        <v>25</v>
      </c>
      <c r="T1039" s="145" t="s">
        <v>71</v>
      </c>
      <c r="U1039" s="65">
        <f>SUMIF('Avoided Costs 2012-2020_EGD'!$A:$A,'2012 Actuals_Auditor'!T1039&amp;'2012 Actuals_Auditor'!S1039,'Avoided Costs 2012-2020_EGD'!$E:$E)*J1039</f>
        <v>70659.494724974778</v>
      </c>
      <c r="V1039" s="65">
        <f>SUMIF('Avoided Costs 2012-2020_EGD'!$A:$A,'2012 Actuals_Auditor'!T1039&amp;'2012 Actuals_Auditor'!S1039,'Avoided Costs 2012-2020_EGD'!$K:$K)*N1039</f>
        <v>234358.94373602248</v>
      </c>
      <c r="W1039" s="65">
        <f>SUMIF('Avoided Costs 2012-2020_EGD'!$A:$A,'2012 Actuals_Auditor'!T1039&amp;'2012 Actuals_Auditor'!S1039,'Avoided Costs 2012-2020_EGD'!$M:$M)*R1039</f>
        <v>0</v>
      </c>
      <c r="X1039" s="65">
        <f t="shared" ref="X1039:X1045" si="403">SUM(U1039:W1039)</f>
        <v>305018.43846099725</v>
      </c>
      <c r="Y1039" s="146">
        <v>225071.42</v>
      </c>
      <c r="Z1039" s="66">
        <f t="shared" si="394"/>
        <v>166552.85080000001</v>
      </c>
      <c r="AA1039" s="66">
        <v>5080</v>
      </c>
      <c r="AB1039" s="66"/>
      <c r="AC1039" s="66"/>
      <c r="AD1039" s="66">
        <f t="shared" si="395"/>
        <v>166552.85080000001</v>
      </c>
      <c r="AE1039" s="66">
        <f t="shared" si="396"/>
        <v>138465.58766099723</v>
      </c>
      <c r="AF1039" s="101">
        <f t="shared" si="397"/>
        <v>519659.20725444012</v>
      </c>
      <c r="AG1039" s="101">
        <f t="shared" si="398"/>
        <v>702242.17196545959</v>
      </c>
    </row>
    <row r="1040" spans="1:33" s="68" customFormat="1" x14ac:dyDescent="0.2">
      <c r="A1040" s="147" t="s">
        <v>1162</v>
      </c>
      <c r="B1040" s="147"/>
      <c r="C1040" s="147"/>
      <c r="D1040" s="148">
        <v>1</v>
      </c>
      <c r="E1040" s="149"/>
      <c r="F1040" s="150">
        <v>0.26</v>
      </c>
      <c r="G1040" s="150"/>
      <c r="H1040" s="67">
        <v>49779</v>
      </c>
      <c r="I1040" s="67">
        <f t="shared" si="401"/>
        <v>47583.084568527345</v>
      </c>
      <c r="J1040" s="67">
        <f t="shared" ref="J1040:J1047" si="404">I1040*(1-F1040)</f>
        <v>35211.482580710232</v>
      </c>
      <c r="K1040" s="63"/>
      <c r="L1040" s="149">
        <v>146505</v>
      </c>
      <c r="M1040" s="63">
        <f t="shared" si="377"/>
        <v>146505</v>
      </c>
      <c r="N1040" s="63">
        <f t="shared" ref="N1040:N1047" si="405">M1040*(1-F1040)</f>
        <v>108413.7</v>
      </c>
      <c r="O1040" s="69"/>
      <c r="P1040" s="149">
        <v>0</v>
      </c>
      <c r="Q1040" s="63">
        <f t="shared" si="402"/>
        <v>0</v>
      </c>
      <c r="R1040" s="64">
        <f t="shared" ref="R1040:R1047" si="406">Q1040*(1-F1040)</f>
        <v>0</v>
      </c>
      <c r="S1040" s="148">
        <v>25</v>
      </c>
      <c r="T1040" s="151" t="s">
        <v>71</v>
      </c>
      <c r="U1040" s="65">
        <f>SUMIF('Avoided Costs 2012-2020_EGD'!$A:$A,'2012 Actuals_Auditor'!T1040&amp;'2012 Actuals_Auditor'!S1040,'Avoided Costs 2012-2020_EGD'!$E:$E)*J1040</f>
        <v>119695.05846030489</v>
      </c>
      <c r="V1040" s="65">
        <f>SUMIF('Avoided Costs 2012-2020_EGD'!$A:$A,'2012 Actuals_Auditor'!T1040&amp;'2012 Actuals_Auditor'!S1040,'Avoided Costs 2012-2020_EGD'!$K:$K)*N1040</f>
        <v>152688.49748317222</v>
      </c>
      <c r="W1040" s="65">
        <f>SUMIF('Avoided Costs 2012-2020_EGD'!$A:$A,'2012 Actuals_Auditor'!T1040&amp;'2012 Actuals_Auditor'!S1040,'Avoided Costs 2012-2020_EGD'!$M:$M)*R1040</f>
        <v>0</v>
      </c>
      <c r="X1040" s="65">
        <f t="shared" si="403"/>
        <v>272383.55594347708</v>
      </c>
      <c r="Y1040" s="146">
        <v>192924</v>
      </c>
      <c r="Z1040" s="66">
        <f t="shared" ref="Z1040:Z1047" si="407">Y1040*(1-F1040)</f>
        <v>142763.76</v>
      </c>
      <c r="AA1040" s="66">
        <v>6373</v>
      </c>
      <c r="AB1040" s="66"/>
      <c r="AC1040" s="66"/>
      <c r="AD1040" s="66">
        <f t="shared" ref="AD1040:AD1048" si="408">Z1040+AB1040</f>
        <v>142763.76</v>
      </c>
      <c r="AE1040" s="66">
        <f t="shared" ref="AE1040:AE1071" si="409">X1040-AD1040</f>
        <v>129619.79594347707</v>
      </c>
      <c r="AF1040" s="101">
        <f t="shared" ref="AF1040:AF1047" si="410">J1040*S1040</f>
        <v>880287.06451775576</v>
      </c>
      <c r="AG1040" s="101">
        <f t="shared" ref="AG1040:AG1047" si="411">(I1040*S1040)</f>
        <v>1189577.1142131835</v>
      </c>
    </row>
    <row r="1041" spans="1:33" s="68" customFormat="1" x14ac:dyDescent="0.2">
      <c r="A1041" s="141" t="s">
        <v>1163</v>
      </c>
      <c r="B1041" s="141"/>
      <c r="C1041" s="141"/>
      <c r="D1041" s="142">
        <v>1</v>
      </c>
      <c r="E1041" s="143"/>
      <c r="F1041" s="144">
        <v>0.26</v>
      </c>
      <c r="G1041" s="144"/>
      <c r="H1041" s="67">
        <v>29419</v>
      </c>
      <c r="I1041" s="67">
        <f t="shared" si="401"/>
        <v>28121.231140069223</v>
      </c>
      <c r="J1041" s="67">
        <f t="shared" si="404"/>
        <v>20809.711043651227</v>
      </c>
      <c r="K1041" s="143"/>
      <c r="L1041" s="143">
        <v>-27835</v>
      </c>
      <c r="M1041" s="63">
        <f t="shared" si="377"/>
        <v>-27835</v>
      </c>
      <c r="N1041" s="63">
        <f t="shared" si="405"/>
        <v>-20597.900000000001</v>
      </c>
      <c r="O1041" s="143"/>
      <c r="P1041" s="143">
        <v>0</v>
      </c>
      <c r="Q1041" s="63">
        <f t="shared" si="402"/>
        <v>0</v>
      </c>
      <c r="R1041" s="64">
        <f t="shared" si="406"/>
        <v>0</v>
      </c>
      <c r="S1041" s="142">
        <v>25</v>
      </c>
      <c r="T1041" s="145" t="s">
        <v>71</v>
      </c>
      <c r="U1041" s="65">
        <f>SUMIF('Avoided Costs 2012-2020_EGD'!$A:$A,'2012 Actuals_Auditor'!T1041&amp;'2012 Actuals_Auditor'!S1041,'Avoided Costs 2012-2020_EGD'!$E:$E)*J1041</f>
        <v>70738.844188185976</v>
      </c>
      <c r="V1041" s="65">
        <f>SUMIF('Avoided Costs 2012-2020_EGD'!$A:$A,'2012 Actuals_Auditor'!T1041&amp;'2012 Actuals_Auditor'!S1041,'Avoided Costs 2012-2020_EGD'!$K:$K)*N1041</f>
        <v>-29009.824425405954</v>
      </c>
      <c r="W1041" s="65">
        <f>SUMIF('Avoided Costs 2012-2020_EGD'!$A:$A,'2012 Actuals_Auditor'!T1041&amp;'2012 Actuals_Auditor'!S1041,'Avoided Costs 2012-2020_EGD'!$M:$M)*R1041</f>
        <v>0</v>
      </c>
      <c r="X1041" s="65">
        <f t="shared" si="403"/>
        <v>41729.019762780023</v>
      </c>
      <c r="Y1041" s="146">
        <v>122400</v>
      </c>
      <c r="Z1041" s="66">
        <f t="shared" si="407"/>
        <v>90576</v>
      </c>
      <c r="AA1041" s="66">
        <v>2941.9</v>
      </c>
      <c r="AB1041" s="66"/>
      <c r="AC1041" s="66"/>
      <c r="AD1041" s="66">
        <f t="shared" si="408"/>
        <v>90576</v>
      </c>
      <c r="AE1041" s="66">
        <f t="shared" si="409"/>
        <v>-48846.980237219977</v>
      </c>
      <c r="AF1041" s="101">
        <f t="shared" si="410"/>
        <v>520242.77609128068</v>
      </c>
      <c r="AG1041" s="101">
        <f t="shared" si="411"/>
        <v>703030.77850173053</v>
      </c>
    </row>
    <row r="1042" spans="1:33" s="68" customFormat="1" x14ac:dyDescent="0.2">
      <c r="A1042" s="141" t="s">
        <v>1164</v>
      </c>
      <c r="B1042" s="141"/>
      <c r="C1042" s="141"/>
      <c r="D1042" s="142">
        <v>1</v>
      </c>
      <c r="E1042" s="143"/>
      <c r="F1042" s="144">
        <v>0.26</v>
      </c>
      <c r="G1042" s="144"/>
      <c r="H1042" s="67">
        <v>7202</v>
      </c>
      <c r="I1042" s="67">
        <f t="shared" si="401"/>
        <v>6884.2960899683385</v>
      </c>
      <c r="J1042" s="67">
        <f t="shared" si="404"/>
        <v>5094.3791065765708</v>
      </c>
      <c r="K1042" s="143"/>
      <c r="L1042" s="143">
        <v>100712</v>
      </c>
      <c r="M1042" s="63">
        <f t="shared" si="377"/>
        <v>100712</v>
      </c>
      <c r="N1042" s="63">
        <f t="shared" si="405"/>
        <v>74526.880000000005</v>
      </c>
      <c r="O1042" s="143"/>
      <c r="P1042" s="143">
        <v>0</v>
      </c>
      <c r="Q1042" s="63">
        <f t="shared" si="402"/>
        <v>0</v>
      </c>
      <c r="R1042" s="64">
        <f t="shared" si="406"/>
        <v>0</v>
      </c>
      <c r="S1042" s="142">
        <v>25</v>
      </c>
      <c r="T1042" s="145" t="s">
        <v>71</v>
      </c>
      <c r="U1042" s="65">
        <f>SUMIF('Avoided Costs 2012-2020_EGD'!$A:$A,'2012 Actuals_Auditor'!T1042&amp;'2012 Actuals_Auditor'!S1042,'Avoided Costs 2012-2020_EGD'!$E:$E)*J1042</f>
        <v>17317.419213546193</v>
      </c>
      <c r="V1042" s="65">
        <f>SUMIF('Avoided Costs 2012-2020_EGD'!$A:$A,'2012 Actuals_Auditor'!T1042&amp;'2012 Actuals_Auditor'!S1042,'Avoided Costs 2012-2020_EGD'!$K:$K)*N1042</f>
        <v>104962.72453858396</v>
      </c>
      <c r="W1042" s="65">
        <f>SUMIF('Avoided Costs 2012-2020_EGD'!$A:$A,'2012 Actuals_Auditor'!T1042&amp;'2012 Actuals_Auditor'!S1042,'Avoided Costs 2012-2020_EGD'!$M:$M)*R1042</f>
        <v>0</v>
      </c>
      <c r="X1042" s="65">
        <f t="shared" si="403"/>
        <v>122280.14375213016</v>
      </c>
      <c r="Y1042" s="146">
        <v>32422</v>
      </c>
      <c r="Z1042" s="66">
        <f t="shared" si="407"/>
        <v>23992.28</v>
      </c>
      <c r="AA1042" s="66">
        <v>1679</v>
      </c>
      <c r="AB1042" s="66"/>
      <c r="AC1042" s="66"/>
      <c r="AD1042" s="66">
        <f t="shared" si="408"/>
        <v>23992.28</v>
      </c>
      <c r="AE1042" s="66">
        <f t="shared" si="409"/>
        <v>98287.863752130157</v>
      </c>
      <c r="AF1042" s="101">
        <f t="shared" si="410"/>
        <v>127359.47766441427</v>
      </c>
      <c r="AG1042" s="101">
        <f t="shared" si="411"/>
        <v>172107.40224920848</v>
      </c>
    </row>
    <row r="1043" spans="1:33" s="68" customFormat="1" x14ac:dyDescent="0.2">
      <c r="A1043" s="141" t="s">
        <v>1165</v>
      </c>
      <c r="B1043" s="141"/>
      <c r="C1043" s="141"/>
      <c r="D1043" s="142">
        <v>1</v>
      </c>
      <c r="E1043" s="143"/>
      <c r="F1043" s="144">
        <v>0.26</v>
      </c>
      <c r="G1043" s="144"/>
      <c r="H1043" s="67">
        <v>24076</v>
      </c>
      <c r="I1043" s="67">
        <f t="shared" si="401"/>
        <v>23013.928445164915</v>
      </c>
      <c r="J1043" s="67">
        <f t="shared" si="404"/>
        <v>17030.307049422037</v>
      </c>
      <c r="K1043" s="143"/>
      <c r="L1043" s="143">
        <v>10870</v>
      </c>
      <c r="M1043" s="63">
        <f t="shared" si="377"/>
        <v>10870</v>
      </c>
      <c r="N1043" s="63">
        <f t="shared" si="405"/>
        <v>8043.8</v>
      </c>
      <c r="O1043" s="143"/>
      <c r="P1043" s="143">
        <v>0</v>
      </c>
      <c r="Q1043" s="63">
        <f t="shared" si="402"/>
        <v>0</v>
      </c>
      <c r="R1043" s="64">
        <f t="shared" si="406"/>
        <v>0</v>
      </c>
      <c r="S1043" s="142">
        <v>25</v>
      </c>
      <c r="T1043" s="145" t="s">
        <v>71</v>
      </c>
      <c r="U1043" s="65">
        <f>SUMIF('Avoided Costs 2012-2020_EGD'!$A:$A,'2012 Actuals_Auditor'!T1043&amp;'2012 Actuals_Auditor'!S1043,'Avoided Costs 2012-2020_EGD'!$E:$E)*J1043</f>
        <v>57891.444735537087</v>
      </c>
      <c r="V1043" s="65">
        <f>SUMIF('Avoided Costs 2012-2020_EGD'!$A:$A,'2012 Actuals_Auditor'!T1043&amp;'2012 Actuals_Auditor'!S1043,'Avoided Costs 2012-2020_EGD'!$K:$K)*N1043</f>
        <v>11328.787192533238</v>
      </c>
      <c r="W1043" s="65">
        <f>SUMIF('Avoided Costs 2012-2020_EGD'!$A:$A,'2012 Actuals_Auditor'!T1043&amp;'2012 Actuals_Auditor'!S1043,'Avoided Costs 2012-2020_EGD'!$M:$M)*R1043</f>
        <v>0</v>
      </c>
      <c r="X1043" s="65">
        <f t="shared" si="403"/>
        <v>69220.231928070323</v>
      </c>
      <c r="Y1043" s="146">
        <v>20970</v>
      </c>
      <c r="Z1043" s="66">
        <f t="shared" si="407"/>
        <v>15517.8</v>
      </c>
      <c r="AA1043" s="66">
        <v>2408</v>
      </c>
      <c r="AB1043" s="66"/>
      <c r="AC1043" s="66"/>
      <c r="AD1043" s="66">
        <f t="shared" si="408"/>
        <v>15517.8</v>
      </c>
      <c r="AE1043" s="66">
        <f t="shared" si="409"/>
        <v>53702.43192807032</v>
      </c>
      <c r="AF1043" s="101">
        <f t="shared" si="410"/>
        <v>425757.67623555096</v>
      </c>
      <c r="AG1043" s="101">
        <f t="shared" si="411"/>
        <v>575348.21112912288</v>
      </c>
    </row>
    <row r="1044" spans="1:33" s="68" customFormat="1" x14ac:dyDescent="0.2">
      <c r="A1044" s="141" t="s">
        <v>1166</v>
      </c>
      <c r="B1044" s="141"/>
      <c r="C1044" s="141"/>
      <c r="D1044" s="142">
        <v>1</v>
      </c>
      <c r="E1044" s="143"/>
      <c r="F1044" s="144">
        <v>0.26</v>
      </c>
      <c r="G1044" s="144"/>
      <c r="H1044" s="67">
        <v>3517</v>
      </c>
      <c r="I1044" s="67">
        <f t="shared" si="401"/>
        <v>3361.8535612911201</v>
      </c>
      <c r="J1044" s="67">
        <f t="shared" si="404"/>
        <v>2487.7716353554288</v>
      </c>
      <c r="K1044" s="143"/>
      <c r="L1044" s="143">
        <v>450513</v>
      </c>
      <c r="M1044" s="63">
        <f t="shared" si="377"/>
        <v>450513</v>
      </c>
      <c r="N1044" s="63">
        <f t="shared" si="405"/>
        <v>333379.62</v>
      </c>
      <c r="O1044" s="143"/>
      <c r="P1044" s="143">
        <v>0</v>
      </c>
      <c r="Q1044" s="63">
        <f t="shared" si="402"/>
        <v>0</v>
      </c>
      <c r="R1044" s="64">
        <f t="shared" si="406"/>
        <v>0</v>
      </c>
      <c r="S1044" s="142">
        <v>25</v>
      </c>
      <c r="T1044" s="145" t="s">
        <v>71</v>
      </c>
      <c r="U1044" s="65">
        <f>SUMIF('Avoided Costs 2012-2020_EGD'!$A:$A,'2012 Actuals_Auditor'!T1044&amp;'2012 Actuals_Auditor'!S1044,'Avoided Costs 2012-2020_EGD'!$E:$E)*J1044</f>
        <v>8456.7291549627807</v>
      </c>
      <c r="V1044" s="65">
        <f>SUMIF('Avoided Costs 2012-2020_EGD'!$A:$A,'2012 Actuals_Auditor'!T1044&amp;'2012 Actuals_Auditor'!S1044,'Avoided Costs 2012-2020_EGD'!$K:$K)*N1044</f>
        <v>469527.68210393074</v>
      </c>
      <c r="W1044" s="65">
        <f>SUMIF('Avoided Costs 2012-2020_EGD'!$A:$A,'2012 Actuals_Auditor'!T1044&amp;'2012 Actuals_Auditor'!S1044,'Avoided Costs 2012-2020_EGD'!$M:$M)*R1044</f>
        <v>0</v>
      </c>
      <c r="X1044" s="65">
        <f t="shared" si="403"/>
        <v>477984.41125889349</v>
      </c>
      <c r="Y1044" s="146">
        <v>87428</v>
      </c>
      <c r="Z1044" s="66">
        <f t="shared" si="407"/>
        <v>64696.72</v>
      </c>
      <c r="AA1044" s="66">
        <v>351.69</v>
      </c>
      <c r="AB1044" s="66"/>
      <c r="AC1044" s="66"/>
      <c r="AD1044" s="66">
        <f t="shared" si="408"/>
        <v>64696.72</v>
      </c>
      <c r="AE1044" s="66">
        <f t="shared" si="409"/>
        <v>413287.69125889346</v>
      </c>
      <c r="AF1044" s="101">
        <f t="shared" si="410"/>
        <v>62194.290883885718</v>
      </c>
      <c r="AG1044" s="101">
        <f t="shared" si="411"/>
        <v>84046.339032278003</v>
      </c>
    </row>
    <row r="1045" spans="1:33" s="68" customFormat="1" x14ac:dyDescent="0.2">
      <c r="A1045" s="141" t="s">
        <v>1167</v>
      </c>
      <c r="B1045" s="141"/>
      <c r="C1045" s="141"/>
      <c r="D1045" s="142">
        <v>1</v>
      </c>
      <c r="E1045" s="143"/>
      <c r="F1045" s="144">
        <v>0.26</v>
      </c>
      <c r="G1045" s="144"/>
      <c r="H1045" s="67">
        <v>81844</v>
      </c>
      <c r="I1045" s="67">
        <f t="shared" si="401"/>
        <v>78233.591944927626</v>
      </c>
      <c r="J1045" s="67">
        <f t="shared" si="404"/>
        <v>57892.858039246443</v>
      </c>
      <c r="K1045" s="143"/>
      <c r="L1045" s="143">
        <v>684305</v>
      </c>
      <c r="M1045" s="63">
        <f t="shared" si="377"/>
        <v>684305</v>
      </c>
      <c r="N1045" s="63">
        <f t="shared" si="405"/>
        <v>506385.7</v>
      </c>
      <c r="O1045" s="143"/>
      <c r="P1045" s="143">
        <v>0</v>
      </c>
      <c r="Q1045" s="63">
        <f t="shared" si="402"/>
        <v>0</v>
      </c>
      <c r="R1045" s="64">
        <f t="shared" si="406"/>
        <v>0</v>
      </c>
      <c r="S1045" s="142">
        <v>25</v>
      </c>
      <c r="T1045" s="145" t="s">
        <v>71</v>
      </c>
      <c r="U1045" s="65">
        <f>SUMIF('Avoided Costs 2012-2020_EGD'!$A:$A,'2012 Actuals_Auditor'!T1045&amp;'2012 Actuals_Auditor'!S1045,'Avoided Costs 2012-2020_EGD'!$E:$E)*J1045</f>
        <v>196796.28688051578</v>
      </c>
      <c r="V1045" s="65">
        <f>SUMIF('Avoided Costs 2012-2020_EGD'!$A:$A,'2012 Actuals_Auditor'!T1045&amp;'2012 Actuals_Auditor'!S1045,'Avoided Costs 2012-2020_EGD'!$K:$K)*N1045</f>
        <v>713187.27872920502</v>
      </c>
      <c r="W1045" s="65">
        <f>SUMIF('Avoided Costs 2012-2020_EGD'!$A:$A,'2012 Actuals_Auditor'!T1045&amp;'2012 Actuals_Auditor'!S1045,'Avoided Costs 2012-2020_EGD'!$M:$M)*R1045</f>
        <v>0</v>
      </c>
      <c r="X1045" s="65">
        <f t="shared" si="403"/>
        <v>909983.56560972077</v>
      </c>
      <c r="Y1045" s="146">
        <v>695877.57</v>
      </c>
      <c r="Z1045" s="66">
        <f t="shared" si="407"/>
        <v>514949.40179999993</v>
      </c>
      <c r="AA1045" s="66">
        <v>14701.6</v>
      </c>
      <c r="AB1045" s="66"/>
      <c r="AC1045" s="66"/>
      <c r="AD1045" s="66">
        <f t="shared" si="408"/>
        <v>514949.40179999993</v>
      </c>
      <c r="AE1045" s="66">
        <f t="shared" si="409"/>
        <v>395034.16380972083</v>
      </c>
      <c r="AF1045" s="101">
        <f t="shared" si="410"/>
        <v>1447321.4509811611</v>
      </c>
      <c r="AG1045" s="101">
        <f t="shared" si="411"/>
        <v>1955839.7986231907</v>
      </c>
    </row>
    <row r="1046" spans="1:33" s="68" customFormat="1" x14ac:dyDescent="0.2">
      <c r="A1046" s="141" t="s">
        <v>1168</v>
      </c>
      <c r="B1046" s="141"/>
      <c r="C1046" s="141"/>
      <c r="D1046" s="142">
        <v>1</v>
      </c>
      <c r="E1046" s="143"/>
      <c r="F1046" s="144">
        <v>0.26</v>
      </c>
      <c r="G1046" s="144"/>
      <c r="H1046" s="67">
        <v>21135</v>
      </c>
      <c r="I1046" s="67">
        <f t="shared" si="401"/>
        <v>20202.665629197563</v>
      </c>
      <c r="J1046" s="67">
        <f t="shared" si="404"/>
        <v>14949.972565606196</v>
      </c>
      <c r="K1046" s="143"/>
      <c r="L1046" s="143">
        <v>90106</v>
      </c>
      <c r="M1046" s="63">
        <f t="shared" si="377"/>
        <v>90106</v>
      </c>
      <c r="N1046" s="63">
        <f t="shared" si="405"/>
        <v>66678.44</v>
      </c>
      <c r="O1046" s="143"/>
      <c r="P1046" s="143">
        <v>0</v>
      </c>
      <c r="Q1046" s="63">
        <f t="shared" si="402"/>
        <v>0</v>
      </c>
      <c r="R1046" s="64">
        <f t="shared" si="406"/>
        <v>0</v>
      </c>
      <c r="S1046" s="142">
        <v>25</v>
      </c>
      <c r="T1046" s="145" t="s">
        <v>71</v>
      </c>
      <c r="U1046" s="65">
        <f>SUMIF('Avoided Costs 2012-2020_EGD'!$A:$A,'2012 Actuals_Auditor'!T1046&amp;'2012 Actuals_Auditor'!S1046,'Avoided Costs 2012-2020_EGD'!$E:$E)*J1046</f>
        <v>50819.72439298789</v>
      </c>
      <c r="V1046" s="65">
        <f>SUMIF('Avoided Costs 2012-2020_EGD'!$A:$A,'2012 Actuals_Auditor'!T1046&amp;'2012 Actuals_Auditor'!S1046,'Avoided Costs 2012-2020_EGD'!$K:$K)*N1046</f>
        <v>93909.079923679863</v>
      </c>
      <c r="W1046" s="65">
        <f>SUMIF('Avoided Costs 2012-2020_EGD'!$A:$A,'2012 Actuals_Auditor'!T1046&amp;'2012 Actuals_Auditor'!S1046,'Avoided Costs 2012-2020_EGD'!$M:$M)*R1046</f>
        <v>0</v>
      </c>
      <c r="X1046" s="65">
        <f>SUM(U1046:W1046)</f>
        <v>144728.80431666775</v>
      </c>
      <c r="Y1046" s="146">
        <v>38843</v>
      </c>
      <c r="Z1046" s="66">
        <f t="shared" si="407"/>
        <v>28743.82</v>
      </c>
      <c r="AA1046" s="66">
        <v>2972</v>
      </c>
      <c r="AB1046" s="66"/>
      <c r="AC1046" s="66"/>
      <c r="AD1046" s="66">
        <f t="shared" si="408"/>
        <v>28743.82</v>
      </c>
      <c r="AE1046" s="66">
        <f t="shared" si="409"/>
        <v>115984.98431666775</v>
      </c>
      <c r="AF1046" s="101">
        <f t="shared" si="410"/>
        <v>373749.31414015492</v>
      </c>
      <c r="AG1046" s="101">
        <f t="shared" si="411"/>
        <v>505066.6407299391</v>
      </c>
    </row>
    <row r="1047" spans="1:33" s="68" customFormat="1" x14ac:dyDescent="0.2">
      <c r="A1047" s="141" t="s">
        <v>1169</v>
      </c>
      <c r="B1047" s="141"/>
      <c r="C1047" s="141"/>
      <c r="D1047" s="142">
        <v>1</v>
      </c>
      <c r="E1047" s="143"/>
      <c r="F1047" s="144">
        <v>0.26</v>
      </c>
      <c r="G1047" s="144"/>
      <c r="H1047" s="67">
        <v>3210</v>
      </c>
      <c r="I1047" s="67">
        <f t="shared" si="401"/>
        <v>3068.396341127238</v>
      </c>
      <c r="J1047" s="67">
        <f t="shared" si="404"/>
        <v>2270.6132924341559</v>
      </c>
      <c r="K1047" s="143"/>
      <c r="L1047" s="143">
        <v>58676</v>
      </c>
      <c r="M1047" s="63">
        <f t="shared" si="377"/>
        <v>58676</v>
      </c>
      <c r="N1047" s="63">
        <f t="shared" si="405"/>
        <v>43420.24</v>
      </c>
      <c r="O1047" s="143"/>
      <c r="P1047" s="143">
        <v>0</v>
      </c>
      <c r="Q1047" s="63">
        <f t="shared" si="402"/>
        <v>0</v>
      </c>
      <c r="R1047" s="64">
        <f t="shared" si="406"/>
        <v>0</v>
      </c>
      <c r="S1047" s="142">
        <v>25</v>
      </c>
      <c r="T1047" s="145" t="s">
        <v>71</v>
      </c>
      <c r="U1047" s="65">
        <f>SUMIF('Avoided Costs 2012-2020_EGD'!$A:$A,'2012 Actuals_Auditor'!T1047&amp;'2012 Actuals_Auditor'!S1047,'Avoided Costs 2012-2020_EGD'!$E:$E)*J1047</f>
        <v>7718.5386941798488</v>
      </c>
      <c r="V1047" s="65">
        <f>SUMIF('Avoided Costs 2012-2020_EGD'!$A:$A,'2012 Actuals_Auditor'!T1047&amp;'2012 Actuals_Auditor'!S1047,'Avoided Costs 2012-2020_EGD'!$K:$K)*N1047</f>
        <v>61152.522291543726</v>
      </c>
      <c r="W1047" s="65">
        <f>SUMIF('Avoided Costs 2012-2020_EGD'!$A:$A,'2012 Actuals_Auditor'!T1047&amp;'2012 Actuals_Auditor'!S1047,'Avoided Costs 2012-2020_EGD'!$M:$M)*R1047</f>
        <v>0</v>
      </c>
      <c r="X1047" s="65">
        <f>SUM(U1047:W1047)</f>
        <v>68871.060985723569</v>
      </c>
      <c r="Y1047" s="146">
        <v>120488</v>
      </c>
      <c r="Z1047" s="66">
        <f t="shared" si="407"/>
        <v>89161.12</v>
      </c>
      <c r="AA1047" s="66">
        <v>879</v>
      </c>
      <c r="AB1047" s="66"/>
      <c r="AC1047" s="66"/>
      <c r="AD1047" s="66">
        <f t="shared" si="408"/>
        <v>89161.12</v>
      </c>
      <c r="AE1047" s="66">
        <f t="shared" si="409"/>
        <v>-20290.059014276427</v>
      </c>
      <c r="AF1047" s="101">
        <f t="shared" si="410"/>
        <v>56765.332310853897</v>
      </c>
      <c r="AG1047" s="101">
        <f t="shared" si="411"/>
        <v>76709.908528180953</v>
      </c>
    </row>
    <row r="1048" spans="1:33" x14ac:dyDescent="0.2">
      <c r="A1048" s="234" t="s">
        <v>57</v>
      </c>
      <c r="B1048" s="224"/>
      <c r="C1048" s="135"/>
      <c r="D1048" s="131">
        <f>SUM(D976:D1047)</f>
        <v>70</v>
      </c>
      <c r="E1048" s="131"/>
      <c r="F1048" s="132"/>
      <c r="G1048" s="133"/>
      <c r="H1048" s="131">
        <f>SUM(H976:H1047)</f>
        <v>7672956</v>
      </c>
      <c r="I1048" s="131">
        <f>SUM(I976:I1047)</f>
        <v>7339628.001026528</v>
      </c>
      <c r="J1048" s="131">
        <f>SUM(J976:J1047)</f>
        <v>5465957.3374661151</v>
      </c>
      <c r="K1048" s="131"/>
      <c r="L1048" s="131">
        <f>SUM(L976:L1047)</f>
        <v>13124085</v>
      </c>
      <c r="M1048" s="131">
        <f>SUM(M976:M1047)</f>
        <v>13124085</v>
      </c>
      <c r="N1048" s="131">
        <f>SUM(N976:N1047)</f>
        <v>9711822.8999999985</v>
      </c>
      <c r="O1048" s="131"/>
      <c r="P1048" s="131">
        <f>SUM(P976:P1047)</f>
        <v>0</v>
      </c>
      <c r="Q1048" s="131">
        <f>SUM(Q976:Q1047)</f>
        <v>0</v>
      </c>
      <c r="R1048" s="131">
        <f>SUM(R976:R1047)</f>
        <v>0</v>
      </c>
      <c r="S1048" s="131"/>
      <c r="T1048" s="250"/>
      <c r="U1048" s="225">
        <f>SUM(U976:U1047)</f>
        <v>18416846.93322102</v>
      </c>
      <c r="V1048" s="225">
        <f>SUM(V976:V1047)</f>
        <v>13678009.757287726</v>
      </c>
      <c r="W1048" s="225">
        <f>SUM(W976:W1047)</f>
        <v>0</v>
      </c>
      <c r="X1048" s="225">
        <f>SUM(X976:X1047)</f>
        <v>32094856.690508738</v>
      </c>
      <c r="Y1048" s="136"/>
      <c r="Z1048" s="225">
        <f>SUM(Z976:Z1047)</f>
        <v>14471741.083199997</v>
      </c>
      <c r="AA1048" s="225">
        <v>605438.78</v>
      </c>
      <c r="AB1048" s="225">
        <v>85186.99</v>
      </c>
      <c r="AC1048" s="225">
        <f>AB1048+AA1048</f>
        <v>690625.77</v>
      </c>
      <c r="AD1048" s="225">
        <f t="shared" si="408"/>
        <v>14556928.073199997</v>
      </c>
      <c r="AE1048" s="225">
        <f t="shared" si="409"/>
        <v>17537928.617308743</v>
      </c>
      <c r="AF1048" s="226">
        <f>SUM(AF976:AF1047)</f>
        <v>134925548.46244922</v>
      </c>
      <c r="AG1048" s="226">
        <f>SUM(AG976:AG1047)</f>
        <v>181676610.579133</v>
      </c>
    </row>
    <row r="1049" spans="1:33" x14ac:dyDescent="0.2">
      <c r="A1049" s="60"/>
      <c r="B1049" s="59"/>
      <c r="C1049" s="56"/>
      <c r="D1049" s="17">
        <f>SUM(D976:D1047)-D1048</f>
        <v>0</v>
      </c>
      <c r="E1049" s="17">
        <f t="shared" ref="E1049:AG1049" si="412">SUM(E976:E1047)-E1048</f>
        <v>0</v>
      </c>
      <c r="F1049" s="17">
        <f t="shared" si="412"/>
        <v>15.78</v>
      </c>
      <c r="G1049" s="17">
        <f t="shared" si="412"/>
        <v>0</v>
      </c>
      <c r="H1049" s="17">
        <f t="shared" si="412"/>
        <v>0</v>
      </c>
      <c r="I1049" s="17">
        <f t="shared" si="412"/>
        <v>0</v>
      </c>
      <c r="J1049" s="17">
        <f t="shared" si="412"/>
        <v>0</v>
      </c>
      <c r="K1049" s="17">
        <f t="shared" si="412"/>
        <v>0</v>
      </c>
      <c r="L1049" s="17">
        <f t="shared" si="412"/>
        <v>0</v>
      </c>
      <c r="M1049" s="17">
        <f t="shared" si="412"/>
        <v>0</v>
      </c>
      <c r="N1049" s="17">
        <f t="shared" si="412"/>
        <v>0</v>
      </c>
      <c r="O1049" s="17">
        <f t="shared" si="412"/>
        <v>0</v>
      </c>
      <c r="P1049" s="17">
        <f t="shared" si="412"/>
        <v>0</v>
      </c>
      <c r="Q1049" s="17">
        <f t="shared" si="412"/>
        <v>0</v>
      </c>
      <c r="R1049" s="17">
        <f t="shared" si="412"/>
        <v>0</v>
      </c>
      <c r="S1049" s="17">
        <f t="shared" si="412"/>
        <v>1646</v>
      </c>
      <c r="T1049" s="17">
        <f t="shared" si="412"/>
        <v>0</v>
      </c>
      <c r="U1049" s="17">
        <f t="shared" si="412"/>
        <v>0</v>
      </c>
      <c r="V1049" s="17">
        <f t="shared" si="412"/>
        <v>0</v>
      </c>
      <c r="W1049" s="17">
        <f t="shared" si="412"/>
        <v>0</v>
      </c>
      <c r="X1049" s="17">
        <f t="shared" si="412"/>
        <v>0</v>
      </c>
      <c r="Y1049" s="17">
        <f t="shared" si="412"/>
        <v>19214659.68</v>
      </c>
      <c r="Z1049" s="17">
        <f t="shared" si="412"/>
        <v>0</v>
      </c>
      <c r="AA1049" s="17">
        <f>SUM(AA976:AA1047)-AA1048</f>
        <v>-26019.430000000168</v>
      </c>
      <c r="AB1049" s="17">
        <f t="shared" si="412"/>
        <v>-85186.99</v>
      </c>
      <c r="AC1049" s="17">
        <f t="shared" si="412"/>
        <v>-690625.77</v>
      </c>
      <c r="AD1049" s="17">
        <f t="shared" si="412"/>
        <v>-85186.990000000224</v>
      </c>
      <c r="AE1049" s="17">
        <f t="shared" si="412"/>
        <v>85186.990000009537</v>
      </c>
      <c r="AF1049" s="17">
        <f t="shared" si="412"/>
        <v>0</v>
      </c>
      <c r="AG1049" s="17">
        <f t="shared" si="412"/>
        <v>0</v>
      </c>
    </row>
    <row r="1050" spans="1:33" ht="13.5" thickBot="1" x14ac:dyDescent="0.25">
      <c r="A1050" s="252" t="s">
        <v>1305</v>
      </c>
      <c r="B1050" s="83"/>
      <c r="C1050" s="84"/>
      <c r="D1050" s="85">
        <f>D1048+D973+D590+D39</f>
        <v>10752</v>
      </c>
      <c r="E1050" s="85"/>
      <c r="F1050" s="86"/>
      <c r="G1050" s="87"/>
      <c r="H1050" s="85">
        <f>H1048+H973+H590+H39</f>
        <v>44110668</v>
      </c>
      <c r="I1050" s="85">
        <f>I1048+I973+I590+I39</f>
        <v>42429786.250226483</v>
      </c>
      <c r="J1050" s="85">
        <f>J1048+J973+J590+J39</f>
        <v>34975892.664393902</v>
      </c>
      <c r="K1050" s="85"/>
      <c r="L1050" s="85">
        <f>L1048+L973+L590+L39</f>
        <v>39328530</v>
      </c>
      <c r="M1050" s="85">
        <f>M1048+M973+M590+M39</f>
        <v>39736778</v>
      </c>
      <c r="N1050" s="85">
        <f>N1048+N973+N590+N39</f>
        <v>32634172.719999999</v>
      </c>
      <c r="O1050" s="88"/>
      <c r="P1050" s="85">
        <f>P1048+P973+P590+P39</f>
        <v>217465.95600000001</v>
      </c>
      <c r="Q1050" s="85">
        <f>Q1048+Q973+Q590+Q39</f>
        <v>217465.95600000001</v>
      </c>
      <c r="R1050" s="85">
        <f>R1048+R973+R590+R39</f>
        <v>171825.96052999998</v>
      </c>
      <c r="S1050" s="85"/>
      <c r="T1050" s="84"/>
      <c r="U1050" s="85">
        <f>U1048+U973+U590+U39</f>
        <v>96457368.313119009</v>
      </c>
      <c r="V1050" s="85">
        <f>V1048+V973+V590+V39</f>
        <v>37172244.34332002</v>
      </c>
      <c r="W1050" s="85">
        <f>W1048+W973+W590+W39</f>
        <v>3671215.6585158235</v>
      </c>
      <c r="X1050" s="85">
        <f>X1048+X973+X590+X39</f>
        <v>137300828.31495485</v>
      </c>
      <c r="Y1050" s="97"/>
      <c r="Z1050" s="85">
        <f>Z1048+Z973+Z590+Z39</f>
        <v>36947137.813000001</v>
      </c>
      <c r="AA1050" s="253">
        <f t="shared" ref="AA1050:AG1050" si="413">AA1048+AA973+AA590+AA39</f>
        <v>6757446.4699999997</v>
      </c>
      <c r="AB1050" s="253">
        <f t="shared" si="413"/>
        <v>1203194.4099999999</v>
      </c>
      <c r="AC1050" s="253">
        <f t="shared" si="413"/>
        <v>7794396.2800000012</v>
      </c>
      <c r="AD1050" s="253">
        <f t="shared" si="413"/>
        <v>38150332.223000005</v>
      </c>
      <c r="AE1050" s="253">
        <f t="shared" si="413"/>
        <v>99150496.091954842</v>
      </c>
      <c r="AF1050" s="254">
        <f t="shared" si="413"/>
        <v>658836827.81431115</v>
      </c>
      <c r="AG1050" s="254">
        <f t="shared" si="413"/>
        <v>808838533.2813859</v>
      </c>
    </row>
    <row r="1051" spans="1:33" ht="13.5" thickTop="1" x14ac:dyDescent="0.2">
      <c r="A1051" s="140"/>
      <c r="F1051" s="17"/>
      <c r="G1051" s="17"/>
      <c r="M1051" s="17"/>
      <c r="O1051" s="17"/>
      <c r="P1051" s="17"/>
      <c r="Q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</row>
    <row r="1052" spans="1:33" s="59" customFormat="1" x14ac:dyDescent="0.2">
      <c r="A1052" s="140" t="s">
        <v>1272</v>
      </c>
      <c r="B1052" s="10" t="s">
        <v>1359</v>
      </c>
      <c r="C1052" s="56"/>
      <c r="D1052" s="13"/>
      <c r="E1052" s="13"/>
      <c r="F1052" s="14"/>
      <c r="G1052" s="15"/>
      <c r="H1052" s="52">
        <v>0.98132603171693999</v>
      </c>
      <c r="I1052" s="52"/>
      <c r="J1052" s="52"/>
      <c r="K1052" s="52"/>
      <c r="L1052" s="52">
        <v>1</v>
      </c>
      <c r="M1052" s="52"/>
      <c r="N1052" s="52"/>
      <c r="O1052" s="15"/>
      <c r="P1052" s="255">
        <v>1</v>
      </c>
      <c r="Q1052" s="227"/>
      <c r="R1052" s="13"/>
      <c r="S1052" s="13"/>
      <c r="T1052" s="56"/>
      <c r="U1052" s="57"/>
      <c r="V1052" s="57"/>
      <c r="W1052" s="57"/>
      <c r="X1052" s="57"/>
      <c r="Y1052" s="61"/>
      <c r="Z1052" s="57"/>
      <c r="AA1052" s="57"/>
      <c r="AB1052" s="57"/>
      <c r="AC1052" s="57"/>
      <c r="AD1052" s="57"/>
      <c r="AE1052" s="57"/>
      <c r="AF1052" s="100"/>
      <c r="AG1052" s="100"/>
    </row>
    <row r="1053" spans="1:33" s="68" customFormat="1" x14ac:dyDescent="0.2">
      <c r="A1053" s="147" t="s">
        <v>1188</v>
      </c>
      <c r="B1053" s="147"/>
      <c r="C1053" s="147"/>
      <c r="D1053" s="148">
        <v>1</v>
      </c>
      <c r="E1053" s="149"/>
      <c r="F1053" s="150">
        <v>0.5</v>
      </c>
      <c r="G1053" s="150"/>
      <c r="H1053" s="67">
        <v>43191</v>
      </c>
      <c r="I1053" s="67">
        <f t="shared" ref="I1053:I1090" si="414">+$H$1052*H1053</f>
        <v>42384.452635886359</v>
      </c>
      <c r="J1053" s="67">
        <f t="shared" ref="J1053:J1090" si="415">I1053*(1-F1053)</f>
        <v>21192.226317943179</v>
      </c>
      <c r="K1053" s="63"/>
      <c r="L1053" s="149">
        <v>0</v>
      </c>
      <c r="M1053" s="63">
        <f t="shared" ref="M1053:M1090" si="416">+$L$1052*L1053</f>
        <v>0</v>
      </c>
      <c r="N1053" s="63">
        <f t="shared" ref="N1053:N1090" si="417">M1053*(1-F1053)</f>
        <v>0</v>
      </c>
      <c r="O1053" s="69"/>
      <c r="P1053" s="149">
        <v>0</v>
      </c>
      <c r="Q1053" s="63">
        <f t="shared" ref="Q1053:Q1090" si="418">+P1053*$P$1052</f>
        <v>0</v>
      </c>
      <c r="R1053" s="64">
        <f t="shared" ref="R1053:R1090" si="419">Q1053*(1-F1053)</f>
        <v>0</v>
      </c>
      <c r="S1053" s="148">
        <v>25</v>
      </c>
      <c r="T1053" s="151" t="s">
        <v>107</v>
      </c>
      <c r="U1053" s="65">
        <f>SUMIF('Avoided Costs 2012-2020_EGD'!$A:$A,'2012 Actuals_Auditor'!T1053&amp;'2012 Actuals_Auditor'!S1053,'Avoided Costs 2012-2020_EGD'!$E:$E)*J1053</f>
        <v>68792.761006302608</v>
      </c>
      <c r="V1053" s="65">
        <f>SUMIF('Avoided Costs 2012-2020_EGD'!$A:$A,'2012 Actuals_Auditor'!T1053&amp;'2012 Actuals_Auditor'!S1053,'Avoided Costs 2012-2020_EGD'!$K:$K)*N1053</f>
        <v>0</v>
      </c>
      <c r="W1053" s="65">
        <f>SUMIF('Avoided Costs 2012-2020_EGD'!$A:$A,'2012 Actuals_Auditor'!T1053&amp;'2012 Actuals_Auditor'!S1053,'Avoided Costs 2012-2020_EGD'!$M:$M)*R1053</f>
        <v>0</v>
      </c>
      <c r="X1053" s="65">
        <f t="shared" ref="X1053:X1090" si="420">SUM(U1053:W1053)</f>
        <v>68792.761006302608</v>
      </c>
      <c r="Y1053" s="146">
        <v>132460</v>
      </c>
      <c r="Z1053" s="66">
        <f t="shared" ref="Z1053:Z1090" si="421">Y1053*(1-F1053)</f>
        <v>66230</v>
      </c>
      <c r="AA1053" s="66">
        <v>6558.3</v>
      </c>
      <c r="AB1053" s="66"/>
      <c r="AC1053" s="66"/>
      <c r="AD1053" s="66">
        <f t="shared" ref="AD1053:AD1091" si="422">Z1053+AB1053</f>
        <v>66230</v>
      </c>
      <c r="AE1053" s="66">
        <f t="shared" ref="AE1053:AE1091" si="423">X1053-AD1053</f>
        <v>2562.7610063026077</v>
      </c>
      <c r="AF1053" s="125">
        <f t="shared" ref="AF1053:AF1090" si="424">J1053*S1053</f>
        <v>529805.65794857952</v>
      </c>
      <c r="AG1053" s="101">
        <f t="shared" ref="AG1053:AG1090" si="425">(I1053*S1053)</f>
        <v>1059611.315897159</v>
      </c>
    </row>
    <row r="1054" spans="1:33" s="68" customFormat="1" x14ac:dyDescent="0.2">
      <c r="A1054" s="147" t="s">
        <v>1189</v>
      </c>
      <c r="B1054" s="147"/>
      <c r="C1054" s="147"/>
      <c r="D1054" s="148">
        <v>1</v>
      </c>
      <c r="E1054" s="149"/>
      <c r="F1054" s="150">
        <v>0.5</v>
      </c>
      <c r="G1054" s="150"/>
      <c r="H1054" s="67">
        <v>63844</v>
      </c>
      <c r="I1054" s="67">
        <f t="shared" si="414"/>
        <v>62651.779168936315</v>
      </c>
      <c r="J1054" s="67">
        <f t="shared" si="415"/>
        <v>31325.889584468157</v>
      </c>
      <c r="K1054" s="63"/>
      <c r="L1054" s="149">
        <v>0</v>
      </c>
      <c r="M1054" s="63">
        <f t="shared" si="416"/>
        <v>0</v>
      </c>
      <c r="N1054" s="63">
        <f t="shared" si="417"/>
        <v>0</v>
      </c>
      <c r="O1054" s="69"/>
      <c r="P1054" s="149">
        <v>0</v>
      </c>
      <c r="Q1054" s="63">
        <f t="shared" si="418"/>
        <v>0</v>
      </c>
      <c r="R1054" s="64">
        <f t="shared" si="419"/>
        <v>0</v>
      </c>
      <c r="S1054" s="148">
        <v>15</v>
      </c>
      <c r="T1054" s="151" t="s">
        <v>107</v>
      </c>
      <c r="U1054" s="65">
        <f>SUMIF('Avoided Costs 2012-2020_EGD'!$A:$A,'2012 Actuals_Auditor'!T1054&amp;'2012 Actuals_Auditor'!S1054,'Avoided Costs 2012-2020_EGD'!$E:$E)*J1054</f>
        <v>71974.864328265408</v>
      </c>
      <c r="V1054" s="65">
        <f>SUMIF('Avoided Costs 2012-2020_EGD'!$A:$A,'2012 Actuals_Auditor'!T1054&amp;'2012 Actuals_Auditor'!S1054,'Avoided Costs 2012-2020_EGD'!$K:$K)*N1054</f>
        <v>0</v>
      </c>
      <c r="W1054" s="65">
        <f>SUMIF('Avoided Costs 2012-2020_EGD'!$A:$A,'2012 Actuals_Auditor'!T1054&amp;'2012 Actuals_Auditor'!S1054,'Avoided Costs 2012-2020_EGD'!$M:$M)*R1054</f>
        <v>0</v>
      </c>
      <c r="X1054" s="65">
        <f t="shared" si="420"/>
        <v>71974.864328265408</v>
      </c>
      <c r="Y1054" s="146">
        <v>26900</v>
      </c>
      <c r="Z1054" s="66">
        <f t="shared" si="421"/>
        <v>13450</v>
      </c>
      <c r="AA1054" s="66">
        <v>9576.6</v>
      </c>
      <c r="AB1054" s="66"/>
      <c r="AC1054" s="66"/>
      <c r="AD1054" s="66">
        <f t="shared" si="422"/>
        <v>13450</v>
      </c>
      <c r="AE1054" s="66">
        <f t="shared" si="423"/>
        <v>58524.864328265408</v>
      </c>
      <c r="AF1054" s="101">
        <f t="shared" si="424"/>
        <v>469888.34376702236</v>
      </c>
      <c r="AG1054" s="101">
        <f t="shared" si="425"/>
        <v>939776.68753404473</v>
      </c>
    </row>
    <row r="1055" spans="1:33" s="68" customFormat="1" x14ac:dyDescent="0.2">
      <c r="A1055" s="147" t="s">
        <v>1190</v>
      </c>
      <c r="B1055" s="147"/>
      <c r="C1055" s="147"/>
      <c r="D1055" s="148">
        <v>1</v>
      </c>
      <c r="E1055" s="149"/>
      <c r="F1055" s="150">
        <v>0.5</v>
      </c>
      <c r="G1055" s="150"/>
      <c r="H1055" s="67">
        <v>63524</v>
      </c>
      <c r="I1055" s="67">
        <f t="shared" si="414"/>
        <v>62337.754838786896</v>
      </c>
      <c r="J1055" s="67">
        <f t="shared" si="415"/>
        <v>31168.877419393448</v>
      </c>
      <c r="K1055" s="63"/>
      <c r="L1055" s="149">
        <v>0</v>
      </c>
      <c r="M1055" s="63">
        <f t="shared" si="416"/>
        <v>0</v>
      </c>
      <c r="N1055" s="63">
        <f t="shared" si="417"/>
        <v>0</v>
      </c>
      <c r="O1055" s="69"/>
      <c r="P1055" s="149">
        <v>0</v>
      </c>
      <c r="Q1055" s="63">
        <f t="shared" si="418"/>
        <v>0</v>
      </c>
      <c r="R1055" s="64">
        <f t="shared" si="419"/>
        <v>0</v>
      </c>
      <c r="S1055" s="148">
        <v>5</v>
      </c>
      <c r="T1055" s="151" t="s">
        <v>107</v>
      </c>
      <c r="U1055" s="65">
        <f>SUMIF('Avoided Costs 2012-2020_EGD'!$A:$A,'2012 Actuals_Auditor'!T1055&amp;'2012 Actuals_Auditor'!S1055,'Avoided Costs 2012-2020_EGD'!$E:$E)*J1055</f>
        <v>24869.617609649671</v>
      </c>
      <c r="V1055" s="65">
        <f>SUMIF('Avoided Costs 2012-2020_EGD'!$A:$A,'2012 Actuals_Auditor'!T1055&amp;'2012 Actuals_Auditor'!S1055,'Avoided Costs 2012-2020_EGD'!$K:$K)*N1055</f>
        <v>0</v>
      </c>
      <c r="W1055" s="65">
        <f>SUMIF('Avoided Costs 2012-2020_EGD'!$A:$A,'2012 Actuals_Auditor'!T1055&amp;'2012 Actuals_Auditor'!S1055,'Avoided Costs 2012-2020_EGD'!$M:$M)*R1055</f>
        <v>0</v>
      </c>
      <c r="X1055" s="65">
        <f t="shared" si="420"/>
        <v>24869.617609649671</v>
      </c>
      <c r="Y1055" s="146">
        <v>8171.6</v>
      </c>
      <c r="Z1055" s="66">
        <f t="shared" si="421"/>
        <v>4085.8</v>
      </c>
      <c r="AA1055" s="66">
        <v>4085.8</v>
      </c>
      <c r="AB1055" s="66"/>
      <c r="AC1055" s="66"/>
      <c r="AD1055" s="66">
        <f t="shared" si="422"/>
        <v>4085.8</v>
      </c>
      <c r="AE1055" s="66">
        <f t="shared" si="423"/>
        <v>20783.817609649672</v>
      </c>
      <c r="AF1055" s="101">
        <f t="shared" si="424"/>
        <v>155844.38709696723</v>
      </c>
      <c r="AG1055" s="101">
        <f t="shared" si="425"/>
        <v>311688.77419393446</v>
      </c>
    </row>
    <row r="1056" spans="1:33" s="68" customFormat="1" x14ac:dyDescent="0.2">
      <c r="A1056" s="147" t="s">
        <v>1191</v>
      </c>
      <c r="B1056" s="147"/>
      <c r="C1056" s="147"/>
      <c r="D1056" s="148">
        <v>1</v>
      </c>
      <c r="E1056" s="149"/>
      <c r="F1056" s="150">
        <v>0.5</v>
      </c>
      <c r="G1056" s="150"/>
      <c r="H1056" s="67">
        <v>12325</v>
      </c>
      <c r="I1056" s="67">
        <f t="shared" si="414"/>
        <v>12094.843340911286</v>
      </c>
      <c r="J1056" s="67">
        <f t="shared" si="415"/>
        <v>6047.4216704556429</v>
      </c>
      <c r="K1056" s="63"/>
      <c r="L1056" s="149">
        <v>0</v>
      </c>
      <c r="M1056" s="63">
        <f t="shared" si="416"/>
        <v>0</v>
      </c>
      <c r="N1056" s="63">
        <f t="shared" si="417"/>
        <v>0</v>
      </c>
      <c r="O1056" s="69"/>
      <c r="P1056" s="149">
        <v>0</v>
      </c>
      <c r="Q1056" s="63">
        <f t="shared" si="418"/>
        <v>0</v>
      </c>
      <c r="R1056" s="64">
        <f t="shared" si="419"/>
        <v>0</v>
      </c>
      <c r="S1056" s="148">
        <v>15</v>
      </c>
      <c r="T1056" s="151" t="s">
        <v>107</v>
      </c>
      <c r="U1056" s="65">
        <f>SUMIF('Avoided Costs 2012-2020_EGD'!$A:$A,'2012 Actuals_Auditor'!T1056&amp;'2012 Actuals_Auditor'!S1056,'Avoided Costs 2012-2020_EGD'!$E:$E)*J1056</f>
        <v>13894.652635265198</v>
      </c>
      <c r="V1056" s="65">
        <f>SUMIF('Avoided Costs 2012-2020_EGD'!$A:$A,'2012 Actuals_Auditor'!T1056&amp;'2012 Actuals_Auditor'!S1056,'Avoided Costs 2012-2020_EGD'!$K:$K)*N1056</f>
        <v>0</v>
      </c>
      <c r="W1056" s="65">
        <f>SUMIF('Avoided Costs 2012-2020_EGD'!$A:$A,'2012 Actuals_Auditor'!T1056&amp;'2012 Actuals_Auditor'!S1056,'Avoided Costs 2012-2020_EGD'!$M:$M)*R1056</f>
        <v>0</v>
      </c>
      <c r="X1056" s="65">
        <f t="shared" si="420"/>
        <v>13894.652635265198</v>
      </c>
      <c r="Y1056" s="146">
        <v>10749.27</v>
      </c>
      <c r="Z1056" s="66">
        <f t="shared" si="421"/>
        <v>5374.6350000000002</v>
      </c>
      <c r="AA1056" s="66">
        <v>2301</v>
      </c>
      <c r="AB1056" s="66"/>
      <c r="AC1056" s="66"/>
      <c r="AD1056" s="66">
        <f t="shared" si="422"/>
        <v>5374.6350000000002</v>
      </c>
      <c r="AE1056" s="66">
        <f t="shared" si="423"/>
        <v>8520.0176352651979</v>
      </c>
      <c r="AF1056" s="101">
        <f t="shared" si="424"/>
        <v>90711.325056834641</v>
      </c>
      <c r="AG1056" s="101">
        <f t="shared" si="425"/>
        <v>181422.65011366928</v>
      </c>
    </row>
    <row r="1057" spans="1:33" s="68" customFormat="1" x14ac:dyDescent="0.2">
      <c r="A1057" s="147" t="s">
        <v>1192</v>
      </c>
      <c r="B1057" s="147"/>
      <c r="C1057" s="147"/>
      <c r="D1057" s="148">
        <v>1</v>
      </c>
      <c r="E1057" s="149"/>
      <c r="F1057" s="150">
        <v>0.5</v>
      </c>
      <c r="G1057" s="150"/>
      <c r="H1057" s="67">
        <v>93135</v>
      </c>
      <c r="I1057" s="67">
        <f t="shared" si="414"/>
        <v>91395.799963957208</v>
      </c>
      <c r="J1057" s="67">
        <f t="shared" si="415"/>
        <v>45697.899981978604</v>
      </c>
      <c r="K1057" s="63"/>
      <c r="L1057" s="149">
        <v>0</v>
      </c>
      <c r="M1057" s="63">
        <f t="shared" si="416"/>
        <v>0</v>
      </c>
      <c r="N1057" s="63">
        <f t="shared" si="417"/>
        <v>0</v>
      </c>
      <c r="O1057" s="69"/>
      <c r="P1057" s="149">
        <v>0</v>
      </c>
      <c r="Q1057" s="63">
        <f t="shared" si="418"/>
        <v>0</v>
      </c>
      <c r="R1057" s="64">
        <f t="shared" si="419"/>
        <v>0</v>
      </c>
      <c r="S1057" s="148">
        <v>20</v>
      </c>
      <c r="T1057" s="151" t="s">
        <v>107</v>
      </c>
      <c r="U1057" s="65">
        <f>SUMIF('Avoided Costs 2012-2020_EGD'!$A:$A,'2012 Actuals_Auditor'!T1057&amp;'2012 Actuals_Auditor'!S1057,'Avoided Costs 2012-2020_EGD'!$E:$E)*J1057</f>
        <v>129249.42606817857</v>
      </c>
      <c r="V1057" s="65">
        <f>SUMIF('Avoided Costs 2012-2020_EGD'!$A:$A,'2012 Actuals_Auditor'!T1057&amp;'2012 Actuals_Auditor'!S1057,'Avoided Costs 2012-2020_EGD'!$K:$K)*N1057</f>
        <v>0</v>
      </c>
      <c r="W1057" s="65">
        <f>SUMIF('Avoided Costs 2012-2020_EGD'!$A:$A,'2012 Actuals_Auditor'!T1057&amp;'2012 Actuals_Auditor'!S1057,'Avoided Costs 2012-2020_EGD'!$M:$M)*R1057</f>
        <v>0</v>
      </c>
      <c r="X1057" s="65">
        <f t="shared" si="420"/>
        <v>129249.42606817857</v>
      </c>
      <c r="Y1057" s="146">
        <v>80703.649999999994</v>
      </c>
      <c r="Z1057" s="66">
        <f t="shared" si="421"/>
        <v>40351.824999999997</v>
      </c>
      <c r="AA1057" s="66">
        <v>13970.25</v>
      </c>
      <c r="AB1057" s="66"/>
      <c r="AC1057" s="66"/>
      <c r="AD1057" s="66">
        <f t="shared" si="422"/>
        <v>40351.824999999997</v>
      </c>
      <c r="AE1057" s="66">
        <f t="shared" si="423"/>
        <v>88897.60106817857</v>
      </c>
      <c r="AF1057" s="101">
        <f t="shared" si="424"/>
        <v>913957.99963957211</v>
      </c>
      <c r="AG1057" s="101">
        <f t="shared" si="425"/>
        <v>1827915.9992791442</v>
      </c>
    </row>
    <row r="1058" spans="1:33" s="68" customFormat="1" x14ac:dyDescent="0.2">
      <c r="A1058" s="147" t="s">
        <v>1193</v>
      </c>
      <c r="B1058" s="147"/>
      <c r="C1058" s="147"/>
      <c r="D1058" s="148">
        <v>1</v>
      </c>
      <c r="E1058" s="149"/>
      <c r="F1058" s="150">
        <v>0.5</v>
      </c>
      <c r="G1058" s="150"/>
      <c r="H1058" s="67">
        <v>195778</v>
      </c>
      <c r="I1058" s="67">
        <f t="shared" si="414"/>
        <v>192122.04783747907</v>
      </c>
      <c r="J1058" s="67">
        <f t="shared" si="415"/>
        <v>96061.023918739535</v>
      </c>
      <c r="K1058" s="63"/>
      <c r="L1058" s="149">
        <v>0</v>
      </c>
      <c r="M1058" s="63">
        <f t="shared" si="416"/>
        <v>0</v>
      </c>
      <c r="N1058" s="63">
        <f t="shared" si="417"/>
        <v>0</v>
      </c>
      <c r="O1058" s="69"/>
      <c r="P1058" s="149">
        <v>0</v>
      </c>
      <c r="Q1058" s="63">
        <f t="shared" si="418"/>
        <v>0</v>
      </c>
      <c r="R1058" s="64">
        <f t="shared" si="419"/>
        <v>0</v>
      </c>
      <c r="S1058" s="148">
        <v>20</v>
      </c>
      <c r="T1058" s="151" t="s">
        <v>107</v>
      </c>
      <c r="U1058" s="65">
        <f>SUMIF('Avoided Costs 2012-2020_EGD'!$A:$A,'2012 Actuals_Auditor'!T1058&amp;'2012 Actuals_Auditor'!S1058,'Avoided Costs 2012-2020_EGD'!$E:$E)*J1058</f>
        <v>271693.71489532251</v>
      </c>
      <c r="V1058" s="65">
        <f>SUMIF('Avoided Costs 2012-2020_EGD'!$A:$A,'2012 Actuals_Auditor'!T1058&amp;'2012 Actuals_Auditor'!S1058,'Avoided Costs 2012-2020_EGD'!$K:$K)*N1058</f>
        <v>0</v>
      </c>
      <c r="W1058" s="65">
        <f>SUMIF('Avoided Costs 2012-2020_EGD'!$A:$A,'2012 Actuals_Auditor'!T1058&amp;'2012 Actuals_Auditor'!S1058,'Avoided Costs 2012-2020_EGD'!$M:$M)*R1058</f>
        <v>0</v>
      </c>
      <c r="X1058" s="65">
        <f t="shared" si="420"/>
        <v>271693.71489532251</v>
      </c>
      <c r="Y1058" s="146">
        <v>59610.5</v>
      </c>
      <c r="Z1058" s="66">
        <f t="shared" si="421"/>
        <v>29805.25</v>
      </c>
      <c r="AA1058" s="66">
        <v>29366.7</v>
      </c>
      <c r="AB1058" s="66"/>
      <c r="AC1058" s="66"/>
      <c r="AD1058" s="66">
        <f t="shared" si="422"/>
        <v>29805.25</v>
      </c>
      <c r="AE1058" s="66">
        <f t="shared" si="423"/>
        <v>241888.46489532251</v>
      </c>
      <c r="AF1058" s="101">
        <f t="shared" si="424"/>
        <v>1921220.4783747906</v>
      </c>
      <c r="AG1058" s="101">
        <f t="shared" si="425"/>
        <v>3842440.9567495813</v>
      </c>
    </row>
    <row r="1059" spans="1:33" s="68" customFormat="1" x14ac:dyDescent="0.2">
      <c r="A1059" s="147" t="s">
        <v>1194</v>
      </c>
      <c r="B1059" s="147"/>
      <c r="C1059" s="147"/>
      <c r="D1059" s="148">
        <v>1</v>
      </c>
      <c r="E1059" s="149"/>
      <c r="F1059" s="150">
        <v>0.5</v>
      </c>
      <c r="G1059" s="150"/>
      <c r="H1059" s="67">
        <v>206565</v>
      </c>
      <c r="I1059" s="67">
        <f t="shared" si="414"/>
        <v>202707.6117416097</v>
      </c>
      <c r="J1059" s="67">
        <f t="shared" si="415"/>
        <v>101353.80587080485</v>
      </c>
      <c r="K1059" s="63"/>
      <c r="L1059" s="149">
        <v>8873</v>
      </c>
      <c r="M1059" s="63">
        <f t="shared" si="416"/>
        <v>8873</v>
      </c>
      <c r="N1059" s="63">
        <f t="shared" si="417"/>
        <v>4436.5</v>
      </c>
      <c r="O1059" s="69"/>
      <c r="P1059" s="149">
        <v>0</v>
      </c>
      <c r="Q1059" s="63">
        <f t="shared" si="418"/>
        <v>0</v>
      </c>
      <c r="R1059" s="64">
        <f t="shared" si="419"/>
        <v>0</v>
      </c>
      <c r="S1059" s="148">
        <v>20</v>
      </c>
      <c r="T1059" s="151" t="s">
        <v>107</v>
      </c>
      <c r="U1059" s="65">
        <f>SUMIF('Avoided Costs 2012-2020_EGD'!$A:$A,'2012 Actuals_Auditor'!T1059&amp;'2012 Actuals_Auditor'!S1059,'Avoided Costs 2012-2020_EGD'!$E:$E)*J1059</f>
        <v>286663.52816635318</v>
      </c>
      <c r="V1059" s="65">
        <f>SUMIF('Avoided Costs 2012-2020_EGD'!$A:$A,'2012 Actuals_Auditor'!T1059&amp;'2012 Actuals_Auditor'!S1059,'Avoided Costs 2012-2020_EGD'!$K:$K)*N1059</f>
        <v>5504.0470724936968</v>
      </c>
      <c r="W1059" s="65">
        <f>SUMIF('Avoided Costs 2012-2020_EGD'!$A:$A,'2012 Actuals_Auditor'!T1059&amp;'2012 Actuals_Auditor'!S1059,'Avoided Costs 2012-2020_EGD'!$M:$M)*R1059</f>
        <v>0</v>
      </c>
      <c r="X1059" s="65">
        <f t="shared" si="420"/>
        <v>292167.57523884688</v>
      </c>
      <c r="Y1059" s="146">
        <v>70882</v>
      </c>
      <c r="Z1059" s="66">
        <f t="shared" si="421"/>
        <v>35441</v>
      </c>
      <c r="AA1059" s="66">
        <v>31962.15</v>
      </c>
      <c r="AB1059" s="66"/>
      <c r="AC1059" s="66"/>
      <c r="AD1059" s="66">
        <f t="shared" si="422"/>
        <v>35441</v>
      </c>
      <c r="AE1059" s="66">
        <f t="shared" si="423"/>
        <v>256726.57523884688</v>
      </c>
      <c r="AF1059" s="101">
        <f t="shared" si="424"/>
        <v>2027076.1174160969</v>
      </c>
      <c r="AG1059" s="101">
        <f t="shared" si="425"/>
        <v>4054152.2348321937</v>
      </c>
    </row>
    <row r="1060" spans="1:33" s="68" customFormat="1" x14ac:dyDescent="0.2">
      <c r="A1060" s="147" t="s">
        <v>1195</v>
      </c>
      <c r="B1060" s="147"/>
      <c r="C1060" s="147"/>
      <c r="D1060" s="148">
        <v>0</v>
      </c>
      <c r="E1060" s="149"/>
      <c r="F1060" s="150">
        <v>0.5</v>
      </c>
      <c r="G1060" s="150"/>
      <c r="H1060" s="67">
        <v>11799</v>
      </c>
      <c r="I1060" s="67">
        <f t="shared" si="414"/>
        <v>11578.665848228175</v>
      </c>
      <c r="J1060" s="67">
        <f t="shared" si="415"/>
        <v>5789.3329241140873</v>
      </c>
      <c r="K1060" s="63"/>
      <c r="L1060" s="149">
        <v>0</v>
      </c>
      <c r="M1060" s="63">
        <f t="shared" si="416"/>
        <v>0</v>
      </c>
      <c r="N1060" s="63">
        <f t="shared" si="417"/>
        <v>0</v>
      </c>
      <c r="O1060" s="69"/>
      <c r="P1060" s="149">
        <v>0</v>
      </c>
      <c r="Q1060" s="63">
        <f t="shared" si="418"/>
        <v>0</v>
      </c>
      <c r="R1060" s="64">
        <f t="shared" si="419"/>
        <v>0</v>
      </c>
      <c r="S1060" s="148">
        <v>15</v>
      </c>
      <c r="T1060" s="151" t="s">
        <v>107</v>
      </c>
      <c r="U1060" s="65">
        <f>SUMIF('Avoided Costs 2012-2020_EGD'!$A:$A,'2012 Actuals_Auditor'!T1060&amp;'2012 Actuals_Auditor'!S1060,'Avoided Costs 2012-2020_EGD'!$E:$E)*J1060</f>
        <v>13301.663808802763</v>
      </c>
      <c r="V1060" s="65">
        <f>SUMIF('Avoided Costs 2012-2020_EGD'!$A:$A,'2012 Actuals_Auditor'!T1060&amp;'2012 Actuals_Auditor'!S1060,'Avoided Costs 2012-2020_EGD'!$K:$K)*N1060</f>
        <v>0</v>
      </c>
      <c r="W1060" s="65">
        <f>SUMIF('Avoided Costs 2012-2020_EGD'!$A:$A,'2012 Actuals_Auditor'!T1060&amp;'2012 Actuals_Auditor'!S1060,'Avoided Costs 2012-2020_EGD'!$M:$M)*R1060</f>
        <v>0</v>
      </c>
      <c r="X1060" s="65">
        <f t="shared" si="420"/>
        <v>13301.663808802763</v>
      </c>
      <c r="Y1060" s="146">
        <v>15000</v>
      </c>
      <c r="Z1060" s="66">
        <f t="shared" si="421"/>
        <v>7500</v>
      </c>
      <c r="AA1060" s="66">
        <v>1856.7</v>
      </c>
      <c r="AB1060" s="66"/>
      <c r="AC1060" s="66"/>
      <c r="AD1060" s="66">
        <f t="shared" si="422"/>
        <v>7500</v>
      </c>
      <c r="AE1060" s="66">
        <f t="shared" si="423"/>
        <v>5801.663808802763</v>
      </c>
      <c r="AF1060" s="101">
        <f t="shared" si="424"/>
        <v>86839.993861711308</v>
      </c>
      <c r="AG1060" s="101">
        <f t="shared" si="425"/>
        <v>173679.98772342262</v>
      </c>
    </row>
    <row r="1061" spans="1:33" s="68" customFormat="1" x14ac:dyDescent="0.2">
      <c r="A1061" s="147" t="s">
        <v>1196</v>
      </c>
      <c r="B1061" s="147"/>
      <c r="C1061" s="147"/>
      <c r="D1061" s="148">
        <v>0</v>
      </c>
      <c r="E1061" s="149"/>
      <c r="F1061" s="150">
        <v>0.5</v>
      </c>
      <c r="G1061" s="150"/>
      <c r="H1061" s="67">
        <v>42319</v>
      </c>
      <c r="I1061" s="67">
        <f t="shared" si="414"/>
        <v>41528.736336229187</v>
      </c>
      <c r="J1061" s="67">
        <f t="shared" si="415"/>
        <v>20764.368168114594</v>
      </c>
      <c r="K1061" s="63"/>
      <c r="L1061" s="149">
        <v>0</v>
      </c>
      <c r="M1061" s="63">
        <f t="shared" si="416"/>
        <v>0</v>
      </c>
      <c r="N1061" s="63">
        <f t="shared" si="417"/>
        <v>0</v>
      </c>
      <c r="O1061" s="69"/>
      <c r="P1061" s="149">
        <v>3510</v>
      </c>
      <c r="Q1061" s="63">
        <f t="shared" si="418"/>
        <v>3510</v>
      </c>
      <c r="R1061" s="64">
        <f t="shared" si="419"/>
        <v>1755</v>
      </c>
      <c r="S1061" s="148">
        <v>15</v>
      </c>
      <c r="T1061" s="151" t="s">
        <v>107</v>
      </c>
      <c r="U1061" s="65">
        <f>SUMIF('Avoided Costs 2012-2020_EGD'!$A:$A,'2012 Actuals_Auditor'!T1061&amp;'2012 Actuals_Auditor'!S1061,'Avoided Costs 2012-2020_EGD'!$E:$E)*J1061</f>
        <v>47708.54400582458</v>
      </c>
      <c r="V1061" s="65">
        <f>SUMIF('Avoided Costs 2012-2020_EGD'!$A:$A,'2012 Actuals_Auditor'!T1061&amp;'2012 Actuals_Auditor'!S1061,'Avoided Costs 2012-2020_EGD'!$K:$K)*N1061</f>
        <v>0</v>
      </c>
      <c r="W1061" s="65">
        <f>SUMIF('Avoided Costs 2012-2020_EGD'!$A:$A,'2012 Actuals_Auditor'!T1061&amp;'2012 Actuals_Auditor'!S1061,'Avoided Costs 2012-2020_EGD'!$M:$M)*R1061</f>
        <v>43491.758180192468</v>
      </c>
      <c r="X1061" s="65">
        <f t="shared" si="420"/>
        <v>91200.302186017041</v>
      </c>
      <c r="Y1061" s="146">
        <v>22978</v>
      </c>
      <c r="Z1061" s="66">
        <f t="shared" si="421"/>
        <v>11489</v>
      </c>
      <c r="AA1061" s="66">
        <v>6347.85</v>
      </c>
      <c r="AB1061" s="66"/>
      <c r="AC1061" s="66"/>
      <c r="AD1061" s="66">
        <f t="shared" si="422"/>
        <v>11489</v>
      </c>
      <c r="AE1061" s="66">
        <f t="shared" si="423"/>
        <v>79711.302186017041</v>
      </c>
      <c r="AF1061" s="101">
        <f t="shared" si="424"/>
        <v>311465.52252171893</v>
      </c>
      <c r="AG1061" s="101">
        <f t="shared" si="425"/>
        <v>622931.04504343786</v>
      </c>
    </row>
    <row r="1062" spans="1:33" s="68" customFormat="1" x14ac:dyDescent="0.2">
      <c r="A1062" s="147" t="s">
        <v>1197</v>
      </c>
      <c r="B1062" s="147"/>
      <c r="C1062" s="147"/>
      <c r="D1062" s="148">
        <v>1</v>
      </c>
      <c r="E1062" s="149"/>
      <c r="F1062" s="150">
        <v>0.5</v>
      </c>
      <c r="G1062" s="150"/>
      <c r="H1062" s="67">
        <v>39057</v>
      </c>
      <c r="I1062" s="67">
        <f t="shared" si="414"/>
        <v>38327.650820768526</v>
      </c>
      <c r="J1062" s="67">
        <f t="shared" si="415"/>
        <v>19163.825410384263</v>
      </c>
      <c r="K1062" s="63"/>
      <c r="L1062" s="149">
        <v>0</v>
      </c>
      <c r="M1062" s="63">
        <f t="shared" si="416"/>
        <v>0</v>
      </c>
      <c r="N1062" s="63">
        <f t="shared" si="417"/>
        <v>0</v>
      </c>
      <c r="O1062" s="69"/>
      <c r="P1062" s="149">
        <v>0</v>
      </c>
      <c r="Q1062" s="63">
        <f t="shared" si="418"/>
        <v>0</v>
      </c>
      <c r="R1062" s="64">
        <f t="shared" si="419"/>
        <v>0</v>
      </c>
      <c r="S1062" s="148">
        <v>15</v>
      </c>
      <c r="T1062" s="151" t="s">
        <v>107</v>
      </c>
      <c r="U1062" s="65">
        <f>SUMIF('Avoided Costs 2012-2020_EGD'!$A:$A,'2012 Actuals_Auditor'!T1062&amp;'2012 Actuals_Auditor'!S1062,'Avoided Costs 2012-2020_EGD'!$E:$E)*J1062</f>
        <v>44031.111397610774</v>
      </c>
      <c r="V1062" s="65">
        <f>SUMIF('Avoided Costs 2012-2020_EGD'!$A:$A,'2012 Actuals_Auditor'!T1062&amp;'2012 Actuals_Auditor'!S1062,'Avoided Costs 2012-2020_EGD'!$K:$K)*N1062</f>
        <v>0</v>
      </c>
      <c r="W1062" s="65">
        <f>SUMIF('Avoided Costs 2012-2020_EGD'!$A:$A,'2012 Actuals_Auditor'!T1062&amp;'2012 Actuals_Auditor'!S1062,'Avoided Costs 2012-2020_EGD'!$M:$M)*R1062</f>
        <v>0</v>
      </c>
      <c r="X1062" s="65">
        <f t="shared" si="420"/>
        <v>44031.111397610774</v>
      </c>
      <c r="Y1062" s="146">
        <v>14000</v>
      </c>
      <c r="Z1062" s="66">
        <f t="shared" si="421"/>
        <v>7000</v>
      </c>
      <c r="AA1062" s="66">
        <v>7358.55</v>
      </c>
      <c r="AB1062" s="66"/>
      <c r="AC1062" s="66"/>
      <c r="AD1062" s="66">
        <f t="shared" si="422"/>
        <v>7000</v>
      </c>
      <c r="AE1062" s="66">
        <f t="shared" si="423"/>
        <v>37031.111397610774</v>
      </c>
      <c r="AF1062" s="101">
        <f t="shared" si="424"/>
        <v>287457.38115576393</v>
      </c>
      <c r="AG1062" s="101">
        <f t="shared" si="425"/>
        <v>574914.76231152785</v>
      </c>
    </row>
    <row r="1063" spans="1:33" s="68" customFormat="1" x14ac:dyDescent="0.2">
      <c r="A1063" s="147" t="s">
        <v>1198</v>
      </c>
      <c r="B1063" s="147"/>
      <c r="C1063" s="147"/>
      <c r="D1063" s="148">
        <v>1</v>
      </c>
      <c r="E1063" s="149"/>
      <c r="F1063" s="150">
        <v>0.5</v>
      </c>
      <c r="G1063" s="150"/>
      <c r="H1063" s="67">
        <v>81726</v>
      </c>
      <c r="I1063" s="67">
        <f t="shared" si="414"/>
        <v>80199.851268098631</v>
      </c>
      <c r="J1063" s="67">
        <f t="shared" si="415"/>
        <v>40099.925634049316</v>
      </c>
      <c r="K1063" s="63"/>
      <c r="L1063" s="149">
        <v>0</v>
      </c>
      <c r="M1063" s="63">
        <f t="shared" si="416"/>
        <v>0</v>
      </c>
      <c r="N1063" s="63">
        <f t="shared" si="417"/>
        <v>0</v>
      </c>
      <c r="O1063" s="69"/>
      <c r="P1063" s="149">
        <v>0</v>
      </c>
      <c r="Q1063" s="63">
        <f t="shared" si="418"/>
        <v>0</v>
      </c>
      <c r="R1063" s="64">
        <f t="shared" si="419"/>
        <v>0</v>
      </c>
      <c r="S1063" s="148">
        <v>25</v>
      </c>
      <c r="T1063" s="151" t="s">
        <v>107</v>
      </c>
      <c r="U1063" s="65">
        <f>SUMIF('Avoided Costs 2012-2020_EGD'!$A:$A,'2012 Actuals_Auditor'!T1063&amp;'2012 Actuals_Auditor'!S1063,'Avoided Costs 2012-2020_EGD'!$E:$E)*J1063</f>
        <v>130169.64613000595</v>
      </c>
      <c r="V1063" s="65">
        <f>SUMIF('Avoided Costs 2012-2020_EGD'!$A:$A,'2012 Actuals_Auditor'!T1063&amp;'2012 Actuals_Auditor'!S1063,'Avoided Costs 2012-2020_EGD'!$K:$K)*N1063</f>
        <v>0</v>
      </c>
      <c r="W1063" s="65">
        <f>SUMIF('Avoided Costs 2012-2020_EGD'!$A:$A,'2012 Actuals_Auditor'!T1063&amp;'2012 Actuals_Auditor'!S1063,'Avoided Costs 2012-2020_EGD'!$M:$M)*R1063</f>
        <v>0</v>
      </c>
      <c r="X1063" s="65">
        <f t="shared" si="420"/>
        <v>130169.64613000595</v>
      </c>
      <c r="Y1063" s="146">
        <v>113610</v>
      </c>
      <c r="Z1063" s="66">
        <f t="shared" si="421"/>
        <v>56805</v>
      </c>
      <c r="AA1063" s="66">
        <v>12258.9</v>
      </c>
      <c r="AB1063" s="66"/>
      <c r="AC1063" s="66"/>
      <c r="AD1063" s="66">
        <f t="shared" si="422"/>
        <v>56805</v>
      </c>
      <c r="AE1063" s="66">
        <f t="shared" si="423"/>
        <v>73364.646130005945</v>
      </c>
      <c r="AF1063" s="101">
        <f t="shared" si="424"/>
        <v>1002498.1408512329</v>
      </c>
      <c r="AG1063" s="101">
        <f t="shared" si="425"/>
        <v>2004996.2817024658</v>
      </c>
    </row>
    <row r="1064" spans="1:33" s="68" customFormat="1" x14ac:dyDescent="0.2">
      <c r="A1064" s="147" t="s">
        <v>1199</v>
      </c>
      <c r="B1064" s="147"/>
      <c r="C1064" s="147"/>
      <c r="D1064" s="148">
        <v>1</v>
      </c>
      <c r="E1064" s="149"/>
      <c r="F1064" s="150">
        <v>0.5</v>
      </c>
      <c r="G1064" s="150"/>
      <c r="H1064" s="67">
        <v>22278</v>
      </c>
      <c r="I1064" s="67">
        <f t="shared" si="414"/>
        <v>21861.981334589989</v>
      </c>
      <c r="J1064" s="67">
        <f t="shared" si="415"/>
        <v>10930.990667294995</v>
      </c>
      <c r="K1064" s="63"/>
      <c r="L1064" s="149">
        <v>0</v>
      </c>
      <c r="M1064" s="63">
        <f t="shared" si="416"/>
        <v>0</v>
      </c>
      <c r="N1064" s="63">
        <f t="shared" si="417"/>
        <v>0</v>
      </c>
      <c r="O1064" s="69"/>
      <c r="P1064" s="149">
        <v>0</v>
      </c>
      <c r="Q1064" s="63">
        <f t="shared" si="418"/>
        <v>0</v>
      </c>
      <c r="R1064" s="64">
        <f t="shared" si="419"/>
        <v>0</v>
      </c>
      <c r="S1064" s="148">
        <v>15</v>
      </c>
      <c r="T1064" s="151" t="s">
        <v>107</v>
      </c>
      <c r="U1064" s="65">
        <f>SUMIF('Avoided Costs 2012-2020_EGD'!$A:$A,'2012 Actuals_Auditor'!T1064&amp;'2012 Actuals_Auditor'!S1064,'Avoided Costs 2012-2020_EGD'!$E:$E)*J1064</f>
        <v>25115.218775532499</v>
      </c>
      <c r="V1064" s="65">
        <f>SUMIF('Avoided Costs 2012-2020_EGD'!$A:$A,'2012 Actuals_Auditor'!T1064&amp;'2012 Actuals_Auditor'!S1064,'Avoided Costs 2012-2020_EGD'!$K:$K)*N1064</f>
        <v>0</v>
      </c>
      <c r="W1064" s="65">
        <f>SUMIF('Avoided Costs 2012-2020_EGD'!$A:$A,'2012 Actuals_Auditor'!T1064&amp;'2012 Actuals_Auditor'!S1064,'Avoided Costs 2012-2020_EGD'!$M:$M)*R1064</f>
        <v>0</v>
      </c>
      <c r="X1064" s="65">
        <f t="shared" si="420"/>
        <v>25115.218775532499</v>
      </c>
      <c r="Y1064" s="146">
        <v>4694</v>
      </c>
      <c r="Z1064" s="66">
        <f t="shared" si="421"/>
        <v>2347</v>
      </c>
      <c r="AA1064" s="66">
        <v>3342</v>
      </c>
      <c r="AB1064" s="66"/>
      <c r="AC1064" s="66"/>
      <c r="AD1064" s="66">
        <f t="shared" si="422"/>
        <v>2347</v>
      </c>
      <c r="AE1064" s="66">
        <f t="shared" si="423"/>
        <v>22768.218775532499</v>
      </c>
      <c r="AF1064" s="101">
        <f t="shared" si="424"/>
        <v>163964.86000942491</v>
      </c>
      <c r="AG1064" s="101">
        <f t="shared" si="425"/>
        <v>327929.72001884982</v>
      </c>
    </row>
    <row r="1065" spans="1:33" s="68" customFormat="1" x14ac:dyDescent="0.2">
      <c r="A1065" s="147" t="s">
        <v>1200</v>
      </c>
      <c r="B1065" s="147"/>
      <c r="C1065" s="147"/>
      <c r="D1065" s="148">
        <v>1</v>
      </c>
      <c r="E1065" s="149"/>
      <c r="F1065" s="150">
        <v>0.5</v>
      </c>
      <c r="G1065" s="150"/>
      <c r="H1065" s="67">
        <v>35326</v>
      </c>
      <c r="I1065" s="67">
        <f t="shared" si="414"/>
        <v>34666.323396432621</v>
      </c>
      <c r="J1065" s="67">
        <f t="shared" si="415"/>
        <v>17333.16169821631</v>
      </c>
      <c r="K1065" s="63"/>
      <c r="L1065" s="149">
        <v>0</v>
      </c>
      <c r="M1065" s="63">
        <f t="shared" si="416"/>
        <v>0</v>
      </c>
      <c r="N1065" s="63">
        <f t="shared" si="417"/>
        <v>0</v>
      </c>
      <c r="O1065" s="69"/>
      <c r="P1065" s="149">
        <v>0</v>
      </c>
      <c r="Q1065" s="63">
        <f t="shared" si="418"/>
        <v>0</v>
      </c>
      <c r="R1065" s="64">
        <f t="shared" si="419"/>
        <v>0</v>
      </c>
      <c r="S1065" s="148">
        <v>25</v>
      </c>
      <c r="T1065" s="151" t="s">
        <v>107</v>
      </c>
      <c r="U1065" s="65">
        <f>SUMIF('Avoided Costs 2012-2020_EGD'!$A:$A,'2012 Actuals_Auditor'!T1065&amp;'2012 Actuals_Auditor'!S1065,'Avoided Costs 2012-2020_EGD'!$E:$E)*J1065</f>
        <v>56265.728399635242</v>
      </c>
      <c r="V1065" s="65">
        <f>SUMIF('Avoided Costs 2012-2020_EGD'!$A:$A,'2012 Actuals_Auditor'!T1065&amp;'2012 Actuals_Auditor'!S1065,'Avoided Costs 2012-2020_EGD'!$K:$K)*N1065</f>
        <v>0</v>
      </c>
      <c r="W1065" s="65">
        <f>SUMIF('Avoided Costs 2012-2020_EGD'!$A:$A,'2012 Actuals_Auditor'!T1065&amp;'2012 Actuals_Auditor'!S1065,'Avoided Costs 2012-2020_EGD'!$M:$M)*R1065</f>
        <v>0</v>
      </c>
      <c r="X1065" s="65">
        <f t="shared" si="420"/>
        <v>56265.728399635242</v>
      </c>
      <c r="Y1065" s="146">
        <v>78100</v>
      </c>
      <c r="Z1065" s="66">
        <f t="shared" si="421"/>
        <v>39050</v>
      </c>
      <c r="AA1065" s="66">
        <v>5298.9</v>
      </c>
      <c r="AB1065" s="66"/>
      <c r="AC1065" s="66"/>
      <c r="AD1065" s="66">
        <f t="shared" si="422"/>
        <v>39050</v>
      </c>
      <c r="AE1065" s="66">
        <f t="shared" si="423"/>
        <v>17215.728399635242</v>
      </c>
      <c r="AF1065" s="101">
        <f t="shared" si="424"/>
        <v>433329.04245540779</v>
      </c>
      <c r="AG1065" s="101">
        <f t="shared" si="425"/>
        <v>866658.08491081558</v>
      </c>
    </row>
    <row r="1066" spans="1:33" s="68" customFormat="1" x14ac:dyDescent="0.2">
      <c r="A1066" s="147" t="s">
        <v>1201</v>
      </c>
      <c r="B1066" s="147"/>
      <c r="C1066" s="147"/>
      <c r="D1066" s="148">
        <v>1</v>
      </c>
      <c r="E1066" s="149"/>
      <c r="F1066" s="150">
        <v>0.5</v>
      </c>
      <c r="G1066" s="150"/>
      <c r="H1066" s="67">
        <v>58159</v>
      </c>
      <c r="I1066" s="67">
        <f t="shared" si="414"/>
        <v>57072.940678625513</v>
      </c>
      <c r="J1066" s="67">
        <f t="shared" si="415"/>
        <v>28536.470339312757</v>
      </c>
      <c r="K1066" s="63"/>
      <c r="L1066" s="149">
        <v>0</v>
      </c>
      <c r="M1066" s="63">
        <f t="shared" si="416"/>
        <v>0</v>
      </c>
      <c r="N1066" s="63">
        <f t="shared" si="417"/>
        <v>0</v>
      </c>
      <c r="O1066" s="69"/>
      <c r="P1066" s="149">
        <v>0</v>
      </c>
      <c r="Q1066" s="63">
        <f t="shared" si="418"/>
        <v>0</v>
      </c>
      <c r="R1066" s="64">
        <f t="shared" si="419"/>
        <v>0</v>
      </c>
      <c r="S1066" s="148">
        <v>5</v>
      </c>
      <c r="T1066" s="151" t="s">
        <v>107</v>
      </c>
      <c r="U1066" s="65">
        <f>SUMIF('Avoided Costs 2012-2020_EGD'!$A:$A,'2012 Actuals_Auditor'!T1066&amp;'2012 Actuals_Auditor'!S1066,'Avoided Costs 2012-2020_EGD'!$E:$E)*J1066</f>
        <v>22769.222507392722</v>
      </c>
      <c r="V1066" s="65">
        <f>SUMIF('Avoided Costs 2012-2020_EGD'!$A:$A,'2012 Actuals_Auditor'!T1066&amp;'2012 Actuals_Auditor'!S1066,'Avoided Costs 2012-2020_EGD'!$K:$K)*N1066</f>
        <v>0</v>
      </c>
      <c r="W1066" s="65">
        <f>SUMIF('Avoided Costs 2012-2020_EGD'!$A:$A,'2012 Actuals_Auditor'!T1066&amp;'2012 Actuals_Auditor'!S1066,'Avoided Costs 2012-2020_EGD'!$M:$M)*R1066</f>
        <v>0</v>
      </c>
      <c r="X1066" s="65">
        <f t="shared" si="420"/>
        <v>22769.222507392722</v>
      </c>
      <c r="Y1066" s="146">
        <v>15895.25</v>
      </c>
      <c r="Z1066" s="66">
        <f t="shared" si="421"/>
        <v>7947.625</v>
      </c>
      <c r="AA1066" s="66">
        <v>7948</v>
      </c>
      <c r="AB1066" s="66"/>
      <c r="AC1066" s="66"/>
      <c r="AD1066" s="66">
        <f t="shared" si="422"/>
        <v>7947.625</v>
      </c>
      <c r="AE1066" s="66">
        <f t="shared" si="423"/>
        <v>14821.597507392722</v>
      </c>
      <c r="AF1066" s="101">
        <f t="shared" si="424"/>
        <v>142682.35169656377</v>
      </c>
      <c r="AG1066" s="101">
        <f t="shared" si="425"/>
        <v>285364.70339312754</v>
      </c>
    </row>
    <row r="1067" spans="1:33" s="68" customFormat="1" x14ac:dyDescent="0.2">
      <c r="A1067" s="147" t="s">
        <v>1202</v>
      </c>
      <c r="B1067" s="147"/>
      <c r="C1067" s="147"/>
      <c r="D1067" s="148">
        <v>1</v>
      </c>
      <c r="E1067" s="149"/>
      <c r="F1067" s="150">
        <v>0.5</v>
      </c>
      <c r="G1067" s="150"/>
      <c r="H1067" s="67">
        <v>63967</v>
      </c>
      <c r="I1067" s="67">
        <f t="shared" si="414"/>
        <v>62772.4822708375</v>
      </c>
      <c r="J1067" s="67">
        <f t="shared" si="415"/>
        <v>31386.24113541875</v>
      </c>
      <c r="K1067" s="63"/>
      <c r="L1067" s="149">
        <v>0</v>
      </c>
      <c r="M1067" s="63">
        <f t="shared" si="416"/>
        <v>0</v>
      </c>
      <c r="N1067" s="63">
        <f t="shared" si="417"/>
        <v>0</v>
      </c>
      <c r="O1067" s="69"/>
      <c r="P1067" s="149">
        <v>0</v>
      </c>
      <c r="Q1067" s="63">
        <f t="shared" si="418"/>
        <v>0</v>
      </c>
      <c r="R1067" s="64">
        <f t="shared" si="419"/>
        <v>0</v>
      </c>
      <c r="S1067" s="148">
        <v>15</v>
      </c>
      <c r="T1067" s="151" t="s">
        <v>107</v>
      </c>
      <c r="U1067" s="65">
        <f>SUMIF('Avoided Costs 2012-2020_EGD'!$A:$A,'2012 Actuals_Auditor'!T1067&amp;'2012 Actuals_Auditor'!S1067,'Avoided Costs 2012-2020_EGD'!$E:$E)*J1067</f>
        <v>72113.52901582222</v>
      </c>
      <c r="V1067" s="65">
        <f>SUMIF('Avoided Costs 2012-2020_EGD'!$A:$A,'2012 Actuals_Auditor'!T1067&amp;'2012 Actuals_Auditor'!S1067,'Avoided Costs 2012-2020_EGD'!$K:$K)*N1067</f>
        <v>0</v>
      </c>
      <c r="W1067" s="65">
        <f>SUMIF('Avoided Costs 2012-2020_EGD'!$A:$A,'2012 Actuals_Auditor'!T1067&amp;'2012 Actuals_Auditor'!S1067,'Avoided Costs 2012-2020_EGD'!$M:$M)*R1067</f>
        <v>0</v>
      </c>
      <c r="X1067" s="65">
        <f t="shared" si="420"/>
        <v>72113.52901582222</v>
      </c>
      <c r="Y1067" s="146">
        <v>15660</v>
      </c>
      <c r="Z1067" s="66">
        <f t="shared" si="421"/>
        <v>7830</v>
      </c>
      <c r="AA1067" s="66">
        <v>4478</v>
      </c>
      <c r="AB1067" s="66"/>
      <c r="AC1067" s="66"/>
      <c r="AD1067" s="66">
        <f t="shared" si="422"/>
        <v>7830</v>
      </c>
      <c r="AE1067" s="66">
        <f t="shared" si="423"/>
        <v>64283.52901582222</v>
      </c>
      <c r="AF1067" s="101">
        <f t="shared" si="424"/>
        <v>470793.61703128123</v>
      </c>
      <c r="AG1067" s="101">
        <f t="shared" si="425"/>
        <v>941587.23406256246</v>
      </c>
    </row>
    <row r="1068" spans="1:33" s="68" customFormat="1" x14ac:dyDescent="0.2">
      <c r="A1068" s="147" t="s">
        <v>1203</v>
      </c>
      <c r="B1068" s="147"/>
      <c r="C1068" s="147"/>
      <c r="D1068" s="148">
        <v>1</v>
      </c>
      <c r="E1068" s="149"/>
      <c r="F1068" s="150">
        <v>0.5</v>
      </c>
      <c r="G1068" s="150"/>
      <c r="H1068" s="67">
        <v>61940</v>
      </c>
      <c r="I1068" s="67">
        <f t="shared" si="414"/>
        <v>60783.334404547262</v>
      </c>
      <c r="J1068" s="67">
        <f t="shared" si="415"/>
        <v>30391.667202273631</v>
      </c>
      <c r="K1068" s="63"/>
      <c r="L1068" s="149">
        <v>0</v>
      </c>
      <c r="M1068" s="63">
        <f t="shared" si="416"/>
        <v>0</v>
      </c>
      <c r="N1068" s="63">
        <f t="shared" si="417"/>
        <v>0</v>
      </c>
      <c r="O1068" s="69"/>
      <c r="P1068" s="149">
        <v>0</v>
      </c>
      <c r="Q1068" s="63">
        <f t="shared" si="418"/>
        <v>0</v>
      </c>
      <c r="R1068" s="64">
        <f t="shared" si="419"/>
        <v>0</v>
      </c>
      <c r="S1068" s="148">
        <v>5</v>
      </c>
      <c r="T1068" s="151" t="s">
        <v>107</v>
      </c>
      <c r="U1068" s="65">
        <f>SUMIF('Avoided Costs 2012-2020_EGD'!$A:$A,'2012 Actuals_Auditor'!T1068&amp;'2012 Actuals_Auditor'!S1068,'Avoided Costs 2012-2020_EGD'!$E:$E)*J1068</f>
        <v>24249.482317576043</v>
      </c>
      <c r="V1068" s="65">
        <f>SUMIF('Avoided Costs 2012-2020_EGD'!$A:$A,'2012 Actuals_Auditor'!T1068&amp;'2012 Actuals_Auditor'!S1068,'Avoided Costs 2012-2020_EGD'!$K:$K)*N1068</f>
        <v>0</v>
      </c>
      <c r="W1068" s="65">
        <f>SUMIF('Avoided Costs 2012-2020_EGD'!$A:$A,'2012 Actuals_Auditor'!T1068&amp;'2012 Actuals_Auditor'!S1068,'Avoided Costs 2012-2020_EGD'!$M:$M)*R1068</f>
        <v>0</v>
      </c>
      <c r="X1068" s="65">
        <f t="shared" si="420"/>
        <v>24249.482317576043</v>
      </c>
      <c r="Y1068" s="146">
        <v>8211</v>
      </c>
      <c r="Z1068" s="66">
        <f t="shared" si="421"/>
        <v>4105.5</v>
      </c>
      <c r="AA1068" s="66">
        <v>4105.5</v>
      </c>
      <c r="AB1068" s="66"/>
      <c r="AC1068" s="66"/>
      <c r="AD1068" s="66">
        <f t="shared" si="422"/>
        <v>4105.5</v>
      </c>
      <c r="AE1068" s="66">
        <f t="shared" si="423"/>
        <v>20143.982317576043</v>
      </c>
      <c r="AF1068" s="101">
        <f t="shared" si="424"/>
        <v>151958.33601136814</v>
      </c>
      <c r="AG1068" s="101">
        <f t="shared" si="425"/>
        <v>303916.67202273628</v>
      </c>
    </row>
    <row r="1069" spans="1:33" s="68" customFormat="1" x14ac:dyDescent="0.2">
      <c r="A1069" s="147" t="s">
        <v>1204</v>
      </c>
      <c r="B1069" s="147"/>
      <c r="C1069" s="147"/>
      <c r="D1069" s="148">
        <v>1</v>
      </c>
      <c r="E1069" s="149"/>
      <c r="F1069" s="150">
        <v>0.5</v>
      </c>
      <c r="G1069" s="150"/>
      <c r="H1069" s="67">
        <v>71392</v>
      </c>
      <c r="I1069" s="67">
        <f t="shared" si="414"/>
        <v>70058.828056335784</v>
      </c>
      <c r="J1069" s="67">
        <f t="shared" si="415"/>
        <v>35029.414028167892</v>
      </c>
      <c r="K1069" s="63"/>
      <c r="L1069" s="149">
        <v>0</v>
      </c>
      <c r="M1069" s="63">
        <f t="shared" si="416"/>
        <v>0</v>
      </c>
      <c r="N1069" s="63">
        <f t="shared" si="417"/>
        <v>0</v>
      </c>
      <c r="O1069" s="69"/>
      <c r="P1069" s="149">
        <v>0</v>
      </c>
      <c r="Q1069" s="63">
        <f t="shared" si="418"/>
        <v>0</v>
      </c>
      <c r="R1069" s="64">
        <f t="shared" si="419"/>
        <v>0</v>
      </c>
      <c r="S1069" s="148">
        <v>10</v>
      </c>
      <c r="T1069" s="151" t="s">
        <v>107</v>
      </c>
      <c r="U1069" s="65">
        <f>SUMIF('Avoided Costs 2012-2020_EGD'!$A:$A,'2012 Actuals_Auditor'!T1069&amp;'2012 Actuals_Auditor'!S1069,'Avoided Costs 2012-2020_EGD'!$E:$E)*J1069</f>
        <v>56867.195802032511</v>
      </c>
      <c r="V1069" s="65">
        <f>SUMIF('Avoided Costs 2012-2020_EGD'!$A:$A,'2012 Actuals_Auditor'!T1069&amp;'2012 Actuals_Auditor'!S1069,'Avoided Costs 2012-2020_EGD'!$K:$K)*N1069</f>
        <v>0</v>
      </c>
      <c r="W1069" s="65">
        <f>SUMIF('Avoided Costs 2012-2020_EGD'!$A:$A,'2012 Actuals_Auditor'!T1069&amp;'2012 Actuals_Auditor'!S1069,'Avoided Costs 2012-2020_EGD'!$M:$M)*R1069</f>
        <v>0</v>
      </c>
      <c r="X1069" s="65">
        <f t="shared" si="420"/>
        <v>56867.195802032511</v>
      </c>
      <c r="Y1069" s="146">
        <v>92398</v>
      </c>
      <c r="Z1069" s="66">
        <f t="shared" si="421"/>
        <v>46199</v>
      </c>
      <c r="AA1069" s="66">
        <v>10709</v>
      </c>
      <c r="AB1069" s="66"/>
      <c r="AC1069" s="66"/>
      <c r="AD1069" s="66">
        <f t="shared" si="422"/>
        <v>46199</v>
      </c>
      <c r="AE1069" s="66">
        <f t="shared" si="423"/>
        <v>10668.195802032511</v>
      </c>
      <c r="AF1069" s="101">
        <f t="shared" si="424"/>
        <v>350294.14028167893</v>
      </c>
      <c r="AG1069" s="101">
        <f t="shared" si="425"/>
        <v>700588.28056335787</v>
      </c>
    </row>
    <row r="1070" spans="1:33" s="68" customFormat="1" x14ac:dyDescent="0.2">
      <c r="A1070" s="147" t="s">
        <v>1205</v>
      </c>
      <c r="B1070" s="147"/>
      <c r="C1070" s="147"/>
      <c r="D1070" s="148">
        <v>1</v>
      </c>
      <c r="E1070" s="149"/>
      <c r="F1070" s="150">
        <v>0.5</v>
      </c>
      <c r="G1070" s="150"/>
      <c r="H1070" s="67">
        <v>42269</v>
      </c>
      <c r="I1070" s="67">
        <f t="shared" si="414"/>
        <v>41479.670034643335</v>
      </c>
      <c r="J1070" s="67">
        <f t="shared" si="415"/>
        <v>20739.835017321668</v>
      </c>
      <c r="K1070" s="63"/>
      <c r="L1070" s="149">
        <v>0</v>
      </c>
      <c r="M1070" s="63">
        <f t="shared" si="416"/>
        <v>0</v>
      </c>
      <c r="N1070" s="63">
        <f t="shared" si="417"/>
        <v>0</v>
      </c>
      <c r="O1070" s="69"/>
      <c r="P1070" s="149">
        <v>0</v>
      </c>
      <c r="Q1070" s="63">
        <f t="shared" si="418"/>
        <v>0</v>
      </c>
      <c r="R1070" s="64">
        <f t="shared" si="419"/>
        <v>0</v>
      </c>
      <c r="S1070" s="148">
        <v>5</v>
      </c>
      <c r="T1070" s="151" t="s">
        <v>107</v>
      </c>
      <c r="U1070" s="65">
        <f>SUMIF('Avoided Costs 2012-2020_EGD'!$A:$A,'2012 Actuals_Auditor'!T1070&amp;'2012 Actuals_Auditor'!S1070,'Avoided Costs 2012-2020_EGD'!$E:$E)*J1070</f>
        <v>16548.294609002613</v>
      </c>
      <c r="V1070" s="65">
        <f>SUMIF('Avoided Costs 2012-2020_EGD'!$A:$A,'2012 Actuals_Auditor'!T1070&amp;'2012 Actuals_Auditor'!S1070,'Avoided Costs 2012-2020_EGD'!$K:$K)*N1070</f>
        <v>0</v>
      </c>
      <c r="W1070" s="65">
        <f>SUMIF('Avoided Costs 2012-2020_EGD'!$A:$A,'2012 Actuals_Auditor'!T1070&amp;'2012 Actuals_Auditor'!S1070,'Avoided Costs 2012-2020_EGD'!$M:$M)*R1070</f>
        <v>0</v>
      </c>
      <c r="X1070" s="65">
        <f t="shared" si="420"/>
        <v>16548.294609002613</v>
      </c>
      <c r="Y1070" s="146">
        <v>4896</v>
      </c>
      <c r="Z1070" s="66">
        <f t="shared" si="421"/>
        <v>2448</v>
      </c>
      <c r="AA1070" s="66">
        <v>2448</v>
      </c>
      <c r="AB1070" s="66"/>
      <c r="AC1070" s="66"/>
      <c r="AD1070" s="66">
        <f t="shared" si="422"/>
        <v>2448</v>
      </c>
      <c r="AE1070" s="66">
        <f t="shared" si="423"/>
        <v>14100.294609002613</v>
      </c>
      <c r="AF1070" s="101">
        <f t="shared" si="424"/>
        <v>103699.17508660833</v>
      </c>
      <c r="AG1070" s="101">
        <f t="shared" si="425"/>
        <v>207398.35017321666</v>
      </c>
    </row>
    <row r="1071" spans="1:33" s="68" customFormat="1" x14ac:dyDescent="0.2">
      <c r="A1071" s="147" t="s">
        <v>1206</v>
      </c>
      <c r="B1071" s="147"/>
      <c r="C1071" s="147"/>
      <c r="D1071" s="148">
        <v>1</v>
      </c>
      <c r="E1071" s="149"/>
      <c r="F1071" s="150">
        <v>0.5</v>
      </c>
      <c r="G1071" s="150"/>
      <c r="H1071" s="67">
        <v>64289</v>
      </c>
      <c r="I1071" s="67">
        <f t="shared" si="414"/>
        <v>63088.469253050353</v>
      </c>
      <c r="J1071" s="67">
        <f t="shared" si="415"/>
        <v>31544.234626525176</v>
      </c>
      <c r="K1071" s="63"/>
      <c r="L1071" s="149">
        <v>0</v>
      </c>
      <c r="M1071" s="63">
        <f t="shared" si="416"/>
        <v>0</v>
      </c>
      <c r="N1071" s="63">
        <f t="shared" si="417"/>
        <v>0</v>
      </c>
      <c r="O1071" s="69"/>
      <c r="P1071" s="149">
        <v>0</v>
      </c>
      <c r="Q1071" s="63">
        <f t="shared" si="418"/>
        <v>0</v>
      </c>
      <c r="R1071" s="64">
        <f t="shared" si="419"/>
        <v>0</v>
      </c>
      <c r="S1071" s="148">
        <v>5</v>
      </c>
      <c r="T1071" s="151" t="s">
        <v>107</v>
      </c>
      <c r="U1071" s="65">
        <f>SUMIF('Avoided Costs 2012-2020_EGD'!$A:$A,'2012 Actuals_Auditor'!T1071&amp;'2012 Actuals_Auditor'!S1071,'Avoided Costs 2012-2020_EGD'!$E:$E)*J1071</f>
        <v>25169.11476775341</v>
      </c>
      <c r="V1071" s="65">
        <f>SUMIF('Avoided Costs 2012-2020_EGD'!$A:$A,'2012 Actuals_Auditor'!T1071&amp;'2012 Actuals_Auditor'!S1071,'Avoided Costs 2012-2020_EGD'!$K:$K)*N1071</f>
        <v>0</v>
      </c>
      <c r="W1071" s="65">
        <f>SUMIF('Avoided Costs 2012-2020_EGD'!$A:$A,'2012 Actuals_Auditor'!T1071&amp;'2012 Actuals_Auditor'!S1071,'Avoided Costs 2012-2020_EGD'!$M:$M)*R1071</f>
        <v>0</v>
      </c>
      <c r="X1071" s="65">
        <f t="shared" si="420"/>
        <v>25169.11476775341</v>
      </c>
      <c r="Y1071" s="146">
        <v>4333.3</v>
      </c>
      <c r="Z1071" s="66">
        <f t="shared" si="421"/>
        <v>2166.65</v>
      </c>
      <c r="AA1071" s="66">
        <v>2166.65</v>
      </c>
      <c r="AB1071" s="66"/>
      <c r="AC1071" s="66"/>
      <c r="AD1071" s="66">
        <f t="shared" si="422"/>
        <v>2166.65</v>
      </c>
      <c r="AE1071" s="66">
        <f t="shared" si="423"/>
        <v>23002.464767753409</v>
      </c>
      <c r="AF1071" s="101">
        <f t="shared" si="424"/>
        <v>157721.17313262587</v>
      </c>
      <c r="AG1071" s="101">
        <f t="shared" si="425"/>
        <v>315442.34626525175</v>
      </c>
    </row>
    <row r="1072" spans="1:33" s="68" customFormat="1" x14ac:dyDescent="0.2">
      <c r="A1072" s="147" t="s">
        <v>1207</v>
      </c>
      <c r="B1072" s="147"/>
      <c r="C1072" s="147"/>
      <c r="D1072" s="148">
        <v>1</v>
      </c>
      <c r="E1072" s="149"/>
      <c r="F1072" s="150">
        <v>0.5</v>
      </c>
      <c r="G1072" s="150"/>
      <c r="H1072" s="67">
        <v>16969</v>
      </c>
      <c r="I1072" s="67">
        <f t="shared" si="414"/>
        <v>16652.121432204756</v>
      </c>
      <c r="J1072" s="67">
        <f t="shared" si="415"/>
        <v>8326.0607161023781</v>
      </c>
      <c r="K1072" s="63"/>
      <c r="L1072" s="149">
        <v>0</v>
      </c>
      <c r="M1072" s="63">
        <f t="shared" si="416"/>
        <v>0</v>
      </c>
      <c r="N1072" s="63">
        <f t="shared" si="417"/>
        <v>0</v>
      </c>
      <c r="O1072" s="69"/>
      <c r="P1072" s="149">
        <v>0</v>
      </c>
      <c r="Q1072" s="63">
        <f t="shared" si="418"/>
        <v>0</v>
      </c>
      <c r="R1072" s="64">
        <f t="shared" si="419"/>
        <v>0</v>
      </c>
      <c r="S1072" s="148">
        <v>15</v>
      </c>
      <c r="T1072" s="151" t="s">
        <v>107</v>
      </c>
      <c r="U1072" s="65">
        <f>SUMIF('Avoided Costs 2012-2020_EGD'!$A:$A,'2012 Actuals_Auditor'!T1072&amp;'2012 Actuals_Auditor'!S1072,'Avoided Costs 2012-2020_EGD'!$E:$E)*J1072</f>
        <v>19130.090106922122</v>
      </c>
      <c r="V1072" s="65">
        <f>SUMIF('Avoided Costs 2012-2020_EGD'!$A:$A,'2012 Actuals_Auditor'!T1072&amp;'2012 Actuals_Auditor'!S1072,'Avoided Costs 2012-2020_EGD'!$K:$K)*N1072</f>
        <v>0</v>
      </c>
      <c r="W1072" s="65">
        <f>SUMIF('Avoided Costs 2012-2020_EGD'!$A:$A,'2012 Actuals_Auditor'!T1072&amp;'2012 Actuals_Auditor'!S1072,'Avoided Costs 2012-2020_EGD'!$M:$M)*R1072</f>
        <v>0</v>
      </c>
      <c r="X1072" s="65">
        <f t="shared" si="420"/>
        <v>19130.090106922122</v>
      </c>
      <c r="Y1072" s="146">
        <v>6383.64</v>
      </c>
      <c r="Z1072" s="66">
        <f t="shared" si="421"/>
        <v>3191.82</v>
      </c>
      <c r="AA1072" s="66">
        <v>2545.35</v>
      </c>
      <c r="AB1072" s="66"/>
      <c r="AC1072" s="66"/>
      <c r="AD1072" s="66">
        <f t="shared" si="422"/>
        <v>3191.82</v>
      </c>
      <c r="AE1072" s="66">
        <f t="shared" si="423"/>
        <v>15938.270106922122</v>
      </c>
      <c r="AF1072" s="101">
        <f t="shared" si="424"/>
        <v>124890.91074153567</v>
      </c>
      <c r="AG1072" s="101">
        <f t="shared" si="425"/>
        <v>249781.82148307134</v>
      </c>
    </row>
    <row r="1073" spans="1:33" s="68" customFormat="1" x14ac:dyDescent="0.2">
      <c r="A1073" s="147" t="s">
        <v>1208</v>
      </c>
      <c r="B1073" s="147"/>
      <c r="C1073" s="147"/>
      <c r="D1073" s="148">
        <v>1</v>
      </c>
      <c r="E1073" s="149"/>
      <c r="F1073" s="150">
        <v>0.5</v>
      </c>
      <c r="G1073" s="150"/>
      <c r="H1073" s="67">
        <v>94448</v>
      </c>
      <c r="I1073" s="67">
        <f t="shared" si="414"/>
        <v>92684.281043601542</v>
      </c>
      <c r="J1073" s="67">
        <f t="shared" si="415"/>
        <v>46342.140521800771</v>
      </c>
      <c r="K1073" s="63"/>
      <c r="L1073" s="149">
        <v>0</v>
      </c>
      <c r="M1073" s="63">
        <f t="shared" si="416"/>
        <v>0</v>
      </c>
      <c r="N1073" s="63">
        <f t="shared" si="417"/>
        <v>0</v>
      </c>
      <c r="O1073" s="69"/>
      <c r="P1073" s="149">
        <v>0</v>
      </c>
      <c r="Q1073" s="63">
        <f t="shared" si="418"/>
        <v>0</v>
      </c>
      <c r="R1073" s="64">
        <f t="shared" si="419"/>
        <v>0</v>
      </c>
      <c r="S1073" s="148">
        <v>20</v>
      </c>
      <c r="T1073" s="151" t="s">
        <v>107</v>
      </c>
      <c r="U1073" s="65">
        <f>SUMIF('Avoided Costs 2012-2020_EGD'!$A:$A,'2012 Actuals_Auditor'!T1073&amp;'2012 Actuals_Auditor'!S1073,'Avoided Costs 2012-2020_EGD'!$E:$E)*J1073</f>
        <v>131071.56056570922</v>
      </c>
      <c r="V1073" s="65">
        <f>SUMIF('Avoided Costs 2012-2020_EGD'!$A:$A,'2012 Actuals_Auditor'!T1073&amp;'2012 Actuals_Auditor'!S1073,'Avoided Costs 2012-2020_EGD'!$K:$K)*N1073</f>
        <v>0</v>
      </c>
      <c r="W1073" s="65">
        <f>SUMIF('Avoided Costs 2012-2020_EGD'!$A:$A,'2012 Actuals_Auditor'!T1073&amp;'2012 Actuals_Auditor'!S1073,'Avoided Costs 2012-2020_EGD'!$M:$M)*R1073</f>
        <v>0</v>
      </c>
      <c r="X1073" s="65">
        <f t="shared" si="420"/>
        <v>131071.56056570922</v>
      </c>
      <c r="Y1073" s="146">
        <v>21991.8</v>
      </c>
      <c r="Z1073" s="66">
        <f t="shared" si="421"/>
        <v>10995.9</v>
      </c>
      <c r="AA1073" s="66">
        <v>13080.9</v>
      </c>
      <c r="AB1073" s="66"/>
      <c r="AC1073" s="66"/>
      <c r="AD1073" s="66">
        <f t="shared" si="422"/>
        <v>10995.9</v>
      </c>
      <c r="AE1073" s="66">
        <f t="shared" si="423"/>
        <v>120075.66056570923</v>
      </c>
      <c r="AF1073" s="101">
        <f t="shared" si="424"/>
        <v>926842.81043601548</v>
      </c>
      <c r="AG1073" s="101">
        <f t="shared" si="425"/>
        <v>1853685.620872031</v>
      </c>
    </row>
    <row r="1074" spans="1:33" s="68" customFormat="1" x14ac:dyDescent="0.2">
      <c r="A1074" s="147" t="s">
        <v>1209</v>
      </c>
      <c r="B1074" s="147"/>
      <c r="C1074" s="147"/>
      <c r="D1074" s="148">
        <v>1</v>
      </c>
      <c r="E1074" s="149"/>
      <c r="F1074" s="150">
        <v>0.5</v>
      </c>
      <c r="G1074" s="150"/>
      <c r="H1074" s="67">
        <v>44654</v>
      </c>
      <c r="I1074" s="67">
        <f t="shared" si="414"/>
        <v>43820.132620288241</v>
      </c>
      <c r="J1074" s="67">
        <f t="shared" si="415"/>
        <v>21910.066310144121</v>
      </c>
      <c r="K1074" s="63"/>
      <c r="L1074" s="149">
        <v>0</v>
      </c>
      <c r="M1074" s="63">
        <f t="shared" si="416"/>
        <v>0</v>
      </c>
      <c r="N1074" s="63">
        <f t="shared" si="417"/>
        <v>0</v>
      </c>
      <c r="O1074" s="69"/>
      <c r="P1074" s="149">
        <v>0</v>
      </c>
      <c r="Q1074" s="63">
        <f t="shared" si="418"/>
        <v>0</v>
      </c>
      <c r="R1074" s="64">
        <f t="shared" si="419"/>
        <v>0</v>
      </c>
      <c r="S1074" s="148">
        <v>20</v>
      </c>
      <c r="T1074" s="151" t="s">
        <v>107</v>
      </c>
      <c r="U1074" s="65">
        <f>SUMIF('Avoided Costs 2012-2020_EGD'!$A:$A,'2012 Actuals_Auditor'!T1074&amp;'2012 Actuals_Auditor'!S1074,'Avoided Costs 2012-2020_EGD'!$E:$E)*J1074</f>
        <v>61969.226087383329</v>
      </c>
      <c r="V1074" s="65">
        <f>SUMIF('Avoided Costs 2012-2020_EGD'!$A:$A,'2012 Actuals_Auditor'!T1074&amp;'2012 Actuals_Auditor'!S1074,'Avoided Costs 2012-2020_EGD'!$K:$K)*N1074</f>
        <v>0</v>
      </c>
      <c r="W1074" s="65">
        <f>SUMIF('Avoided Costs 2012-2020_EGD'!$A:$A,'2012 Actuals_Auditor'!T1074&amp;'2012 Actuals_Auditor'!S1074,'Avoided Costs 2012-2020_EGD'!$M:$M)*R1074</f>
        <v>0</v>
      </c>
      <c r="X1074" s="65">
        <f t="shared" si="420"/>
        <v>61969.226087383329</v>
      </c>
      <c r="Y1074" s="146">
        <v>39735.06</v>
      </c>
      <c r="Z1074" s="66">
        <f t="shared" si="421"/>
        <v>19867.53</v>
      </c>
      <c r="AA1074" s="66">
        <v>14130</v>
      </c>
      <c r="AB1074" s="66"/>
      <c r="AC1074" s="66"/>
      <c r="AD1074" s="66">
        <f t="shared" si="422"/>
        <v>19867.53</v>
      </c>
      <c r="AE1074" s="66">
        <f t="shared" si="423"/>
        <v>42101.69608738333</v>
      </c>
      <c r="AF1074" s="101">
        <f t="shared" si="424"/>
        <v>438201.3262028824</v>
      </c>
      <c r="AG1074" s="101">
        <f t="shared" si="425"/>
        <v>876402.65240576479</v>
      </c>
    </row>
    <row r="1075" spans="1:33" s="68" customFormat="1" x14ac:dyDescent="0.2">
      <c r="A1075" s="147" t="s">
        <v>1210</v>
      </c>
      <c r="B1075" s="147"/>
      <c r="C1075" s="147"/>
      <c r="D1075" s="148">
        <v>1</v>
      </c>
      <c r="E1075" s="149"/>
      <c r="F1075" s="150">
        <v>0.5</v>
      </c>
      <c r="G1075" s="150"/>
      <c r="H1075" s="67">
        <v>17106</v>
      </c>
      <c r="I1075" s="67">
        <f t="shared" si="414"/>
        <v>16786.563098549974</v>
      </c>
      <c r="J1075" s="67">
        <f t="shared" si="415"/>
        <v>8393.2815492749869</v>
      </c>
      <c r="K1075" s="63"/>
      <c r="L1075" s="149">
        <v>0</v>
      </c>
      <c r="M1075" s="63">
        <f t="shared" si="416"/>
        <v>0</v>
      </c>
      <c r="N1075" s="63">
        <f t="shared" si="417"/>
        <v>0</v>
      </c>
      <c r="O1075" s="69"/>
      <c r="P1075" s="149">
        <v>0</v>
      </c>
      <c r="Q1075" s="63">
        <f t="shared" si="418"/>
        <v>0</v>
      </c>
      <c r="R1075" s="64">
        <f t="shared" si="419"/>
        <v>0</v>
      </c>
      <c r="S1075" s="148">
        <v>5</v>
      </c>
      <c r="T1075" s="151" t="s">
        <v>107</v>
      </c>
      <c r="U1075" s="65">
        <f>SUMIF('Avoided Costs 2012-2020_EGD'!$A:$A,'2012 Actuals_Auditor'!T1075&amp;'2012 Actuals_Auditor'!S1075,'Avoided Costs 2012-2020_EGD'!$E:$E)*J1075</f>
        <v>6696.9913549314788</v>
      </c>
      <c r="V1075" s="65">
        <f>SUMIF('Avoided Costs 2012-2020_EGD'!$A:$A,'2012 Actuals_Auditor'!T1075&amp;'2012 Actuals_Auditor'!S1075,'Avoided Costs 2012-2020_EGD'!$K:$K)*N1075</f>
        <v>0</v>
      </c>
      <c r="W1075" s="65">
        <f>SUMIF('Avoided Costs 2012-2020_EGD'!$A:$A,'2012 Actuals_Auditor'!T1075&amp;'2012 Actuals_Auditor'!S1075,'Avoided Costs 2012-2020_EGD'!$M:$M)*R1075</f>
        <v>0</v>
      </c>
      <c r="X1075" s="65">
        <f t="shared" si="420"/>
        <v>6696.9913549314788</v>
      </c>
      <c r="Y1075" s="146">
        <v>4320</v>
      </c>
      <c r="Z1075" s="66">
        <f t="shared" si="421"/>
        <v>2160</v>
      </c>
      <c r="AA1075" s="66">
        <v>2160</v>
      </c>
      <c r="AB1075" s="66"/>
      <c r="AC1075" s="66"/>
      <c r="AD1075" s="66">
        <f t="shared" si="422"/>
        <v>2160</v>
      </c>
      <c r="AE1075" s="66">
        <f t="shared" si="423"/>
        <v>4536.9913549314788</v>
      </c>
      <c r="AF1075" s="101">
        <f t="shared" si="424"/>
        <v>41966.407746374935</v>
      </c>
      <c r="AG1075" s="101">
        <f t="shared" si="425"/>
        <v>83932.815492749869</v>
      </c>
    </row>
    <row r="1076" spans="1:33" s="68" customFormat="1" x14ac:dyDescent="0.2">
      <c r="A1076" s="147" t="s">
        <v>1211</v>
      </c>
      <c r="B1076" s="147"/>
      <c r="C1076" s="147"/>
      <c r="D1076" s="148">
        <v>1</v>
      </c>
      <c r="E1076" s="149"/>
      <c r="F1076" s="150">
        <v>0.5</v>
      </c>
      <c r="G1076" s="150"/>
      <c r="H1076" s="67">
        <v>219560</v>
      </c>
      <c r="I1076" s="67">
        <f t="shared" si="414"/>
        <v>215459.94352377133</v>
      </c>
      <c r="J1076" s="67">
        <f t="shared" si="415"/>
        <v>107729.97176188567</v>
      </c>
      <c r="K1076" s="63"/>
      <c r="L1076" s="149">
        <v>0</v>
      </c>
      <c r="M1076" s="63">
        <f t="shared" si="416"/>
        <v>0</v>
      </c>
      <c r="N1076" s="63">
        <f t="shared" si="417"/>
        <v>0</v>
      </c>
      <c r="O1076" s="69"/>
      <c r="P1076" s="149">
        <v>0</v>
      </c>
      <c r="Q1076" s="63">
        <f t="shared" si="418"/>
        <v>0</v>
      </c>
      <c r="R1076" s="64">
        <f t="shared" si="419"/>
        <v>0</v>
      </c>
      <c r="S1076" s="148">
        <v>5</v>
      </c>
      <c r="T1076" s="151" t="s">
        <v>107</v>
      </c>
      <c r="U1076" s="65">
        <f>SUMIF('Avoided Costs 2012-2020_EGD'!$A:$A,'2012 Actuals_Auditor'!T1076&amp;'2012 Actuals_Auditor'!S1076,'Avoided Costs 2012-2020_EGD'!$E:$E)*J1076</f>
        <v>85957.641873538843</v>
      </c>
      <c r="V1076" s="65">
        <f>SUMIF('Avoided Costs 2012-2020_EGD'!$A:$A,'2012 Actuals_Auditor'!T1076&amp;'2012 Actuals_Auditor'!S1076,'Avoided Costs 2012-2020_EGD'!$K:$K)*N1076</f>
        <v>0</v>
      </c>
      <c r="W1076" s="65">
        <f>SUMIF('Avoided Costs 2012-2020_EGD'!$A:$A,'2012 Actuals_Auditor'!T1076&amp;'2012 Actuals_Auditor'!S1076,'Avoided Costs 2012-2020_EGD'!$M:$M)*R1076</f>
        <v>0</v>
      </c>
      <c r="X1076" s="65">
        <f t="shared" si="420"/>
        <v>85957.641873538843</v>
      </c>
      <c r="Y1076" s="146">
        <v>4672</v>
      </c>
      <c r="Z1076" s="66">
        <f t="shared" si="421"/>
        <v>2336</v>
      </c>
      <c r="AA1076" s="66">
        <v>2639.68</v>
      </c>
      <c r="AB1076" s="66"/>
      <c r="AC1076" s="66"/>
      <c r="AD1076" s="66">
        <f t="shared" si="422"/>
        <v>2336</v>
      </c>
      <c r="AE1076" s="66">
        <f t="shared" si="423"/>
        <v>83621.641873538843</v>
      </c>
      <c r="AF1076" s="101">
        <f t="shared" si="424"/>
        <v>538649.85880942829</v>
      </c>
      <c r="AG1076" s="101">
        <f t="shared" si="425"/>
        <v>1077299.7176188566</v>
      </c>
    </row>
    <row r="1077" spans="1:33" s="68" customFormat="1" x14ac:dyDescent="0.2">
      <c r="A1077" s="147" t="s">
        <v>1212</v>
      </c>
      <c r="B1077" s="147"/>
      <c r="C1077" s="147"/>
      <c r="D1077" s="148">
        <v>1</v>
      </c>
      <c r="E1077" s="149"/>
      <c r="F1077" s="150">
        <v>0.5</v>
      </c>
      <c r="G1077" s="150"/>
      <c r="H1077" s="67">
        <v>77055</v>
      </c>
      <c r="I1077" s="67">
        <f t="shared" si="414"/>
        <v>75616.077373948807</v>
      </c>
      <c r="J1077" s="67">
        <f t="shared" si="415"/>
        <v>37808.038686974403</v>
      </c>
      <c r="K1077" s="63"/>
      <c r="L1077" s="149">
        <v>0</v>
      </c>
      <c r="M1077" s="63">
        <f t="shared" si="416"/>
        <v>0</v>
      </c>
      <c r="N1077" s="63">
        <f t="shared" si="417"/>
        <v>0</v>
      </c>
      <c r="O1077" s="69"/>
      <c r="P1077" s="149">
        <v>0</v>
      </c>
      <c r="Q1077" s="63">
        <f t="shared" si="418"/>
        <v>0</v>
      </c>
      <c r="R1077" s="64">
        <f t="shared" si="419"/>
        <v>0</v>
      </c>
      <c r="S1077" s="148">
        <v>25</v>
      </c>
      <c r="T1077" s="151" t="s">
        <v>107</v>
      </c>
      <c r="U1077" s="65">
        <f>SUMIF('Avoided Costs 2012-2020_EGD'!$A:$A,'2012 Actuals_Auditor'!T1077&amp;'2012 Actuals_Auditor'!S1077,'Avoided Costs 2012-2020_EGD'!$E:$E)*J1077</f>
        <v>122729.87889469211</v>
      </c>
      <c r="V1077" s="65">
        <f>SUMIF('Avoided Costs 2012-2020_EGD'!$A:$A,'2012 Actuals_Auditor'!T1077&amp;'2012 Actuals_Auditor'!S1077,'Avoided Costs 2012-2020_EGD'!$K:$K)*N1077</f>
        <v>0</v>
      </c>
      <c r="W1077" s="65">
        <f>SUMIF('Avoided Costs 2012-2020_EGD'!$A:$A,'2012 Actuals_Auditor'!T1077&amp;'2012 Actuals_Auditor'!S1077,'Avoided Costs 2012-2020_EGD'!$M:$M)*R1077</f>
        <v>0</v>
      </c>
      <c r="X1077" s="65">
        <f t="shared" si="420"/>
        <v>122729.87889469211</v>
      </c>
      <c r="Y1077" s="146">
        <v>157830</v>
      </c>
      <c r="Z1077" s="66">
        <f t="shared" si="421"/>
        <v>78915</v>
      </c>
      <c r="AA1077" s="66">
        <v>11558.25</v>
      </c>
      <c r="AB1077" s="66"/>
      <c r="AC1077" s="66"/>
      <c r="AD1077" s="66">
        <f t="shared" si="422"/>
        <v>78915</v>
      </c>
      <c r="AE1077" s="66">
        <f t="shared" si="423"/>
        <v>43814.878894692112</v>
      </c>
      <c r="AF1077" s="101">
        <f t="shared" si="424"/>
        <v>945200.96717436006</v>
      </c>
      <c r="AG1077" s="101">
        <f t="shared" si="425"/>
        <v>1890401.9343487201</v>
      </c>
    </row>
    <row r="1078" spans="1:33" s="68" customFormat="1" x14ac:dyDescent="0.2">
      <c r="A1078" s="147" t="s">
        <v>1213</v>
      </c>
      <c r="B1078" s="147"/>
      <c r="C1078" s="147"/>
      <c r="D1078" s="148">
        <v>1</v>
      </c>
      <c r="E1078" s="149"/>
      <c r="F1078" s="150">
        <v>0.5</v>
      </c>
      <c r="G1078" s="150"/>
      <c r="H1078" s="67">
        <v>24812</v>
      </c>
      <c r="I1078" s="67">
        <f t="shared" si="414"/>
        <v>24348.661498960715</v>
      </c>
      <c r="J1078" s="67">
        <f t="shared" si="415"/>
        <v>12174.330749480358</v>
      </c>
      <c r="K1078" s="63"/>
      <c r="L1078" s="149">
        <v>0</v>
      </c>
      <c r="M1078" s="63">
        <f t="shared" si="416"/>
        <v>0</v>
      </c>
      <c r="N1078" s="63">
        <f t="shared" si="417"/>
        <v>0</v>
      </c>
      <c r="O1078" s="69"/>
      <c r="P1078" s="149">
        <v>0</v>
      </c>
      <c r="Q1078" s="63">
        <f t="shared" si="418"/>
        <v>0</v>
      </c>
      <c r="R1078" s="64">
        <f t="shared" si="419"/>
        <v>0</v>
      </c>
      <c r="S1078" s="148">
        <v>5</v>
      </c>
      <c r="T1078" s="151" t="s">
        <v>107</v>
      </c>
      <c r="U1078" s="65">
        <f>SUMIF('Avoided Costs 2012-2020_EGD'!$A:$A,'2012 Actuals_Auditor'!T1078&amp;'2012 Actuals_Auditor'!S1078,'Avoided Costs 2012-2020_EGD'!$E:$E)*J1078</f>
        <v>9713.8869109411826</v>
      </c>
      <c r="V1078" s="65">
        <f>SUMIF('Avoided Costs 2012-2020_EGD'!$A:$A,'2012 Actuals_Auditor'!T1078&amp;'2012 Actuals_Auditor'!S1078,'Avoided Costs 2012-2020_EGD'!$K:$K)*N1078</f>
        <v>0</v>
      </c>
      <c r="W1078" s="65">
        <f>SUMIF('Avoided Costs 2012-2020_EGD'!$A:$A,'2012 Actuals_Auditor'!T1078&amp;'2012 Actuals_Auditor'!S1078,'Avoided Costs 2012-2020_EGD'!$M:$M)*R1078</f>
        <v>0</v>
      </c>
      <c r="X1078" s="65">
        <f t="shared" si="420"/>
        <v>9713.8869109411826</v>
      </c>
      <c r="Y1078" s="146">
        <v>2136.25</v>
      </c>
      <c r="Z1078" s="66">
        <f t="shared" si="421"/>
        <v>1068.125</v>
      </c>
      <c r="AA1078" s="66">
        <v>1173</v>
      </c>
      <c r="AB1078" s="66"/>
      <c r="AC1078" s="66"/>
      <c r="AD1078" s="66">
        <f t="shared" si="422"/>
        <v>1068.125</v>
      </c>
      <c r="AE1078" s="66">
        <f t="shared" si="423"/>
        <v>8645.7619109411826</v>
      </c>
      <c r="AF1078" s="101">
        <f t="shared" si="424"/>
        <v>60871.65374740179</v>
      </c>
      <c r="AG1078" s="101">
        <f t="shared" si="425"/>
        <v>121743.30749480358</v>
      </c>
    </row>
    <row r="1079" spans="1:33" s="68" customFormat="1" x14ac:dyDescent="0.2">
      <c r="A1079" s="147" t="s">
        <v>1214</v>
      </c>
      <c r="B1079" s="147"/>
      <c r="C1079" s="147"/>
      <c r="D1079" s="148">
        <v>1</v>
      </c>
      <c r="E1079" s="149"/>
      <c r="F1079" s="150">
        <v>0.5</v>
      </c>
      <c r="G1079" s="150"/>
      <c r="H1079" s="67">
        <v>523561</v>
      </c>
      <c r="I1079" s="67">
        <f t="shared" si="414"/>
        <v>513784.03849175281</v>
      </c>
      <c r="J1079" s="67">
        <f t="shared" si="415"/>
        <v>256892.01924587641</v>
      </c>
      <c r="K1079" s="63"/>
      <c r="L1079" s="149">
        <v>0</v>
      </c>
      <c r="M1079" s="63">
        <f t="shared" si="416"/>
        <v>0</v>
      </c>
      <c r="N1079" s="63">
        <f t="shared" si="417"/>
        <v>0</v>
      </c>
      <c r="O1079" s="69"/>
      <c r="P1079" s="149">
        <v>0</v>
      </c>
      <c r="Q1079" s="63">
        <f t="shared" si="418"/>
        <v>0</v>
      </c>
      <c r="R1079" s="64">
        <f t="shared" si="419"/>
        <v>0</v>
      </c>
      <c r="S1079" s="148">
        <v>15</v>
      </c>
      <c r="T1079" s="151" t="s">
        <v>107</v>
      </c>
      <c r="U1079" s="65">
        <f>SUMIF('Avoided Costs 2012-2020_EGD'!$A:$A,'2012 Actuals_Auditor'!T1079&amp;'2012 Actuals_Auditor'!S1079,'Avoided Costs 2012-2020_EGD'!$E:$E)*J1079</f>
        <v>590239.20717014861</v>
      </c>
      <c r="V1079" s="65">
        <f>SUMIF('Avoided Costs 2012-2020_EGD'!$A:$A,'2012 Actuals_Auditor'!T1079&amp;'2012 Actuals_Auditor'!S1079,'Avoided Costs 2012-2020_EGD'!$K:$K)*N1079</f>
        <v>0</v>
      </c>
      <c r="W1079" s="65">
        <f>SUMIF('Avoided Costs 2012-2020_EGD'!$A:$A,'2012 Actuals_Auditor'!T1079&amp;'2012 Actuals_Auditor'!S1079,'Avoided Costs 2012-2020_EGD'!$M:$M)*R1079</f>
        <v>0</v>
      </c>
      <c r="X1079" s="65">
        <f t="shared" si="420"/>
        <v>590239.20717014861</v>
      </c>
      <c r="Y1079" s="146">
        <v>64964</v>
      </c>
      <c r="Z1079" s="66">
        <f t="shared" si="421"/>
        <v>32482</v>
      </c>
      <c r="AA1079" s="66">
        <v>32482</v>
      </c>
      <c r="AB1079" s="66"/>
      <c r="AC1079" s="66"/>
      <c r="AD1079" s="66">
        <f t="shared" si="422"/>
        <v>32482</v>
      </c>
      <c r="AE1079" s="66">
        <f t="shared" si="423"/>
        <v>557757.20717014861</v>
      </c>
      <c r="AF1079" s="101">
        <f t="shared" si="424"/>
        <v>3853380.288688146</v>
      </c>
      <c r="AG1079" s="101">
        <f t="shared" si="425"/>
        <v>7706760.5773762921</v>
      </c>
    </row>
    <row r="1080" spans="1:33" s="68" customFormat="1" x14ac:dyDescent="0.2">
      <c r="A1080" s="147" t="s">
        <v>1215</v>
      </c>
      <c r="B1080" s="147"/>
      <c r="C1080" s="147"/>
      <c r="D1080" s="148">
        <v>1</v>
      </c>
      <c r="E1080" s="149"/>
      <c r="F1080" s="150">
        <v>0.5</v>
      </c>
      <c r="G1080" s="150"/>
      <c r="H1080" s="67">
        <v>28029</v>
      </c>
      <c r="I1080" s="67">
        <f t="shared" si="414"/>
        <v>27505.587342994109</v>
      </c>
      <c r="J1080" s="67">
        <f t="shared" si="415"/>
        <v>13752.793671497055</v>
      </c>
      <c r="K1080" s="63"/>
      <c r="L1080" s="149">
        <v>0</v>
      </c>
      <c r="M1080" s="63">
        <f t="shared" si="416"/>
        <v>0</v>
      </c>
      <c r="N1080" s="63">
        <f t="shared" si="417"/>
        <v>0</v>
      </c>
      <c r="O1080" s="69"/>
      <c r="P1080" s="149">
        <v>0</v>
      </c>
      <c r="Q1080" s="63">
        <f t="shared" si="418"/>
        <v>0</v>
      </c>
      <c r="R1080" s="64">
        <f t="shared" si="419"/>
        <v>0</v>
      </c>
      <c r="S1080" s="148">
        <v>15</v>
      </c>
      <c r="T1080" s="151" t="s">
        <v>107</v>
      </c>
      <c r="U1080" s="65">
        <f>SUMIF('Avoided Costs 2012-2020_EGD'!$A:$A,'2012 Actuals_Auditor'!T1080&amp;'2012 Actuals_Auditor'!S1080,'Avoided Costs 2012-2020_EGD'!$E:$E)*J1080</f>
        <v>31598.638435200664</v>
      </c>
      <c r="V1080" s="65">
        <f>SUMIF('Avoided Costs 2012-2020_EGD'!$A:$A,'2012 Actuals_Auditor'!T1080&amp;'2012 Actuals_Auditor'!S1080,'Avoided Costs 2012-2020_EGD'!$K:$K)*N1080</f>
        <v>0</v>
      </c>
      <c r="W1080" s="65">
        <f>SUMIF('Avoided Costs 2012-2020_EGD'!$A:$A,'2012 Actuals_Auditor'!T1080&amp;'2012 Actuals_Auditor'!S1080,'Avoided Costs 2012-2020_EGD'!$M:$M)*R1080</f>
        <v>0</v>
      </c>
      <c r="X1080" s="65">
        <f t="shared" si="420"/>
        <v>31598.638435200664</v>
      </c>
      <c r="Y1080" s="146">
        <v>44500.01</v>
      </c>
      <c r="Z1080" s="66">
        <f t="shared" si="421"/>
        <v>22250.005000000001</v>
      </c>
      <c r="AA1080" s="66">
        <v>4204.3500000000004</v>
      </c>
      <c r="AB1080" s="66"/>
      <c r="AC1080" s="66"/>
      <c r="AD1080" s="66">
        <f t="shared" si="422"/>
        <v>22250.005000000001</v>
      </c>
      <c r="AE1080" s="66">
        <f t="shared" si="423"/>
        <v>9348.6334352006634</v>
      </c>
      <c r="AF1080" s="101">
        <f t="shared" si="424"/>
        <v>206291.90507245582</v>
      </c>
      <c r="AG1080" s="101">
        <f t="shared" si="425"/>
        <v>412583.81014491164</v>
      </c>
    </row>
    <row r="1081" spans="1:33" s="68" customFormat="1" x14ac:dyDescent="0.2">
      <c r="A1081" s="147" t="s">
        <v>1216</v>
      </c>
      <c r="B1081" s="147"/>
      <c r="C1081" s="147"/>
      <c r="D1081" s="148">
        <v>1</v>
      </c>
      <c r="E1081" s="149"/>
      <c r="F1081" s="150">
        <v>0.5</v>
      </c>
      <c r="G1081" s="150"/>
      <c r="H1081" s="67">
        <v>54055</v>
      </c>
      <c r="I1081" s="67">
        <f t="shared" si="414"/>
        <v>53045.578644459194</v>
      </c>
      <c r="J1081" s="67">
        <f t="shared" si="415"/>
        <v>26522.789322229597</v>
      </c>
      <c r="K1081" s="63"/>
      <c r="L1081" s="149">
        <v>0</v>
      </c>
      <c r="M1081" s="63">
        <f t="shared" si="416"/>
        <v>0</v>
      </c>
      <c r="N1081" s="63">
        <f t="shared" si="417"/>
        <v>0</v>
      </c>
      <c r="O1081" s="69"/>
      <c r="P1081" s="149">
        <v>0</v>
      </c>
      <c r="Q1081" s="63">
        <f t="shared" si="418"/>
        <v>0</v>
      </c>
      <c r="R1081" s="64">
        <f t="shared" si="419"/>
        <v>0</v>
      </c>
      <c r="S1081" s="148">
        <v>15</v>
      </c>
      <c r="T1081" s="151" t="s">
        <v>107</v>
      </c>
      <c r="U1081" s="65">
        <f>SUMIF('Avoided Costs 2012-2020_EGD'!$A:$A,'2012 Actuals_Auditor'!T1081&amp;'2012 Actuals_Auditor'!S1081,'Avoided Costs 2012-2020_EGD'!$E:$E)*J1081</f>
        <v>60939.184438073855</v>
      </c>
      <c r="V1081" s="65">
        <f>SUMIF('Avoided Costs 2012-2020_EGD'!$A:$A,'2012 Actuals_Auditor'!T1081&amp;'2012 Actuals_Auditor'!S1081,'Avoided Costs 2012-2020_EGD'!$K:$K)*N1081</f>
        <v>0</v>
      </c>
      <c r="W1081" s="65">
        <f>SUMIF('Avoided Costs 2012-2020_EGD'!$A:$A,'2012 Actuals_Auditor'!T1081&amp;'2012 Actuals_Auditor'!S1081,'Avoided Costs 2012-2020_EGD'!$M:$M)*R1081</f>
        <v>0</v>
      </c>
      <c r="X1081" s="65">
        <f t="shared" si="420"/>
        <v>60939.184438073855</v>
      </c>
      <c r="Y1081" s="146">
        <v>35360</v>
      </c>
      <c r="Z1081" s="66">
        <f t="shared" si="421"/>
        <v>17680</v>
      </c>
      <c r="AA1081" s="66">
        <v>8108.25</v>
      </c>
      <c r="AB1081" s="66"/>
      <c r="AC1081" s="66"/>
      <c r="AD1081" s="66">
        <f t="shared" si="422"/>
        <v>17680</v>
      </c>
      <c r="AE1081" s="66">
        <f t="shared" si="423"/>
        <v>43259.184438073855</v>
      </c>
      <c r="AF1081" s="101">
        <f t="shared" si="424"/>
        <v>397841.83983344398</v>
      </c>
      <c r="AG1081" s="101">
        <f t="shared" si="425"/>
        <v>795683.67966688797</v>
      </c>
    </row>
    <row r="1082" spans="1:33" s="68" customFormat="1" x14ac:dyDescent="0.2">
      <c r="A1082" s="147" t="s">
        <v>1217</v>
      </c>
      <c r="B1082" s="147"/>
      <c r="C1082" s="147"/>
      <c r="D1082" s="148">
        <v>1</v>
      </c>
      <c r="E1082" s="149"/>
      <c r="F1082" s="150">
        <v>0.5</v>
      </c>
      <c r="G1082" s="150"/>
      <c r="H1082" s="67">
        <v>240708</v>
      </c>
      <c r="I1082" s="67">
        <f t="shared" si="414"/>
        <v>236213.02644252119</v>
      </c>
      <c r="J1082" s="67">
        <f t="shared" si="415"/>
        <v>118106.5132212606</v>
      </c>
      <c r="K1082" s="63"/>
      <c r="L1082" s="149">
        <v>0</v>
      </c>
      <c r="M1082" s="63">
        <f t="shared" si="416"/>
        <v>0</v>
      </c>
      <c r="N1082" s="63">
        <f t="shared" si="417"/>
        <v>0</v>
      </c>
      <c r="O1082" s="69"/>
      <c r="P1082" s="149">
        <v>0</v>
      </c>
      <c r="Q1082" s="63">
        <f t="shared" si="418"/>
        <v>0</v>
      </c>
      <c r="R1082" s="64">
        <f t="shared" si="419"/>
        <v>0</v>
      </c>
      <c r="S1082" s="148">
        <v>20</v>
      </c>
      <c r="T1082" s="151" t="s">
        <v>107</v>
      </c>
      <c r="U1082" s="65">
        <f>SUMIF('Avoided Costs 2012-2020_EGD'!$A:$A,'2012 Actuals_Auditor'!T1082&amp;'2012 Actuals_Auditor'!S1082,'Avoided Costs 2012-2020_EGD'!$E:$E)*J1082</f>
        <v>334045.96392354247</v>
      </c>
      <c r="V1082" s="65">
        <f>SUMIF('Avoided Costs 2012-2020_EGD'!$A:$A,'2012 Actuals_Auditor'!T1082&amp;'2012 Actuals_Auditor'!S1082,'Avoided Costs 2012-2020_EGD'!$K:$K)*N1082</f>
        <v>0</v>
      </c>
      <c r="W1082" s="65">
        <f>SUMIF('Avoided Costs 2012-2020_EGD'!$A:$A,'2012 Actuals_Auditor'!T1082&amp;'2012 Actuals_Auditor'!S1082,'Avoided Costs 2012-2020_EGD'!$M:$M)*R1082</f>
        <v>0</v>
      </c>
      <c r="X1082" s="65">
        <f t="shared" si="420"/>
        <v>334045.96392354247</v>
      </c>
      <c r="Y1082" s="146">
        <v>283300</v>
      </c>
      <c r="Z1082" s="66">
        <f t="shared" si="421"/>
        <v>141650</v>
      </c>
      <c r="AA1082" s="66">
        <v>36106.199999999997</v>
      </c>
      <c r="AB1082" s="66"/>
      <c r="AC1082" s="66"/>
      <c r="AD1082" s="66">
        <f t="shared" si="422"/>
        <v>141650</v>
      </c>
      <c r="AE1082" s="66">
        <f t="shared" si="423"/>
        <v>192395.96392354247</v>
      </c>
      <c r="AF1082" s="101">
        <f t="shared" si="424"/>
        <v>2362130.2644252121</v>
      </c>
      <c r="AG1082" s="101">
        <f t="shared" si="425"/>
        <v>4724260.5288504241</v>
      </c>
    </row>
    <row r="1083" spans="1:33" s="68" customFormat="1" x14ac:dyDescent="0.2">
      <c r="A1083" s="147" t="s">
        <v>1218</v>
      </c>
      <c r="B1083" s="147"/>
      <c r="C1083" s="147"/>
      <c r="D1083" s="148">
        <v>1</v>
      </c>
      <c r="E1083" s="149"/>
      <c r="F1083" s="150">
        <v>0.5</v>
      </c>
      <c r="G1083" s="150"/>
      <c r="H1083" s="67">
        <v>391159</v>
      </c>
      <c r="I1083" s="67">
        <f t="shared" si="414"/>
        <v>383854.50924036652</v>
      </c>
      <c r="J1083" s="67">
        <f t="shared" si="415"/>
        <v>191927.25462018326</v>
      </c>
      <c r="K1083" s="63"/>
      <c r="L1083" s="149">
        <v>0</v>
      </c>
      <c r="M1083" s="63">
        <f t="shared" si="416"/>
        <v>0</v>
      </c>
      <c r="N1083" s="63">
        <f t="shared" si="417"/>
        <v>0</v>
      </c>
      <c r="O1083" s="69"/>
      <c r="P1083" s="149">
        <v>0</v>
      </c>
      <c r="Q1083" s="63">
        <f t="shared" si="418"/>
        <v>0</v>
      </c>
      <c r="R1083" s="64">
        <f t="shared" si="419"/>
        <v>0</v>
      </c>
      <c r="S1083" s="148">
        <v>20</v>
      </c>
      <c r="T1083" s="151" t="s">
        <v>107</v>
      </c>
      <c r="U1083" s="65">
        <f>SUMIF('Avoided Costs 2012-2020_EGD'!$A:$A,'2012 Actuals_Auditor'!T1083&amp;'2012 Actuals_Auditor'!S1083,'Avoided Costs 2012-2020_EGD'!$E:$E)*J1083</f>
        <v>542836.48737212282</v>
      </c>
      <c r="V1083" s="65">
        <f>SUMIF('Avoided Costs 2012-2020_EGD'!$A:$A,'2012 Actuals_Auditor'!T1083&amp;'2012 Actuals_Auditor'!S1083,'Avoided Costs 2012-2020_EGD'!$K:$K)*N1083</f>
        <v>0</v>
      </c>
      <c r="W1083" s="65">
        <f>SUMIF('Avoided Costs 2012-2020_EGD'!$A:$A,'2012 Actuals_Auditor'!T1083&amp;'2012 Actuals_Auditor'!S1083,'Avoided Costs 2012-2020_EGD'!$M:$M)*R1083</f>
        <v>0</v>
      </c>
      <c r="X1083" s="65">
        <f t="shared" si="420"/>
        <v>542836.48737212282</v>
      </c>
      <c r="Y1083" s="146">
        <v>270929</v>
      </c>
      <c r="Z1083" s="66">
        <f t="shared" si="421"/>
        <v>135464.5</v>
      </c>
      <c r="AA1083" s="66">
        <v>58673.85</v>
      </c>
      <c r="AB1083" s="66"/>
      <c r="AC1083" s="66"/>
      <c r="AD1083" s="66">
        <f t="shared" si="422"/>
        <v>135464.5</v>
      </c>
      <c r="AE1083" s="66">
        <f t="shared" si="423"/>
        <v>407371.98737212282</v>
      </c>
      <c r="AF1083" s="101">
        <f t="shared" si="424"/>
        <v>3838545.0924036652</v>
      </c>
      <c r="AG1083" s="101">
        <f t="shared" si="425"/>
        <v>7677090.1848073304</v>
      </c>
    </row>
    <row r="1084" spans="1:33" s="68" customFormat="1" x14ac:dyDescent="0.2">
      <c r="A1084" s="147" t="s">
        <v>1219</v>
      </c>
      <c r="B1084" s="147"/>
      <c r="C1084" s="147"/>
      <c r="D1084" s="148">
        <v>1</v>
      </c>
      <c r="E1084" s="149"/>
      <c r="F1084" s="150">
        <v>0.5</v>
      </c>
      <c r="G1084" s="150"/>
      <c r="H1084" s="67">
        <v>136618</v>
      </c>
      <c r="I1084" s="67">
        <f t="shared" si="414"/>
        <v>134066.79980110491</v>
      </c>
      <c r="J1084" s="67">
        <f t="shared" si="415"/>
        <v>67033.399900552453</v>
      </c>
      <c r="K1084" s="63"/>
      <c r="L1084" s="149">
        <v>0</v>
      </c>
      <c r="M1084" s="63">
        <f t="shared" si="416"/>
        <v>0</v>
      </c>
      <c r="N1084" s="63">
        <f t="shared" si="417"/>
        <v>0</v>
      </c>
      <c r="O1084" s="69"/>
      <c r="P1084" s="149">
        <v>0</v>
      </c>
      <c r="Q1084" s="63">
        <f t="shared" si="418"/>
        <v>0</v>
      </c>
      <c r="R1084" s="64">
        <f t="shared" si="419"/>
        <v>0</v>
      </c>
      <c r="S1084" s="148">
        <v>5</v>
      </c>
      <c r="T1084" s="151" t="s">
        <v>107</v>
      </c>
      <c r="U1084" s="65">
        <f>SUMIF('Avoided Costs 2012-2020_EGD'!$A:$A,'2012 Actuals_Auditor'!T1084&amp;'2012 Actuals_Auditor'!S1084,'Avoided Costs 2012-2020_EGD'!$E:$E)*J1084</f>
        <v>53485.885942244175</v>
      </c>
      <c r="V1084" s="65">
        <f>SUMIF('Avoided Costs 2012-2020_EGD'!$A:$A,'2012 Actuals_Auditor'!T1084&amp;'2012 Actuals_Auditor'!S1084,'Avoided Costs 2012-2020_EGD'!$K:$K)*N1084</f>
        <v>0</v>
      </c>
      <c r="W1084" s="65">
        <f>SUMIF('Avoided Costs 2012-2020_EGD'!$A:$A,'2012 Actuals_Auditor'!T1084&amp;'2012 Actuals_Auditor'!S1084,'Avoided Costs 2012-2020_EGD'!$M:$M)*R1084</f>
        <v>0</v>
      </c>
      <c r="X1084" s="65">
        <f t="shared" si="420"/>
        <v>53485.885942244175</v>
      </c>
      <c r="Y1084" s="146">
        <v>40138.5</v>
      </c>
      <c r="Z1084" s="66">
        <f t="shared" si="421"/>
        <v>20069.25</v>
      </c>
      <c r="AA1084" s="66">
        <v>20069</v>
      </c>
      <c r="AB1084" s="66"/>
      <c r="AC1084" s="66"/>
      <c r="AD1084" s="66">
        <f t="shared" si="422"/>
        <v>20069.25</v>
      </c>
      <c r="AE1084" s="66">
        <f t="shared" si="423"/>
        <v>33416.635942244175</v>
      </c>
      <c r="AF1084" s="101">
        <f t="shared" si="424"/>
        <v>335166.99950276228</v>
      </c>
      <c r="AG1084" s="101">
        <f t="shared" si="425"/>
        <v>670333.99900552456</v>
      </c>
    </row>
    <row r="1085" spans="1:33" s="68" customFormat="1" x14ac:dyDescent="0.2">
      <c r="A1085" s="147" t="s">
        <v>1220</v>
      </c>
      <c r="B1085" s="147"/>
      <c r="C1085" s="147"/>
      <c r="D1085" s="148">
        <v>1</v>
      </c>
      <c r="E1085" s="149"/>
      <c r="F1085" s="150">
        <v>0.5</v>
      </c>
      <c r="G1085" s="150"/>
      <c r="H1085" s="67">
        <v>2706940</v>
      </c>
      <c r="I1085" s="67">
        <f t="shared" si="414"/>
        <v>2656390.6882958533</v>
      </c>
      <c r="J1085" s="67">
        <f t="shared" si="415"/>
        <v>1328195.3441479267</v>
      </c>
      <c r="K1085" s="63"/>
      <c r="L1085" s="149">
        <v>0</v>
      </c>
      <c r="M1085" s="63">
        <f t="shared" si="416"/>
        <v>0</v>
      </c>
      <c r="N1085" s="63">
        <f t="shared" si="417"/>
        <v>0</v>
      </c>
      <c r="O1085" s="69"/>
      <c r="P1085" s="149">
        <v>0</v>
      </c>
      <c r="Q1085" s="63">
        <f t="shared" si="418"/>
        <v>0</v>
      </c>
      <c r="R1085" s="64">
        <f t="shared" si="419"/>
        <v>0</v>
      </c>
      <c r="S1085" s="148">
        <v>15</v>
      </c>
      <c r="T1085" s="151" t="s">
        <v>107</v>
      </c>
      <c r="U1085" s="65">
        <f>SUMIF('Avoided Costs 2012-2020_EGD'!$A:$A,'2012 Actuals_Auditor'!T1085&amp;'2012 Actuals_Auditor'!S1085,'Avoided Costs 2012-2020_EGD'!$E:$E)*J1085</f>
        <v>3051682.8401220907</v>
      </c>
      <c r="V1085" s="65">
        <f>SUMIF('Avoided Costs 2012-2020_EGD'!$A:$A,'2012 Actuals_Auditor'!T1085&amp;'2012 Actuals_Auditor'!S1085,'Avoided Costs 2012-2020_EGD'!$K:$K)*N1085</f>
        <v>0</v>
      </c>
      <c r="W1085" s="65">
        <f>SUMIF('Avoided Costs 2012-2020_EGD'!$A:$A,'2012 Actuals_Auditor'!T1085&amp;'2012 Actuals_Auditor'!S1085,'Avoided Costs 2012-2020_EGD'!$M:$M)*R1085</f>
        <v>0</v>
      </c>
      <c r="X1085" s="65">
        <f t="shared" si="420"/>
        <v>3051682.8401220907</v>
      </c>
      <c r="Y1085" s="146">
        <v>79232</v>
      </c>
      <c r="Z1085" s="66">
        <f t="shared" si="421"/>
        <v>39616</v>
      </c>
      <c r="AA1085" s="66">
        <v>39616</v>
      </c>
      <c r="AB1085" s="66"/>
      <c r="AC1085" s="66"/>
      <c r="AD1085" s="66">
        <f t="shared" si="422"/>
        <v>39616</v>
      </c>
      <c r="AE1085" s="66">
        <f t="shared" si="423"/>
        <v>3012066.8401220907</v>
      </c>
      <c r="AF1085" s="101">
        <f t="shared" si="424"/>
        <v>19922930.162218899</v>
      </c>
      <c r="AG1085" s="101">
        <f t="shared" si="425"/>
        <v>39845860.324437797</v>
      </c>
    </row>
    <row r="1086" spans="1:33" s="68" customFormat="1" x14ac:dyDescent="0.2">
      <c r="A1086" s="147" t="s">
        <v>1221</v>
      </c>
      <c r="B1086" s="147"/>
      <c r="C1086" s="147"/>
      <c r="D1086" s="148">
        <v>1</v>
      </c>
      <c r="E1086" s="149"/>
      <c r="F1086" s="150">
        <v>0.5</v>
      </c>
      <c r="G1086" s="150"/>
      <c r="H1086" s="67">
        <v>4744064</v>
      </c>
      <c r="I1086" s="67">
        <f t="shared" si="414"/>
        <v>4655473.499331193</v>
      </c>
      <c r="J1086" s="67">
        <f t="shared" si="415"/>
        <v>2327736.7496655965</v>
      </c>
      <c r="K1086" s="63"/>
      <c r="L1086" s="149">
        <v>7304595</v>
      </c>
      <c r="M1086" s="63">
        <f t="shared" si="416"/>
        <v>7304595</v>
      </c>
      <c r="N1086" s="63">
        <f t="shared" si="417"/>
        <v>3652297.5</v>
      </c>
      <c r="O1086" s="69"/>
      <c r="P1086" s="149">
        <v>0</v>
      </c>
      <c r="Q1086" s="63">
        <f t="shared" si="418"/>
        <v>0</v>
      </c>
      <c r="R1086" s="64">
        <f t="shared" si="419"/>
        <v>0</v>
      </c>
      <c r="S1086" s="148">
        <v>15</v>
      </c>
      <c r="T1086" s="151" t="s">
        <v>107</v>
      </c>
      <c r="U1086" s="65">
        <f>SUMIF('Avoided Costs 2012-2020_EGD'!$A:$A,'2012 Actuals_Auditor'!T1086&amp;'2012 Actuals_Auditor'!S1086,'Avoided Costs 2012-2020_EGD'!$E:$E)*J1086</f>
        <v>5348245.1407275256</v>
      </c>
      <c r="V1086" s="65">
        <f>SUMIF('Avoided Costs 2012-2020_EGD'!$A:$A,'2012 Actuals_Auditor'!T1086&amp;'2012 Actuals_Auditor'!S1086,'Avoided Costs 2012-2020_EGD'!$K:$K)*N1086</f>
        <v>3761075.4319327921</v>
      </c>
      <c r="W1086" s="65">
        <f>SUMIF('Avoided Costs 2012-2020_EGD'!$A:$A,'2012 Actuals_Auditor'!T1086&amp;'2012 Actuals_Auditor'!S1086,'Avoided Costs 2012-2020_EGD'!$M:$M)*R1086</f>
        <v>0</v>
      </c>
      <c r="X1086" s="65">
        <f t="shared" si="420"/>
        <v>9109320.5726603176</v>
      </c>
      <c r="Y1086" s="146">
        <v>552292</v>
      </c>
      <c r="Z1086" s="66">
        <f t="shared" si="421"/>
        <v>276146</v>
      </c>
      <c r="AA1086" s="66">
        <v>112500</v>
      </c>
      <c r="AB1086" s="66"/>
      <c r="AC1086" s="66"/>
      <c r="AD1086" s="66">
        <f t="shared" si="422"/>
        <v>276146</v>
      </c>
      <c r="AE1086" s="66">
        <f t="shared" si="423"/>
        <v>8833174.5726603176</v>
      </c>
      <c r="AF1086" s="101">
        <f t="shared" si="424"/>
        <v>34916051.244983949</v>
      </c>
      <c r="AG1086" s="101">
        <f t="shared" si="425"/>
        <v>69832102.489967898</v>
      </c>
    </row>
    <row r="1087" spans="1:33" s="68" customFormat="1" x14ac:dyDescent="0.2">
      <c r="A1087" s="147" t="s">
        <v>1222</v>
      </c>
      <c r="B1087" s="147"/>
      <c r="C1087" s="147"/>
      <c r="D1087" s="148">
        <v>1</v>
      </c>
      <c r="E1087" s="149"/>
      <c r="F1087" s="150">
        <v>0.5</v>
      </c>
      <c r="G1087" s="150"/>
      <c r="H1087" s="67">
        <v>2716995</v>
      </c>
      <c r="I1087" s="67">
        <f t="shared" si="414"/>
        <v>2666257.9215447675</v>
      </c>
      <c r="J1087" s="67">
        <f t="shared" si="415"/>
        <v>1333128.9607723837</v>
      </c>
      <c r="K1087" s="63"/>
      <c r="L1087" s="149">
        <v>4308933</v>
      </c>
      <c r="M1087" s="63">
        <f t="shared" si="416"/>
        <v>4308933</v>
      </c>
      <c r="N1087" s="63">
        <f t="shared" si="417"/>
        <v>2154466.5</v>
      </c>
      <c r="O1087" s="69"/>
      <c r="P1087" s="149">
        <v>0</v>
      </c>
      <c r="Q1087" s="63">
        <f t="shared" si="418"/>
        <v>0</v>
      </c>
      <c r="R1087" s="64">
        <f t="shared" si="419"/>
        <v>0</v>
      </c>
      <c r="S1087" s="148">
        <v>15</v>
      </c>
      <c r="T1087" s="151" t="s">
        <v>107</v>
      </c>
      <c r="U1087" s="65">
        <f>SUMIF('Avoided Costs 2012-2020_EGD'!$A:$A,'2012 Actuals_Auditor'!T1087&amp;'2012 Actuals_Auditor'!S1087,'Avoided Costs 2012-2020_EGD'!$E:$E)*J1087</f>
        <v>3063018.3964910642</v>
      </c>
      <c r="V1087" s="65">
        <f>SUMIF('Avoided Costs 2012-2020_EGD'!$A:$A,'2012 Actuals_Auditor'!T1087&amp;'2012 Actuals_Auditor'!S1087,'Avoided Costs 2012-2020_EGD'!$K:$K)*N1087</f>
        <v>2218633.8933430891</v>
      </c>
      <c r="W1087" s="65">
        <f>SUMIF('Avoided Costs 2012-2020_EGD'!$A:$A,'2012 Actuals_Auditor'!T1087&amp;'2012 Actuals_Auditor'!S1087,'Avoided Costs 2012-2020_EGD'!$M:$M)*R1087</f>
        <v>0</v>
      </c>
      <c r="X1087" s="65">
        <f t="shared" si="420"/>
        <v>5281652.2898341529</v>
      </c>
      <c r="Y1087" s="146">
        <v>436697.25</v>
      </c>
      <c r="Z1087" s="66">
        <f t="shared" si="421"/>
        <v>218348.625</v>
      </c>
      <c r="AA1087" s="66">
        <v>112500</v>
      </c>
      <c r="AB1087" s="66"/>
      <c r="AC1087" s="66"/>
      <c r="AD1087" s="66">
        <f t="shared" si="422"/>
        <v>218348.625</v>
      </c>
      <c r="AE1087" s="66">
        <f t="shared" si="423"/>
        <v>5063303.6648341529</v>
      </c>
      <c r="AF1087" s="101">
        <f t="shared" si="424"/>
        <v>19996934.411585756</v>
      </c>
      <c r="AG1087" s="101">
        <f t="shared" si="425"/>
        <v>39993868.823171511</v>
      </c>
    </row>
    <row r="1088" spans="1:33" s="68" customFormat="1" x14ac:dyDescent="0.2">
      <c r="A1088" s="147" t="s">
        <v>1223</v>
      </c>
      <c r="B1088" s="147"/>
      <c r="C1088" s="147"/>
      <c r="D1088" s="148">
        <v>1</v>
      </c>
      <c r="E1088" s="149"/>
      <c r="F1088" s="150">
        <v>0.5</v>
      </c>
      <c r="G1088" s="150"/>
      <c r="H1088" s="67">
        <v>1311369</v>
      </c>
      <c r="I1088" s="67">
        <f t="shared" si="414"/>
        <v>1286880.536886612</v>
      </c>
      <c r="J1088" s="67">
        <f t="shared" si="415"/>
        <v>643440.26844330598</v>
      </c>
      <c r="K1088" s="63"/>
      <c r="L1088" s="149">
        <v>471822</v>
      </c>
      <c r="M1088" s="63">
        <f t="shared" si="416"/>
        <v>471822</v>
      </c>
      <c r="N1088" s="63">
        <f t="shared" si="417"/>
        <v>235911</v>
      </c>
      <c r="O1088" s="69"/>
      <c r="P1088" s="149">
        <v>11304</v>
      </c>
      <c r="Q1088" s="63">
        <f t="shared" si="418"/>
        <v>11304</v>
      </c>
      <c r="R1088" s="64">
        <f t="shared" si="419"/>
        <v>5652</v>
      </c>
      <c r="S1088" s="148">
        <v>20</v>
      </c>
      <c r="T1088" s="151" t="s">
        <v>107</v>
      </c>
      <c r="U1088" s="65">
        <f>SUMIF('Avoided Costs 2012-2020_EGD'!$A:$A,'2012 Actuals_Auditor'!T1088&amp;'2012 Actuals_Auditor'!S1088,'Avoided Costs 2012-2020_EGD'!$E:$E)*J1088</f>
        <v>1819871.0539926051</v>
      </c>
      <c r="V1088" s="65">
        <f>SUMIF('Avoided Costs 2012-2020_EGD'!$A:$A,'2012 Actuals_Auditor'!T1088&amp;'2012 Actuals_Auditor'!S1088,'Avoided Costs 2012-2020_EGD'!$K:$K)*N1088</f>
        <v>292677.84265052644</v>
      </c>
      <c r="W1088" s="65">
        <f>SUMIF('Avoided Costs 2012-2020_EGD'!$A:$A,'2012 Actuals_Auditor'!T1088&amp;'2012 Actuals_Auditor'!S1088,'Avoided Costs 2012-2020_EGD'!$M:$M)*R1088</f>
        <v>168743.77203841569</v>
      </c>
      <c r="X1088" s="65">
        <f t="shared" si="420"/>
        <v>2281292.668681547</v>
      </c>
      <c r="Y1088" s="146">
        <v>254127.33</v>
      </c>
      <c r="Z1088" s="66">
        <f t="shared" si="421"/>
        <v>127063.66499999999</v>
      </c>
      <c r="AA1088" s="66">
        <v>75000</v>
      </c>
      <c r="AB1088" s="66"/>
      <c r="AC1088" s="66"/>
      <c r="AD1088" s="66">
        <f t="shared" si="422"/>
        <v>127063.66499999999</v>
      </c>
      <c r="AE1088" s="66">
        <f t="shared" si="423"/>
        <v>2154229.003681547</v>
      </c>
      <c r="AF1088" s="101">
        <f t="shared" si="424"/>
        <v>12868805.36886612</v>
      </c>
      <c r="AG1088" s="101">
        <f t="shared" si="425"/>
        <v>25737610.737732239</v>
      </c>
    </row>
    <row r="1089" spans="1:33" s="68" customFormat="1" x14ac:dyDescent="0.2">
      <c r="A1089" s="147" t="s">
        <v>1224</v>
      </c>
      <c r="B1089" s="147"/>
      <c r="C1089" s="147"/>
      <c r="D1089" s="148">
        <v>1</v>
      </c>
      <c r="E1089" s="149"/>
      <c r="F1089" s="150">
        <v>0.5</v>
      </c>
      <c r="G1089" s="150"/>
      <c r="H1089" s="67">
        <v>816583</v>
      </c>
      <c r="I1089" s="67">
        <f t="shared" si="414"/>
        <v>801334.15495751402</v>
      </c>
      <c r="J1089" s="67">
        <f t="shared" si="415"/>
        <v>400667.07747875701</v>
      </c>
      <c r="K1089" s="63"/>
      <c r="L1089" s="149">
        <v>314548</v>
      </c>
      <c r="M1089" s="63">
        <f t="shared" si="416"/>
        <v>314548</v>
      </c>
      <c r="N1089" s="63">
        <f t="shared" si="417"/>
        <v>157274</v>
      </c>
      <c r="O1089" s="69"/>
      <c r="P1089" s="149">
        <v>7039</v>
      </c>
      <c r="Q1089" s="63">
        <f t="shared" si="418"/>
        <v>7039</v>
      </c>
      <c r="R1089" s="64">
        <f t="shared" si="419"/>
        <v>3519.5</v>
      </c>
      <c r="S1089" s="148">
        <v>20</v>
      </c>
      <c r="T1089" s="151" t="s">
        <v>107</v>
      </c>
      <c r="U1089" s="65">
        <f>SUMIF('Avoided Costs 2012-2020_EGD'!$A:$A,'2012 Actuals_Auditor'!T1089&amp;'2012 Actuals_Auditor'!S1089,'Avoided Costs 2012-2020_EGD'!$E:$E)*J1089</f>
        <v>1133224.7177433989</v>
      </c>
      <c r="V1089" s="65">
        <f>SUMIF('Avoided Costs 2012-2020_EGD'!$A:$A,'2012 Actuals_Auditor'!T1089&amp;'2012 Actuals_Auditor'!S1089,'Avoided Costs 2012-2020_EGD'!$K:$K)*N1089</f>
        <v>195118.56176701761</v>
      </c>
      <c r="W1089" s="65">
        <f>SUMIF('Avoided Costs 2012-2020_EGD'!$A:$A,'2012 Actuals_Auditor'!T1089&amp;'2012 Actuals_Auditor'!S1089,'Avoided Costs 2012-2020_EGD'!$M:$M)*R1089</f>
        <v>105076.73490608706</v>
      </c>
      <c r="X1089" s="65">
        <f t="shared" si="420"/>
        <v>1433420.0144165037</v>
      </c>
      <c r="Y1089" s="146">
        <v>254127</v>
      </c>
      <c r="Z1089" s="66">
        <f t="shared" si="421"/>
        <v>127063.5</v>
      </c>
      <c r="AA1089" s="66">
        <v>75000</v>
      </c>
      <c r="AB1089" s="66"/>
      <c r="AC1089" s="66"/>
      <c r="AD1089" s="66">
        <f t="shared" si="422"/>
        <v>127063.5</v>
      </c>
      <c r="AE1089" s="66">
        <f t="shared" si="423"/>
        <v>1306356.5144165037</v>
      </c>
      <c r="AF1089" s="101">
        <f t="shared" si="424"/>
        <v>8013341.5495751407</v>
      </c>
      <c r="AG1089" s="101">
        <f t="shared" si="425"/>
        <v>16026683.099150281</v>
      </c>
    </row>
    <row r="1090" spans="1:33" s="68" customFormat="1" x14ac:dyDescent="0.2">
      <c r="A1090" s="147" t="s">
        <v>1225</v>
      </c>
      <c r="B1090" s="147"/>
      <c r="C1090" s="147"/>
      <c r="D1090" s="148">
        <v>1</v>
      </c>
      <c r="E1090" s="149"/>
      <c r="F1090" s="150">
        <v>0.5</v>
      </c>
      <c r="G1090" s="150"/>
      <c r="H1090" s="67">
        <v>651034</v>
      </c>
      <c r="I1090" s="67">
        <f t="shared" si="414"/>
        <v>638876.61173280631</v>
      </c>
      <c r="J1090" s="67">
        <f t="shared" si="415"/>
        <v>319438.30586640316</v>
      </c>
      <c r="K1090" s="63"/>
      <c r="L1090" s="149">
        <v>190635</v>
      </c>
      <c r="M1090" s="63">
        <f t="shared" si="416"/>
        <v>190635</v>
      </c>
      <c r="N1090" s="63">
        <f t="shared" si="417"/>
        <v>95317.5</v>
      </c>
      <c r="O1090" s="69"/>
      <c r="P1090" s="149">
        <v>5612</v>
      </c>
      <c r="Q1090" s="63">
        <f t="shared" si="418"/>
        <v>5612</v>
      </c>
      <c r="R1090" s="64">
        <f t="shared" si="419"/>
        <v>2806</v>
      </c>
      <c r="S1090" s="148">
        <v>20</v>
      </c>
      <c r="T1090" s="151" t="s">
        <v>107</v>
      </c>
      <c r="U1090" s="65">
        <f>SUMIF('Avoided Costs 2012-2020_EGD'!$A:$A,'2012 Actuals_Auditor'!T1090&amp;'2012 Actuals_Auditor'!S1090,'Avoided Costs 2012-2020_EGD'!$E:$E)*J1090</f>
        <v>903481.7292196335</v>
      </c>
      <c r="V1090" s="65">
        <f>SUMIF('Avoided Costs 2012-2020_EGD'!$A:$A,'2012 Actuals_Auditor'!T1090&amp;'2012 Actuals_Auditor'!S1090,'Avoided Costs 2012-2020_EGD'!$K:$K)*N1090</f>
        <v>118253.57981120657</v>
      </c>
      <c r="W1090" s="65">
        <f>SUMIF('Avoided Costs 2012-2020_EGD'!$A:$A,'2012 Actuals_Auditor'!T1090&amp;'2012 Actuals_Auditor'!S1090,'Avoided Costs 2012-2020_EGD'!$M:$M)*R1090</f>
        <v>83774.774299326687</v>
      </c>
      <c r="X1090" s="65">
        <f t="shared" si="420"/>
        <v>1105510.0833301668</v>
      </c>
      <c r="Y1090" s="146">
        <v>254127</v>
      </c>
      <c r="Z1090" s="66">
        <f t="shared" si="421"/>
        <v>127063.5</v>
      </c>
      <c r="AA1090" s="66">
        <v>75000</v>
      </c>
      <c r="AB1090" s="66"/>
      <c r="AC1090" s="66"/>
      <c r="AD1090" s="66">
        <f t="shared" si="422"/>
        <v>127063.5</v>
      </c>
      <c r="AE1090" s="66">
        <f t="shared" si="423"/>
        <v>978446.58333016676</v>
      </c>
      <c r="AF1090" s="101">
        <f t="shared" si="424"/>
        <v>6388766.1173280627</v>
      </c>
      <c r="AG1090" s="101">
        <f t="shared" si="425"/>
        <v>12777532.234656125</v>
      </c>
    </row>
    <row r="1091" spans="1:33" s="59" customFormat="1" x14ac:dyDescent="0.2">
      <c r="A1091" s="152" t="s">
        <v>3</v>
      </c>
      <c r="B1091" s="152" t="s">
        <v>1226</v>
      </c>
      <c r="C1091" s="155"/>
      <c r="D1091" s="153">
        <f>SUM(D1053:D1090)</f>
        <v>36</v>
      </c>
      <c r="E1091" s="67"/>
      <c r="F1091" s="154"/>
      <c r="G1091" s="228"/>
      <c r="H1091" s="67">
        <f>SUM(H1053:H1090)</f>
        <v>16088602</v>
      </c>
      <c r="I1091" s="67">
        <f>SUM(I1053:I1090)</f>
        <v>15788163.956533225</v>
      </c>
      <c r="J1091" s="67">
        <f>SUM(J1053:J1090)</f>
        <v>7894081.9782666126</v>
      </c>
      <c r="K1091" s="64"/>
      <c r="L1091" s="67">
        <f>SUM(L1053:L1090)</f>
        <v>12599406</v>
      </c>
      <c r="M1091" s="67">
        <f>SUM(M1053:M1090)</f>
        <v>12599406</v>
      </c>
      <c r="N1091" s="67">
        <f>SUM(N1053:N1090)</f>
        <v>6299703</v>
      </c>
      <c r="O1091" s="229"/>
      <c r="P1091" s="67">
        <f>SUM(P1053:P1090)</f>
        <v>27465</v>
      </c>
      <c r="Q1091" s="67">
        <f>SUM(Q1053:Q1090)</f>
        <v>27465</v>
      </c>
      <c r="R1091" s="67">
        <f>SUM(R1053:R1090)</f>
        <v>13732.5</v>
      </c>
      <c r="S1091" s="153"/>
      <c r="T1091" s="155"/>
      <c r="U1091" s="66">
        <f>SUM(U1053:U1090)</f>
        <v>18771385.837618098</v>
      </c>
      <c r="V1091" s="66">
        <f>SUM(V1053:V1090)</f>
        <v>6591263.3565771254</v>
      </c>
      <c r="W1091" s="66">
        <f>SUM(W1053:W1090)</f>
        <v>401087.0394240219</v>
      </c>
      <c r="X1091" s="66">
        <f>SUM(X1053:X1090)</f>
        <v>25763736.233619243</v>
      </c>
      <c r="Y1091" s="146"/>
      <c r="Z1091" s="66">
        <f>SUM(Z1053:Z1090)</f>
        <v>1793057.7050000001</v>
      </c>
      <c r="AA1091" s="66">
        <v>906196.84</v>
      </c>
      <c r="AB1091" s="66">
        <v>621322.52</v>
      </c>
      <c r="AC1091" s="66">
        <f>AB1091+AA1091</f>
        <v>1527519.3599999999</v>
      </c>
      <c r="AD1091" s="66">
        <f t="shared" si="422"/>
        <v>2414380.2250000001</v>
      </c>
      <c r="AE1091" s="230">
        <f t="shared" si="423"/>
        <v>23349356.008619241</v>
      </c>
      <c r="AF1091" s="101">
        <f>SUM(AF1053:AF1090)</f>
        <v>125948017.22273684</v>
      </c>
      <c r="AG1091" s="101">
        <f>SUM(AG1053:AG1090)</f>
        <v>251896034.44547367</v>
      </c>
    </row>
    <row r="1092" spans="1:33" s="59" customFormat="1" x14ac:dyDescent="0.2">
      <c r="A1092" s="60"/>
      <c r="C1092" s="56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</row>
    <row r="1093" spans="1:33" s="59" customFormat="1" x14ac:dyDescent="0.2">
      <c r="A1093" s="140" t="s">
        <v>1273</v>
      </c>
      <c r="B1093" s="10" t="s">
        <v>1359</v>
      </c>
      <c r="C1093" s="56"/>
      <c r="D1093" s="13"/>
      <c r="E1093" s="13"/>
      <c r="F1093" s="14"/>
      <c r="G1093" s="15"/>
      <c r="H1093" s="17">
        <v>1</v>
      </c>
      <c r="I1093" s="17"/>
      <c r="J1093" s="17"/>
      <c r="K1093" s="227"/>
      <c r="L1093" s="227">
        <v>1</v>
      </c>
      <c r="M1093" s="227"/>
      <c r="N1093" s="17"/>
      <c r="O1093" s="21"/>
      <c r="P1093" s="256">
        <v>1</v>
      </c>
      <c r="Q1093" s="227"/>
      <c r="R1093" s="13"/>
      <c r="S1093" s="13"/>
      <c r="T1093" s="56"/>
      <c r="U1093" s="57"/>
      <c r="V1093" s="57"/>
      <c r="W1093" s="57"/>
      <c r="X1093" s="57"/>
      <c r="Y1093" s="61"/>
      <c r="Z1093" s="57"/>
      <c r="AA1093" s="57"/>
      <c r="AB1093" s="57"/>
      <c r="AC1093" s="57"/>
      <c r="AD1093" s="57"/>
      <c r="AE1093" s="57"/>
      <c r="AF1093" s="100"/>
      <c r="AG1093" s="100"/>
    </row>
    <row r="1094" spans="1:33" s="68" customFormat="1" x14ac:dyDescent="0.2">
      <c r="A1094" s="147" t="s">
        <v>1227</v>
      </c>
      <c r="B1094" s="147"/>
      <c r="C1094" s="147"/>
      <c r="D1094" s="148">
        <v>1</v>
      </c>
      <c r="E1094" s="149"/>
      <c r="F1094" s="150">
        <v>0.5</v>
      </c>
      <c r="G1094" s="150"/>
      <c r="H1094" s="67">
        <v>99396</v>
      </c>
      <c r="I1094" s="67">
        <f t="shared" ref="I1094:I1137" si="426">+$H$1052*H1094</f>
        <v>97539.882248536975</v>
      </c>
      <c r="J1094" s="67">
        <f t="shared" ref="J1094:J1137" si="427">I1094*(1-F1094)</f>
        <v>48769.941124268487</v>
      </c>
      <c r="K1094" s="63"/>
      <c r="L1094" s="149">
        <v>0</v>
      </c>
      <c r="M1094" s="63">
        <f t="shared" ref="M1094:M1137" si="428">+$L$1052*L1094</f>
        <v>0</v>
      </c>
      <c r="N1094" s="63">
        <f t="shared" ref="N1094:N1137" si="429">M1094*(1-F1094)</f>
        <v>0</v>
      </c>
      <c r="O1094" s="69"/>
      <c r="P1094" s="149">
        <v>0</v>
      </c>
      <c r="Q1094" s="63">
        <f t="shared" ref="Q1094:Q1137" si="430">+P1094*$P$1052</f>
        <v>0</v>
      </c>
      <c r="R1094" s="64">
        <f t="shared" ref="R1094:R1137" si="431">Q1094*(1-F1094)</f>
        <v>0</v>
      </c>
      <c r="S1094" s="148">
        <v>15</v>
      </c>
      <c r="T1094" s="151" t="s">
        <v>107</v>
      </c>
      <c r="U1094" s="65">
        <f>SUMIF('Avoided Costs 2012-2020_EGD'!$A:$A,'2012 Actuals_Auditor'!T1094&amp;'2012 Actuals_Auditor'!S1094,'Avoided Costs 2012-2020_EGD'!$E:$E)*J1094</f>
        <v>112054.59580809895</v>
      </c>
      <c r="V1094" s="65">
        <f>SUMIF('Avoided Costs 2012-2020_EGD'!$A:$A,'2012 Actuals_Auditor'!T1094&amp;'2012 Actuals_Auditor'!S1094,'Avoided Costs 2012-2020_EGD'!$K:$K)*N1094</f>
        <v>0</v>
      </c>
      <c r="W1094" s="65">
        <f>SUMIF('Avoided Costs 2012-2020_EGD'!$A:$A,'2012 Actuals_Auditor'!T1094&amp;'2012 Actuals_Auditor'!S1094,'Avoided Costs 2012-2020_EGD'!$M:$M)*R1094</f>
        <v>0</v>
      </c>
      <c r="X1094" s="65">
        <f t="shared" ref="X1094:X1137" si="432">SUM(U1094:W1094)</f>
        <v>112054.59580809895</v>
      </c>
      <c r="Y1094" s="146">
        <v>55858</v>
      </c>
      <c r="Z1094" s="66">
        <f t="shared" ref="Z1094:Z1137" si="433">Y1094*(1-F1094)</f>
        <v>27929</v>
      </c>
      <c r="AA1094" s="66">
        <v>6958</v>
      </c>
      <c r="AB1094" s="66"/>
      <c r="AC1094" s="66"/>
      <c r="AD1094" s="66">
        <f t="shared" ref="AD1094:AD1138" si="434">Z1094+AB1094</f>
        <v>27929</v>
      </c>
      <c r="AE1094" s="66">
        <f t="shared" ref="AE1094:AE1138" si="435">X1094-AD1094</f>
        <v>84125.595808098951</v>
      </c>
      <c r="AF1094" s="101">
        <f t="shared" ref="AF1094:AF1137" si="436">J1094*S1094</f>
        <v>731549.11686402734</v>
      </c>
      <c r="AG1094" s="101">
        <f t="shared" ref="AG1094:AG1137" si="437">(I1094*S1094)</f>
        <v>1463098.2337280547</v>
      </c>
    </row>
    <row r="1095" spans="1:33" s="68" customFormat="1" x14ac:dyDescent="0.2">
      <c r="A1095" s="147" t="s">
        <v>1228</v>
      </c>
      <c r="B1095" s="147"/>
      <c r="C1095" s="147"/>
      <c r="D1095" s="148">
        <v>1</v>
      </c>
      <c r="E1095" s="149"/>
      <c r="F1095" s="150">
        <v>0.5</v>
      </c>
      <c r="G1095" s="150"/>
      <c r="H1095" s="67">
        <v>38500</v>
      </c>
      <c r="I1095" s="67">
        <f t="shared" si="426"/>
        <v>37781.052221102189</v>
      </c>
      <c r="J1095" s="67">
        <f t="shared" si="427"/>
        <v>18890.526110551094</v>
      </c>
      <c r="K1095" s="63"/>
      <c r="L1095" s="149">
        <v>0</v>
      </c>
      <c r="M1095" s="63">
        <f t="shared" si="428"/>
        <v>0</v>
      </c>
      <c r="N1095" s="63">
        <f t="shared" si="429"/>
        <v>0</v>
      </c>
      <c r="O1095" s="69"/>
      <c r="P1095" s="149">
        <v>0</v>
      </c>
      <c r="Q1095" s="63">
        <f t="shared" si="430"/>
        <v>0</v>
      </c>
      <c r="R1095" s="64">
        <f t="shared" si="431"/>
        <v>0</v>
      </c>
      <c r="S1095" s="148">
        <v>15</v>
      </c>
      <c r="T1095" s="151" t="s">
        <v>107</v>
      </c>
      <c r="U1095" s="65">
        <f>SUMIF('Avoided Costs 2012-2020_EGD'!$A:$A,'2012 Actuals_Auditor'!T1095&amp;'2012 Actuals_Auditor'!S1095,'Avoided Costs 2012-2020_EGD'!$E:$E)*J1095</f>
        <v>43403.174560463289</v>
      </c>
      <c r="V1095" s="65">
        <f>SUMIF('Avoided Costs 2012-2020_EGD'!$A:$A,'2012 Actuals_Auditor'!T1095&amp;'2012 Actuals_Auditor'!S1095,'Avoided Costs 2012-2020_EGD'!$K:$K)*N1095</f>
        <v>0</v>
      </c>
      <c r="W1095" s="65">
        <f>SUMIF('Avoided Costs 2012-2020_EGD'!$A:$A,'2012 Actuals_Auditor'!T1095&amp;'2012 Actuals_Auditor'!S1095,'Avoided Costs 2012-2020_EGD'!$M:$M)*R1095</f>
        <v>0</v>
      </c>
      <c r="X1095" s="65">
        <f t="shared" si="432"/>
        <v>43403.174560463289</v>
      </c>
      <c r="Y1095" s="146">
        <v>10000</v>
      </c>
      <c r="Z1095" s="66">
        <f t="shared" si="433"/>
        <v>5000</v>
      </c>
      <c r="AA1095" s="66">
        <v>1925</v>
      </c>
      <c r="AB1095" s="66"/>
      <c r="AC1095" s="66"/>
      <c r="AD1095" s="66">
        <f t="shared" si="434"/>
        <v>5000</v>
      </c>
      <c r="AE1095" s="66">
        <f t="shared" si="435"/>
        <v>38403.174560463289</v>
      </c>
      <c r="AF1095" s="101">
        <f t="shared" si="436"/>
        <v>283357.89165826642</v>
      </c>
      <c r="AG1095" s="101">
        <f t="shared" si="437"/>
        <v>566715.78331653285</v>
      </c>
    </row>
    <row r="1096" spans="1:33" s="68" customFormat="1" x14ac:dyDescent="0.2">
      <c r="A1096" s="147" t="s">
        <v>1229</v>
      </c>
      <c r="B1096" s="147"/>
      <c r="C1096" s="147"/>
      <c r="D1096" s="148">
        <v>1</v>
      </c>
      <c r="E1096" s="149"/>
      <c r="F1096" s="150">
        <v>0.5</v>
      </c>
      <c r="G1096" s="150"/>
      <c r="H1096" s="67">
        <v>1224675</v>
      </c>
      <c r="I1096" s="67">
        <f t="shared" si="426"/>
        <v>1201805.4578929434</v>
      </c>
      <c r="J1096" s="67">
        <f t="shared" si="427"/>
        <v>600902.7289464717</v>
      </c>
      <c r="K1096" s="63"/>
      <c r="L1096" s="149">
        <v>0</v>
      </c>
      <c r="M1096" s="63">
        <f t="shared" si="428"/>
        <v>0</v>
      </c>
      <c r="N1096" s="137">
        <f t="shared" si="429"/>
        <v>0</v>
      </c>
      <c r="O1096" s="69"/>
      <c r="P1096" s="149">
        <v>0</v>
      </c>
      <c r="Q1096" s="63">
        <f t="shared" si="430"/>
        <v>0</v>
      </c>
      <c r="R1096" s="64">
        <f t="shared" si="431"/>
        <v>0</v>
      </c>
      <c r="S1096" s="148">
        <v>15</v>
      </c>
      <c r="T1096" s="151" t="s">
        <v>107</v>
      </c>
      <c r="U1096" s="65">
        <f>SUMIF('Avoided Costs 2012-2020_EGD'!$A:$A,'2012 Actuals_Auditor'!T1096&amp;'2012 Actuals_Auditor'!S1096,'Avoided Costs 2012-2020_EGD'!$E:$E)*J1096</f>
        <v>1380643.7092165034</v>
      </c>
      <c r="V1096" s="65">
        <f>SUMIF('Avoided Costs 2012-2020_EGD'!$A:$A,'2012 Actuals_Auditor'!T1096&amp;'2012 Actuals_Auditor'!S1096,'Avoided Costs 2012-2020_EGD'!$K:$K)*N1096</f>
        <v>0</v>
      </c>
      <c r="W1096" s="65">
        <f>SUMIF('Avoided Costs 2012-2020_EGD'!$A:$A,'2012 Actuals_Auditor'!T1096&amp;'2012 Actuals_Auditor'!S1096,'Avoided Costs 2012-2020_EGD'!$M:$M)*R1096</f>
        <v>0</v>
      </c>
      <c r="X1096" s="65">
        <f t="shared" si="432"/>
        <v>1380643.7092165034</v>
      </c>
      <c r="Y1096" s="146">
        <v>1069610</v>
      </c>
      <c r="Z1096" s="66">
        <f t="shared" si="433"/>
        <v>534805</v>
      </c>
      <c r="AA1096" s="66">
        <v>0</v>
      </c>
      <c r="AB1096" s="66"/>
      <c r="AC1096" s="66"/>
      <c r="AD1096" s="66">
        <f t="shared" si="434"/>
        <v>534805</v>
      </c>
      <c r="AE1096" s="66">
        <f t="shared" si="435"/>
        <v>845838.70921650343</v>
      </c>
      <c r="AF1096" s="101">
        <f t="shared" si="436"/>
        <v>9013540.9341970757</v>
      </c>
      <c r="AG1096" s="101">
        <f t="shared" si="437"/>
        <v>18027081.868394151</v>
      </c>
    </row>
    <row r="1097" spans="1:33" s="68" customFormat="1" x14ac:dyDescent="0.2">
      <c r="A1097" s="147" t="s">
        <v>1230</v>
      </c>
      <c r="B1097" s="147"/>
      <c r="C1097" s="147"/>
      <c r="D1097" s="148">
        <v>1</v>
      </c>
      <c r="E1097" s="149"/>
      <c r="F1097" s="150">
        <v>0.5</v>
      </c>
      <c r="G1097" s="150"/>
      <c r="H1097" s="67">
        <v>29718</v>
      </c>
      <c r="I1097" s="67">
        <f t="shared" si="426"/>
        <v>29163.047010564023</v>
      </c>
      <c r="J1097" s="67">
        <f t="shared" si="427"/>
        <v>14581.523505282012</v>
      </c>
      <c r="K1097" s="63"/>
      <c r="L1097" s="149">
        <v>0</v>
      </c>
      <c r="M1097" s="63">
        <f t="shared" si="428"/>
        <v>0</v>
      </c>
      <c r="N1097" s="63">
        <f t="shared" si="429"/>
        <v>0</v>
      </c>
      <c r="O1097" s="69"/>
      <c r="P1097" s="149">
        <v>0</v>
      </c>
      <c r="Q1097" s="63">
        <f t="shared" si="430"/>
        <v>0</v>
      </c>
      <c r="R1097" s="64">
        <f t="shared" si="431"/>
        <v>0</v>
      </c>
      <c r="S1097" s="148">
        <v>15</v>
      </c>
      <c r="T1097" s="151" t="s">
        <v>107</v>
      </c>
      <c r="U1097" s="65">
        <f>SUMIF('Avoided Costs 2012-2020_EGD'!$A:$A,'2012 Actuals_Auditor'!T1097&amp;'2012 Actuals_Auditor'!S1097,'Avoided Costs 2012-2020_EGD'!$E:$E)*J1097</f>
        <v>33502.741339944107</v>
      </c>
      <c r="V1097" s="65">
        <f>SUMIF('Avoided Costs 2012-2020_EGD'!$A:$A,'2012 Actuals_Auditor'!T1097&amp;'2012 Actuals_Auditor'!S1097,'Avoided Costs 2012-2020_EGD'!$K:$K)*N1097</f>
        <v>0</v>
      </c>
      <c r="W1097" s="65">
        <f>SUMIF('Avoided Costs 2012-2020_EGD'!$A:$A,'2012 Actuals_Auditor'!T1097&amp;'2012 Actuals_Auditor'!S1097,'Avoided Costs 2012-2020_EGD'!$M:$M)*R1097</f>
        <v>0</v>
      </c>
      <c r="X1097" s="65">
        <f t="shared" si="432"/>
        <v>33502.741339944107</v>
      </c>
      <c r="Y1097" s="146">
        <v>2690</v>
      </c>
      <c r="Z1097" s="66">
        <f t="shared" si="433"/>
        <v>1345</v>
      </c>
      <c r="AA1097" s="66">
        <v>1345</v>
      </c>
      <c r="AB1097" s="66"/>
      <c r="AC1097" s="66"/>
      <c r="AD1097" s="66">
        <f t="shared" si="434"/>
        <v>1345</v>
      </c>
      <c r="AE1097" s="66">
        <f t="shared" si="435"/>
        <v>32157.741339944107</v>
      </c>
      <c r="AF1097" s="101">
        <f t="shared" si="436"/>
        <v>218722.85257923018</v>
      </c>
      <c r="AG1097" s="101">
        <f t="shared" si="437"/>
        <v>437445.70515846036</v>
      </c>
    </row>
    <row r="1098" spans="1:33" s="68" customFormat="1" x14ac:dyDescent="0.2">
      <c r="A1098" s="147" t="s">
        <v>1231</v>
      </c>
      <c r="B1098" s="147"/>
      <c r="C1098" s="147"/>
      <c r="D1098" s="148">
        <v>1</v>
      </c>
      <c r="E1098" s="149"/>
      <c r="F1098" s="150">
        <v>0.5</v>
      </c>
      <c r="G1098" s="150"/>
      <c r="H1098" s="67">
        <v>26053</v>
      </c>
      <c r="I1098" s="67">
        <f t="shared" si="426"/>
        <v>25566.487104321437</v>
      </c>
      <c r="J1098" s="67">
        <f t="shared" si="427"/>
        <v>12783.243552160719</v>
      </c>
      <c r="K1098" s="63"/>
      <c r="L1098" s="149">
        <v>0</v>
      </c>
      <c r="M1098" s="63">
        <f t="shared" si="428"/>
        <v>0</v>
      </c>
      <c r="N1098" s="63">
        <f t="shared" si="429"/>
        <v>0</v>
      </c>
      <c r="O1098" s="69"/>
      <c r="P1098" s="149">
        <v>0</v>
      </c>
      <c r="Q1098" s="63">
        <f t="shared" si="430"/>
        <v>0</v>
      </c>
      <c r="R1098" s="64">
        <f t="shared" si="431"/>
        <v>0</v>
      </c>
      <c r="S1098" s="148">
        <v>25</v>
      </c>
      <c r="T1098" s="151" t="s">
        <v>107</v>
      </c>
      <c r="U1098" s="65">
        <f>SUMIF('Avoided Costs 2012-2020_EGD'!$A:$A,'2012 Actuals_Auditor'!T1098&amp;'2012 Actuals_Auditor'!S1098,'Avoided Costs 2012-2020_EGD'!$E:$E)*J1098</f>
        <v>41496.094151494566</v>
      </c>
      <c r="V1098" s="65">
        <f>SUMIF('Avoided Costs 2012-2020_EGD'!$A:$A,'2012 Actuals_Auditor'!T1098&amp;'2012 Actuals_Auditor'!S1098,'Avoided Costs 2012-2020_EGD'!$K:$K)*N1098</f>
        <v>0</v>
      </c>
      <c r="W1098" s="65">
        <f>SUMIF('Avoided Costs 2012-2020_EGD'!$A:$A,'2012 Actuals_Auditor'!T1098&amp;'2012 Actuals_Auditor'!S1098,'Avoided Costs 2012-2020_EGD'!$M:$M)*R1098</f>
        <v>0</v>
      </c>
      <c r="X1098" s="65">
        <f t="shared" si="432"/>
        <v>41496.094151494566</v>
      </c>
      <c r="Y1098" s="146">
        <v>22258.03</v>
      </c>
      <c r="Z1098" s="66">
        <f t="shared" si="433"/>
        <v>11129.014999999999</v>
      </c>
      <c r="AA1098" s="66">
        <v>1823.71</v>
      </c>
      <c r="AB1098" s="66"/>
      <c r="AC1098" s="66"/>
      <c r="AD1098" s="66">
        <f t="shared" si="434"/>
        <v>11129.014999999999</v>
      </c>
      <c r="AE1098" s="66">
        <f t="shared" si="435"/>
        <v>30367.079151494567</v>
      </c>
      <c r="AF1098" s="101">
        <f t="shared" si="436"/>
        <v>319581.08880401799</v>
      </c>
      <c r="AG1098" s="101">
        <f t="shared" si="437"/>
        <v>639162.17760803597</v>
      </c>
    </row>
    <row r="1099" spans="1:33" s="68" customFormat="1" x14ac:dyDescent="0.2">
      <c r="A1099" s="147" t="s">
        <v>1232</v>
      </c>
      <c r="B1099" s="147"/>
      <c r="C1099" s="147"/>
      <c r="D1099" s="148">
        <v>1</v>
      </c>
      <c r="E1099" s="149"/>
      <c r="F1099" s="150">
        <v>0.5</v>
      </c>
      <c r="G1099" s="150"/>
      <c r="H1099" s="67">
        <v>51957</v>
      </c>
      <c r="I1099" s="67">
        <f t="shared" si="426"/>
        <v>50986.75662991705</v>
      </c>
      <c r="J1099" s="67">
        <f t="shared" si="427"/>
        <v>25493.378314958525</v>
      </c>
      <c r="K1099" s="63"/>
      <c r="L1099" s="149">
        <v>0</v>
      </c>
      <c r="M1099" s="63">
        <f t="shared" si="428"/>
        <v>0</v>
      </c>
      <c r="N1099" s="63">
        <f t="shared" si="429"/>
        <v>0</v>
      </c>
      <c r="O1099" s="69"/>
      <c r="P1099" s="149">
        <v>0</v>
      </c>
      <c r="Q1099" s="63">
        <f t="shared" si="430"/>
        <v>0</v>
      </c>
      <c r="R1099" s="64">
        <f t="shared" si="431"/>
        <v>0</v>
      </c>
      <c r="S1099" s="148">
        <v>5</v>
      </c>
      <c r="T1099" s="151" t="s">
        <v>107</v>
      </c>
      <c r="U1099" s="65">
        <f>SUMIF('Avoided Costs 2012-2020_EGD'!$A:$A,'2012 Actuals_Auditor'!T1099&amp;'2012 Actuals_Auditor'!S1099,'Avoided Costs 2012-2020_EGD'!$E:$E)*J1099</f>
        <v>20341.142279210504</v>
      </c>
      <c r="V1099" s="65">
        <f>SUMIF('Avoided Costs 2012-2020_EGD'!$A:$A,'2012 Actuals_Auditor'!T1099&amp;'2012 Actuals_Auditor'!S1099,'Avoided Costs 2012-2020_EGD'!$K:$K)*N1099</f>
        <v>0</v>
      </c>
      <c r="W1099" s="65">
        <f>SUMIF('Avoided Costs 2012-2020_EGD'!$A:$A,'2012 Actuals_Auditor'!T1099&amp;'2012 Actuals_Auditor'!S1099,'Avoided Costs 2012-2020_EGD'!$M:$M)*R1099</f>
        <v>0</v>
      </c>
      <c r="X1099" s="65">
        <f t="shared" si="432"/>
        <v>20341.142279210504</v>
      </c>
      <c r="Y1099" s="146">
        <v>1926.95</v>
      </c>
      <c r="Z1099" s="66">
        <f t="shared" si="433"/>
        <v>963.47500000000002</v>
      </c>
      <c r="AA1099" s="66">
        <v>963.5</v>
      </c>
      <c r="AB1099" s="66"/>
      <c r="AC1099" s="66"/>
      <c r="AD1099" s="66">
        <f t="shared" si="434"/>
        <v>963.47500000000002</v>
      </c>
      <c r="AE1099" s="66">
        <f t="shared" si="435"/>
        <v>19377.667279210506</v>
      </c>
      <c r="AF1099" s="101">
        <f t="shared" si="436"/>
        <v>127466.89157479262</v>
      </c>
      <c r="AG1099" s="101">
        <f t="shared" si="437"/>
        <v>254933.78314958524</v>
      </c>
    </row>
    <row r="1100" spans="1:33" s="68" customFormat="1" x14ac:dyDescent="0.2">
      <c r="A1100" s="147" t="s">
        <v>1233</v>
      </c>
      <c r="B1100" s="147"/>
      <c r="C1100" s="147"/>
      <c r="D1100" s="148">
        <v>1</v>
      </c>
      <c r="E1100" s="149"/>
      <c r="F1100" s="150">
        <v>0.5</v>
      </c>
      <c r="G1100" s="150"/>
      <c r="H1100" s="67">
        <v>31158</v>
      </c>
      <c r="I1100" s="67">
        <f t="shared" si="426"/>
        <v>30576.156496236417</v>
      </c>
      <c r="J1100" s="67">
        <f t="shared" si="427"/>
        <v>15288.078248118209</v>
      </c>
      <c r="K1100" s="63"/>
      <c r="L1100" s="149">
        <v>0</v>
      </c>
      <c r="M1100" s="63">
        <f t="shared" si="428"/>
        <v>0</v>
      </c>
      <c r="N1100" s="63">
        <f t="shared" si="429"/>
        <v>0</v>
      </c>
      <c r="O1100" s="69"/>
      <c r="P1100" s="149">
        <v>0</v>
      </c>
      <c r="Q1100" s="63">
        <f t="shared" si="430"/>
        <v>0</v>
      </c>
      <c r="R1100" s="64">
        <f t="shared" si="431"/>
        <v>0</v>
      </c>
      <c r="S1100" s="148">
        <v>15</v>
      </c>
      <c r="T1100" s="151" t="s">
        <v>107</v>
      </c>
      <c r="U1100" s="65">
        <f>SUMIF('Avoided Costs 2012-2020_EGD'!$A:$A,'2012 Actuals_Auditor'!T1100&amp;'2012 Actuals_Auditor'!S1100,'Avoided Costs 2012-2020_EGD'!$E:$E)*J1100</f>
        <v>35126.132804023771</v>
      </c>
      <c r="V1100" s="65">
        <f>SUMIF('Avoided Costs 2012-2020_EGD'!$A:$A,'2012 Actuals_Auditor'!T1100&amp;'2012 Actuals_Auditor'!S1100,'Avoided Costs 2012-2020_EGD'!$K:$K)*N1100</f>
        <v>0</v>
      </c>
      <c r="W1100" s="65">
        <f>SUMIF('Avoided Costs 2012-2020_EGD'!$A:$A,'2012 Actuals_Auditor'!T1100&amp;'2012 Actuals_Auditor'!S1100,'Avoided Costs 2012-2020_EGD'!$M:$M)*R1100</f>
        <v>0</v>
      </c>
      <c r="X1100" s="65">
        <f t="shared" si="432"/>
        <v>35126.132804023771</v>
      </c>
      <c r="Y1100" s="146">
        <v>10400</v>
      </c>
      <c r="Z1100" s="66">
        <f t="shared" si="433"/>
        <v>5200</v>
      </c>
      <c r="AA1100" s="66">
        <v>2181.06</v>
      </c>
      <c r="AB1100" s="66"/>
      <c r="AC1100" s="66"/>
      <c r="AD1100" s="66">
        <f t="shared" si="434"/>
        <v>5200</v>
      </c>
      <c r="AE1100" s="66">
        <f t="shared" si="435"/>
        <v>29926.132804023771</v>
      </c>
      <c r="AF1100" s="101">
        <f t="shared" si="436"/>
        <v>229321.17372177314</v>
      </c>
      <c r="AG1100" s="101">
        <f t="shared" si="437"/>
        <v>458642.34744354628</v>
      </c>
    </row>
    <row r="1101" spans="1:33" s="68" customFormat="1" x14ac:dyDescent="0.2">
      <c r="A1101" s="147" t="s">
        <v>1234</v>
      </c>
      <c r="B1101" s="147"/>
      <c r="C1101" s="147"/>
      <c r="D1101" s="148">
        <v>0</v>
      </c>
      <c r="E1101" s="149"/>
      <c r="F1101" s="150">
        <v>0.5</v>
      </c>
      <c r="G1101" s="150"/>
      <c r="H1101" s="67">
        <v>52089</v>
      </c>
      <c r="I1101" s="67">
        <f t="shared" si="426"/>
        <v>51116.291666103687</v>
      </c>
      <c r="J1101" s="67">
        <f t="shared" si="427"/>
        <v>25558.145833051844</v>
      </c>
      <c r="K1101" s="63"/>
      <c r="L1101" s="149">
        <v>0</v>
      </c>
      <c r="M1101" s="63">
        <f t="shared" si="428"/>
        <v>0</v>
      </c>
      <c r="N1101" s="63">
        <f t="shared" si="429"/>
        <v>0</v>
      </c>
      <c r="O1101" s="69"/>
      <c r="P1101" s="149">
        <v>0</v>
      </c>
      <c r="Q1101" s="63">
        <f t="shared" si="430"/>
        <v>0</v>
      </c>
      <c r="R1101" s="64">
        <f t="shared" si="431"/>
        <v>0</v>
      </c>
      <c r="S1101" s="148">
        <v>15</v>
      </c>
      <c r="T1101" s="151" t="s">
        <v>107</v>
      </c>
      <c r="U1101" s="65">
        <f>SUMIF('Avoided Costs 2012-2020_EGD'!$A:$A,'2012 Actuals_Auditor'!T1101&amp;'2012 Actuals_Auditor'!S1101,'Avoided Costs 2012-2020_EGD'!$E:$E)*J1101</f>
        <v>58722.804147531751</v>
      </c>
      <c r="V1101" s="65">
        <f>SUMIF('Avoided Costs 2012-2020_EGD'!$A:$A,'2012 Actuals_Auditor'!T1101&amp;'2012 Actuals_Auditor'!S1101,'Avoided Costs 2012-2020_EGD'!$K:$K)*N1101</f>
        <v>0</v>
      </c>
      <c r="W1101" s="65">
        <f>SUMIF('Avoided Costs 2012-2020_EGD'!$A:$A,'2012 Actuals_Auditor'!T1101&amp;'2012 Actuals_Auditor'!S1101,'Avoided Costs 2012-2020_EGD'!$M:$M)*R1101</f>
        <v>0</v>
      </c>
      <c r="X1101" s="65">
        <f t="shared" si="432"/>
        <v>58722.804147531751</v>
      </c>
      <c r="Y1101" s="146">
        <v>16150</v>
      </c>
      <c r="Z1101" s="66">
        <f t="shared" si="433"/>
        <v>8075</v>
      </c>
      <c r="AA1101" s="66">
        <v>3706.64</v>
      </c>
      <c r="AB1101" s="66"/>
      <c r="AC1101" s="66"/>
      <c r="AD1101" s="66">
        <f t="shared" si="434"/>
        <v>8075</v>
      </c>
      <c r="AE1101" s="66">
        <f t="shared" si="435"/>
        <v>50647.804147531751</v>
      </c>
      <c r="AF1101" s="101">
        <f t="shared" si="436"/>
        <v>383372.18749577767</v>
      </c>
      <c r="AG1101" s="101">
        <f t="shared" si="437"/>
        <v>766744.37499155535</v>
      </c>
    </row>
    <row r="1102" spans="1:33" s="68" customFormat="1" x14ac:dyDescent="0.2">
      <c r="A1102" s="147" t="s">
        <v>1235</v>
      </c>
      <c r="B1102" s="147"/>
      <c r="C1102" s="147"/>
      <c r="D1102" s="148">
        <v>1</v>
      </c>
      <c r="E1102" s="149"/>
      <c r="F1102" s="150">
        <v>0.5</v>
      </c>
      <c r="G1102" s="150"/>
      <c r="H1102" s="67">
        <v>17684</v>
      </c>
      <c r="I1102" s="67">
        <f t="shared" si="426"/>
        <v>17353.769544882365</v>
      </c>
      <c r="J1102" s="67">
        <f t="shared" si="427"/>
        <v>8676.8847724411826</v>
      </c>
      <c r="K1102" s="63"/>
      <c r="L1102" s="149">
        <v>86695</v>
      </c>
      <c r="M1102" s="63">
        <f t="shared" si="428"/>
        <v>86695</v>
      </c>
      <c r="N1102" s="63">
        <f t="shared" si="429"/>
        <v>43347.5</v>
      </c>
      <c r="O1102" s="69"/>
      <c r="P1102" s="149">
        <v>0</v>
      </c>
      <c r="Q1102" s="63">
        <f t="shared" si="430"/>
        <v>0</v>
      </c>
      <c r="R1102" s="64">
        <f t="shared" si="431"/>
        <v>0</v>
      </c>
      <c r="S1102" s="148">
        <v>15</v>
      </c>
      <c r="T1102" s="151" t="s">
        <v>107</v>
      </c>
      <c r="U1102" s="65">
        <f>SUMIF('Avoided Costs 2012-2020_EGD'!$A:$A,'2012 Actuals_Auditor'!T1102&amp;'2012 Actuals_Auditor'!S1102,'Avoided Costs 2012-2020_EGD'!$E:$E)*J1102</f>
        <v>19936.149063045006</v>
      </c>
      <c r="V1102" s="65">
        <f>SUMIF('Avoided Costs 2012-2020_EGD'!$A:$A,'2012 Actuals_Auditor'!T1102&amp;'2012 Actuals_Auditor'!S1102,'Avoided Costs 2012-2020_EGD'!$K:$K)*N1102</f>
        <v>44638.537053924745</v>
      </c>
      <c r="W1102" s="65">
        <f>SUMIF('Avoided Costs 2012-2020_EGD'!$A:$A,'2012 Actuals_Auditor'!T1102&amp;'2012 Actuals_Auditor'!S1102,'Avoided Costs 2012-2020_EGD'!$M:$M)*R1102</f>
        <v>0</v>
      </c>
      <c r="X1102" s="65">
        <f t="shared" si="432"/>
        <v>64574.686116969751</v>
      </c>
      <c r="Y1102" s="146">
        <v>15000</v>
      </c>
      <c r="Z1102" s="66">
        <f t="shared" si="433"/>
        <v>7500</v>
      </c>
      <c r="AA1102" s="66">
        <v>1237.8800000000001</v>
      </c>
      <c r="AB1102" s="66"/>
      <c r="AC1102" s="66"/>
      <c r="AD1102" s="66">
        <f t="shared" si="434"/>
        <v>7500</v>
      </c>
      <c r="AE1102" s="66">
        <f t="shared" si="435"/>
        <v>57074.686116969751</v>
      </c>
      <c r="AF1102" s="101">
        <f t="shared" si="436"/>
        <v>130153.27158661775</v>
      </c>
      <c r="AG1102" s="101">
        <f t="shared" si="437"/>
        <v>260306.54317323549</v>
      </c>
    </row>
    <row r="1103" spans="1:33" s="68" customFormat="1" x14ac:dyDescent="0.2">
      <c r="A1103" s="147" t="s">
        <v>1236</v>
      </c>
      <c r="B1103" s="147"/>
      <c r="C1103" s="147"/>
      <c r="D1103" s="148">
        <v>1</v>
      </c>
      <c r="E1103" s="149"/>
      <c r="F1103" s="150">
        <v>0.5</v>
      </c>
      <c r="G1103" s="150"/>
      <c r="H1103" s="67">
        <v>105864</v>
      </c>
      <c r="I1103" s="67">
        <f t="shared" si="426"/>
        <v>103887.09902168214</v>
      </c>
      <c r="J1103" s="67">
        <f t="shared" si="427"/>
        <v>51943.549510841069</v>
      </c>
      <c r="K1103" s="63"/>
      <c r="L1103" s="149">
        <v>0</v>
      </c>
      <c r="M1103" s="63">
        <f t="shared" si="428"/>
        <v>0</v>
      </c>
      <c r="N1103" s="63">
        <f t="shared" si="429"/>
        <v>0</v>
      </c>
      <c r="O1103" s="69"/>
      <c r="P1103" s="149">
        <v>0</v>
      </c>
      <c r="Q1103" s="63">
        <f t="shared" si="430"/>
        <v>0</v>
      </c>
      <c r="R1103" s="64">
        <f t="shared" si="431"/>
        <v>0</v>
      </c>
      <c r="S1103" s="148">
        <v>15</v>
      </c>
      <c r="T1103" s="151" t="s">
        <v>107</v>
      </c>
      <c r="U1103" s="65">
        <f>SUMIF('Avoided Costs 2012-2020_EGD'!$A:$A,'2012 Actuals_Auditor'!T1103&amp;'2012 Actuals_Auditor'!S1103,'Avoided Costs 2012-2020_EGD'!$E:$E)*J1103</f>
        <v>119346.32913425678</v>
      </c>
      <c r="V1103" s="65">
        <f>SUMIF('Avoided Costs 2012-2020_EGD'!$A:$A,'2012 Actuals_Auditor'!T1103&amp;'2012 Actuals_Auditor'!S1103,'Avoided Costs 2012-2020_EGD'!$K:$K)*N1103</f>
        <v>0</v>
      </c>
      <c r="W1103" s="65">
        <f>SUMIF('Avoided Costs 2012-2020_EGD'!$A:$A,'2012 Actuals_Auditor'!T1103&amp;'2012 Actuals_Auditor'!S1103,'Avoided Costs 2012-2020_EGD'!$M:$M)*R1103</f>
        <v>0</v>
      </c>
      <c r="X1103" s="65">
        <f t="shared" si="432"/>
        <v>119346.32913425678</v>
      </c>
      <c r="Y1103" s="146">
        <v>39115</v>
      </c>
      <c r="Z1103" s="66">
        <f t="shared" si="433"/>
        <v>19557.5</v>
      </c>
      <c r="AA1103" s="66">
        <v>7410.48</v>
      </c>
      <c r="AB1103" s="66"/>
      <c r="AC1103" s="66"/>
      <c r="AD1103" s="66">
        <f t="shared" si="434"/>
        <v>19557.5</v>
      </c>
      <c r="AE1103" s="66">
        <f t="shared" si="435"/>
        <v>99788.829134256783</v>
      </c>
      <c r="AF1103" s="101">
        <f t="shared" si="436"/>
        <v>779153.24266261607</v>
      </c>
      <c r="AG1103" s="101">
        <f t="shared" si="437"/>
        <v>1558306.4853252321</v>
      </c>
    </row>
    <row r="1104" spans="1:33" s="68" customFormat="1" x14ac:dyDescent="0.2">
      <c r="A1104" s="147" t="s">
        <v>1237</v>
      </c>
      <c r="B1104" s="147"/>
      <c r="C1104" s="147"/>
      <c r="D1104" s="148">
        <v>1</v>
      </c>
      <c r="E1104" s="149"/>
      <c r="F1104" s="150">
        <v>0.5</v>
      </c>
      <c r="G1104" s="150"/>
      <c r="H1104" s="67">
        <v>60754</v>
      </c>
      <c r="I1104" s="67">
        <f t="shared" si="426"/>
        <v>59619.481730930973</v>
      </c>
      <c r="J1104" s="67">
        <f t="shared" si="427"/>
        <v>29809.740865465486</v>
      </c>
      <c r="K1104" s="63"/>
      <c r="L1104" s="149">
        <v>0</v>
      </c>
      <c r="M1104" s="63">
        <f t="shared" si="428"/>
        <v>0</v>
      </c>
      <c r="N1104" s="63">
        <f t="shared" si="429"/>
        <v>0</v>
      </c>
      <c r="O1104" s="69"/>
      <c r="P1104" s="149">
        <v>0</v>
      </c>
      <c r="Q1104" s="63">
        <f t="shared" si="430"/>
        <v>0</v>
      </c>
      <c r="R1104" s="64">
        <f t="shared" si="431"/>
        <v>0</v>
      </c>
      <c r="S1104" s="148">
        <v>15</v>
      </c>
      <c r="T1104" s="151" t="s">
        <v>107</v>
      </c>
      <c r="U1104" s="65">
        <f>SUMIF('Avoided Costs 2012-2020_EGD'!$A:$A,'2012 Actuals_Auditor'!T1104&amp;'2012 Actuals_Auditor'!S1104,'Avoided Costs 2012-2020_EGD'!$E:$E)*J1104</f>
        <v>68491.336811594461</v>
      </c>
      <c r="V1104" s="65">
        <f>SUMIF('Avoided Costs 2012-2020_EGD'!$A:$A,'2012 Actuals_Auditor'!T1104&amp;'2012 Actuals_Auditor'!S1104,'Avoided Costs 2012-2020_EGD'!$K:$K)*N1104</f>
        <v>0</v>
      </c>
      <c r="W1104" s="65">
        <f>SUMIF('Avoided Costs 2012-2020_EGD'!$A:$A,'2012 Actuals_Auditor'!T1104&amp;'2012 Actuals_Auditor'!S1104,'Avoided Costs 2012-2020_EGD'!$M:$M)*R1104</f>
        <v>0</v>
      </c>
      <c r="X1104" s="65">
        <f t="shared" si="432"/>
        <v>68491.336811594461</v>
      </c>
      <c r="Y1104" s="146">
        <v>11389</v>
      </c>
      <c r="Z1104" s="66">
        <f t="shared" si="433"/>
        <v>5694.5</v>
      </c>
      <c r="AA1104" s="66">
        <v>4252.8</v>
      </c>
      <c r="AB1104" s="66"/>
      <c r="AC1104" s="66"/>
      <c r="AD1104" s="66">
        <f t="shared" si="434"/>
        <v>5694.5</v>
      </c>
      <c r="AE1104" s="66">
        <f t="shared" si="435"/>
        <v>62796.836811594461</v>
      </c>
      <c r="AF1104" s="101">
        <f t="shared" si="436"/>
        <v>447146.1129819823</v>
      </c>
      <c r="AG1104" s="101">
        <f t="shared" si="437"/>
        <v>894292.22596396459</v>
      </c>
    </row>
    <row r="1105" spans="1:33" s="68" customFormat="1" x14ac:dyDescent="0.2">
      <c r="A1105" s="147" t="s">
        <v>1238</v>
      </c>
      <c r="B1105" s="147"/>
      <c r="C1105" s="147"/>
      <c r="D1105" s="148">
        <v>1</v>
      </c>
      <c r="E1105" s="149"/>
      <c r="F1105" s="150">
        <v>0.5</v>
      </c>
      <c r="G1105" s="150"/>
      <c r="H1105" s="67">
        <v>551852</v>
      </c>
      <c r="I1105" s="67">
        <f t="shared" si="426"/>
        <v>541546.73325505678</v>
      </c>
      <c r="J1105" s="67">
        <f t="shared" si="427"/>
        <v>270773.36662752839</v>
      </c>
      <c r="K1105" s="63"/>
      <c r="L1105" s="149">
        <v>0</v>
      </c>
      <c r="M1105" s="63">
        <f t="shared" si="428"/>
        <v>0</v>
      </c>
      <c r="N1105" s="63">
        <f t="shared" si="429"/>
        <v>0</v>
      </c>
      <c r="O1105" s="69"/>
      <c r="P1105" s="149">
        <v>0</v>
      </c>
      <c r="Q1105" s="63">
        <f t="shared" si="430"/>
        <v>0</v>
      </c>
      <c r="R1105" s="64">
        <f t="shared" si="431"/>
        <v>0</v>
      </c>
      <c r="S1105" s="148">
        <v>18</v>
      </c>
      <c r="T1105" s="151" t="s">
        <v>107</v>
      </c>
      <c r="U1105" s="65">
        <f>SUMIF('Avoided Costs 2012-2020_EGD'!$A:$A,'2012 Actuals_Auditor'!T1105&amp;'2012 Actuals_Auditor'!S1105,'Avoided Costs 2012-2020_EGD'!$E:$E)*J1105</f>
        <v>712446.35947033763</v>
      </c>
      <c r="V1105" s="65">
        <f>SUMIF('Avoided Costs 2012-2020_EGD'!$A:$A,'2012 Actuals_Auditor'!T1105&amp;'2012 Actuals_Auditor'!S1105,'Avoided Costs 2012-2020_EGD'!$K:$K)*N1105</f>
        <v>0</v>
      </c>
      <c r="W1105" s="65">
        <f>SUMIF('Avoided Costs 2012-2020_EGD'!$A:$A,'2012 Actuals_Auditor'!T1105&amp;'2012 Actuals_Auditor'!S1105,'Avoided Costs 2012-2020_EGD'!$M:$M)*R1105</f>
        <v>0</v>
      </c>
      <c r="X1105" s="65">
        <f t="shared" si="432"/>
        <v>712446.35947033763</v>
      </c>
      <c r="Y1105" s="146">
        <v>63801.14</v>
      </c>
      <c r="Z1105" s="66">
        <f t="shared" si="433"/>
        <v>31900.57</v>
      </c>
      <c r="AA1105" s="66">
        <v>31900</v>
      </c>
      <c r="AB1105" s="66"/>
      <c r="AC1105" s="66"/>
      <c r="AD1105" s="66">
        <f t="shared" si="434"/>
        <v>31900.57</v>
      </c>
      <c r="AE1105" s="66">
        <f t="shared" si="435"/>
        <v>680545.78947033768</v>
      </c>
      <c r="AF1105" s="101">
        <f t="shared" si="436"/>
        <v>4873920.5992955109</v>
      </c>
      <c r="AG1105" s="101">
        <f t="shared" si="437"/>
        <v>9747841.1985910218</v>
      </c>
    </row>
    <row r="1106" spans="1:33" s="68" customFormat="1" x14ac:dyDescent="0.2">
      <c r="A1106" s="147" t="s">
        <v>1239</v>
      </c>
      <c r="B1106" s="147"/>
      <c r="C1106" s="147"/>
      <c r="D1106" s="148">
        <v>1</v>
      </c>
      <c r="E1106" s="149"/>
      <c r="F1106" s="150">
        <v>0.5</v>
      </c>
      <c r="G1106" s="150"/>
      <c r="H1106" s="67">
        <v>50715</v>
      </c>
      <c r="I1106" s="67">
        <f t="shared" si="426"/>
        <v>49767.949698524615</v>
      </c>
      <c r="J1106" s="67">
        <f t="shared" si="427"/>
        <v>24883.974849262308</v>
      </c>
      <c r="K1106" s="63"/>
      <c r="L1106" s="149">
        <v>0</v>
      </c>
      <c r="M1106" s="63">
        <f t="shared" si="428"/>
        <v>0</v>
      </c>
      <c r="N1106" s="63">
        <f t="shared" si="429"/>
        <v>0</v>
      </c>
      <c r="O1106" s="69"/>
      <c r="P1106" s="149">
        <v>11938</v>
      </c>
      <c r="Q1106" s="63">
        <f t="shared" si="430"/>
        <v>11938</v>
      </c>
      <c r="R1106" s="64">
        <f t="shared" si="431"/>
        <v>5969</v>
      </c>
      <c r="S1106" s="148">
        <v>20</v>
      </c>
      <c r="T1106" s="151" t="s">
        <v>107</v>
      </c>
      <c r="U1106" s="65">
        <f>SUMIF('Avoided Costs 2012-2020_EGD'!$A:$A,'2012 Actuals_Auditor'!T1106&amp;'2012 Actuals_Auditor'!S1106,'Avoided Costs 2012-2020_EGD'!$E:$E)*J1106</f>
        <v>70380.465378726323</v>
      </c>
      <c r="V1106" s="65">
        <f>SUMIF('Avoided Costs 2012-2020_EGD'!$A:$A,'2012 Actuals_Auditor'!T1106&amp;'2012 Actuals_Auditor'!S1106,'Avoided Costs 2012-2020_EGD'!$K:$K)*N1106</f>
        <v>0</v>
      </c>
      <c r="W1106" s="65">
        <f>SUMIF('Avoided Costs 2012-2020_EGD'!$A:$A,'2012 Actuals_Auditor'!T1106&amp;'2012 Actuals_Auditor'!S1106,'Avoided Costs 2012-2020_EGD'!$M:$M)*R1106</f>
        <v>178207.99279853207</v>
      </c>
      <c r="X1106" s="65">
        <f t="shared" si="432"/>
        <v>248588.45817725838</v>
      </c>
      <c r="Y1106" s="146">
        <v>15778</v>
      </c>
      <c r="Z1106" s="66">
        <f t="shared" si="433"/>
        <v>7889</v>
      </c>
      <c r="AA1106" s="66">
        <v>3550.05</v>
      </c>
      <c r="AB1106" s="66"/>
      <c r="AC1106" s="66"/>
      <c r="AD1106" s="66">
        <f t="shared" si="434"/>
        <v>7889</v>
      </c>
      <c r="AE1106" s="66">
        <f t="shared" si="435"/>
        <v>240699.45817725838</v>
      </c>
      <c r="AF1106" s="101">
        <f t="shared" si="436"/>
        <v>497679.49698524614</v>
      </c>
      <c r="AG1106" s="101">
        <f t="shared" si="437"/>
        <v>995358.99397049227</v>
      </c>
    </row>
    <row r="1107" spans="1:33" s="68" customFormat="1" x14ac:dyDescent="0.2">
      <c r="A1107" s="147" t="s">
        <v>1240</v>
      </c>
      <c r="B1107" s="147"/>
      <c r="C1107" s="147"/>
      <c r="D1107" s="148">
        <v>1</v>
      </c>
      <c r="E1107" s="149"/>
      <c r="F1107" s="150">
        <v>0.5</v>
      </c>
      <c r="G1107" s="150"/>
      <c r="H1107" s="67">
        <v>7861</v>
      </c>
      <c r="I1107" s="67">
        <f t="shared" si="426"/>
        <v>7714.2039353268656</v>
      </c>
      <c r="J1107" s="67">
        <f t="shared" si="427"/>
        <v>3857.1019676634328</v>
      </c>
      <c r="K1107" s="63"/>
      <c r="L1107" s="149">
        <v>0</v>
      </c>
      <c r="M1107" s="63">
        <f t="shared" si="428"/>
        <v>0</v>
      </c>
      <c r="N1107" s="63">
        <f t="shared" si="429"/>
        <v>0</v>
      </c>
      <c r="O1107" s="69"/>
      <c r="P1107" s="149">
        <v>0</v>
      </c>
      <c r="Q1107" s="63">
        <f t="shared" si="430"/>
        <v>0</v>
      </c>
      <c r="R1107" s="64">
        <f t="shared" si="431"/>
        <v>0</v>
      </c>
      <c r="S1107" s="148">
        <v>15</v>
      </c>
      <c r="T1107" s="151" t="s">
        <v>107</v>
      </c>
      <c r="U1107" s="65">
        <f>SUMIF('Avoided Costs 2012-2020_EGD'!$A:$A,'2012 Actuals_Auditor'!T1107&amp;'2012 Actuals_Auditor'!S1107,'Avoided Costs 2012-2020_EGD'!$E:$E)*J1107</f>
        <v>8862.1390966182335</v>
      </c>
      <c r="V1107" s="65">
        <f>SUMIF('Avoided Costs 2012-2020_EGD'!$A:$A,'2012 Actuals_Auditor'!T1107&amp;'2012 Actuals_Auditor'!S1107,'Avoided Costs 2012-2020_EGD'!$K:$K)*N1107</f>
        <v>0</v>
      </c>
      <c r="W1107" s="65">
        <f>SUMIF('Avoided Costs 2012-2020_EGD'!$A:$A,'2012 Actuals_Auditor'!T1107&amp;'2012 Actuals_Auditor'!S1107,'Avoided Costs 2012-2020_EGD'!$M:$M)*R1107</f>
        <v>0</v>
      </c>
      <c r="X1107" s="65">
        <f t="shared" si="432"/>
        <v>8862.1390966182335</v>
      </c>
      <c r="Y1107" s="146">
        <v>5990</v>
      </c>
      <c r="Z1107" s="66">
        <f t="shared" si="433"/>
        <v>2995</v>
      </c>
      <c r="AA1107" s="66">
        <v>550.27</v>
      </c>
      <c r="AB1107" s="66"/>
      <c r="AC1107" s="66"/>
      <c r="AD1107" s="66">
        <f t="shared" si="434"/>
        <v>2995</v>
      </c>
      <c r="AE1107" s="66">
        <f t="shared" si="435"/>
        <v>5867.1390966182335</v>
      </c>
      <c r="AF1107" s="101">
        <f t="shared" si="436"/>
        <v>57856.529514951493</v>
      </c>
      <c r="AG1107" s="101">
        <f t="shared" si="437"/>
        <v>115713.05902990299</v>
      </c>
    </row>
    <row r="1108" spans="1:33" s="68" customFormat="1" x14ac:dyDescent="0.2">
      <c r="A1108" s="147" t="s">
        <v>1241</v>
      </c>
      <c r="B1108" s="147"/>
      <c r="C1108" s="147"/>
      <c r="D1108" s="148">
        <v>1</v>
      </c>
      <c r="E1108" s="149"/>
      <c r="F1108" s="150">
        <v>0.5</v>
      </c>
      <c r="G1108" s="150"/>
      <c r="H1108" s="67">
        <v>23966</v>
      </c>
      <c r="I1108" s="67">
        <f t="shared" si="426"/>
        <v>23518.459676128183</v>
      </c>
      <c r="J1108" s="67">
        <f t="shared" si="427"/>
        <v>11759.229838064091</v>
      </c>
      <c r="K1108" s="63"/>
      <c r="L1108" s="149">
        <v>0</v>
      </c>
      <c r="M1108" s="63">
        <f t="shared" si="428"/>
        <v>0</v>
      </c>
      <c r="N1108" s="63">
        <f t="shared" si="429"/>
        <v>0</v>
      </c>
      <c r="O1108" s="69"/>
      <c r="P1108" s="149">
        <v>0</v>
      </c>
      <c r="Q1108" s="63">
        <f t="shared" si="430"/>
        <v>0</v>
      </c>
      <c r="R1108" s="64">
        <f t="shared" si="431"/>
        <v>0</v>
      </c>
      <c r="S1108" s="148">
        <v>15</v>
      </c>
      <c r="T1108" s="151" t="s">
        <v>107</v>
      </c>
      <c r="U1108" s="65">
        <f>SUMIF('Avoided Costs 2012-2020_EGD'!$A:$A,'2012 Actuals_Auditor'!T1108&amp;'2012 Actuals_Auditor'!S1108,'Avoided Costs 2012-2020_EGD'!$E:$E)*J1108</f>
        <v>27018.194325092551</v>
      </c>
      <c r="V1108" s="65">
        <f>SUMIF('Avoided Costs 2012-2020_EGD'!$A:$A,'2012 Actuals_Auditor'!T1108&amp;'2012 Actuals_Auditor'!S1108,'Avoided Costs 2012-2020_EGD'!$K:$K)*N1108</f>
        <v>0</v>
      </c>
      <c r="W1108" s="65">
        <f>SUMIF('Avoided Costs 2012-2020_EGD'!$A:$A,'2012 Actuals_Auditor'!T1108&amp;'2012 Actuals_Auditor'!S1108,'Avoided Costs 2012-2020_EGD'!$M:$M)*R1108</f>
        <v>0</v>
      </c>
      <c r="X1108" s="65">
        <f t="shared" si="432"/>
        <v>27018.194325092551</v>
      </c>
      <c r="Y1108" s="146">
        <v>41316.129999999997</v>
      </c>
      <c r="Z1108" s="66">
        <f t="shared" si="433"/>
        <v>20658.064999999999</v>
      </c>
      <c r="AA1108" s="66">
        <v>1677.62</v>
      </c>
      <c r="AB1108" s="66"/>
      <c r="AC1108" s="66"/>
      <c r="AD1108" s="66">
        <f t="shared" si="434"/>
        <v>20658.064999999999</v>
      </c>
      <c r="AE1108" s="66">
        <f t="shared" si="435"/>
        <v>6360.1293250925519</v>
      </c>
      <c r="AF1108" s="101">
        <f t="shared" si="436"/>
        <v>176388.44757096138</v>
      </c>
      <c r="AG1108" s="101">
        <f t="shared" si="437"/>
        <v>352776.89514192275</v>
      </c>
    </row>
    <row r="1109" spans="1:33" s="68" customFormat="1" x14ac:dyDescent="0.2">
      <c r="A1109" s="147" t="s">
        <v>1242</v>
      </c>
      <c r="B1109" s="147"/>
      <c r="C1109" s="147"/>
      <c r="D1109" s="148">
        <v>1</v>
      </c>
      <c r="E1109" s="149"/>
      <c r="F1109" s="150">
        <v>0.5</v>
      </c>
      <c r="G1109" s="150"/>
      <c r="H1109" s="67">
        <v>213313</v>
      </c>
      <c r="I1109" s="67">
        <f t="shared" si="426"/>
        <v>209329.59980363562</v>
      </c>
      <c r="J1109" s="67">
        <f t="shared" si="427"/>
        <v>104664.79990181781</v>
      </c>
      <c r="K1109" s="63"/>
      <c r="L1109" s="149">
        <v>179813</v>
      </c>
      <c r="M1109" s="63">
        <f t="shared" si="428"/>
        <v>179813</v>
      </c>
      <c r="N1109" s="63">
        <f t="shared" si="429"/>
        <v>89906.5</v>
      </c>
      <c r="O1109" s="69"/>
      <c r="P1109" s="149">
        <v>13903</v>
      </c>
      <c r="Q1109" s="63">
        <f t="shared" si="430"/>
        <v>13903</v>
      </c>
      <c r="R1109" s="64">
        <f t="shared" si="431"/>
        <v>6951.5</v>
      </c>
      <c r="S1109" s="148">
        <v>10</v>
      </c>
      <c r="T1109" s="151" t="s">
        <v>107</v>
      </c>
      <c r="U1109" s="65">
        <f>SUMIF('Avoided Costs 2012-2020_EGD'!$A:$A,'2012 Actuals_Auditor'!T1109&amp;'2012 Actuals_Auditor'!S1109,'Avoided Costs 2012-2020_EGD'!$E:$E)*J1109</f>
        <v>169914.16598665062</v>
      </c>
      <c r="V1109" s="65">
        <f>SUMIF('Avoided Costs 2012-2020_EGD'!$A:$A,'2012 Actuals_Auditor'!T1109&amp;'2012 Actuals_Auditor'!S1109,'Avoided Costs 2012-2020_EGD'!$K:$K)*N1109</f>
        <v>68710.326241211253</v>
      </c>
      <c r="W1109" s="65">
        <f>SUMIF('Avoided Costs 2012-2020_EGD'!$A:$A,'2012 Actuals_Auditor'!T1109&amp;'2012 Actuals_Auditor'!S1109,'Avoided Costs 2012-2020_EGD'!$M:$M)*R1109</f>
        <v>127847.83931269507</v>
      </c>
      <c r="X1109" s="65">
        <f t="shared" si="432"/>
        <v>366472.33154055697</v>
      </c>
      <c r="Y1109" s="146">
        <v>2500</v>
      </c>
      <c r="Z1109" s="66">
        <f t="shared" si="433"/>
        <v>1250</v>
      </c>
      <c r="AA1109" s="66">
        <v>1250</v>
      </c>
      <c r="AB1109" s="66"/>
      <c r="AC1109" s="66"/>
      <c r="AD1109" s="66">
        <f t="shared" si="434"/>
        <v>1250</v>
      </c>
      <c r="AE1109" s="66">
        <f t="shared" si="435"/>
        <v>365222.33154055697</v>
      </c>
      <c r="AF1109" s="101">
        <f t="shared" si="436"/>
        <v>1046647.9990181781</v>
      </c>
      <c r="AG1109" s="101">
        <f t="shared" si="437"/>
        <v>2093295.9980363562</v>
      </c>
    </row>
    <row r="1110" spans="1:33" s="68" customFormat="1" x14ac:dyDescent="0.2">
      <c r="A1110" s="147" t="s">
        <v>1243</v>
      </c>
      <c r="B1110" s="147"/>
      <c r="C1110" s="147"/>
      <c r="D1110" s="148">
        <v>1</v>
      </c>
      <c r="E1110" s="149"/>
      <c r="F1110" s="150">
        <v>0.5</v>
      </c>
      <c r="G1110" s="150"/>
      <c r="H1110" s="67">
        <v>341227</v>
      </c>
      <c r="I1110" s="67">
        <f t="shared" si="426"/>
        <v>334854.93782467628</v>
      </c>
      <c r="J1110" s="67">
        <f t="shared" si="427"/>
        <v>167427.46891233814</v>
      </c>
      <c r="K1110" s="63"/>
      <c r="L1110" s="149">
        <v>-3667</v>
      </c>
      <c r="M1110" s="63">
        <f t="shared" si="428"/>
        <v>-3667</v>
      </c>
      <c r="N1110" s="63">
        <f t="shared" si="429"/>
        <v>-1833.5</v>
      </c>
      <c r="O1110" s="69"/>
      <c r="P1110" s="149">
        <v>38916</v>
      </c>
      <c r="Q1110" s="63">
        <f t="shared" si="430"/>
        <v>38916</v>
      </c>
      <c r="R1110" s="64">
        <f t="shared" si="431"/>
        <v>19458</v>
      </c>
      <c r="S1110" s="148">
        <v>20</v>
      </c>
      <c r="T1110" s="151" t="s">
        <v>107</v>
      </c>
      <c r="U1110" s="65">
        <f>SUMIF('Avoided Costs 2012-2020_EGD'!$A:$A,'2012 Actuals_Auditor'!T1110&amp;'2012 Actuals_Auditor'!S1110,'Avoided Costs 2012-2020_EGD'!$E:$E)*J1110</f>
        <v>473542.64142337861</v>
      </c>
      <c r="V1110" s="65">
        <f>SUMIF('Avoided Costs 2012-2020_EGD'!$A:$A,'2012 Actuals_Auditor'!T1110&amp;'2012 Actuals_Auditor'!S1110,'Avoided Costs 2012-2020_EGD'!$K:$K)*N1110</f>
        <v>-2274.6918308164527</v>
      </c>
      <c r="W1110" s="65">
        <f>SUMIF('Avoided Costs 2012-2020_EGD'!$A:$A,'2012 Actuals_Auditor'!T1110&amp;'2012 Actuals_Auditor'!S1110,'Avoided Costs 2012-2020_EGD'!$M:$M)*R1110</f>
        <v>580929.99227238016</v>
      </c>
      <c r="X1110" s="65">
        <f t="shared" si="432"/>
        <v>1052197.9418649422</v>
      </c>
      <c r="Y1110" s="146">
        <v>41195.53</v>
      </c>
      <c r="Z1110" s="66">
        <f t="shared" si="433"/>
        <v>20597.764999999999</v>
      </c>
      <c r="AA1110" s="66">
        <v>20598</v>
      </c>
      <c r="AB1110" s="66"/>
      <c r="AC1110" s="66"/>
      <c r="AD1110" s="66">
        <f t="shared" si="434"/>
        <v>20597.764999999999</v>
      </c>
      <c r="AE1110" s="66">
        <f t="shared" si="435"/>
        <v>1031600.1768649422</v>
      </c>
      <c r="AF1110" s="101">
        <f t="shared" si="436"/>
        <v>3348549.3782467628</v>
      </c>
      <c r="AG1110" s="101">
        <f t="shared" si="437"/>
        <v>6697098.7564935256</v>
      </c>
    </row>
    <row r="1111" spans="1:33" s="68" customFormat="1" x14ac:dyDescent="0.2">
      <c r="A1111" s="147" t="s">
        <v>1244</v>
      </c>
      <c r="B1111" s="147"/>
      <c r="C1111" s="147"/>
      <c r="D1111" s="148">
        <v>1</v>
      </c>
      <c r="E1111" s="149"/>
      <c r="F1111" s="150">
        <v>0.5</v>
      </c>
      <c r="G1111" s="150"/>
      <c r="H1111" s="67">
        <v>320318</v>
      </c>
      <c r="I1111" s="67">
        <f t="shared" si="426"/>
        <v>314336.39182750677</v>
      </c>
      <c r="J1111" s="67">
        <f t="shared" si="427"/>
        <v>157168.19591375338</v>
      </c>
      <c r="K1111" s="63"/>
      <c r="L1111" s="149">
        <v>0</v>
      </c>
      <c r="M1111" s="63">
        <f t="shared" si="428"/>
        <v>0</v>
      </c>
      <c r="N1111" s="63">
        <f t="shared" si="429"/>
        <v>0</v>
      </c>
      <c r="O1111" s="69"/>
      <c r="P1111" s="149">
        <v>0</v>
      </c>
      <c r="Q1111" s="63">
        <f t="shared" si="430"/>
        <v>0</v>
      </c>
      <c r="R1111" s="64">
        <f t="shared" si="431"/>
        <v>0</v>
      </c>
      <c r="S1111" s="148">
        <v>18</v>
      </c>
      <c r="T1111" s="151" t="s">
        <v>107</v>
      </c>
      <c r="U1111" s="65">
        <f>SUMIF('Avoided Costs 2012-2020_EGD'!$A:$A,'2012 Actuals_Auditor'!T1111&amp;'2012 Actuals_Auditor'!S1111,'Avoided Costs 2012-2020_EGD'!$E:$E)*J1111</f>
        <v>413533.68833096483</v>
      </c>
      <c r="V1111" s="65">
        <f>SUMIF('Avoided Costs 2012-2020_EGD'!$A:$A,'2012 Actuals_Auditor'!T1111&amp;'2012 Actuals_Auditor'!S1111,'Avoided Costs 2012-2020_EGD'!$K:$K)*N1111</f>
        <v>0</v>
      </c>
      <c r="W1111" s="65">
        <f>SUMIF('Avoided Costs 2012-2020_EGD'!$A:$A,'2012 Actuals_Auditor'!T1111&amp;'2012 Actuals_Auditor'!S1111,'Avoided Costs 2012-2020_EGD'!$M:$M)*R1111</f>
        <v>0</v>
      </c>
      <c r="X1111" s="65">
        <f t="shared" si="432"/>
        <v>413533.68833096483</v>
      </c>
      <c r="Y1111" s="146">
        <v>71235</v>
      </c>
      <c r="Z1111" s="66">
        <f t="shared" si="433"/>
        <v>35617.5</v>
      </c>
      <c r="AA1111" s="66">
        <v>22422</v>
      </c>
      <c r="AB1111" s="66"/>
      <c r="AC1111" s="66"/>
      <c r="AD1111" s="66">
        <f t="shared" si="434"/>
        <v>35617.5</v>
      </c>
      <c r="AE1111" s="66">
        <f t="shared" si="435"/>
        <v>377916.18833096483</v>
      </c>
      <c r="AF1111" s="101">
        <f t="shared" si="436"/>
        <v>2829027.5264475611</v>
      </c>
      <c r="AG1111" s="101">
        <f t="shared" si="437"/>
        <v>5658055.0528951222</v>
      </c>
    </row>
    <row r="1112" spans="1:33" s="68" customFormat="1" x14ac:dyDescent="0.2">
      <c r="A1112" s="147" t="s">
        <v>1245</v>
      </c>
      <c r="B1112" s="147"/>
      <c r="C1112" s="147"/>
      <c r="D1112" s="148">
        <v>1</v>
      </c>
      <c r="E1112" s="149"/>
      <c r="F1112" s="150">
        <v>0.5</v>
      </c>
      <c r="G1112" s="150"/>
      <c r="H1112" s="67">
        <v>7569342</v>
      </c>
      <c r="I1112" s="67">
        <f t="shared" si="426"/>
        <v>7427992.3475683657</v>
      </c>
      <c r="J1112" s="67">
        <f t="shared" si="427"/>
        <v>3713996.1737841829</v>
      </c>
      <c r="K1112" s="63"/>
      <c r="L1112" s="149">
        <v>0</v>
      </c>
      <c r="M1112" s="63">
        <f t="shared" si="428"/>
        <v>0</v>
      </c>
      <c r="N1112" s="63">
        <f t="shared" si="429"/>
        <v>0</v>
      </c>
      <c r="O1112" s="69"/>
      <c r="P1112" s="149">
        <v>0</v>
      </c>
      <c r="Q1112" s="63">
        <f t="shared" si="430"/>
        <v>0</v>
      </c>
      <c r="R1112" s="64">
        <f t="shared" si="431"/>
        <v>0</v>
      </c>
      <c r="S1112" s="148">
        <v>25</v>
      </c>
      <c r="T1112" s="151" t="s">
        <v>107</v>
      </c>
      <c r="U1112" s="65">
        <f>SUMIF('Avoided Costs 2012-2020_EGD'!$A:$A,'2012 Actuals_Auditor'!T1112&amp;'2012 Actuals_Auditor'!S1112,'Avoided Costs 2012-2020_EGD'!$E:$E)*J1112</f>
        <v>12056121.302608613</v>
      </c>
      <c r="V1112" s="65">
        <f>SUMIF('Avoided Costs 2012-2020_EGD'!$A:$A,'2012 Actuals_Auditor'!T1112&amp;'2012 Actuals_Auditor'!S1112,'Avoided Costs 2012-2020_EGD'!$K:$K)*N1112</f>
        <v>0</v>
      </c>
      <c r="W1112" s="65">
        <f>SUMIF('Avoided Costs 2012-2020_EGD'!$A:$A,'2012 Actuals_Auditor'!T1112&amp;'2012 Actuals_Auditor'!S1112,'Avoided Costs 2012-2020_EGD'!$M:$M)*R1112</f>
        <v>0</v>
      </c>
      <c r="X1112" s="65">
        <f t="shared" si="432"/>
        <v>12056121.302608613</v>
      </c>
      <c r="Y1112" s="146">
        <v>3118551.76</v>
      </c>
      <c r="Z1112" s="66">
        <f t="shared" si="433"/>
        <v>1559275.88</v>
      </c>
      <c r="AA1112" s="66">
        <v>75000</v>
      </c>
      <c r="AB1112" s="66"/>
      <c r="AC1112" s="66"/>
      <c r="AD1112" s="66">
        <f t="shared" si="434"/>
        <v>1559275.88</v>
      </c>
      <c r="AE1112" s="66">
        <f t="shared" si="435"/>
        <v>10496845.422608614</v>
      </c>
      <c r="AF1112" s="101">
        <f t="shared" si="436"/>
        <v>92849904.344604567</v>
      </c>
      <c r="AG1112" s="101">
        <f t="shared" si="437"/>
        <v>185699808.68920913</v>
      </c>
    </row>
    <row r="1113" spans="1:33" s="68" customFormat="1" x14ac:dyDescent="0.2">
      <c r="A1113" s="147" t="s">
        <v>1246</v>
      </c>
      <c r="B1113" s="147"/>
      <c r="C1113" s="147"/>
      <c r="D1113" s="148">
        <v>1</v>
      </c>
      <c r="E1113" s="149"/>
      <c r="F1113" s="150">
        <v>0.5</v>
      </c>
      <c r="G1113" s="150"/>
      <c r="H1113" s="67">
        <v>36400</v>
      </c>
      <c r="I1113" s="67">
        <f t="shared" si="426"/>
        <v>35720.267554496619</v>
      </c>
      <c r="J1113" s="67">
        <f t="shared" si="427"/>
        <v>17860.133777248309</v>
      </c>
      <c r="K1113" s="63"/>
      <c r="L1113" s="149">
        <v>0</v>
      </c>
      <c r="M1113" s="63">
        <f t="shared" si="428"/>
        <v>0</v>
      </c>
      <c r="N1113" s="63">
        <f t="shared" si="429"/>
        <v>0</v>
      </c>
      <c r="O1113" s="69"/>
      <c r="P1113" s="149">
        <v>0</v>
      </c>
      <c r="Q1113" s="63">
        <f t="shared" si="430"/>
        <v>0</v>
      </c>
      <c r="R1113" s="64">
        <f t="shared" si="431"/>
        <v>0</v>
      </c>
      <c r="S1113" s="148">
        <v>5</v>
      </c>
      <c r="T1113" s="151" t="s">
        <v>107</v>
      </c>
      <c r="U1113" s="65">
        <f>SUMIF('Avoided Costs 2012-2020_EGD'!$A:$A,'2012 Actuals_Auditor'!T1113&amp;'2012 Actuals_Auditor'!S1113,'Avoided Costs 2012-2020_EGD'!$E:$E)*J1113</f>
        <v>14250.583731994964</v>
      </c>
      <c r="V1113" s="65">
        <f>SUMIF('Avoided Costs 2012-2020_EGD'!$A:$A,'2012 Actuals_Auditor'!T1113&amp;'2012 Actuals_Auditor'!S1113,'Avoided Costs 2012-2020_EGD'!$K:$K)*N1113</f>
        <v>0</v>
      </c>
      <c r="W1113" s="65">
        <f>SUMIF('Avoided Costs 2012-2020_EGD'!$A:$A,'2012 Actuals_Auditor'!T1113&amp;'2012 Actuals_Auditor'!S1113,'Avoided Costs 2012-2020_EGD'!$M:$M)*R1113</f>
        <v>0</v>
      </c>
      <c r="X1113" s="65">
        <f t="shared" si="432"/>
        <v>14250.583731994964</v>
      </c>
      <c r="Y1113" s="146">
        <v>6790</v>
      </c>
      <c r="Z1113" s="66">
        <f t="shared" si="433"/>
        <v>3395</v>
      </c>
      <c r="AA1113" s="66">
        <v>2548</v>
      </c>
      <c r="AB1113" s="66"/>
      <c r="AC1113" s="66"/>
      <c r="AD1113" s="66">
        <f t="shared" si="434"/>
        <v>3395</v>
      </c>
      <c r="AE1113" s="66">
        <f t="shared" si="435"/>
        <v>10855.583731994964</v>
      </c>
      <c r="AF1113" s="101">
        <f t="shared" si="436"/>
        <v>89300.668886241547</v>
      </c>
      <c r="AG1113" s="101">
        <f t="shared" si="437"/>
        <v>178601.33777248309</v>
      </c>
    </row>
    <row r="1114" spans="1:33" s="68" customFormat="1" x14ac:dyDescent="0.2">
      <c r="A1114" s="147" t="s">
        <v>1247</v>
      </c>
      <c r="B1114" s="147"/>
      <c r="C1114" s="147"/>
      <c r="D1114" s="148">
        <v>1</v>
      </c>
      <c r="E1114" s="149"/>
      <c r="F1114" s="150">
        <v>0.5</v>
      </c>
      <c r="G1114" s="150"/>
      <c r="H1114" s="67">
        <v>195894</v>
      </c>
      <c r="I1114" s="67">
        <f t="shared" si="426"/>
        <v>192235.88165715826</v>
      </c>
      <c r="J1114" s="67">
        <f t="shared" si="427"/>
        <v>96117.940828579129</v>
      </c>
      <c r="K1114" s="63"/>
      <c r="L1114" s="149">
        <v>0</v>
      </c>
      <c r="M1114" s="63">
        <f t="shared" si="428"/>
        <v>0</v>
      </c>
      <c r="N1114" s="63">
        <f t="shared" si="429"/>
        <v>0</v>
      </c>
      <c r="O1114" s="69"/>
      <c r="P1114" s="149">
        <v>0</v>
      </c>
      <c r="Q1114" s="63">
        <f t="shared" si="430"/>
        <v>0</v>
      </c>
      <c r="R1114" s="64">
        <f t="shared" si="431"/>
        <v>0</v>
      </c>
      <c r="S1114" s="148">
        <v>5</v>
      </c>
      <c r="T1114" s="151" t="s">
        <v>107</v>
      </c>
      <c r="U1114" s="65">
        <f>SUMIF('Avoided Costs 2012-2020_EGD'!$A:$A,'2012 Actuals_Auditor'!T1114&amp;'2012 Actuals_Auditor'!S1114,'Avoided Costs 2012-2020_EGD'!$E:$E)*J1114</f>
        <v>76692.413450423672</v>
      </c>
      <c r="V1114" s="65">
        <f>SUMIF('Avoided Costs 2012-2020_EGD'!$A:$A,'2012 Actuals_Auditor'!T1114&amp;'2012 Actuals_Auditor'!S1114,'Avoided Costs 2012-2020_EGD'!$K:$K)*N1114</f>
        <v>0</v>
      </c>
      <c r="W1114" s="65">
        <f>SUMIF('Avoided Costs 2012-2020_EGD'!$A:$A,'2012 Actuals_Auditor'!T1114&amp;'2012 Actuals_Auditor'!S1114,'Avoided Costs 2012-2020_EGD'!$M:$M)*R1114</f>
        <v>0</v>
      </c>
      <c r="X1114" s="65">
        <f t="shared" si="432"/>
        <v>76692.413450423672</v>
      </c>
      <c r="Y1114" s="146">
        <v>1875</v>
      </c>
      <c r="Z1114" s="66">
        <f t="shared" si="433"/>
        <v>937.5</v>
      </c>
      <c r="AA1114" s="66">
        <v>938</v>
      </c>
      <c r="AB1114" s="66"/>
      <c r="AC1114" s="66"/>
      <c r="AD1114" s="66">
        <f t="shared" si="434"/>
        <v>937.5</v>
      </c>
      <c r="AE1114" s="66">
        <f t="shared" si="435"/>
        <v>75754.913450423672</v>
      </c>
      <c r="AF1114" s="101">
        <f t="shared" si="436"/>
        <v>480589.70414289564</v>
      </c>
      <c r="AG1114" s="101">
        <f t="shared" si="437"/>
        <v>961179.40828579129</v>
      </c>
    </row>
    <row r="1115" spans="1:33" s="68" customFormat="1" x14ac:dyDescent="0.2">
      <c r="A1115" s="147" t="s">
        <v>1248</v>
      </c>
      <c r="B1115" s="147"/>
      <c r="C1115" s="147"/>
      <c r="D1115" s="148">
        <v>1</v>
      </c>
      <c r="E1115" s="149"/>
      <c r="F1115" s="150">
        <v>0.5</v>
      </c>
      <c r="G1115" s="150"/>
      <c r="H1115" s="67">
        <v>429103</v>
      </c>
      <c r="I1115" s="67">
        <f t="shared" si="426"/>
        <v>421089.9441878341</v>
      </c>
      <c r="J1115" s="67">
        <f t="shared" si="427"/>
        <v>210544.97209391705</v>
      </c>
      <c r="K1115" s="63"/>
      <c r="L1115" s="149">
        <v>0</v>
      </c>
      <c r="M1115" s="63">
        <f t="shared" si="428"/>
        <v>0</v>
      </c>
      <c r="N1115" s="63">
        <f t="shared" si="429"/>
        <v>0</v>
      </c>
      <c r="O1115" s="69"/>
      <c r="P1115" s="149">
        <v>44303</v>
      </c>
      <c r="Q1115" s="63">
        <f t="shared" si="430"/>
        <v>44303</v>
      </c>
      <c r="R1115" s="64">
        <f t="shared" si="431"/>
        <v>22151.5</v>
      </c>
      <c r="S1115" s="148">
        <v>20</v>
      </c>
      <c r="T1115" s="151" t="s">
        <v>107</v>
      </c>
      <c r="U1115" s="65">
        <f>SUMIF('Avoided Costs 2012-2020_EGD'!$A:$A,'2012 Actuals_Auditor'!T1115&amp;'2012 Actuals_Auditor'!S1115,'Avoided Costs 2012-2020_EGD'!$E:$E)*J1115</f>
        <v>595493.81515148573</v>
      </c>
      <c r="V1115" s="65">
        <f>SUMIF('Avoided Costs 2012-2020_EGD'!$A:$A,'2012 Actuals_Auditor'!T1115&amp;'2012 Actuals_Auditor'!S1115,'Avoided Costs 2012-2020_EGD'!$K:$K)*N1115</f>
        <v>0</v>
      </c>
      <c r="W1115" s="65">
        <f>SUMIF('Avoided Costs 2012-2020_EGD'!$A:$A,'2012 Actuals_Auditor'!T1115&amp;'2012 Actuals_Auditor'!S1115,'Avoided Costs 2012-2020_EGD'!$M:$M)*R1115</f>
        <v>661346.01314737531</v>
      </c>
      <c r="X1115" s="65">
        <f t="shared" si="432"/>
        <v>1256839.8282988612</v>
      </c>
      <c r="Y1115" s="146">
        <v>527598.57999999996</v>
      </c>
      <c r="Z1115" s="66">
        <f t="shared" si="433"/>
        <v>263799.28999999998</v>
      </c>
      <c r="AA1115" s="66">
        <v>30037.21</v>
      </c>
      <c r="AB1115" s="66"/>
      <c r="AC1115" s="66"/>
      <c r="AD1115" s="66">
        <f t="shared" si="434"/>
        <v>263799.28999999998</v>
      </c>
      <c r="AE1115" s="66">
        <f t="shared" si="435"/>
        <v>993040.53829886112</v>
      </c>
      <c r="AF1115" s="101">
        <f t="shared" si="436"/>
        <v>4210899.4418783411</v>
      </c>
      <c r="AG1115" s="101">
        <f t="shared" si="437"/>
        <v>8421798.8837566823</v>
      </c>
    </row>
    <row r="1116" spans="1:33" s="68" customFormat="1" x14ac:dyDescent="0.2">
      <c r="A1116" s="147" t="s">
        <v>1249</v>
      </c>
      <c r="B1116" s="147"/>
      <c r="C1116" s="147"/>
      <c r="D1116" s="148">
        <v>1</v>
      </c>
      <c r="E1116" s="149"/>
      <c r="F1116" s="150">
        <v>0.5</v>
      </c>
      <c r="G1116" s="150"/>
      <c r="H1116" s="67">
        <v>5787</v>
      </c>
      <c r="I1116" s="67">
        <f t="shared" si="426"/>
        <v>5678.9337455459317</v>
      </c>
      <c r="J1116" s="67">
        <f t="shared" si="427"/>
        <v>2839.4668727729659</v>
      </c>
      <c r="K1116" s="63"/>
      <c r="L1116" s="149">
        <v>0</v>
      </c>
      <c r="M1116" s="63">
        <f t="shared" si="428"/>
        <v>0</v>
      </c>
      <c r="N1116" s="63">
        <f t="shared" si="429"/>
        <v>0</v>
      </c>
      <c r="O1116" s="69"/>
      <c r="P1116" s="149">
        <v>0</v>
      </c>
      <c r="Q1116" s="63">
        <f t="shared" si="430"/>
        <v>0</v>
      </c>
      <c r="R1116" s="64">
        <f t="shared" si="431"/>
        <v>0</v>
      </c>
      <c r="S1116" s="148">
        <v>5</v>
      </c>
      <c r="T1116" s="151" t="s">
        <v>107</v>
      </c>
      <c r="U1116" s="65">
        <f>SUMIF('Avoided Costs 2012-2020_EGD'!$A:$A,'2012 Actuals_Auditor'!T1116&amp;'2012 Actuals_Auditor'!S1116,'Avoided Costs 2012-2020_EGD'!$E:$E)*J1116</f>
        <v>2265.6079136553531</v>
      </c>
      <c r="V1116" s="65">
        <f>SUMIF('Avoided Costs 2012-2020_EGD'!$A:$A,'2012 Actuals_Auditor'!T1116&amp;'2012 Actuals_Auditor'!S1116,'Avoided Costs 2012-2020_EGD'!$K:$K)*N1116</f>
        <v>0</v>
      </c>
      <c r="W1116" s="65">
        <f>SUMIF('Avoided Costs 2012-2020_EGD'!$A:$A,'2012 Actuals_Auditor'!T1116&amp;'2012 Actuals_Auditor'!S1116,'Avoided Costs 2012-2020_EGD'!$M:$M)*R1116</f>
        <v>0</v>
      </c>
      <c r="X1116" s="65">
        <f t="shared" si="432"/>
        <v>2265.6079136553531</v>
      </c>
      <c r="Y1116" s="146">
        <v>450</v>
      </c>
      <c r="Z1116" s="66">
        <f t="shared" si="433"/>
        <v>225</v>
      </c>
      <c r="AA1116" s="66">
        <v>0</v>
      </c>
      <c r="AB1116" s="66"/>
      <c r="AC1116" s="66"/>
      <c r="AD1116" s="66">
        <f t="shared" si="434"/>
        <v>225</v>
      </c>
      <c r="AE1116" s="66">
        <f t="shared" si="435"/>
        <v>2040.6079136553531</v>
      </c>
      <c r="AF1116" s="101">
        <f t="shared" si="436"/>
        <v>14197.334363864829</v>
      </c>
      <c r="AG1116" s="101">
        <f t="shared" si="437"/>
        <v>28394.668727729659</v>
      </c>
    </row>
    <row r="1117" spans="1:33" s="68" customFormat="1" x14ac:dyDescent="0.2">
      <c r="A1117" s="147" t="s">
        <v>1250</v>
      </c>
      <c r="B1117" s="147"/>
      <c r="C1117" s="147"/>
      <c r="D1117" s="148">
        <v>1</v>
      </c>
      <c r="E1117" s="149"/>
      <c r="F1117" s="150">
        <v>0.5</v>
      </c>
      <c r="G1117" s="150"/>
      <c r="H1117" s="67">
        <v>45003</v>
      </c>
      <c r="I1117" s="67">
        <f t="shared" si="426"/>
        <v>44162.61540535745</v>
      </c>
      <c r="J1117" s="67">
        <f t="shared" si="427"/>
        <v>22081.307702678725</v>
      </c>
      <c r="K1117" s="63"/>
      <c r="L1117" s="149">
        <v>0</v>
      </c>
      <c r="M1117" s="63">
        <f t="shared" si="428"/>
        <v>0</v>
      </c>
      <c r="N1117" s="63">
        <f t="shared" si="429"/>
        <v>0</v>
      </c>
      <c r="O1117" s="69"/>
      <c r="P1117" s="149">
        <v>0</v>
      </c>
      <c r="Q1117" s="63">
        <f t="shared" si="430"/>
        <v>0</v>
      </c>
      <c r="R1117" s="64">
        <f t="shared" si="431"/>
        <v>0</v>
      </c>
      <c r="S1117" s="148">
        <v>5</v>
      </c>
      <c r="T1117" s="151" t="s">
        <v>107</v>
      </c>
      <c r="U1117" s="65">
        <f>SUMIF('Avoided Costs 2012-2020_EGD'!$A:$A,'2012 Actuals_Auditor'!T1117&amp;'2012 Actuals_Auditor'!S1117,'Avoided Costs 2012-2020_EGD'!$E:$E)*J1117</f>
        <v>17618.65438711454</v>
      </c>
      <c r="V1117" s="65">
        <f>SUMIF('Avoided Costs 2012-2020_EGD'!$A:$A,'2012 Actuals_Auditor'!T1117&amp;'2012 Actuals_Auditor'!S1117,'Avoided Costs 2012-2020_EGD'!$K:$K)*N1117</f>
        <v>0</v>
      </c>
      <c r="W1117" s="65">
        <f>SUMIF('Avoided Costs 2012-2020_EGD'!$A:$A,'2012 Actuals_Auditor'!T1117&amp;'2012 Actuals_Auditor'!S1117,'Avoided Costs 2012-2020_EGD'!$M:$M)*R1117</f>
        <v>0</v>
      </c>
      <c r="X1117" s="65">
        <f t="shared" si="432"/>
        <v>17618.65438711454</v>
      </c>
      <c r="Y1117" s="146">
        <v>1011.5</v>
      </c>
      <c r="Z1117" s="66">
        <f t="shared" si="433"/>
        <v>505.75</v>
      </c>
      <c r="AA1117" s="66">
        <v>505.75</v>
      </c>
      <c r="AB1117" s="66"/>
      <c r="AC1117" s="66"/>
      <c r="AD1117" s="66">
        <f t="shared" si="434"/>
        <v>505.75</v>
      </c>
      <c r="AE1117" s="66">
        <f t="shared" si="435"/>
        <v>17112.90438711454</v>
      </c>
      <c r="AF1117" s="101">
        <f t="shared" si="436"/>
        <v>110406.53851339362</v>
      </c>
      <c r="AG1117" s="101">
        <f t="shared" si="437"/>
        <v>220813.07702678724</v>
      </c>
    </row>
    <row r="1118" spans="1:33" s="68" customFormat="1" x14ac:dyDescent="0.2">
      <c r="A1118" s="147" t="s">
        <v>1251</v>
      </c>
      <c r="B1118" s="147"/>
      <c r="C1118" s="147"/>
      <c r="D1118" s="148">
        <v>1</v>
      </c>
      <c r="E1118" s="149"/>
      <c r="F1118" s="150">
        <v>0.5</v>
      </c>
      <c r="G1118" s="150"/>
      <c r="H1118" s="67">
        <v>2078637</v>
      </c>
      <c r="I1118" s="67">
        <f t="shared" si="426"/>
        <v>2039820.598590005</v>
      </c>
      <c r="J1118" s="67">
        <f t="shared" si="427"/>
        <v>1019910.2992950025</v>
      </c>
      <c r="K1118" s="63"/>
      <c r="L1118" s="149">
        <v>0</v>
      </c>
      <c r="M1118" s="63">
        <f t="shared" si="428"/>
        <v>0</v>
      </c>
      <c r="N1118" s="63">
        <f t="shared" si="429"/>
        <v>0</v>
      </c>
      <c r="O1118" s="69"/>
      <c r="P1118" s="149">
        <v>0</v>
      </c>
      <c r="Q1118" s="63">
        <f t="shared" si="430"/>
        <v>0</v>
      </c>
      <c r="R1118" s="64">
        <f t="shared" si="431"/>
        <v>0</v>
      </c>
      <c r="S1118" s="148">
        <v>5</v>
      </c>
      <c r="T1118" s="151" t="s">
        <v>107</v>
      </c>
      <c r="U1118" s="65">
        <f>SUMIF('Avoided Costs 2012-2020_EGD'!$A:$A,'2012 Actuals_Auditor'!T1118&amp;'2012 Actuals_Auditor'!S1118,'Avoided Costs 2012-2020_EGD'!$E:$E)*J1118</f>
        <v>813785.45650886849</v>
      </c>
      <c r="V1118" s="65">
        <f>SUMIF('Avoided Costs 2012-2020_EGD'!$A:$A,'2012 Actuals_Auditor'!T1118&amp;'2012 Actuals_Auditor'!S1118,'Avoided Costs 2012-2020_EGD'!$K:$K)*N1118</f>
        <v>0</v>
      </c>
      <c r="W1118" s="65">
        <f>SUMIF('Avoided Costs 2012-2020_EGD'!$A:$A,'2012 Actuals_Auditor'!T1118&amp;'2012 Actuals_Auditor'!S1118,'Avoided Costs 2012-2020_EGD'!$M:$M)*R1118</f>
        <v>0</v>
      </c>
      <c r="X1118" s="65">
        <f t="shared" si="432"/>
        <v>813785.45650886849</v>
      </c>
      <c r="Y1118" s="146">
        <v>714600</v>
      </c>
      <c r="Z1118" s="66">
        <f t="shared" si="433"/>
        <v>357300</v>
      </c>
      <c r="AA1118" s="66">
        <v>75000</v>
      </c>
      <c r="AB1118" s="66"/>
      <c r="AC1118" s="66"/>
      <c r="AD1118" s="66">
        <f t="shared" si="434"/>
        <v>357300</v>
      </c>
      <c r="AE1118" s="66">
        <f t="shared" si="435"/>
        <v>456485.45650886849</v>
      </c>
      <c r="AF1118" s="101">
        <f t="shared" si="436"/>
        <v>5099551.496475012</v>
      </c>
      <c r="AG1118" s="101">
        <f t="shared" si="437"/>
        <v>10199102.992950024</v>
      </c>
    </row>
    <row r="1119" spans="1:33" s="68" customFormat="1" x14ac:dyDescent="0.2">
      <c r="A1119" s="147" t="s">
        <v>1252</v>
      </c>
      <c r="B1119" s="147"/>
      <c r="C1119" s="147"/>
      <c r="D1119" s="148">
        <v>1</v>
      </c>
      <c r="E1119" s="149"/>
      <c r="F1119" s="150">
        <v>0.5</v>
      </c>
      <c r="G1119" s="150"/>
      <c r="H1119" s="67">
        <v>854927</v>
      </c>
      <c r="I1119" s="67">
        <f t="shared" si="426"/>
        <v>838962.1203176683</v>
      </c>
      <c r="J1119" s="67">
        <f t="shared" si="427"/>
        <v>419481.06015883415</v>
      </c>
      <c r="K1119" s="63"/>
      <c r="L1119" s="149">
        <v>0</v>
      </c>
      <c r="M1119" s="63">
        <f t="shared" si="428"/>
        <v>0</v>
      </c>
      <c r="N1119" s="63">
        <f t="shared" si="429"/>
        <v>0</v>
      </c>
      <c r="O1119" s="69"/>
      <c r="P1119" s="149">
        <v>0</v>
      </c>
      <c r="Q1119" s="63">
        <f t="shared" si="430"/>
        <v>0</v>
      </c>
      <c r="R1119" s="64">
        <f t="shared" si="431"/>
        <v>0</v>
      </c>
      <c r="S1119" s="148">
        <v>15</v>
      </c>
      <c r="T1119" s="151" t="s">
        <v>107</v>
      </c>
      <c r="U1119" s="65">
        <f>SUMIF('Avoided Costs 2012-2020_EGD'!$A:$A,'2012 Actuals_Auditor'!T1119&amp;'2012 Actuals_Auditor'!S1119,'Avoided Costs 2012-2020_EGD'!$E:$E)*J1119</f>
        <v>963806.38486891426</v>
      </c>
      <c r="V1119" s="65">
        <f>SUMIF('Avoided Costs 2012-2020_EGD'!$A:$A,'2012 Actuals_Auditor'!T1119&amp;'2012 Actuals_Auditor'!S1119,'Avoided Costs 2012-2020_EGD'!$K:$K)*N1119</f>
        <v>0</v>
      </c>
      <c r="W1119" s="65">
        <f>SUMIF('Avoided Costs 2012-2020_EGD'!$A:$A,'2012 Actuals_Auditor'!T1119&amp;'2012 Actuals_Auditor'!S1119,'Avoided Costs 2012-2020_EGD'!$M:$M)*R1119</f>
        <v>0</v>
      </c>
      <c r="X1119" s="65">
        <f t="shared" si="432"/>
        <v>963806.38486891426</v>
      </c>
      <c r="Y1119" s="146">
        <v>616000</v>
      </c>
      <c r="Z1119" s="66">
        <f t="shared" si="433"/>
        <v>308000</v>
      </c>
      <c r="AA1119" s="66">
        <v>59845</v>
      </c>
      <c r="AB1119" s="66"/>
      <c r="AC1119" s="66"/>
      <c r="AD1119" s="66">
        <f t="shared" si="434"/>
        <v>308000</v>
      </c>
      <c r="AE1119" s="66">
        <f t="shared" si="435"/>
        <v>655806.38486891426</v>
      </c>
      <c r="AF1119" s="101">
        <f t="shared" si="436"/>
        <v>6292215.9023825126</v>
      </c>
      <c r="AG1119" s="101">
        <f t="shared" si="437"/>
        <v>12584431.804765025</v>
      </c>
    </row>
    <row r="1120" spans="1:33" s="68" customFormat="1" x14ac:dyDescent="0.2">
      <c r="A1120" s="147" t="s">
        <v>1253</v>
      </c>
      <c r="B1120" s="147"/>
      <c r="C1120" s="147"/>
      <c r="D1120" s="148">
        <v>1</v>
      </c>
      <c r="E1120" s="149"/>
      <c r="F1120" s="150">
        <v>0.5</v>
      </c>
      <c r="G1120" s="150"/>
      <c r="H1120" s="67">
        <v>869323</v>
      </c>
      <c r="I1120" s="67">
        <f t="shared" si="426"/>
        <v>853089.28987026541</v>
      </c>
      <c r="J1120" s="67">
        <f t="shared" si="427"/>
        <v>426544.6449351327</v>
      </c>
      <c r="K1120" s="63"/>
      <c r="L1120" s="149">
        <v>0</v>
      </c>
      <c r="M1120" s="63">
        <f t="shared" si="428"/>
        <v>0</v>
      </c>
      <c r="N1120" s="63">
        <f t="shared" si="429"/>
        <v>0</v>
      </c>
      <c r="O1120" s="69"/>
      <c r="P1120" s="149">
        <v>0</v>
      </c>
      <c r="Q1120" s="63">
        <f t="shared" si="430"/>
        <v>0</v>
      </c>
      <c r="R1120" s="64">
        <f t="shared" si="431"/>
        <v>0</v>
      </c>
      <c r="S1120" s="148">
        <v>18</v>
      </c>
      <c r="T1120" s="151" t="s">
        <v>107</v>
      </c>
      <c r="U1120" s="65">
        <f>SUMIF('Avoided Costs 2012-2020_EGD'!$A:$A,'2012 Actuals_Auditor'!T1120&amp;'2012 Actuals_Auditor'!S1120,'Avoided Costs 2012-2020_EGD'!$E:$E)*J1120</f>
        <v>1122304.542801027</v>
      </c>
      <c r="V1120" s="65">
        <f>SUMIF('Avoided Costs 2012-2020_EGD'!$A:$A,'2012 Actuals_Auditor'!T1120&amp;'2012 Actuals_Auditor'!S1120,'Avoided Costs 2012-2020_EGD'!$K:$K)*N1120</f>
        <v>0</v>
      </c>
      <c r="W1120" s="65">
        <f>SUMIF('Avoided Costs 2012-2020_EGD'!$A:$A,'2012 Actuals_Auditor'!T1120&amp;'2012 Actuals_Auditor'!S1120,'Avoided Costs 2012-2020_EGD'!$M:$M)*R1120</f>
        <v>0</v>
      </c>
      <c r="X1120" s="65">
        <f t="shared" si="432"/>
        <v>1122304.542801027</v>
      </c>
      <c r="Y1120" s="146">
        <v>890000</v>
      </c>
      <c r="Z1120" s="66">
        <f t="shared" si="433"/>
        <v>445000</v>
      </c>
      <c r="AA1120" s="66">
        <v>60853</v>
      </c>
      <c r="AB1120" s="66"/>
      <c r="AC1120" s="66"/>
      <c r="AD1120" s="66">
        <f t="shared" si="434"/>
        <v>445000</v>
      </c>
      <c r="AE1120" s="66">
        <f t="shared" si="435"/>
        <v>677304.54280102695</v>
      </c>
      <c r="AF1120" s="101">
        <f t="shared" si="436"/>
        <v>7677803.6088323891</v>
      </c>
      <c r="AG1120" s="101">
        <f t="shared" si="437"/>
        <v>15355607.217664778</v>
      </c>
    </row>
    <row r="1121" spans="1:33" s="68" customFormat="1" x14ac:dyDescent="0.2">
      <c r="A1121" s="147" t="s">
        <v>1254</v>
      </c>
      <c r="B1121" s="147"/>
      <c r="C1121" s="147"/>
      <c r="D1121" s="148">
        <v>1</v>
      </c>
      <c r="E1121" s="149"/>
      <c r="F1121" s="150">
        <v>0.5</v>
      </c>
      <c r="G1121" s="150"/>
      <c r="H1121" s="67">
        <v>34382</v>
      </c>
      <c r="I1121" s="67">
        <f t="shared" si="426"/>
        <v>33739.951622491833</v>
      </c>
      <c r="J1121" s="67">
        <f t="shared" si="427"/>
        <v>16869.975811245917</v>
      </c>
      <c r="K1121" s="63"/>
      <c r="L1121" s="149">
        <v>0</v>
      </c>
      <c r="M1121" s="63">
        <f t="shared" si="428"/>
        <v>0</v>
      </c>
      <c r="N1121" s="63">
        <f t="shared" si="429"/>
        <v>0</v>
      </c>
      <c r="O1121" s="69"/>
      <c r="P1121" s="149">
        <v>0</v>
      </c>
      <c r="Q1121" s="63">
        <f t="shared" si="430"/>
        <v>0</v>
      </c>
      <c r="R1121" s="64">
        <f t="shared" si="431"/>
        <v>0</v>
      </c>
      <c r="S1121" s="148">
        <v>25</v>
      </c>
      <c r="T1121" s="151" t="s">
        <v>107</v>
      </c>
      <c r="U1121" s="65">
        <f>SUMIF('Avoided Costs 2012-2020_EGD'!$A:$A,'2012 Actuals_Auditor'!T1121&amp;'2012 Actuals_Auditor'!S1121,'Avoided Costs 2012-2020_EGD'!$E:$E)*J1121</f>
        <v>54762.165935465637</v>
      </c>
      <c r="V1121" s="65">
        <f>SUMIF('Avoided Costs 2012-2020_EGD'!$A:$A,'2012 Actuals_Auditor'!T1121&amp;'2012 Actuals_Auditor'!S1121,'Avoided Costs 2012-2020_EGD'!$K:$K)*N1121</f>
        <v>0</v>
      </c>
      <c r="W1121" s="65">
        <f>SUMIF('Avoided Costs 2012-2020_EGD'!$A:$A,'2012 Actuals_Auditor'!T1121&amp;'2012 Actuals_Auditor'!S1121,'Avoided Costs 2012-2020_EGD'!$M:$M)*R1121</f>
        <v>0</v>
      </c>
      <c r="X1121" s="65">
        <f t="shared" si="432"/>
        <v>54762.165935465637</v>
      </c>
      <c r="Y1121" s="146">
        <v>27825.7</v>
      </c>
      <c r="Z1121" s="66">
        <f t="shared" si="433"/>
        <v>13912.85</v>
      </c>
      <c r="AA1121" s="66">
        <v>2406.7399999999998</v>
      </c>
      <c r="AB1121" s="66"/>
      <c r="AC1121" s="66"/>
      <c r="AD1121" s="66">
        <f t="shared" si="434"/>
        <v>13912.85</v>
      </c>
      <c r="AE1121" s="66">
        <f t="shared" si="435"/>
        <v>40849.315935465638</v>
      </c>
      <c r="AF1121" s="101">
        <f t="shared" si="436"/>
        <v>421749.39528114791</v>
      </c>
      <c r="AG1121" s="101">
        <f t="shared" si="437"/>
        <v>843498.79056229582</v>
      </c>
    </row>
    <row r="1122" spans="1:33" s="68" customFormat="1" x14ac:dyDescent="0.2">
      <c r="A1122" s="147" t="s">
        <v>1255</v>
      </c>
      <c r="B1122" s="147"/>
      <c r="C1122" s="147"/>
      <c r="D1122" s="148">
        <v>1</v>
      </c>
      <c r="E1122" s="149"/>
      <c r="F1122" s="150">
        <v>0.5</v>
      </c>
      <c r="G1122" s="150"/>
      <c r="H1122" s="67">
        <v>524187</v>
      </c>
      <c r="I1122" s="67">
        <f t="shared" si="426"/>
        <v>514398.34858760762</v>
      </c>
      <c r="J1122" s="67">
        <f t="shared" si="427"/>
        <v>257199.17429380381</v>
      </c>
      <c r="K1122" s="63"/>
      <c r="L1122" s="149">
        <v>0</v>
      </c>
      <c r="M1122" s="63">
        <f t="shared" si="428"/>
        <v>0</v>
      </c>
      <c r="N1122" s="63">
        <f t="shared" si="429"/>
        <v>0</v>
      </c>
      <c r="O1122" s="69"/>
      <c r="P1122" s="149">
        <v>0</v>
      </c>
      <c r="Q1122" s="63">
        <f t="shared" si="430"/>
        <v>0</v>
      </c>
      <c r="R1122" s="64">
        <f t="shared" si="431"/>
        <v>0</v>
      </c>
      <c r="S1122" s="148">
        <v>15</v>
      </c>
      <c r="T1122" s="151" t="s">
        <v>107</v>
      </c>
      <c r="U1122" s="65">
        <f>SUMIF('Avoided Costs 2012-2020_EGD'!$A:$A,'2012 Actuals_Auditor'!T1122&amp;'2012 Actuals_Auditor'!S1122,'Avoided Costs 2012-2020_EGD'!$E:$E)*J1122</f>
        <v>590944.93151494989</v>
      </c>
      <c r="V1122" s="65">
        <f>SUMIF('Avoided Costs 2012-2020_EGD'!$A:$A,'2012 Actuals_Auditor'!T1122&amp;'2012 Actuals_Auditor'!S1122,'Avoided Costs 2012-2020_EGD'!$K:$K)*N1122</f>
        <v>0</v>
      </c>
      <c r="W1122" s="65">
        <f>SUMIF('Avoided Costs 2012-2020_EGD'!$A:$A,'2012 Actuals_Auditor'!T1122&amp;'2012 Actuals_Auditor'!S1122,'Avoided Costs 2012-2020_EGD'!$M:$M)*R1122</f>
        <v>0</v>
      </c>
      <c r="X1122" s="65">
        <f t="shared" si="432"/>
        <v>590944.93151494989</v>
      </c>
      <c r="Y1122" s="146">
        <v>44474.5</v>
      </c>
      <c r="Z1122" s="66">
        <f t="shared" si="433"/>
        <v>22237.25</v>
      </c>
      <c r="AA1122" s="66">
        <v>22237.25</v>
      </c>
      <c r="AB1122" s="66"/>
      <c r="AC1122" s="66"/>
      <c r="AD1122" s="66">
        <f t="shared" si="434"/>
        <v>22237.25</v>
      </c>
      <c r="AE1122" s="66">
        <f t="shared" si="435"/>
        <v>568707.68151494989</v>
      </c>
      <c r="AF1122" s="101">
        <f t="shared" si="436"/>
        <v>3857987.6144070569</v>
      </c>
      <c r="AG1122" s="101">
        <f t="shared" si="437"/>
        <v>7715975.2288141139</v>
      </c>
    </row>
    <row r="1123" spans="1:33" s="68" customFormat="1" x14ac:dyDescent="0.2">
      <c r="A1123" s="147" t="s">
        <v>1256</v>
      </c>
      <c r="B1123" s="147"/>
      <c r="C1123" s="147"/>
      <c r="D1123" s="148">
        <v>1</v>
      </c>
      <c r="E1123" s="149"/>
      <c r="F1123" s="150">
        <v>0.5</v>
      </c>
      <c r="G1123" s="150"/>
      <c r="H1123" s="67">
        <v>439394</v>
      </c>
      <c r="I1123" s="67">
        <f t="shared" si="426"/>
        <v>431188.77038023312</v>
      </c>
      <c r="J1123" s="67">
        <f t="shared" si="427"/>
        <v>215594.38519011656</v>
      </c>
      <c r="K1123" s="63"/>
      <c r="L1123" s="149">
        <v>0</v>
      </c>
      <c r="M1123" s="63">
        <f t="shared" si="428"/>
        <v>0</v>
      </c>
      <c r="N1123" s="63">
        <f t="shared" si="429"/>
        <v>0</v>
      </c>
      <c r="O1123" s="69"/>
      <c r="P1123" s="149">
        <v>0</v>
      </c>
      <c r="Q1123" s="63">
        <f t="shared" si="430"/>
        <v>0</v>
      </c>
      <c r="R1123" s="64">
        <f t="shared" si="431"/>
        <v>0</v>
      </c>
      <c r="S1123" s="148">
        <v>5</v>
      </c>
      <c r="T1123" s="151" t="s">
        <v>107</v>
      </c>
      <c r="U1123" s="65">
        <f>SUMIF('Avoided Costs 2012-2020_EGD'!$A:$A,'2012 Actuals_Auditor'!T1123&amp;'2012 Actuals_Auditor'!S1123,'Avoided Costs 2012-2020_EGD'!$E:$E)*J1123</f>
        <v>172022.55462462074</v>
      </c>
      <c r="V1123" s="65">
        <f>SUMIF('Avoided Costs 2012-2020_EGD'!$A:$A,'2012 Actuals_Auditor'!T1123&amp;'2012 Actuals_Auditor'!S1123,'Avoided Costs 2012-2020_EGD'!$K:$K)*N1123</f>
        <v>0</v>
      </c>
      <c r="W1123" s="65">
        <f>SUMIF('Avoided Costs 2012-2020_EGD'!$A:$A,'2012 Actuals_Auditor'!T1123&amp;'2012 Actuals_Auditor'!S1123,'Avoided Costs 2012-2020_EGD'!$M:$M)*R1123</f>
        <v>0</v>
      </c>
      <c r="X1123" s="65">
        <f t="shared" si="432"/>
        <v>172022.55462462074</v>
      </c>
      <c r="Y1123" s="146">
        <v>74552.27</v>
      </c>
      <c r="Z1123" s="66">
        <f t="shared" si="433"/>
        <v>37276.135000000002</v>
      </c>
      <c r="AA1123" s="66">
        <v>37276.160000000003</v>
      </c>
      <c r="AB1123" s="66"/>
      <c r="AC1123" s="66"/>
      <c r="AD1123" s="66">
        <f t="shared" si="434"/>
        <v>37276.135000000002</v>
      </c>
      <c r="AE1123" s="66">
        <f t="shared" si="435"/>
        <v>134746.41962462073</v>
      </c>
      <c r="AF1123" s="101">
        <f t="shared" si="436"/>
        <v>1077971.9259505828</v>
      </c>
      <c r="AG1123" s="101">
        <f t="shared" si="437"/>
        <v>2155943.8519011657</v>
      </c>
    </row>
    <row r="1124" spans="1:33" s="68" customFormat="1" x14ac:dyDescent="0.2">
      <c r="A1124" s="147" t="s">
        <v>1257</v>
      </c>
      <c r="B1124" s="147"/>
      <c r="C1124" s="147"/>
      <c r="D1124" s="148">
        <v>1</v>
      </c>
      <c r="E1124" s="149"/>
      <c r="F1124" s="150">
        <v>0.5</v>
      </c>
      <c r="G1124" s="150"/>
      <c r="H1124" s="67">
        <v>175681</v>
      </c>
      <c r="I1124" s="67">
        <f t="shared" si="426"/>
        <v>172400.33857806373</v>
      </c>
      <c r="J1124" s="67">
        <f t="shared" si="427"/>
        <v>86200.169289031866</v>
      </c>
      <c r="K1124" s="63"/>
      <c r="L1124" s="149">
        <v>0</v>
      </c>
      <c r="M1124" s="63">
        <f t="shared" si="428"/>
        <v>0</v>
      </c>
      <c r="N1124" s="63">
        <f t="shared" si="429"/>
        <v>0</v>
      </c>
      <c r="O1124" s="69"/>
      <c r="P1124" s="149">
        <v>0</v>
      </c>
      <c r="Q1124" s="63">
        <f t="shared" si="430"/>
        <v>0</v>
      </c>
      <c r="R1124" s="64">
        <f t="shared" si="431"/>
        <v>0</v>
      </c>
      <c r="S1124" s="148">
        <v>15</v>
      </c>
      <c r="T1124" s="151" t="s">
        <v>107</v>
      </c>
      <c r="U1124" s="65">
        <f>SUMIF('Avoided Costs 2012-2020_EGD'!$A:$A,'2012 Actuals_Auditor'!T1124&amp;'2012 Actuals_Auditor'!S1124,'Avoided Costs 2012-2020_EGD'!$E:$E)*J1124</f>
        <v>198054.88597290264</v>
      </c>
      <c r="V1124" s="65">
        <f>SUMIF('Avoided Costs 2012-2020_EGD'!$A:$A,'2012 Actuals_Auditor'!T1124&amp;'2012 Actuals_Auditor'!S1124,'Avoided Costs 2012-2020_EGD'!$K:$K)*N1124</f>
        <v>0</v>
      </c>
      <c r="W1124" s="65">
        <f>SUMIF('Avoided Costs 2012-2020_EGD'!$A:$A,'2012 Actuals_Auditor'!T1124&amp;'2012 Actuals_Auditor'!S1124,'Avoided Costs 2012-2020_EGD'!$M:$M)*R1124</f>
        <v>0</v>
      </c>
      <c r="X1124" s="65">
        <f t="shared" si="432"/>
        <v>198054.88597290264</v>
      </c>
      <c r="Y1124" s="146">
        <v>115576</v>
      </c>
      <c r="Z1124" s="66">
        <f t="shared" si="433"/>
        <v>57788</v>
      </c>
      <c r="AA1124" s="66">
        <v>12297.67</v>
      </c>
      <c r="AB1124" s="66"/>
      <c r="AC1124" s="66"/>
      <c r="AD1124" s="66">
        <f t="shared" si="434"/>
        <v>57788</v>
      </c>
      <c r="AE1124" s="66">
        <f t="shared" si="435"/>
        <v>140266.88597290264</v>
      </c>
      <c r="AF1124" s="101">
        <f t="shared" si="436"/>
        <v>1293002.5393354781</v>
      </c>
      <c r="AG1124" s="101">
        <f t="shared" si="437"/>
        <v>2586005.0786709562</v>
      </c>
    </row>
    <row r="1125" spans="1:33" s="68" customFormat="1" x14ac:dyDescent="0.2">
      <c r="A1125" s="147" t="s">
        <v>1258</v>
      </c>
      <c r="B1125" s="147"/>
      <c r="C1125" s="147"/>
      <c r="D1125" s="148">
        <v>1</v>
      </c>
      <c r="E1125" s="149"/>
      <c r="F1125" s="150">
        <v>0.5</v>
      </c>
      <c r="G1125" s="150"/>
      <c r="H1125" s="67">
        <v>76543</v>
      </c>
      <c r="I1125" s="67">
        <f t="shared" si="426"/>
        <v>75113.638445709745</v>
      </c>
      <c r="J1125" s="67">
        <f t="shared" si="427"/>
        <v>37556.819222854872</v>
      </c>
      <c r="K1125" s="63"/>
      <c r="L1125" s="149">
        <v>0</v>
      </c>
      <c r="M1125" s="63">
        <f t="shared" si="428"/>
        <v>0</v>
      </c>
      <c r="N1125" s="63">
        <f t="shared" si="429"/>
        <v>0</v>
      </c>
      <c r="O1125" s="69"/>
      <c r="P1125" s="149">
        <v>0</v>
      </c>
      <c r="Q1125" s="63">
        <f t="shared" si="430"/>
        <v>0</v>
      </c>
      <c r="R1125" s="64">
        <f t="shared" si="431"/>
        <v>0</v>
      </c>
      <c r="S1125" s="148">
        <v>5</v>
      </c>
      <c r="T1125" s="151" t="s">
        <v>107</v>
      </c>
      <c r="U1125" s="65">
        <f>SUMIF('Avoided Costs 2012-2020_EGD'!$A:$A,'2012 Actuals_Auditor'!T1125&amp;'2012 Actuals_Auditor'!S1125,'Avoided Costs 2012-2020_EGD'!$E:$E)*J1125</f>
        <v>29966.550291156334</v>
      </c>
      <c r="V1125" s="65">
        <f>SUMIF('Avoided Costs 2012-2020_EGD'!$A:$A,'2012 Actuals_Auditor'!T1125&amp;'2012 Actuals_Auditor'!S1125,'Avoided Costs 2012-2020_EGD'!$K:$K)*N1125</f>
        <v>0</v>
      </c>
      <c r="W1125" s="65">
        <f>SUMIF('Avoided Costs 2012-2020_EGD'!$A:$A,'2012 Actuals_Auditor'!T1125&amp;'2012 Actuals_Auditor'!S1125,'Avoided Costs 2012-2020_EGD'!$M:$M)*R1125</f>
        <v>0</v>
      </c>
      <c r="X1125" s="65">
        <f t="shared" si="432"/>
        <v>29966.550291156334</v>
      </c>
      <c r="Y1125" s="146">
        <v>10833.25</v>
      </c>
      <c r="Z1125" s="66">
        <f t="shared" si="433"/>
        <v>5416.625</v>
      </c>
      <c r="AA1125" s="66">
        <v>5416.63</v>
      </c>
      <c r="AB1125" s="66"/>
      <c r="AC1125" s="66"/>
      <c r="AD1125" s="66">
        <f t="shared" si="434"/>
        <v>5416.625</v>
      </c>
      <c r="AE1125" s="66">
        <f t="shared" si="435"/>
        <v>24549.925291156334</v>
      </c>
      <c r="AF1125" s="101">
        <f t="shared" si="436"/>
        <v>187784.09611427435</v>
      </c>
      <c r="AG1125" s="101">
        <f t="shared" si="437"/>
        <v>375568.19222854869</v>
      </c>
    </row>
    <row r="1126" spans="1:33" s="68" customFormat="1" x14ac:dyDescent="0.2">
      <c r="A1126" s="147" t="s">
        <v>1259</v>
      </c>
      <c r="B1126" s="147"/>
      <c r="C1126" s="147"/>
      <c r="D1126" s="148">
        <v>1</v>
      </c>
      <c r="E1126" s="149"/>
      <c r="F1126" s="150">
        <v>0.5</v>
      </c>
      <c r="G1126" s="150"/>
      <c r="H1126" s="67">
        <v>211540</v>
      </c>
      <c r="I1126" s="67">
        <f t="shared" si="426"/>
        <v>207589.7087494015</v>
      </c>
      <c r="J1126" s="67">
        <f t="shared" si="427"/>
        <v>103794.85437470075</v>
      </c>
      <c r="K1126" s="63"/>
      <c r="L1126" s="149">
        <v>0</v>
      </c>
      <c r="M1126" s="63">
        <f t="shared" si="428"/>
        <v>0</v>
      </c>
      <c r="N1126" s="63">
        <f t="shared" si="429"/>
        <v>0</v>
      </c>
      <c r="O1126" s="69"/>
      <c r="P1126" s="149">
        <v>0</v>
      </c>
      <c r="Q1126" s="63">
        <f t="shared" si="430"/>
        <v>0</v>
      </c>
      <c r="R1126" s="64">
        <f t="shared" si="431"/>
        <v>0</v>
      </c>
      <c r="S1126" s="148">
        <v>5</v>
      </c>
      <c r="T1126" s="151" t="s">
        <v>107</v>
      </c>
      <c r="U1126" s="65">
        <f>SUMIF('Avoided Costs 2012-2020_EGD'!$A:$A,'2012 Actuals_Auditor'!T1126&amp;'2012 Actuals_Auditor'!S1126,'Avoided Costs 2012-2020_EGD'!$E:$E)*J1126</f>
        <v>82817.815457863049</v>
      </c>
      <c r="V1126" s="65">
        <f>SUMIF('Avoided Costs 2012-2020_EGD'!$A:$A,'2012 Actuals_Auditor'!T1126&amp;'2012 Actuals_Auditor'!S1126,'Avoided Costs 2012-2020_EGD'!$K:$K)*N1126</f>
        <v>0</v>
      </c>
      <c r="W1126" s="65">
        <f>SUMIF('Avoided Costs 2012-2020_EGD'!$A:$A,'2012 Actuals_Auditor'!T1126&amp;'2012 Actuals_Auditor'!S1126,'Avoided Costs 2012-2020_EGD'!$M:$M)*R1126</f>
        <v>0</v>
      </c>
      <c r="X1126" s="65">
        <f t="shared" si="432"/>
        <v>82817.815457863049</v>
      </c>
      <c r="Y1126" s="146">
        <v>4682.45</v>
      </c>
      <c r="Z1126" s="66">
        <f t="shared" si="433"/>
        <v>2341.2249999999999</v>
      </c>
      <c r="AA1126" s="66">
        <v>2341.23</v>
      </c>
      <c r="AB1126" s="66"/>
      <c r="AC1126" s="66"/>
      <c r="AD1126" s="66">
        <f t="shared" si="434"/>
        <v>2341.2249999999999</v>
      </c>
      <c r="AE1126" s="66">
        <f t="shared" si="435"/>
        <v>80476.590457863043</v>
      </c>
      <c r="AF1126" s="101">
        <f t="shared" si="436"/>
        <v>518974.27187350375</v>
      </c>
      <c r="AG1126" s="101">
        <f t="shared" si="437"/>
        <v>1037948.5437470075</v>
      </c>
    </row>
    <row r="1127" spans="1:33" s="68" customFormat="1" x14ac:dyDescent="0.2">
      <c r="A1127" s="147" t="s">
        <v>1260</v>
      </c>
      <c r="B1127" s="147"/>
      <c r="C1127" s="147"/>
      <c r="D1127" s="148">
        <v>1</v>
      </c>
      <c r="E1127" s="149"/>
      <c r="F1127" s="150">
        <v>0.5</v>
      </c>
      <c r="G1127" s="150"/>
      <c r="H1127" s="67">
        <v>45999</v>
      </c>
      <c r="I1127" s="67">
        <f t="shared" si="426"/>
        <v>45140.016132947523</v>
      </c>
      <c r="J1127" s="67">
        <f t="shared" si="427"/>
        <v>22570.008066473762</v>
      </c>
      <c r="K1127" s="63"/>
      <c r="L1127" s="149">
        <v>0</v>
      </c>
      <c r="M1127" s="63">
        <f t="shared" si="428"/>
        <v>0</v>
      </c>
      <c r="N1127" s="63">
        <f t="shared" si="429"/>
        <v>0</v>
      </c>
      <c r="O1127" s="69"/>
      <c r="P1127" s="149">
        <v>0</v>
      </c>
      <c r="Q1127" s="63">
        <f t="shared" si="430"/>
        <v>0</v>
      </c>
      <c r="R1127" s="64">
        <f t="shared" si="431"/>
        <v>0</v>
      </c>
      <c r="S1127" s="148">
        <v>15</v>
      </c>
      <c r="T1127" s="151" t="s">
        <v>107</v>
      </c>
      <c r="U1127" s="65">
        <f>SUMIF('Avoided Costs 2012-2020_EGD'!$A:$A,'2012 Actuals_Auditor'!T1127&amp;'2012 Actuals_Auditor'!S1127,'Avoided Costs 2012-2020_EGD'!$E:$E)*J1127</f>
        <v>51857.211080694833</v>
      </c>
      <c r="V1127" s="65">
        <f>SUMIF('Avoided Costs 2012-2020_EGD'!$A:$A,'2012 Actuals_Auditor'!T1127&amp;'2012 Actuals_Auditor'!S1127,'Avoided Costs 2012-2020_EGD'!$K:$K)*N1127</f>
        <v>0</v>
      </c>
      <c r="W1127" s="65">
        <f>SUMIF('Avoided Costs 2012-2020_EGD'!$A:$A,'2012 Actuals_Auditor'!T1127&amp;'2012 Actuals_Auditor'!S1127,'Avoided Costs 2012-2020_EGD'!$M:$M)*R1127</f>
        <v>0</v>
      </c>
      <c r="X1127" s="65">
        <f t="shared" si="432"/>
        <v>51857.211080694833</v>
      </c>
      <c r="Y1127" s="146">
        <v>19244</v>
      </c>
      <c r="Z1127" s="66">
        <f t="shared" si="433"/>
        <v>9622</v>
      </c>
      <c r="AA1127" s="66">
        <v>3219.9</v>
      </c>
      <c r="AB1127" s="66"/>
      <c r="AC1127" s="66"/>
      <c r="AD1127" s="66">
        <f t="shared" si="434"/>
        <v>9622</v>
      </c>
      <c r="AE1127" s="66">
        <f t="shared" si="435"/>
        <v>42235.211080694833</v>
      </c>
      <c r="AF1127" s="101">
        <f t="shared" si="436"/>
        <v>338550.12099710642</v>
      </c>
      <c r="AG1127" s="101">
        <f t="shared" si="437"/>
        <v>677100.24199421285</v>
      </c>
    </row>
    <row r="1128" spans="1:33" s="68" customFormat="1" x14ac:dyDescent="0.2">
      <c r="A1128" s="147" t="s">
        <v>1261</v>
      </c>
      <c r="B1128" s="147"/>
      <c r="C1128" s="147"/>
      <c r="D1128" s="148">
        <v>1</v>
      </c>
      <c r="E1128" s="149"/>
      <c r="F1128" s="150">
        <v>0.5</v>
      </c>
      <c r="G1128" s="150"/>
      <c r="H1128" s="67">
        <v>28600</v>
      </c>
      <c r="I1128" s="67">
        <f t="shared" si="426"/>
        <v>28065.924507104482</v>
      </c>
      <c r="J1128" s="67">
        <f t="shared" si="427"/>
        <v>14032.962253552241</v>
      </c>
      <c r="K1128" s="63"/>
      <c r="L1128" s="149">
        <v>672528</v>
      </c>
      <c r="M1128" s="63">
        <f t="shared" si="428"/>
        <v>672528</v>
      </c>
      <c r="N1128" s="63">
        <f t="shared" si="429"/>
        <v>336264</v>
      </c>
      <c r="O1128" s="69"/>
      <c r="P1128" s="149">
        <v>0</v>
      </c>
      <c r="Q1128" s="63">
        <f t="shared" si="430"/>
        <v>0</v>
      </c>
      <c r="R1128" s="64">
        <f t="shared" si="431"/>
        <v>0</v>
      </c>
      <c r="S1128" s="148">
        <v>15</v>
      </c>
      <c r="T1128" s="151" t="s">
        <v>107</v>
      </c>
      <c r="U1128" s="65">
        <f>SUMIF('Avoided Costs 2012-2020_EGD'!$A:$A,'2012 Actuals_Auditor'!T1128&amp;'2012 Actuals_Auditor'!S1128,'Avoided Costs 2012-2020_EGD'!$E:$E)*J1128</f>
        <v>32242.358244915587</v>
      </c>
      <c r="V1128" s="65">
        <f>SUMIF('Avoided Costs 2012-2020_EGD'!$A:$A,'2012 Actuals_Auditor'!T1128&amp;'2012 Actuals_Auditor'!S1128,'Avoided Costs 2012-2020_EGD'!$K:$K)*N1128</f>
        <v>346279.0939247004</v>
      </c>
      <c r="W1128" s="65">
        <f>SUMIF('Avoided Costs 2012-2020_EGD'!$A:$A,'2012 Actuals_Auditor'!T1128&amp;'2012 Actuals_Auditor'!S1128,'Avoided Costs 2012-2020_EGD'!$M:$M)*R1128</f>
        <v>0</v>
      </c>
      <c r="X1128" s="65">
        <f t="shared" si="432"/>
        <v>378521.45216961601</v>
      </c>
      <c r="Y1128" s="146">
        <v>24478</v>
      </c>
      <c r="Z1128" s="66">
        <f t="shared" si="433"/>
        <v>12239</v>
      </c>
      <c r="AA1128" s="66">
        <v>2002</v>
      </c>
      <c r="AB1128" s="66"/>
      <c r="AC1128" s="66"/>
      <c r="AD1128" s="66">
        <f t="shared" si="434"/>
        <v>12239</v>
      </c>
      <c r="AE1128" s="66">
        <f t="shared" si="435"/>
        <v>366282.45216961601</v>
      </c>
      <c r="AF1128" s="101">
        <f t="shared" si="436"/>
        <v>210494.43380328361</v>
      </c>
      <c r="AG1128" s="101">
        <f t="shared" si="437"/>
        <v>420988.86760656722</v>
      </c>
    </row>
    <row r="1129" spans="1:33" s="68" customFormat="1" x14ac:dyDescent="0.2">
      <c r="A1129" s="147" t="s">
        <v>1262</v>
      </c>
      <c r="B1129" s="147"/>
      <c r="C1129" s="147"/>
      <c r="D1129" s="148">
        <v>1</v>
      </c>
      <c r="E1129" s="149"/>
      <c r="F1129" s="150">
        <v>0.5</v>
      </c>
      <c r="G1129" s="150"/>
      <c r="H1129" s="67">
        <v>1147753</v>
      </c>
      <c r="I1129" s="67">
        <f t="shared" si="426"/>
        <v>1126319.8968812129</v>
      </c>
      <c r="J1129" s="67">
        <f t="shared" si="427"/>
        <v>563159.94844060647</v>
      </c>
      <c r="K1129" s="63"/>
      <c r="L1129" s="149">
        <v>0</v>
      </c>
      <c r="M1129" s="63">
        <f t="shared" si="428"/>
        <v>0</v>
      </c>
      <c r="N1129" s="63">
        <f t="shared" si="429"/>
        <v>0</v>
      </c>
      <c r="O1129" s="69"/>
      <c r="P1129" s="149">
        <v>0</v>
      </c>
      <c r="Q1129" s="63">
        <f t="shared" si="430"/>
        <v>0</v>
      </c>
      <c r="R1129" s="64">
        <f t="shared" si="431"/>
        <v>0</v>
      </c>
      <c r="S1129" s="148">
        <v>15</v>
      </c>
      <c r="T1129" s="151" t="s">
        <v>107</v>
      </c>
      <c r="U1129" s="65">
        <f>SUMIF('Avoided Costs 2012-2020_EGD'!$A:$A,'2012 Actuals_Auditor'!T1129&amp;'2012 Actuals_Auditor'!S1129,'Avoided Costs 2012-2020_EGD'!$E:$E)*J1129</f>
        <v>1293925.2937998811</v>
      </c>
      <c r="V1129" s="65">
        <f>SUMIF('Avoided Costs 2012-2020_EGD'!$A:$A,'2012 Actuals_Auditor'!T1129&amp;'2012 Actuals_Auditor'!S1129,'Avoided Costs 2012-2020_EGD'!$K:$K)*N1129</f>
        <v>0</v>
      </c>
      <c r="W1129" s="65">
        <f>SUMIF('Avoided Costs 2012-2020_EGD'!$A:$A,'2012 Actuals_Auditor'!T1129&amp;'2012 Actuals_Auditor'!S1129,'Avoided Costs 2012-2020_EGD'!$M:$M)*R1129</f>
        <v>0</v>
      </c>
      <c r="X1129" s="65">
        <f t="shared" si="432"/>
        <v>1293925.2937998811</v>
      </c>
      <c r="Y1129" s="146">
        <v>4000</v>
      </c>
      <c r="Z1129" s="66">
        <f t="shared" si="433"/>
        <v>2000</v>
      </c>
      <c r="AA1129" s="66">
        <v>2000</v>
      </c>
      <c r="AB1129" s="66"/>
      <c r="AC1129" s="66"/>
      <c r="AD1129" s="66">
        <f t="shared" si="434"/>
        <v>2000</v>
      </c>
      <c r="AE1129" s="66">
        <f t="shared" si="435"/>
        <v>1291925.2937998811</v>
      </c>
      <c r="AF1129" s="101">
        <f t="shared" si="436"/>
        <v>8447399.2266090978</v>
      </c>
      <c r="AG1129" s="101">
        <f t="shared" si="437"/>
        <v>16894798.453218196</v>
      </c>
    </row>
    <row r="1130" spans="1:33" s="68" customFormat="1" x14ac:dyDescent="0.2">
      <c r="A1130" s="147" t="s">
        <v>1263</v>
      </c>
      <c r="B1130" s="147"/>
      <c r="C1130" s="147"/>
      <c r="D1130" s="148">
        <v>1</v>
      </c>
      <c r="E1130" s="149"/>
      <c r="F1130" s="150">
        <v>0.5</v>
      </c>
      <c r="G1130" s="150"/>
      <c r="H1130" s="67">
        <v>441447</v>
      </c>
      <c r="I1130" s="67">
        <f t="shared" si="426"/>
        <v>433203.43272334803</v>
      </c>
      <c r="J1130" s="67">
        <f t="shared" si="427"/>
        <v>216601.71636167401</v>
      </c>
      <c r="K1130" s="63"/>
      <c r="L1130" s="149">
        <v>0</v>
      </c>
      <c r="M1130" s="63">
        <f t="shared" si="428"/>
        <v>0</v>
      </c>
      <c r="N1130" s="63">
        <f t="shared" si="429"/>
        <v>0</v>
      </c>
      <c r="O1130" s="69"/>
      <c r="P1130" s="149">
        <v>0</v>
      </c>
      <c r="Q1130" s="63">
        <f t="shared" si="430"/>
        <v>0</v>
      </c>
      <c r="R1130" s="64">
        <f t="shared" si="431"/>
        <v>0</v>
      </c>
      <c r="S1130" s="148">
        <v>15</v>
      </c>
      <c r="T1130" s="151" t="s">
        <v>107</v>
      </c>
      <c r="U1130" s="65">
        <f>SUMIF('Avoided Costs 2012-2020_EGD'!$A:$A,'2012 Actuals_Auditor'!T1130&amp;'2012 Actuals_Auditor'!S1130,'Avoided Costs 2012-2020_EGD'!$E:$E)*J1130</f>
        <v>497667.56364137249</v>
      </c>
      <c r="V1130" s="65">
        <f>SUMIF('Avoided Costs 2012-2020_EGD'!$A:$A,'2012 Actuals_Auditor'!T1130&amp;'2012 Actuals_Auditor'!S1130,'Avoided Costs 2012-2020_EGD'!$K:$K)*N1130</f>
        <v>0</v>
      </c>
      <c r="W1130" s="65">
        <f>SUMIF('Avoided Costs 2012-2020_EGD'!$A:$A,'2012 Actuals_Auditor'!T1130&amp;'2012 Actuals_Auditor'!S1130,'Avoided Costs 2012-2020_EGD'!$M:$M)*R1130</f>
        <v>0</v>
      </c>
      <c r="X1130" s="65">
        <f t="shared" si="432"/>
        <v>497667.56364137249</v>
      </c>
      <c r="Y1130" s="146">
        <v>0</v>
      </c>
      <c r="Z1130" s="66">
        <f t="shared" si="433"/>
        <v>0</v>
      </c>
      <c r="AA1130" s="66">
        <v>0</v>
      </c>
      <c r="AB1130" s="66"/>
      <c r="AC1130" s="66"/>
      <c r="AD1130" s="66">
        <f t="shared" si="434"/>
        <v>0</v>
      </c>
      <c r="AE1130" s="66">
        <f t="shared" si="435"/>
        <v>497667.56364137249</v>
      </c>
      <c r="AF1130" s="101">
        <f t="shared" si="436"/>
        <v>3249025.7454251102</v>
      </c>
      <c r="AG1130" s="101">
        <f t="shared" si="437"/>
        <v>6498051.4908502204</v>
      </c>
    </row>
    <row r="1131" spans="1:33" s="68" customFormat="1" x14ac:dyDescent="0.2">
      <c r="A1131" s="147" t="s">
        <v>1264</v>
      </c>
      <c r="B1131" s="147"/>
      <c r="C1131" s="147"/>
      <c r="D1131" s="148">
        <v>1</v>
      </c>
      <c r="E1131" s="149"/>
      <c r="F1131" s="150">
        <v>0.5</v>
      </c>
      <c r="G1131" s="150"/>
      <c r="H1131" s="67">
        <v>325413</v>
      </c>
      <c r="I1131" s="67">
        <f t="shared" si="426"/>
        <v>319336.2479591046</v>
      </c>
      <c r="J1131" s="67">
        <f t="shared" si="427"/>
        <v>159668.1239795523</v>
      </c>
      <c r="K1131" s="63"/>
      <c r="L1131" s="149">
        <v>0</v>
      </c>
      <c r="M1131" s="63">
        <f t="shared" si="428"/>
        <v>0</v>
      </c>
      <c r="N1131" s="63">
        <f t="shared" si="429"/>
        <v>0</v>
      </c>
      <c r="O1131" s="69"/>
      <c r="P1131" s="149">
        <v>0</v>
      </c>
      <c r="Q1131" s="63">
        <f t="shared" si="430"/>
        <v>0</v>
      </c>
      <c r="R1131" s="64">
        <f t="shared" si="431"/>
        <v>0</v>
      </c>
      <c r="S1131" s="148">
        <v>15</v>
      </c>
      <c r="T1131" s="151" t="s">
        <v>107</v>
      </c>
      <c r="U1131" s="65">
        <f>SUMIF('Avoided Costs 2012-2020_EGD'!$A:$A,'2012 Actuals_Auditor'!T1131&amp;'2012 Actuals_Auditor'!S1131,'Avoided Costs 2012-2020_EGD'!$E:$E)*J1131</f>
        <v>366856.03229205305</v>
      </c>
      <c r="V1131" s="65">
        <f>SUMIF('Avoided Costs 2012-2020_EGD'!$A:$A,'2012 Actuals_Auditor'!T1131&amp;'2012 Actuals_Auditor'!S1131,'Avoided Costs 2012-2020_EGD'!$K:$K)*N1131</f>
        <v>0</v>
      </c>
      <c r="W1131" s="65">
        <f>SUMIF('Avoided Costs 2012-2020_EGD'!$A:$A,'2012 Actuals_Auditor'!T1131&amp;'2012 Actuals_Auditor'!S1131,'Avoided Costs 2012-2020_EGD'!$M:$M)*R1131</f>
        <v>0</v>
      </c>
      <c r="X1131" s="65">
        <f t="shared" si="432"/>
        <v>366856.03229205305</v>
      </c>
      <c r="Y1131" s="146">
        <v>81359.19</v>
      </c>
      <c r="Z1131" s="66">
        <f t="shared" si="433"/>
        <v>40679.595000000001</v>
      </c>
      <c r="AA1131" s="66">
        <v>22778.91</v>
      </c>
      <c r="AB1131" s="66"/>
      <c r="AC1131" s="66"/>
      <c r="AD1131" s="66">
        <f t="shared" si="434"/>
        <v>40679.595000000001</v>
      </c>
      <c r="AE1131" s="66">
        <f t="shared" si="435"/>
        <v>326176.43729205301</v>
      </c>
      <c r="AF1131" s="101">
        <f t="shared" si="436"/>
        <v>2395021.8596932846</v>
      </c>
      <c r="AG1131" s="101">
        <f t="shared" si="437"/>
        <v>4790043.7193865692</v>
      </c>
    </row>
    <row r="1132" spans="1:33" s="68" customFormat="1" x14ac:dyDescent="0.2">
      <c r="A1132" s="147" t="s">
        <v>1265</v>
      </c>
      <c r="B1132" s="147"/>
      <c r="C1132" s="147"/>
      <c r="D1132" s="148">
        <v>1</v>
      </c>
      <c r="E1132" s="149"/>
      <c r="F1132" s="150">
        <v>0.5</v>
      </c>
      <c r="G1132" s="150"/>
      <c r="H1132" s="67">
        <v>16516</v>
      </c>
      <c r="I1132" s="67">
        <f t="shared" si="426"/>
        <v>16207.580739836982</v>
      </c>
      <c r="J1132" s="67">
        <f t="shared" si="427"/>
        <v>8103.7903699184908</v>
      </c>
      <c r="K1132" s="63"/>
      <c r="L1132" s="149">
        <v>0</v>
      </c>
      <c r="M1132" s="63">
        <f t="shared" si="428"/>
        <v>0</v>
      </c>
      <c r="N1132" s="63">
        <f t="shared" si="429"/>
        <v>0</v>
      </c>
      <c r="O1132" s="69"/>
      <c r="P1132" s="149">
        <v>0</v>
      </c>
      <c r="Q1132" s="63">
        <f t="shared" si="430"/>
        <v>0</v>
      </c>
      <c r="R1132" s="64">
        <f t="shared" si="431"/>
        <v>0</v>
      </c>
      <c r="S1132" s="148">
        <v>15</v>
      </c>
      <c r="T1132" s="151" t="s">
        <v>107</v>
      </c>
      <c r="U1132" s="65">
        <f>SUMIF('Avoided Costs 2012-2020_EGD'!$A:$A,'2012 Actuals_Auditor'!T1132&amp;'2012 Actuals_Auditor'!S1132,'Avoided Costs 2012-2020_EGD'!$E:$E)*J1132</f>
        <v>18619.398208847058</v>
      </c>
      <c r="V1132" s="65">
        <f>SUMIF('Avoided Costs 2012-2020_EGD'!$A:$A,'2012 Actuals_Auditor'!T1132&amp;'2012 Actuals_Auditor'!S1132,'Avoided Costs 2012-2020_EGD'!$K:$K)*N1132</f>
        <v>0</v>
      </c>
      <c r="W1132" s="65">
        <f>SUMIF('Avoided Costs 2012-2020_EGD'!$A:$A,'2012 Actuals_Auditor'!T1132&amp;'2012 Actuals_Auditor'!S1132,'Avoided Costs 2012-2020_EGD'!$M:$M)*R1132</f>
        <v>0</v>
      </c>
      <c r="X1132" s="65">
        <f t="shared" si="432"/>
        <v>18619.398208847058</v>
      </c>
      <c r="Y1132" s="146">
        <v>22276</v>
      </c>
      <c r="Z1132" s="66">
        <f t="shared" si="433"/>
        <v>11138</v>
      </c>
      <c r="AA1132" s="66">
        <v>1156.1199999999999</v>
      </c>
      <c r="AB1132" s="66"/>
      <c r="AC1132" s="66"/>
      <c r="AD1132" s="66">
        <f t="shared" si="434"/>
        <v>11138</v>
      </c>
      <c r="AE1132" s="66">
        <f t="shared" si="435"/>
        <v>7481.3982088470584</v>
      </c>
      <c r="AF1132" s="101">
        <f t="shared" si="436"/>
        <v>121556.85554877736</v>
      </c>
      <c r="AG1132" s="101">
        <f t="shared" si="437"/>
        <v>243113.71109755471</v>
      </c>
    </row>
    <row r="1133" spans="1:33" s="68" customFormat="1" x14ac:dyDescent="0.2">
      <c r="A1133" s="147" t="s">
        <v>1266</v>
      </c>
      <c r="B1133" s="147"/>
      <c r="C1133" s="147"/>
      <c r="D1133" s="148">
        <v>1</v>
      </c>
      <c r="E1133" s="149"/>
      <c r="F1133" s="150">
        <v>0.5</v>
      </c>
      <c r="G1133" s="150"/>
      <c r="H1133" s="67">
        <v>62522</v>
      </c>
      <c r="I1133" s="67">
        <f t="shared" si="426"/>
        <v>61354.466155006521</v>
      </c>
      <c r="J1133" s="67">
        <f t="shared" si="427"/>
        <v>30677.233077503261</v>
      </c>
      <c r="K1133" s="63"/>
      <c r="L1133" s="149">
        <v>0</v>
      </c>
      <c r="M1133" s="63">
        <f t="shared" si="428"/>
        <v>0</v>
      </c>
      <c r="N1133" s="63">
        <f t="shared" si="429"/>
        <v>0</v>
      </c>
      <c r="O1133" s="69"/>
      <c r="P1133" s="149">
        <v>0</v>
      </c>
      <c r="Q1133" s="63">
        <f t="shared" si="430"/>
        <v>0</v>
      </c>
      <c r="R1133" s="64">
        <f t="shared" si="431"/>
        <v>0</v>
      </c>
      <c r="S1133" s="148">
        <v>18</v>
      </c>
      <c r="T1133" s="151" t="s">
        <v>107</v>
      </c>
      <c r="U1133" s="65">
        <f>SUMIF('Avoided Costs 2012-2020_EGD'!$A:$A,'2012 Actuals_Auditor'!T1133&amp;'2012 Actuals_Auditor'!S1133,'Avoided Costs 2012-2020_EGD'!$E:$E)*J1133</f>
        <v>80716.516904540433</v>
      </c>
      <c r="V1133" s="65">
        <f>SUMIF('Avoided Costs 2012-2020_EGD'!$A:$A,'2012 Actuals_Auditor'!T1133&amp;'2012 Actuals_Auditor'!S1133,'Avoided Costs 2012-2020_EGD'!$K:$K)*N1133</f>
        <v>0</v>
      </c>
      <c r="W1133" s="65">
        <f>SUMIF('Avoided Costs 2012-2020_EGD'!$A:$A,'2012 Actuals_Auditor'!T1133&amp;'2012 Actuals_Auditor'!S1133,'Avoided Costs 2012-2020_EGD'!$M:$M)*R1133</f>
        <v>0</v>
      </c>
      <c r="X1133" s="65">
        <f t="shared" si="432"/>
        <v>80716.516904540433</v>
      </c>
      <c r="Y1133" s="146">
        <v>100000</v>
      </c>
      <c r="Z1133" s="66">
        <f t="shared" si="433"/>
        <v>50000</v>
      </c>
      <c r="AA1133" s="66">
        <v>4377</v>
      </c>
      <c r="AB1133" s="66"/>
      <c r="AC1133" s="66"/>
      <c r="AD1133" s="66">
        <f t="shared" si="434"/>
        <v>50000</v>
      </c>
      <c r="AE1133" s="66">
        <f t="shared" si="435"/>
        <v>30716.516904540433</v>
      </c>
      <c r="AF1133" s="101">
        <f t="shared" si="436"/>
        <v>552190.19539505872</v>
      </c>
      <c r="AG1133" s="101">
        <f t="shared" si="437"/>
        <v>1104380.3907901174</v>
      </c>
    </row>
    <row r="1134" spans="1:33" s="68" customFormat="1" x14ac:dyDescent="0.2">
      <c r="A1134" s="147" t="s">
        <v>1267</v>
      </c>
      <c r="B1134" s="147"/>
      <c r="C1134" s="147"/>
      <c r="D1134" s="148">
        <v>1</v>
      </c>
      <c r="E1134" s="149"/>
      <c r="F1134" s="150">
        <v>0.5</v>
      </c>
      <c r="G1134" s="150"/>
      <c r="H1134" s="67">
        <v>278045</v>
      </c>
      <c r="I1134" s="67">
        <f t="shared" si="426"/>
        <v>272852.79648873658</v>
      </c>
      <c r="J1134" s="67">
        <f t="shared" si="427"/>
        <v>136426.39824436829</v>
      </c>
      <c r="K1134" s="63"/>
      <c r="L1134" s="149">
        <v>82442</v>
      </c>
      <c r="M1134" s="63">
        <f t="shared" si="428"/>
        <v>82442</v>
      </c>
      <c r="N1134" s="63">
        <f t="shared" si="429"/>
        <v>41221</v>
      </c>
      <c r="O1134" s="69"/>
      <c r="P1134" s="149">
        <v>0</v>
      </c>
      <c r="Q1134" s="63">
        <f t="shared" si="430"/>
        <v>0</v>
      </c>
      <c r="R1134" s="64">
        <f t="shared" si="431"/>
        <v>0</v>
      </c>
      <c r="S1134" s="148">
        <v>25</v>
      </c>
      <c r="T1134" s="151" t="s">
        <v>107</v>
      </c>
      <c r="U1134" s="65">
        <f>SUMIF('Avoided Costs 2012-2020_EGD'!$A:$A,'2012 Actuals_Auditor'!T1134&amp;'2012 Actuals_Auditor'!S1134,'Avoided Costs 2012-2020_EGD'!$E:$E)*J1134</f>
        <v>442858.07770131296</v>
      </c>
      <c r="V1134" s="65">
        <f>SUMIF('Avoided Costs 2012-2020_EGD'!$A:$A,'2012 Actuals_Auditor'!T1134&amp;'2012 Actuals_Auditor'!S1134,'Avoided Costs 2012-2020_EGD'!$K:$K)*N1134</f>
        <v>58055.140215248095</v>
      </c>
      <c r="W1134" s="65">
        <f>SUMIF('Avoided Costs 2012-2020_EGD'!$A:$A,'2012 Actuals_Auditor'!T1134&amp;'2012 Actuals_Auditor'!S1134,'Avoided Costs 2012-2020_EGD'!$M:$M)*R1134</f>
        <v>0</v>
      </c>
      <c r="X1134" s="65">
        <f t="shared" si="432"/>
        <v>500913.21791656106</v>
      </c>
      <c r="Y1134" s="146">
        <v>400000</v>
      </c>
      <c r="Z1134" s="66">
        <f t="shared" si="433"/>
        <v>200000</v>
      </c>
      <c r="AA1134" s="66">
        <v>38926.300000000003</v>
      </c>
      <c r="AB1134" s="66"/>
      <c r="AC1134" s="66"/>
      <c r="AD1134" s="66">
        <f t="shared" si="434"/>
        <v>200000</v>
      </c>
      <c r="AE1134" s="66">
        <f t="shared" si="435"/>
        <v>300913.21791656106</v>
      </c>
      <c r="AF1134" s="101">
        <f t="shared" si="436"/>
        <v>3410659.9561092071</v>
      </c>
      <c r="AG1134" s="101">
        <f t="shared" si="437"/>
        <v>6821319.9122184142</v>
      </c>
    </row>
    <row r="1135" spans="1:33" s="68" customFormat="1" x14ac:dyDescent="0.2">
      <c r="A1135" s="147" t="s">
        <v>1268</v>
      </c>
      <c r="B1135" s="147"/>
      <c r="C1135" s="147"/>
      <c r="D1135" s="148">
        <v>1</v>
      </c>
      <c r="E1135" s="149"/>
      <c r="F1135" s="150">
        <v>0.5</v>
      </c>
      <c r="G1135" s="150"/>
      <c r="H1135" s="67">
        <v>130828</v>
      </c>
      <c r="I1135" s="67">
        <f t="shared" si="426"/>
        <v>128384.92207746382</v>
      </c>
      <c r="J1135" s="67">
        <f t="shared" si="427"/>
        <v>64192.461038731912</v>
      </c>
      <c r="K1135" s="63"/>
      <c r="L1135" s="149">
        <v>0</v>
      </c>
      <c r="M1135" s="63">
        <f t="shared" si="428"/>
        <v>0</v>
      </c>
      <c r="N1135" s="63">
        <f t="shared" si="429"/>
        <v>0</v>
      </c>
      <c r="O1135" s="69"/>
      <c r="P1135" s="149">
        <v>0</v>
      </c>
      <c r="Q1135" s="63">
        <f t="shared" si="430"/>
        <v>0</v>
      </c>
      <c r="R1135" s="64">
        <f t="shared" si="431"/>
        <v>0</v>
      </c>
      <c r="S1135" s="148">
        <v>15</v>
      </c>
      <c r="T1135" s="151" t="s">
        <v>107</v>
      </c>
      <c r="U1135" s="65">
        <f>SUMIF('Avoided Costs 2012-2020_EGD'!$A:$A,'2012 Actuals_Auditor'!T1135&amp;'2012 Actuals_Auditor'!S1135,'Avoided Costs 2012-2020_EGD'!$E:$E)*J1135</f>
        <v>147489.62393237121</v>
      </c>
      <c r="V1135" s="65">
        <f>SUMIF('Avoided Costs 2012-2020_EGD'!$A:$A,'2012 Actuals_Auditor'!T1135&amp;'2012 Actuals_Auditor'!S1135,'Avoided Costs 2012-2020_EGD'!$K:$K)*N1135</f>
        <v>0</v>
      </c>
      <c r="W1135" s="65">
        <f>SUMIF('Avoided Costs 2012-2020_EGD'!$A:$A,'2012 Actuals_Auditor'!T1135&amp;'2012 Actuals_Auditor'!S1135,'Avoided Costs 2012-2020_EGD'!$M:$M)*R1135</f>
        <v>0</v>
      </c>
      <c r="X1135" s="65">
        <f t="shared" si="432"/>
        <v>147489.62393237121</v>
      </c>
      <c r="Y1135" s="146">
        <v>155000</v>
      </c>
      <c r="Z1135" s="66">
        <f t="shared" si="433"/>
        <v>77500</v>
      </c>
      <c r="AA1135" s="66">
        <v>9157.9599999999991</v>
      </c>
      <c r="AB1135" s="66"/>
      <c r="AC1135" s="66"/>
      <c r="AD1135" s="66">
        <f t="shared" si="434"/>
        <v>77500</v>
      </c>
      <c r="AE1135" s="66">
        <f t="shared" si="435"/>
        <v>69989.623932371207</v>
      </c>
      <c r="AF1135" s="101">
        <f t="shared" si="436"/>
        <v>962886.91558097862</v>
      </c>
      <c r="AG1135" s="101">
        <f t="shared" si="437"/>
        <v>1925773.8311619572</v>
      </c>
    </row>
    <row r="1136" spans="1:33" s="68" customFormat="1" x14ac:dyDescent="0.2">
      <c r="A1136" s="147" t="s">
        <v>1269</v>
      </c>
      <c r="B1136" s="147"/>
      <c r="C1136" s="147"/>
      <c r="D1136" s="148">
        <v>1</v>
      </c>
      <c r="E1136" s="149"/>
      <c r="F1136" s="150">
        <v>0.5</v>
      </c>
      <c r="G1136" s="150"/>
      <c r="H1136" s="67">
        <v>1204</v>
      </c>
      <c r="I1136" s="67">
        <f t="shared" si="426"/>
        <v>1181.5165421871957</v>
      </c>
      <c r="J1136" s="67">
        <f t="shared" si="427"/>
        <v>590.75827109359784</v>
      </c>
      <c r="K1136" s="63"/>
      <c r="L1136" s="149">
        <v>0</v>
      </c>
      <c r="M1136" s="63">
        <f t="shared" si="428"/>
        <v>0</v>
      </c>
      <c r="N1136" s="63">
        <f t="shared" si="429"/>
        <v>0</v>
      </c>
      <c r="O1136" s="69"/>
      <c r="P1136" s="149">
        <v>0</v>
      </c>
      <c r="Q1136" s="63">
        <f t="shared" si="430"/>
        <v>0</v>
      </c>
      <c r="R1136" s="64">
        <f t="shared" si="431"/>
        <v>0</v>
      </c>
      <c r="S1136" s="148">
        <v>5</v>
      </c>
      <c r="T1136" s="151" t="s">
        <v>107</v>
      </c>
      <c r="U1136" s="65">
        <f>SUMIF('Avoided Costs 2012-2020_EGD'!$A:$A,'2012 Actuals_Auditor'!T1136&amp;'2012 Actuals_Auditor'!S1136,'Avoided Costs 2012-2020_EGD'!$E:$E)*J1136</f>
        <v>471.36546190444875</v>
      </c>
      <c r="V1136" s="65">
        <f>SUMIF('Avoided Costs 2012-2020_EGD'!$A:$A,'2012 Actuals_Auditor'!T1136&amp;'2012 Actuals_Auditor'!S1136,'Avoided Costs 2012-2020_EGD'!$K:$K)*N1136</f>
        <v>0</v>
      </c>
      <c r="W1136" s="65">
        <f>SUMIF('Avoided Costs 2012-2020_EGD'!$A:$A,'2012 Actuals_Auditor'!T1136&amp;'2012 Actuals_Auditor'!S1136,'Avoided Costs 2012-2020_EGD'!$M:$M)*R1136</f>
        <v>0</v>
      </c>
      <c r="X1136" s="65">
        <f t="shared" si="432"/>
        <v>471.36546190444875</v>
      </c>
      <c r="Y1136" s="146">
        <v>600</v>
      </c>
      <c r="Z1136" s="66">
        <f t="shared" si="433"/>
        <v>300</v>
      </c>
      <c r="AA1136" s="66">
        <v>84</v>
      </c>
      <c r="AB1136" s="66"/>
      <c r="AC1136" s="66"/>
      <c r="AD1136" s="66">
        <f t="shared" si="434"/>
        <v>300</v>
      </c>
      <c r="AE1136" s="66">
        <f t="shared" si="435"/>
        <v>171.36546190444875</v>
      </c>
      <c r="AF1136" s="101">
        <f t="shared" si="436"/>
        <v>2953.791355467989</v>
      </c>
      <c r="AG1136" s="101">
        <f t="shared" si="437"/>
        <v>5907.582710935978</v>
      </c>
    </row>
    <row r="1137" spans="1:33" s="68" customFormat="1" x14ac:dyDescent="0.2">
      <c r="A1137" s="147" t="s">
        <v>1270</v>
      </c>
      <c r="B1137" s="147"/>
      <c r="C1137" s="147"/>
      <c r="D1137" s="148">
        <v>1</v>
      </c>
      <c r="E1137" s="149"/>
      <c r="F1137" s="150">
        <v>0.5</v>
      </c>
      <c r="G1137" s="150"/>
      <c r="H1137" s="67">
        <v>694710</v>
      </c>
      <c r="I1137" s="67">
        <f t="shared" si="426"/>
        <v>681737.00749407534</v>
      </c>
      <c r="J1137" s="67">
        <f t="shared" si="427"/>
        <v>340868.50374703767</v>
      </c>
      <c r="K1137" s="63"/>
      <c r="L1137" s="149">
        <v>0</v>
      </c>
      <c r="M1137" s="63">
        <f t="shared" si="428"/>
        <v>0</v>
      </c>
      <c r="N1137" s="63">
        <f t="shared" si="429"/>
        <v>0</v>
      </c>
      <c r="O1137" s="69"/>
      <c r="P1137" s="149">
        <v>0</v>
      </c>
      <c r="Q1137" s="63">
        <f t="shared" si="430"/>
        <v>0</v>
      </c>
      <c r="R1137" s="64">
        <f t="shared" si="431"/>
        <v>0</v>
      </c>
      <c r="S1137" s="148">
        <v>15</v>
      </c>
      <c r="T1137" s="151" t="s">
        <v>107</v>
      </c>
      <c r="U1137" s="65">
        <f>SUMIF('Avoided Costs 2012-2020_EGD'!$A:$A,'2012 Actuals_Auditor'!T1137&amp;'2012 Actuals_Auditor'!S1137,'Avoided Costs 2012-2020_EGD'!$E:$E)*J1137</f>
        <v>783184.91945193382</v>
      </c>
      <c r="V1137" s="65">
        <f>SUMIF('Avoided Costs 2012-2020_EGD'!$A:$A,'2012 Actuals_Auditor'!T1137&amp;'2012 Actuals_Auditor'!S1137,'Avoided Costs 2012-2020_EGD'!$K:$K)*N1137</f>
        <v>0</v>
      </c>
      <c r="W1137" s="65">
        <f>SUMIF('Avoided Costs 2012-2020_EGD'!$A:$A,'2012 Actuals_Auditor'!T1137&amp;'2012 Actuals_Auditor'!S1137,'Avoided Costs 2012-2020_EGD'!$M:$M)*R1137</f>
        <v>0</v>
      </c>
      <c r="X1137" s="65">
        <f t="shared" si="432"/>
        <v>783184.91945193382</v>
      </c>
      <c r="Y1137" s="146">
        <v>167248</v>
      </c>
      <c r="Z1137" s="66">
        <f t="shared" si="433"/>
        <v>83624</v>
      </c>
      <c r="AA1137" s="66">
        <v>48629.7</v>
      </c>
      <c r="AB1137" s="66"/>
      <c r="AC1137" s="66"/>
      <c r="AD1137" s="66">
        <f t="shared" si="434"/>
        <v>83624</v>
      </c>
      <c r="AE1137" s="66">
        <f t="shared" si="435"/>
        <v>699560.91945193382</v>
      </c>
      <c r="AF1137" s="101">
        <f t="shared" si="436"/>
        <v>5113027.5562055651</v>
      </c>
      <c r="AG1137" s="101">
        <f t="shared" si="437"/>
        <v>10226055.11241113</v>
      </c>
    </row>
    <row r="1138" spans="1:33" s="59" customFormat="1" x14ac:dyDescent="0.2">
      <c r="A1138" s="152" t="s">
        <v>3</v>
      </c>
      <c r="B1138" s="152" t="s">
        <v>1271</v>
      </c>
      <c r="C1138" s="155"/>
      <c r="D1138" s="153">
        <f>SUM(D1094:D1137)</f>
        <v>43</v>
      </c>
      <c r="E1138" s="67"/>
      <c r="F1138" s="154"/>
      <c r="G1138" s="228"/>
      <c r="H1138" s="67">
        <f>SUM(H1094:H1137)</f>
        <v>19966280</v>
      </c>
      <c r="I1138" s="67">
        <f>SUM(I1094:I1137)</f>
        <v>19593430.320549306</v>
      </c>
      <c r="J1138" s="67">
        <f>SUM(J1094:J1137)</f>
        <v>9796715.1602746528</v>
      </c>
      <c r="K1138" s="64"/>
      <c r="L1138" s="67">
        <f>SUM(L1094:L1137)</f>
        <v>1017811</v>
      </c>
      <c r="M1138" s="67">
        <f>SUM(M1094:M1137)</f>
        <v>1017811</v>
      </c>
      <c r="N1138" s="67">
        <f>SUM(N1094:N1137)</f>
        <v>508905.5</v>
      </c>
      <c r="O1138" s="229"/>
      <c r="P1138" s="67">
        <f>SUM(P1094:P1137)</f>
        <v>109060</v>
      </c>
      <c r="Q1138" s="67">
        <f>SUM(Q1094:Q1137)</f>
        <v>109060</v>
      </c>
      <c r="R1138" s="67">
        <f>SUM(R1094:R1137)</f>
        <v>54530</v>
      </c>
      <c r="S1138" s="153"/>
      <c r="T1138" s="155"/>
      <c r="U1138" s="66">
        <f>SUM(U1094:U1137)</f>
        <v>24315557.889266808</v>
      </c>
      <c r="V1138" s="66">
        <f>SUM(V1094:V1137)</f>
        <v>515408.40560426807</v>
      </c>
      <c r="W1138" s="66">
        <f>SUM(W1094:W1137)</f>
        <v>1548331.8375309827</v>
      </c>
      <c r="X1138" s="66">
        <f>SUM(X1094:X1137)</f>
        <v>26379298.132402059</v>
      </c>
      <c r="Y1138" s="146"/>
      <c r="Z1138" s="66">
        <f>SUM(Z1094:Z1137)</f>
        <v>4312619.49</v>
      </c>
      <c r="AA1138" s="66">
        <v>610010.56999999995</v>
      </c>
      <c r="AB1138" s="66">
        <v>421497.15</v>
      </c>
      <c r="AC1138" s="66">
        <f>AB1138+AA1138</f>
        <v>1031507.72</v>
      </c>
      <c r="AD1138" s="66">
        <f t="shared" si="434"/>
        <v>4734116.6400000006</v>
      </c>
      <c r="AE1138" s="230">
        <f t="shared" si="435"/>
        <v>21645181.492402058</v>
      </c>
      <c r="AF1138" s="101">
        <f>SUM(AF1094:AF1137)</f>
        <v>174479540.28096956</v>
      </c>
      <c r="AG1138" s="101">
        <f>SUM(AG1094:AG1137)</f>
        <v>348959080.56193912</v>
      </c>
    </row>
    <row r="1139" spans="1:33" s="59" customFormat="1" x14ac:dyDescent="0.2">
      <c r="A1139" s="60"/>
      <c r="C1139" s="56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</row>
    <row r="1140" spans="1:33" s="59" customFormat="1" x14ac:dyDescent="0.2">
      <c r="A1140" s="251" t="s">
        <v>1274</v>
      </c>
      <c r="B1140" s="10" t="s">
        <v>27</v>
      </c>
      <c r="C1140" s="78"/>
      <c r="D1140" s="79"/>
      <c r="E1140" s="79"/>
      <c r="F1140" s="80"/>
      <c r="G1140" s="81"/>
      <c r="H1140" s="17"/>
      <c r="I1140" s="17"/>
      <c r="J1140" s="17"/>
      <c r="K1140" s="227"/>
      <c r="L1140" s="227"/>
      <c r="M1140" s="227"/>
      <c r="N1140" s="17"/>
      <c r="O1140" s="21"/>
      <c r="P1140" s="227"/>
      <c r="Q1140" s="227"/>
      <c r="R1140" s="79"/>
      <c r="S1140" s="79"/>
      <c r="T1140" s="78"/>
      <c r="U1140" s="82"/>
      <c r="V1140" s="82"/>
      <c r="W1140" s="82"/>
      <c r="X1140" s="82"/>
      <c r="Y1140" s="98"/>
      <c r="Z1140" s="82"/>
      <c r="AA1140" s="82"/>
      <c r="AB1140" s="82"/>
      <c r="AC1140" s="82"/>
      <c r="AD1140" s="82"/>
      <c r="AE1140" s="82"/>
      <c r="AF1140" s="104"/>
      <c r="AG1140" s="104"/>
    </row>
    <row r="1141" spans="1:33" s="68" customFormat="1" x14ac:dyDescent="0.2">
      <c r="A1141" s="147" t="s">
        <v>1170</v>
      </c>
      <c r="B1141" s="147"/>
      <c r="C1141" s="147"/>
      <c r="D1141" s="148">
        <v>1</v>
      </c>
      <c r="E1141" s="149"/>
      <c r="F1141" s="150">
        <v>0.4</v>
      </c>
      <c r="G1141" s="150"/>
      <c r="H1141" s="67">
        <v>151298</v>
      </c>
      <c r="I1141" s="67">
        <f t="shared" ref="I1141:I1146" si="438">+$H$1052*H1141</f>
        <v>148472.66594670957</v>
      </c>
      <c r="J1141" s="67">
        <f t="shared" ref="J1141:J1146" si="439">I1141*(1-F1141)</f>
        <v>89083.599568025747</v>
      </c>
      <c r="K1141" s="63"/>
      <c r="L1141" s="149">
        <v>0</v>
      </c>
      <c r="M1141" s="63">
        <f t="shared" ref="M1141:M1146" si="440">+$L$1052*L1141</f>
        <v>0</v>
      </c>
      <c r="N1141" s="63">
        <f t="shared" ref="N1141:N1146" si="441">M1141*(1-F1141)</f>
        <v>0</v>
      </c>
      <c r="O1141" s="69"/>
      <c r="P1141" s="149">
        <v>0</v>
      </c>
      <c r="Q1141" s="63">
        <f t="shared" ref="Q1141:Q1146" si="442">+P1141*$P$1052</f>
        <v>0</v>
      </c>
      <c r="R1141" s="64">
        <f t="shared" ref="R1141:R1146" si="443">Q1141*(1-F1141)</f>
        <v>0</v>
      </c>
      <c r="S1141" s="148">
        <v>20</v>
      </c>
      <c r="T1141" s="151" t="s">
        <v>107</v>
      </c>
      <c r="U1141" s="65">
        <f>SUMIF('Avoided Costs 2012-2020_EGD'!$A:$A,'2012 Actuals_Auditor'!T1141&amp;'2012 Actuals_Auditor'!S1141,'Avoided Costs 2012-2020_EGD'!$E:$E)*J1141</f>
        <v>251959.15175085558</v>
      </c>
      <c r="V1141" s="65">
        <f>SUMIF('Avoided Costs 2012-2020_EGD'!$A:$A,'2012 Actuals_Auditor'!T1141&amp;'2012 Actuals_Auditor'!S1141,'Avoided Costs 2012-2020_EGD'!$K:$K)*N1141</f>
        <v>0</v>
      </c>
      <c r="W1141" s="65">
        <f>SUMIF('Avoided Costs 2012-2020_EGD'!$A:$A,'2012 Actuals_Auditor'!T1141&amp;'2012 Actuals_Auditor'!S1141,'Avoided Costs 2012-2020_EGD'!$M:$M)*R1141</f>
        <v>0</v>
      </c>
      <c r="X1141" s="65">
        <f t="shared" ref="X1141:X1146" si="444">SUM(U1141:W1141)</f>
        <v>251959.15175085558</v>
      </c>
      <c r="Y1141" s="146">
        <v>275000</v>
      </c>
      <c r="Z1141" s="66">
        <f t="shared" ref="Z1141:Z1146" si="445">Y1141*(1-F1141)</f>
        <v>165000</v>
      </c>
      <c r="AA1141" s="66">
        <v>22694.7</v>
      </c>
      <c r="AB1141" s="66"/>
      <c r="AC1141" s="66"/>
      <c r="AD1141" s="66">
        <f t="shared" ref="AD1141:AD1147" si="446">Z1141+AB1141</f>
        <v>165000</v>
      </c>
      <c r="AE1141" s="66">
        <f t="shared" ref="AE1141:AE1147" si="447">X1141-AD1141</f>
        <v>86959.151750855584</v>
      </c>
      <c r="AF1141" s="101">
        <f t="shared" ref="AF1141:AF1146" si="448">J1141*S1141</f>
        <v>1781671.9913605149</v>
      </c>
      <c r="AG1141" s="101">
        <f t="shared" ref="AG1141:AG1146" si="449">(I1141*S1141)</f>
        <v>2969453.3189341915</v>
      </c>
    </row>
    <row r="1142" spans="1:33" s="68" customFormat="1" x14ac:dyDescent="0.2">
      <c r="A1142" s="147" t="s">
        <v>1171</v>
      </c>
      <c r="B1142" s="147"/>
      <c r="C1142" s="147"/>
      <c r="D1142" s="148">
        <v>1</v>
      </c>
      <c r="E1142" s="149"/>
      <c r="F1142" s="150">
        <v>0.4</v>
      </c>
      <c r="G1142" s="150"/>
      <c r="H1142" s="67">
        <v>41928</v>
      </c>
      <c r="I1142" s="67">
        <f t="shared" si="438"/>
        <v>41145.037857827861</v>
      </c>
      <c r="J1142" s="67">
        <f t="shared" si="439"/>
        <v>24687.022714696715</v>
      </c>
      <c r="K1142" s="63"/>
      <c r="L1142" s="149">
        <v>0</v>
      </c>
      <c r="M1142" s="63">
        <f t="shared" si="440"/>
        <v>0</v>
      </c>
      <c r="N1142" s="63">
        <f t="shared" si="441"/>
        <v>0</v>
      </c>
      <c r="O1142" s="69"/>
      <c r="P1142" s="149">
        <v>0</v>
      </c>
      <c r="Q1142" s="63">
        <f t="shared" si="442"/>
        <v>0</v>
      </c>
      <c r="R1142" s="64">
        <f t="shared" si="443"/>
        <v>0</v>
      </c>
      <c r="S1142" s="148">
        <v>15</v>
      </c>
      <c r="T1142" s="151" t="s">
        <v>107</v>
      </c>
      <c r="U1142" s="65">
        <f>SUMIF('Avoided Costs 2012-2020_EGD'!$A:$A,'2012 Actuals_Auditor'!T1142&amp;'2012 Actuals_Auditor'!S1142,'Avoided Costs 2012-2020_EGD'!$E:$E)*J1142</f>
        <v>56721.297754943531</v>
      </c>
      <c r="V1142" s="65">
        <f>SUMIF('Avoided Costs 2012-2020_EGD'!$A:$A,'2012 Actuals_Auditor'!T1142&amp;'2012 Actuals_Auditor'!S1142,'Avoided Costs 2012-2020_EGD'!$K:$K)*N1142</f>
        <v>0</v>
      </c>
      <c r="W1142" s="65">
        <f>SUMIF('Avoided Costs 2012-2020_EGD'!$A:$A,'2012 Actuals_Auditor'!T1142&amp;'2012 Actuals_Auditor'!S1142,'Avoided Costs 2012-2020_EGD'!$M:$M)*R1142</f>
        <v>0</v>
      </c>
      <c r="X1142" s="65">
        <f t="shared" si="444"/>
        <v>56721.297754943531</v>
      </c>
      <c r="Y1142" s="146">
        <v>35000</v>
      </c>
      <c r="Z1142" s="66">
        <f t="shared" si="445"/>
        <v>21000</v>
      </c>
      <c r="AA1142" s="66">
        <v>6289</v>
      </c>
      <c r="AB1142" s="66"/>
      <c r="AC1142" s="66"/>
      <c r="AD1142" s="66">
        <f t="shared" si="446"/>
        <v>21000</v>
      </c>
      <c r="AE1142" s="66">
        <f t="shared" si="447"/>
        <v>35721.297754943531</v>
      </c>
      <c r="AF1142" s="101">
        <f t="shared" si="448"/>
        <v>370305.34072045074</v>
      </c>
      <c r="AG1142" s="101">
        <f t="shared" si="449"/>
        <v>617175.56786741794</v>
      </c>
    </row>
    <row r="1143" spans="1:33" s="68" customFormat="1" x14ac:dyDescent="0.2">
      <c r="A1143" s="147" t="s">
        <v>1172</v>
      </c>
      <c r="B1143" s="147"/>
      <c r="C1143" s="147"/>
      <c r="D1143" s="148">
        <v>1</v>
      </c>
      <c r="E1143" s="149"/>
      <c r="F1143" s="150">
        <v>0.4</v>
      </c>
      <c r="G1143" s="150"/>
      <c r="H1143" s="67">
        <v>10488</v>
      </c>
      <c r="I1143" s="67">
        <f t="shared" si="438"/>
        <v>10292.147420647267</v>
      </c>
      <c r="J1143" s="67">
        <f t="shared" si="439"/>
        <v>6175.2884523883595</v>
      </c>
      <c r="K1143" s="63"/>
      <c r="L1143" s="149">
        <v>0</v>
      </c>
      <c r="M1143" s="63">
        <f t="shared" si="440"/>
        <v>0</v>
      </c>
      <c r="N1143" s="63">
        <f t="shared" si="441"/>
        <v>0</v>
      </c>
      <c r="O1143" s="69"/>
      <c r="P1143" s="149">
        <v>0</v>
      </c>
      <c r="Q1143" s="63">
        <f t="shared" si="442"/>
        <v>0</v>
      </c>
      <c r="R1143" s="64">
        <f t="shared" si="443"/>
        <v>0</v>
      </c>
      <c r="S1143" s="148">
        <v>10</v>
      </c>
      <c r="T1143" s="151" t="s">
        <v>107</v>
      </c>
      <c r="U1143" s="65">
        <f>SUMIF('Avoided Costs 2012-2020_EGD'!$A:$A,'2012 Actuals_Auditor'!T1143&amp;'2012 Actuals_Auditor'!S1143,'Avoided Costs 2012-2020_EGD'!$E:$E)*J1143</f>
        <v>10025.041734172741</v>
      </c>
      <c r="V1143" s="65">
        <f>SUMIF('Avoided Costs 2012-2020_EGD'!$A:$A,'2012 Actuals_Auditor'!T1143&amp;'2012 Actuals_Auditor'!S1143,'Avoided Costs 2012-2020_EGD'!$K:$K)*N1143</f>
        <v>0</v>
      </c>
      <c r="W1143" s="65">
        <f>SUMIF('Avoided Costs 2012-2020_EGD'!$A:$A,'2012 Actuals_Auditor'!T1143&amp;'2012 Actuals_Auditor'!S1143,'Avoided Costs 2012-2020_EGD'!$M:$M)*R1143</f>
        <v>0</v>
      </c>
      <c r="X1143" s="65">
        <f t="shared" si="444"/>
        <v>10025.041734172741</v>
      </c>
      <c r="Y1143" s="146">
        <v>8146</v>
      </c>
      <c r="Z1143" s="66">
        <f t="shared" si="445"/>
        <v>4887.5999999999995</v>
      </c>
      <c r="AA1143" s="66">
        <v>1573</v>
      </c>
      <c r="AB1143" s="66"/>
      <c r="AC1143" s="66"/>
      <c r="AD1143" s="66">
        <f t="shared" si="446"/>
        <v>4887.5999999999995</v>
      </c>
      <c r="AE1143" s="66">
        <f t="shared" si="447"/>
        <v>5137.4417341727412</v>
      </c>
      <c r="AF1143" s="101">
        <f t="shared" si="448"/>
        <v>61752.884523883593</v>
      </c>
      <c r="AG1143" s="101">
        <f t="shared" si="449"/>
        <v>102921.47420647266</v>
      </c>
    </row>
    <row r="1144" spans="1:33" s="68" customFormat="1" x14ac:dyDescent="0.2">
      <c r="A1144" s="147" t="s">
        <v>1173</v>
      </c>
      <c r="B1144" s="147"/>
      <c r="C1144" s="147"/>
      <c r="D1144" s="148">
        <v>1</v>
      </c>
      <c r="E1144" s="149"/>
      <c r="F1144" s="150">
        <v>0.4</v>
      </c>
      <c r="G1144" s="150"/>
      <c r="H1144" s="67">
        <v>16390</v>
      </c>
      <c r="I1144" s="67">
        <f t="shared" si="438"/>
        <v>16083.933659840646</v>
      </c>
      <c r="J1144" s="67">
        <f t="shared" si="439"/>
        <v>9650.3601959043881</v>
      </c>
      <c r="K1144" s="63"/>
      <c r="L1144" s="149">
        <v>0</v>
      </c>
      <c r="M1144" s="63">
        <f t="shared" si="440"/>
        <v>0</v>
      </c>
      <c r="N1144" s="63">
        <f t="shared" si="441"/>
        <v>0</v>
      </c>
      <c r="O1144" s="69"/>
      <c r="P1144" s="149">
        <v>0</v>
      </c>
      <c r="Q1144" s="63">
        <f t="shared" si="442"/>
        <v>0</v>
      </c>
      <c r="R1144" s="64">
        <f t="shared" si="443"/>
        <v>0</v>
      </c>
      <c r="S1144" s="148">
        <v>10</v>
      </c>
      <c r="T1144" s="151" t="s">
        <v>107</v>
      </c>
      <c r="U1144" s="65">
        <f>SUMIF('Avoided Costs 2012-2020_EGD'!$A:$A,'2012 Actuals_Auditor'!T1144&amp;'2012 Actuals_Auditor'!S1144,'Avoided Costs 2012-2020_EGD'!$E:$E)*J1144</f>
        <v>15666.517355367205</v>
      </c>
      <c r="V1144" s="65">
        <f>SUMIF('Avoided Costs 2012-2020_EGD'!$A:$A,'2012 Actuals_Auditor'!T1144&amp;'2012 Actuals_Auditor'!S1144,'Avoided Costs 2012-2020_EGD'!$K:$K)*N1144</f>
        <v>0</v>
      </c>
      <c r="W1144" s="65">
        <f>SUMIF('Avoided Costs 2012-2020_EGD'!$A:$A,'2012 Actuals_Auditor'!T1144&amp;'2012 Actuals_Auditor'!S1144,'Avoided Costs 2012-2020_EGD'!$M:$M)*R1144</f>
        <v>0</v>
      </c>
      <c r="X1144" s="65">
        <f t="shared" si="444"/>
        <v>15666.517355367205</v>
      </c>
      <c r="Y1144" s="146">
        <v>7054</v>
      </c>
      <c r="Z1144" s="66">
        <f t="shared" si="445"/>
        <v>4232.3999999999996</v>
      </c>
      <c r="AA1144" s="66">
        <v>2459</v>
      </c>
      <c r="AB1144" s="66"/>
      <c r="AC1144" s="66"/>
      <c r="AD1144" s="66">
        <f t="shared" si="446"/>
        <v>4232.3999999999996</v>
      </c>
      <c r="AE1144" s="66">
        <f t="shared" si="447"/>
        <v>11434.117355367205</v>
      </c>
      <c r="AF1144" s="101">
        <f t="shared" si="448"/>
        <v>96503.601959043881</v>
      </c>
      <c r="AG1144" s="101">
        <f t="shared" si="449"/>
        <v>160839.33659840646</v>
      </c>
    </row>
    <row r="1145" spans="1:33" s="68" customFormat="1" x14ac:dyDescent="0.2">
      <c r="A1145" s="147" t="s">
        <v>1174</v>
      </c>
      <c r="B1145" s="147"/>
      <c r="C1145" s="147"/>
      <c r="D1145" s="148">
        <v>1</v>
      </c>
      <c r="E1145" s="149"/>
      <c r="F1145" s="150">
        <v>0.4</v>
      </c>
      <c r="G1145" s="150"/>
      <c r="H1145" s="67">
        <v>37835</v>
      </c>
      <c r="I1145" s="67">
        <f t="shared" si="438"/>
        <v>37128.470410010428</v>
      </c>
      <c r="J1145" s="67">
        <f t="shared" si="439"/>
        <v>22277.082246006255</v>
      </c>
      <c r="K1145" s="63"/>
      <c r="L1145" s="149">
        <v>0</v>
      </c>
      <c r="M1145" s="63">
        <f t="shared" si="440"/>
        <v>0</v>
      </c>
      <c r="N1145" s="63">
        <f t="shared" si="441"/>
        <v>0</v>
      </c>
      <c r="O1145" s="69"/>
      <c r="P1145" s="149">
        <v>0</v>
      </c>
      <c r="Q1145" s="63">
        <f t="shared" si="442"/>
        <v>0</v>
      </c>
      <c r="R1145" s="64">
        <f t="shared" si="443"/>
        <v>0</v>
      </c>
      <c r="S1145" s="148">
        <v>10</v>
      </c>
      <c r="T1145" s="151" t="s">
        <v>107</v>
      </c>
      <c r="U1145" s="65">
        <f>SUMIF('Avoided Costs 2012-2020_EGD'!$A:$A,'2012 Actuals_Auditor'!T1145&amp;'2012 Actuals_Auditor'!S1145,'Avoided Costs 2012-2020_EGD'!$E:$E)*J1145</f>
        <v>36164.898361215266</v>
      </c>
      <c r="V1145" s="65">
        <f>SUMIF('Avoided Costs 2012-2020_EGD'!$A:$A,'2012 Actuals_Auditor'!T1145&amp;'2012 Actuals_Auditor'!S1145,'Avoided Costs 2012-2020_EGD'!$K:$K)*N1145</f>
        <v>0</v>
      </c>
      <c r="W1145" s="65">
        <f>SUMIF('Avoided Costs 2012-2020_EGD'!$A:$A,'2012 Actuals_Auditor'!T1145&amp;'2012 Actuals_Auditor'!S1145,'Avoided Costs 2012-2020_EGD'!$M:$M)*R1145</f>
        <v>0</v>
      </c>
      <c r="X1145" s="65">
        <f t="shared" si="444"/>
        <v>36164.898361215266</v>
      </c>
      <c r="Y1145" s="146">
        <v>40525</v>
      </c>
      <c r="Z1145" s="66">
        <f t="shared" si="445"/>
        <v>24315</v>
      </c>
      <c r="AA1145" s="66">
        <v>5675</v>
      </c>
      <c r="AB1145" s="66"/>
      <c r="AC1145" s="66"/>
      <c r="AD1145" s="66">
        <f t="shared" si="446"/>
        <v>24315</v>
      </c>
      <c r="AE1145" s="66">
        <f t="shared" si="447"/>
        <v>11849.898361215266</v>
      </c>
      <c r="AF1145" s="101">
        <f t="shared" si="448"/>
        <v>222770.82246006257</v>
      </c>
      <c r="AG1145" s="101">
        <f t="shared" si="449"/>
        <v>371284.70410010428</v>
      </c>
    </row>
    <row r="1146" spans="1:33" s="68" customFormat="1" x14ac:dyDescent="0.2">
      <c r="A1146" s="147" t="s">
        <v>1175</v>
      </c>
      <c r="B1146" s="147"/>
      <c r="C1146" s="147"/>
      <c r="D1146" s="148">
        <v>1</v>
      </c>
      <c r="E1146" s="149"/>
      <c r="F1146" s="150">
        <v>0.4</v>
      </c>
      <c r="G1146" s="150"/>
      <c r="H1146" s="67">
        <v>33526</v>
      </c>
      <c r="I1146" s="67">
        <f t="shared" si="438"/>
        <v>32899.936539342132</v>
      </c>
      <c r="J1146" s="67">
        <f t="shared" si="439"/>
        <v>19739.961923605279</v>
      </c>
      <c r="K1146" s="63"/>
      <c r="L1146" s="149">
        <v>0</v>
      </c>
      <c r="M1146" s="63">
        <f t="shared" si="440"/>
        <v>0</v>
      </c>
      <c r="N1146" s="63">
        <f t="shared" si="441"/>
        <v>0</v>
      </c>
      <c r="O1146" s="69"/>
      <c r="P1146" s="149">
        <v>0</v>
      </c>
      <c r="Q1146" s="63">
        <f t="shared" si="442"/>
        <v>0</v>
      </c>
      <c r="R1146" s="64">
        <f t="shared" si="443"/>
        <v>0</v>
      </c>
      <c r="S1146" s="148">
        <v>10</v>
      </c>
      <c r="T1146" s="151" t="s">
        <v>107</v>
      </c>
      <c r="U1146" s="65">
        <f>SUMIF('Avoided Costs 2012-2020_EGD'!$A:$A,'2012 Actuals_Auditor'!T1146&amp;'2012 Actuals_Auditor'!S1146,'Avoided Costs 2012-2020_EGD'!$E:$E)*J1146</f>
        <v>32046.104994267291</v>
      </c>
      <c r="V1146" s="65">
        <f>SUMIF('Avoided Costs 2012-2020_EGD'!$A:$A,'2012 Actuals_Auditor'!T1146&amp;'2012 Actuals_Auditor'!S1146,'Avoided Costs 2012-2020_EGD'!$K:$K)*N1146</f>
        <v>0</v>
      </c>
      <c r="W1146" s="65">
        <f>SUMIF('Avoided Costs 2012-2020_EGD'!$A:$A,'2012 Actuals_Auditor'!T1146&amp;'2012 Actuals_Auditor'!S1146,'Avoided Costs 2012-2020_EGD'!$M:$M)*R1146</f>
        <v>0</v>
      </c>
      <c r="X1146" s="65">
        <f t="shared" si="444"/>
        <v>32046.104994267291</v>
      </c>
      <c r="Y1146" s="146">
        <v>22034</v>
      </c>
      <c r="Z1146" s="66">
        <f t="shared" si="445"/>
        <v>13220.4</v>
      </c>
      <c r="AA1146" s="66">
        <v>5029</v>
      </c>
      <c r="AB1146" s="66"/>
      <c r="AC1146" s="66"/>
      <c r="AD1146" s="66">
        <f t="shared" si="446"/>
        <v>13220.4</v>
      </c>
      <c r="AE1146" s="66">
        <f t="shared" si="447"/>
        <v>18825.704994267289</v>
      </c>
      <c r="AF1146" s="101">
        <f t="shared" si="448"/>
        <v>197399.61923605279</v>
      </c>
      <c r="AG1146" s="101">
        <f t="shared" si="449"/>
        <v>328999.36539342132</v>
      </c>
    </row>
    <row r="1147" spans="1:33" s="59" customFormat="1" x14ac:dyDescent="0.2">
      <c r="A1147" s="152" t="s">
        <v>3</v>
      </c>
      <c r="B1147" s="152" t="s">
        <v>1176</v>
      </c>
      <c r="C1147" s="155"/>
      <c r="D1147" s="153">
        <f>SUM(D1141:D1146)</f>
        <v>6</v>
      </c>
      <c r="E1147" s="67"/>
      <c r="F1147" s="154"/>
      <c r="G1147" s="228"/>
      <c r="H1147" s="67">
        <f>SUM(H1141:H1146)</f>
        <v>291465</v>
      </c>
      <c r="I1147" s="67">
        <f>SUM(I1141:I1146)</f>
        <v>286022.19183437788</v>
      </c>
      <c r="J1147" s="67">
        <f>SUM(J1141:J1146)</f>
        <v>171613.31510062673</v>
      </c>
      <c r="K1147" s="64"/>
      <c r="L1147" s="67">
        <f>SUM(L1141:L1146)</f>
        <v>0</v>
      </c>
      <c r="M1147" s="67">
        <f>SUM(M1141:M1146)</f>
        <v>0</v>
      </c>
      <c r="N1147" s="67">
        <f>SUM(N1141:N1146)</f>
        <v>0</v>
      </c>
      <c r="O1147" s="229"/>
      <c r="P1147" s="67">
        <f>SUM(P1141:P1146)</f>
        <v>0</v>
      </c>
      <c r="Q1147" s="67">
        <f>SUM(Q1141:Q1146)</f>
        <v>0</v>
      </c>
      <c r="R1147" s="67">
        <f>SUM(R1141:R1146)</f>
        <v>0</v>
      </c>
      <c r="S1147" s="153"/>
      <c r="T1147" s="155"/>
      <c r="U1147" s="66">
        <f>SUM(U1141:U1146)</f>
        <v>402583.01195082156</v>
      </c>
      <c r="V1147" s="66">
        <f>SUM(V1141:V1146)</f>
        <v>0</v>
      </c>
      <c r="W1147" s="66">
        <f>SUM(W1141:W1146)</f>
        <v>0</v>
      </c>
      <c r="X1147" s="66">
        <f>SUM(X1141:X1146)</f>
        <v>402583.01195082156</v>
      </c>
      <c r="Y1147" s="146"/>
      <c r="Z1147" s="66">
        <f>SUM(Z1141:Z1146)</f>
        <v>232655.4</v>
      </c>
      <c r="AA1147" s="66">
        <v>34932</v>
      </c>
      <c r="AB1147" s="66">
        <v>750</v>
      </c>
      <c r="AC1147" s="66">
        <f>AB1147+AA1147</f>
        <v>35682</v>
      </c>
      <c r="AD1147" s="66">
        <f t="shared" si="446"/>
        <v>233405.4</v>
      </c>
      <c r="AE1147" s="66">
        <f t="shared" si="447"/>
        <v>169177.61195082156</v>
      </c>
      <c r="AF1147" s="101">
        <f>SUM(AF1141:AF1146)</f>
        <v>2730404.2602600092</v>
      </c>
      <c r="AG1147" s="101">
        <f>SUM(AG1141:AG1146)</f>
        <v>4550673.7671000147</v>
      </c>
    </row>
    <row r="1148" spans="1:33" s="59" customFormat="1" x14ac:dyDescent="0.2">
      <c r="A1148" s="60"/>
      <c r="B1148" s="60"/>
      <c r="C1148" s="56"/>
      <c r="D1148" s="17">
        <f>SUM(D1141:D1146)-D1147</f>
        <v>0</v>
      </c>
      <c r="E1148" s="17">
        <f t="shared" ref="E1148:AG1148" si="450">SUM(E1141:E1146)-E1147</f>
        <v>0</v>
      </c>
      <c r="F1148" s="17">
        <f t="shared" si="450"/>
        <v>2.4</v>
      </c>
      <c r="G1148" s="17">
        <f t="shared" si="450"/>
        <v>0</v>
      </c>
      <c r="H1148" s="17">
        <f t="shared" si="450"/>
        <v>0</v>
      </c>
      <c r="I1148" s="17">
        <f t="shared" si="450"/>
        <v>0</v>
      </c>
      <c r="J1148" s="17">
        <f t="shared" si="450"/>
        <v>0</v>
      </c>
      <c r="K1148" s="17">
        <f t="shared" si="450"/>
        <v>0</v>
      </c>
      <c r="L1148" s="17">
        <f t="shared" si="450"/>
        <v>0</v>
      </c>
      <c r="M1148" s="17">
        <f t="shared" si="450"/>
        <v>0</v>
      </c>
      <c r="N1148" s="17">
        <f t="shared" si="450"/>
        <v>0</v>
      </c>
      <c r="O1148" s="17">
        <f t="shared" si="450"/>
        <v>0</v>
      </c>
      <c r="P1148" s="17">
        <f t="shared" si="450"/>
        <v>0</v>
      </c>
      <c r="Q1148" s="17">
        <f t="shared" si="450"/>
        <v>0</v>
      </c>
      <c r="R1148" s="17">
        <f t="shared" si="450"/>
        <v>0</v>
      </c>
      <c r="S1148" s="17">
        <f t="shared" si="450"/>
        <v>75</v>
      </c>
      <c r="T1148" s="17">
        <f t="shared" si="450"/>
        <v>0</v>
      </c>
      <c r="U1148" s="17">
        <f t="shared" si="450"/>
        <v>0</v>
      </c>
      <c r="V1148" s="17">
        <f t="shared" si="450"/>
        <v>0</v>
      </c>
      <c r="W1148" s="17">
        <f t="shared" si="450"/>
        <v>0</v>
      </c>
      <c r="X1148" s="17">
        <f t="shared" si="450"/>
        <v>0</v>
      </c>
      <c r="Y1148" s="17">
        <f t="shared" si="450"/>
        <v>387759</v>
      </c>
      <c r="Z1148" s="17">
        <f t="shared" si="450"/>
        <v>0</v>
      </c>
      <c r="AA1148" s="17">
        <f t="shared" si="450"/>
        <v>8787.6999999999971</v>
      </c>
      <c r="AB1148" s="17">
        <f t="shared" si="450"/>
        <v>-750</v>
      </c>
      <c r="AC1148" s="17">
        <f t="shared" si="450"/>
        <v>-35682</v>
      </c>
      <c r="AD1148" s="17">
        <f t="shared" si="450"/>
        <v>-750</v>
      </c>
      <c r="AE1148" s="17">
        <f t="shared" si="450"/>
        <v>750.00000000005821</v>
      </c>
      <c r="AF1148" s="17">
        <f t="shared" si="450"/>
        <v>0</v>
      </c>
      <c r="AG1148" s="17">
        <f t="shared" si="450"/>
        <v>0</v>
      </c>
    </row>
    <row r="1149" spans="1:33" s="59" customFormat="1" x14ac:dyDescent="0.2">
      <c r="A1149" s="251" t="s">
        <v>1275</v>
      </c>
      <c r="B1149" s="10" t="s">
        <v>27</v>
      </c>
      <c r="C1149" s="78"/>
      <c r="D1149" s="79"/>
      <c r="E1149" s="79"/>
      <c r="F1149" s="80"/>
      <c r="G1149" s="81"/>
      <c r="H1149" s="17"/>
      <c r="I1149" s="17"/>
      <c r="J1149" s="17"/>
      <c r="K1149" s="227"/>
      <c r="L1149" s="227"/>
      <c r="M1149" s="227"/>
      <c r="N1149" s="17"/>
      <c r="O1149" s="21"/>
      <c r="P1149" s="227"/>
      <c r="Q1149" s="227"/>
      <c r="R1149" s="79"/>
      <c r="S1149" s="79"/>
      <c r="T1149" s="78"/>
      <c r="U1149" s="82"/>
      <c r="V1149" s="82"/>
      <c r="W1149" s="82"/>
      <c r="X1149" s="82"/>
      <c r="Y1149" s="98"/>
      <c r="Z1149" s="82"/>
      <c r="AA1149" s="82"/>
      <c r="AB1149" s="82"/>
      <c r="AC1149" s="82"/>
      <c r="AD1149" s="82"/>
      <c r="AE1149" s="82"/>
      <c r="AF1149" s="104"/>
      <c r="AG1149" s="104"/>
    </row>
    <row r="1150" spans="1:33" s="68" customFormat="1" x14ac:dyDescent="0.2">
      <c r="A1150" s="147" t="s">
        <v>1177</v>
      </c>
      <c r="B1150" s="147"/>
      <c r="C1150" s="147"/>
      <c r="D1150" s="148">
        <v>1</v>
      </c>
      <c r="E1150" s="149"/>
      <c r="F1150" s="150">
        <v>0.4</v>
      </c>
      <c r="G1150" s="150"/>
      <c r="H1150" s="67">
        <v>66453</v>
      </c>
      <c r="I1150" s="67">
        <f>+$H$1052*H1150</f>
        <v>65212.058785685811</v>
      </c>
      <c r="J1150" s="67">
        <f>I1150*(1-F1150)</f>
        <v>39127.235271411482</v>
      </c>
      <c r="K1150" s="63"/>
      <c r="L1150" s="149">
        <v>0</v>
      </c>
      <c r="M1150" s="63">
        <f>+$L$1052*L1150</f>
        <v>0</v>
      </c>
      <c r="N1150" s="63">
        <f>M1150*(1-F1150)</f>
        <v>0</v>
      </c>
      <c r="O1150" s="69"/>
      <c r="P1150" s="149">
        <v>0</v>
      </c>
      <c r="Q1150" s="63">
        <f>+P1150*$P$1052</f>
        <v>0</v>
      </c>
      <c r="R1150" s="64">
        <f>Q1150*(1-F1150)</f>
        <v>0</v>
      </c>
      <c r="S1150" s="148">
        <v>10</v>
      </c>
      <c r="T1150" s="151" t="s">
        <v>107</v>
      </c>
      <c r="U1150" s="65">
        <f>SUMIF('Avoided Costs 2012-2020_EGD'!$A:$A,'2012 Actuals_Auditor'!T1150&amp;'2012 Actuals_Auditor'!S1150,'Avoided Costs 2012-2020_EGD'!$E:$E)*J1150</f>
        <v>63519.650873472645</v>
      </c>
      <c r="V1150" s="65">
        <f>SUMIF('Avoided Costs 2012-2020_EGD'!$A:$A,'2012 Actuals_Auditor'!T1150&amp;'2012 Actuals_Auditor'!S1150,'Avoided Costs 2012-2020_EGD'!$K:$K)*N1150</f>
        <v>0</v>
      </c>
      <c r="W1150" s="65">
        <f>SUMIF('Avoided Costs 2012-2020_EGD'!$A:$A,'2012 Actuals_Auditor'!T1150&amp;'2012 Actuals_Auditor'!S1150,'Avoided Costs 2012-2020_EGD'!$M:$M)*R1150</f>
        <v>0</v>
      </c>
      <c r="X1150" s="65">
        <f>SUM(U1150:W1150)</f>
        <v>63519.650873472645</v>
      </c>
      <c r="Y1150" s="146">
        <v>37448.620000000003</v>
      </c>
      <c r="Z1150" s="66">
        <f>Y1150*(1-F1150)</f>
        <v>22469.172000000002</v>
      </c>
      <c r="AA1150" s="66">
        <v>5316.24</v>
      </c>
      <c r="AB1150" s="66"/>
      <c r="AC1150" s="66"/>
      <c r="AD1150" s="66">
        <f t="shared" ref="AD1150:AD1155" si="451">Z1150+AB1150</f>
        <v>22469.172000000002</v>
      </c>
      <c r="AE1150" s="66">
        <f t="shared" ref="AE1150:AE1155" si="452">X1150-AD1150</f>
        <v>41050.478873472646</v>
      </c>
      <c r="AF1150" s="101">
        <f>J1150*S1150</f>
        <v>391272.35271411482</v>
      </c>
      <c r="AG1150" s="101">
        <f>(I1150*S1150)</f>
        <v>652120.58785685815</v>
      </c>
    </row>
    <row r="1151" spans="1:33" s="68" customFormat="1" x14ac:dyDescent="0.2">
      <c r="A1151" s="147" t="s">
        <v>1178</v>
      </c>
      <c r="B1151" s="147"/>
      <c r="C1151" s="147"/>
      <c r="D1151" s="148">
        <v>1</v>
      </c>
      <c r="E1151" s="149"/>
      <c r="F1151" s="150">
        <v>0.4</v>
      </c>
      <c r="G1151" s="150"/>
      <c r="H1151" s="67">
        <v>19116</v>
      </c>
      <c r="I1151" s="67">
        <f>+$H$1052*H1151</f>
        <v>18759.028422301024</v>
      </c>
      <c r="J1151" s="67">
        <f>I1151*(1-F1151)</f>
        <v>11255.417053380614</v>
      </c>
      <c r="K1151" s="63"/>
      <c r="L1151" s="149">
        <v>0</v>
      </c>
      <c r="M1151" s="63">
        <f>+$L$1052*L1151</f>
        <v>0</v>
      </c>
      <c r="N1151" s="63">
        <f>M1151*(1-F1151)</f>
        <v>0</v>
      </c>
      <c r="O1151" s="69"/>
      <c r="P1151" s="149">
        <v>0</v>
      </c>
      <c r="Q1151" s="63">
        <f>+P1151*$P$1052</f>
        <v>0</v>
      </c>
      <c r="R1151" s="64">
        <f>Q1151*(1-F1151)</f>
        <v>0</v>
      </c>
      <c r="S1151" s="148">
        <v>25</v>
      </c>
      <c r="T1151" s="151" t="s">
        <v>107</v>
      </c>
      <c r="U1151" s="65">
        <f>SUMIF('Avoided Costs 2012-2020_EGD'!$A:$A,'2012 Actuals_Auditor'!T1151&amp;'2012 Actuals_Auditor'!S1151,'Avoided Costs 2012-2020_EGD'!$E:$E)*J1151</f>
        <v>36536.567879321541</v>
      </c>
      <c r="V1151" s="65">
        <f>SUMIF('Avoided Costs 2012-2020_EGD'!$A:$A,'2012 Actuals_Auditor'!T1151&amp;'2012 Actuals_Auditor'!S1151,'Avoided Costs 2012-2020_EGD'!$K:$K)*N1151</f>
        <v>0</v>
      </c>
      <c r="W1151" s="65">
        <f>SUMIF('Avoided Costs 2012-2020_EGD'!$A:$A,'2012 Actuals_Auditor'!T1151&amp;'2012 Actuals_Auditor'!S1151,'Avoided Costs 2012-2020_EGD'!$M:$M)*R1151</f>
        <v>0</v>
      </c>
      <c r="X1151" s="65">
        <f>SUM(U1151:W1151)</f>
        <v>36536.567879321541</v>
      </c>
      <c r="Y1151" s="146">
        <v>8456</v>
      </c>
      <c r="Z1151" s="66">
        <f>Y1151*(1-F1151)</f>
        <v>5073.5999999999995</v>
      </c>
      <c r="AA1151" s="66">
        <v>1338</v>
      </c>
      <c r="AB1151" s="66"/>
      <c r="AC1151" s="66"/>
      <c r="AD1151" s="66">
        <f t="shared" si="451"/>
        <v>5073.5999999999995</v>
      </c>
      <c r="AE1151" s="66">
        <f t="shared" si="452"/>
        <v>31462.967879321543</v>
      </c>
      <c r="AF1151" s="101">
        <f>J1151*S1151</f>
        <v>281385.42633451533</v>
      </c>
      <c r="AG1151" s="101">
        <f>(I1151*S1151)</f>
        <v>468975.71055752563</v>
      </c>
    </row>
    <row r="1152" spans="1:33" s="68" customFormat="1" x14ac:dyDescent="0.2">
      <c r="A1152" s="147" t="s">
        <v>1179</v>
      </c>
      <c r="B1152" s="147"/>
      <c r="C1152" s="147"/>
      <c r="D1152" s="148">
        <v>1</v>
      </c>
      <c r="E1152" s="149"/>
      <c r="F1152" s="150">
        <v>0.4</v>
      </c>
      <c r="G1152" s="150"/>
      <c r="H1152" s="67">
        <v>85175</v>
      </c>
      <c r="I1152" s="67">
        <f>+$H$1052*H1152</f>
        <v>83584.444751490359</v>
      </c>
      <c r="J1152" s="67">
        <f>I1152*(1-F1152)</f>
        <v>50150.666850894217</v>
      </c>
      <c r="K1152" s="63"/>
      <c r="L1152" s="149">
        <v>0</v>
      </c>
      <c r="M1152" s="63">
        <f>+$L$1052*L1152</f>
        <v>0</v>
      </c>
      <c r="N1152" s="63">
        <f>M1152*(1-F1152)</f>
        <v>0</v>
      </c>
      <c r="O1152" s="69"/>
      <c r="P1152" s="149">
        <v>0</v>
      </c>
      <c r="Q1152" s="63">
        <f>+P1152*$P$1052</f>
        <v>0</v>
      </c>
      <c r="R1152" s="64">
        <f>Q1152*(1-F1152)</f>
        <v>0</v>
      </c>
      <c r="S1152" s="148">
        <v>10</v>
      </c>
      <c r="T1152" s="151" t="s">
        <v>107</v>
      </c>
      <c r="U1152" s="65">
        <f>SUMIF('Avoided Costs 2012-2020_EGD'!$A:$A,'2012 Actuals_Auditor'!T1152&amp;'2012 Actuals_Auditor'!S1152,'Avoided Costs 2012-2020_EGD'!$E:$E)*J1152</f>
        <v>81415.229758596804</v>
      </c>
      <c r="V1152" s="65">
        <f>SUMIF('Avoided Costs 2012-2020_EGD'!$A:$A,'2012 Actuals_Auditor'!T1152&amp;'2012 Actuals_Auditor'!S1152,'Avoided Costs 2012-2020_EGD'!$K:$K)*N1152</f>
        <v>0</v>
      </c>
      <c r="W1152" s="65">
        <f>SUMIF('Avoided Costs 2012-2020_EGD'!$A:$A,'2012 Actuals_Auditor'!T1152&amp;'2012 Actuals_Auditor'!S1152,'Avoided Costs 2012-2020_EGD'!$M:$M)*R1152</f>
        <v>0</v>
      </c>
      <c r="X1152" s="65">
        <f>SUM(U1152:W1152)</f>
        <v>81415.229758596804</v>
      </c>
      <c r="Y1152" s="146">
        <v>119223</v>
      </c>
      <c r="Z1152" s="66">
        <f>Y1152*(1-F1152)</f>
        <v>71533.8</v>
      </c>
      <c r="AA1152" s="66">
        <v>5962</v>
      </c>
      <c r="AB1152" s="66"/>
      <c r="AC1152" s="66"/>
      <c r="AD1152" s="66">
        <f t="shared" si="451"/>
        <v>71533.8</v>
      </c>
      <c r="AE1152" s="66">
        <f t="shared" si="452"/>
        <v>9881.4297585968015</v>
      </c>
      <c r="AF1152" s="101">
        <f>J1152*S1152</f>
        <v>501506.66850894218</v>
      </c>
      <c r="AG1152" s="101">
        <f>(I1152*S1152)</f>
        <v>835844.44751490362</v>
      </c>
    </row>
    <row r="1153" spans="1:33" s="68" customFormat="1" x14ac:dyDescent="0.2">
      <c r="A1153" s="147" t="s">
        <v>1180</v>
      </c>
      <c r="B1153" s="147"/>
      <c r="C1153" s="147"/>
      <c r="D1153" s="148">
        <v>0</v>
      </c>
      <c r="E1153" s="149"/>
      <c r="F1153" s="150">
        <v>0.4</v>
      </c>
      <c r="G1153" s="150"/>
      <c r="H1153" s="67">
        <v>19116</v>
      </c>
      <c r="I1153" s="67">
        <f>+$H$1052*H1153</f>
        <v>18759.028422301024</v>
      </c>
      <c r="J1153" s="67">
        <f>I1153*(1-F1153)</f>
        <v>11255.417053380614</v>
      </c>
      <c r="K1153" s="63"/>
      <c r="L1153" s="149">
        <v>0</v>
      </c>
      <c r="M1153" s="63">
        <f>+$L$1052*L1153</f>
        <v>0</v>
      </c>
      <c r="N1153" s="63">
        <f>M1153*(1-F1153)</f>
        <v>0</v>
      </c>
      <c r="O1153" s="69"/>
      <c r="P1153" s="149">
        <v>0</v>
      </c>
      <c r="Q1153" s="63">
        <f>+P1153*$P$1052</f>
        <v>0</v>
      </c>
      <c r="R1153" s="64">
        <f>Q1153*(1-F1153)</f>
        <v>0</v>
      </c>
      <c r="S1153" s="148">
        <v>25</v>
      </c>
      <c r="T1153" s="151" t="s">
        <v>107</v>
      </c>
      <c r="U1153" s="65">
        <f>SUMIF('Avoided Costs 2012-2020_EGD'!$A:$A,'2012 Actuals_Auditor'!T1153&amp;'2012 Actuals_Auditor'!S1153,'Avoided Costs 2012-2020_EGD'!$E:$E)*J1153</f>
        <v>36536.567879321541</v>
      </c>
      <c r="V1153" s="65">
        <f>SUMIF('Avoided Costs 2012-2020_EGD'!$A:$A,'2012 Actuals_Auditor'!T1153&amp;'2012 Actuals_Auditor'!S1153,'Avoided Costs 2012-2020_EGD'!$K:$K)*N1153</f>
        <v>0</v>
      </c>
      <c r="W1153" s="65">
        <f>SUMIF('Avoided Costs 2012-2020_EGD'!$A:$A,'2012 Actuals_Auditor'!T1153&amp;'2012 Actuals_Auditor'!S1153,'Avoided Costs 2012-2020_EGD'!$M:$M)*R1153</f>
        <v>0</v>
      </c>
      <c r="X1153" s="65">
        <f>SUM(U1153:W1153)</f>
        <v>36536.567879321541</v>
      </c>
      <c r="Y1153" s="146">
        <v>9320</v>
      </c>
      <c r="Z1153" s="66">
        <f>Y1153*(1-F1153)</f>
        <v>5592</v>
      </c>
      <c r="AA1153" s="66">
        <v>1338.12</v>
      </c>
      <c r="AB1153" s="66"/>
      <c r="AC1153" s="66"/>
      <c r="AD1153" s="66">
        <f t="shared" si="451"/>
        <v>5592</v>
      </c>
      <c r="AE1153" s="66">
        <f t="shared" si="452"/>
        <v>30944.567879321541</v>
      </c>
      <c r="AF1153" s="101">
        <f>J1153*S1153</f>
        <v>281385.42633451533</v>
      </c>
      <c r="AG1153" s="101">
        <f>(I1153*S1153)</f>
        <v>468975.71055752563</v>
      </c>
    </row>
    <row r="1154" spans="1:33" s="68" customFormat="1" x14ac:dyDescent="0.2">
      <c r="A1154" s="147" t="s">
        <v>1181</v>
      </c>
      <c r="B1154" s="147"/>
      <c r="C1154" s="147"/>
      <c r="D1154" s="148">
        <v>1</v>
      </c>
      <c r="E1154" s="149"/>
      <c r="F1154" s="150">
        <v>0.4</v>
      </c>
      <c r="G1154" s="150"/>
      <c r="H1154" s="67">
        <v>64839</v>
      </c>
      <c r="I1154" s="67">
        <f>+$H$1052*H1154</f>
        <v>63628.198570494671</v>
      </c>
      <c r="J1154" s="67">
        <f>I1154*(1-F1154)</f>
        <v>38176.9191422968</v>
      </c>
      <c r="K1154" s="63"/>
      <c r="L1154" s="149">
        <v>0</v>
      </c>
      <c r="M1154" s="63">
        <f>+$L$1052*L1154</f>
        <v>0</v>
      </c>
      <c r="N1154" s="63">
        <f>M1154*(1-F1154)</f>
        <v>0</v>
      </c>
      <c r="O1154" s="69"/>
      <c r="P1154" s="149">
        <v>0</v>
      </c>
      <c r="Q1154" s="63">
        <f>+P1154*$P$1052</f>
        <v>0</v>
      </c>
      <c r="R1154" s="64">
        <f>Q1154*(1-F1154)</f>
        <v>0</v>
      </c>
      <c r="S1154" s="148">
        <v>10</v>
      </c>
      <c r="T1154" s="151" t="s">
        <v>107</v>
      </c>
      <c r="U1154" s="65">
        <f>SUMIF('Avoided Costs 2012-2020_EGD'!$A:$A,'2012 Actuals_Auditor'!T1154&amp;'2012 Actuals_Auditor'!S1154,'Avoided Costs 2012-2020_EGD'!$E:$E)*J1154</f>
        <v>61976.89559515888</v>
      </c>
      <c r="V1154" s="65">
        <f>SUMIF('Avoided Costs 2012-2020_EGD'!$A:$A,'2012 Actuals_Auditor'!T1154&amp;'2012 Actuals_Auditor'!S1154,'Avoided Costs 2012-2020_EGD'!$K:$K)*N1154</f>
        <v>0</v>
      </c>
      <c r="W1154" s="65">
        <f>SUMIF('Avoided Costs 2012-2020_EGD'!$A:$A,'2012 Actuals_Auditor'!T1154&amp;'2012 Actuals_Auditor'!S1154,'Avoided Costs 2012-2020_EGD'!$M:$M)*R1154</f>
        <v>0</v>
      </c>
      <c r="X1154" s="65">
        <f>SUM(U1154:W1154)</f>
        <v>61976.89559515888</v>
      </c>
      <c r="Y1154" s="146">
        <v>11850</v>
      </c>
      <c r="Z1154" s="66">
        <f>Y1154*(1-F1154)</f>
        <v>7110</v>
      </c>
      <c r="AA1154" s="66">
        <v>4538.7299999999996</v>
      </c>
      <c r="AB1154" s="66"/>
      <c r="AC1154" s="66"/>
      <c r="AD1154" s="66">
        <f t="shared" si="451"/>
        <v>7110</v>
      </c>
      <c r="AE1154" s="66">
        <f t="shared" si="452"/>
        <v>54866.89559515888</v>
      </c>
      <c r="AF1154" s="101">
        <f>J1154*S1154</f>
        <v>381769.191422968</v>
      </c>
      <c r="AG1154" s="101">
        <f>(I1154*S1154)</f>
        <v>636281.98570494668</v>
      </c>
    </row>
    <row r="1155" spans="1:33" s="59" customFormat="1" x14ac:dyDescent="0.2">
      <c r="A1155" s="152" t="s">
        <v>3</v>
      </c>
      <c r="B1155" s="152" t="s">
        <v>1182</v>
      </c>
      <c r="C1155" s="155"/>
      <c r="D1155" s="153">
        <f>SUM(D1150:D1154)</f>
        <v>4</v>
      </c>
      <c r="E1155" s="67"/>
      <c r="F1155" s="154"/>
      <c r="G1155" s="228"/>
      <c r="H1155" s="67">
        <f>SUM(H1150:H1154)</f>
        <v>254699</v>
      </c>
      <c r="I1155" s="67">
        <f>SUM(I1150:I1154)</f>
        <v>249942.75895227288</v>
      </c>
      <c r="J1155" s="67">
        <f>SUM(J1150:J1154)</f>
        <v>149965.65537136374</v>
      </c>
      <c r="K1155" s="64"/>
      <c r="L1155" s="67">
        <f>SUM(L1150:L1154)</f>
        <v>0</v>
      </c>
      <c r="M1155" s="67">
        <f>SUM(M1150:M1154)</f>
        <v>0</v>
      </c>
      <c r="N1155" s="67">
        <f>SUM(N1150:N1154)</f>
        <v>0</v>
      </c>
      <c r="O1155" s="229"/>
      <c r="P1155" s="67">
        <f>SUM(P1150:P1154)</f>
        <v>0</v>
      </c>
      <c r="Q1155" s="67">
        <f>SUM(Q1150:Q1154)</f>
        <v>0</v>
      </c>
      <c r="R1155" s="67">
        <f>SUM(R1150:R1154)</f>
        <v>0</v>
      </c>
      <c r="S1155" s="153"/>
      <c r="T1155" s="155"/>
      <c r="U1155" s="66">
        <f>SUM(U1150:U1154)</f>
        <v>279984.91198587144</v>
      </c>
      <c r="V1155" s="66">
        <f>SUM(V1150:V1154)</f>
        <v>0</v>
      </c>
      <c r="W1155" s="66">
        <f>SUM(W1150:W1154)</f>
        <v>0</v>
      </c>
      <c r="X1155" s="66">
        <f>SUM(X1150:X1154)</f>
        <v>279984.91198587144</v>
      </c>
      <c r="Y1155" s="146"/>
      <c r="Z1155" s="66">
        <f>SUM(Z1150:Z1154)</f>
        <v>111778.572</v>
      </c>
      <c r="AA1155" s="66">
        <v>24168.240000000002</v>
      </c>
      <c r="AB1155" s="66">
        <v>0</v>
      </c>
      <c r="AC1155" s="66">
        <f>AB1155+AA1155</f>
        <v>24168.240000000002</v>
      </c>
      <c r="AD1155" s="66">
        <f t="shared" si="451"/>
        <v>111778.572</v>
      </c>
      <c r="AE1155" s="66">
        <f t="shared" si="452"/>
        <v>168206.33998587145</v>
      </c>
      <c r="AF1155" s="101">
        <f>SUM(AF1150:AF1154)</f>
        <v>1837319.0653150554</v>
      </c>
      <c r="AG1155" s="101">
        <f>SUM(AG1150:AG1154)</f>
        <v>3062198.4421917596</v>
      </c>
    </row>
    <row r="1156" spans="1:33" s="59" customFormat="1" x14ac:dyDescent="0.2">
      <c r="A1156" s="60"/>
      <c r="B1156" s="60"/>
      <c r="C1156" s="56"/>
      <c r="D1156" s="17">
        <f>SUM(D1150:D1154)-D1155</f>
        <v>0</v>
      </c>
      <c r="E1156" s="17">
        <f t="shared" ref="E1156:AG1156" si="453">SUM(E1150:E1154)-E1155</f>
        <v>0</v>
      </c>
      <c r="F1156" s="17">
        <f t="shared" si="453"/>
        <v>2</v>
      </c>
      <c r="G1156" s="17">
        <f t="shared" si="453"/>
        <v>0</v>
      </c>
      <c r="H1156" s="17">
        <f t="shared" si="453"/>
        <v>0</v>
      </c>
      <c r="I1156" s="17">
        <f t="shared" si="453"/>
        <v>0</v>
      </c>
      <c r="J1156" s="17">
        <f t="shared" si="453"/>
        <v>0</v>
      </c>
      <c r="K1156" s="17">
        <f t="shared" si="453"/>
        <v>0</v>
      </c>
      <c r="L1156" s="17">
        <f t="shared" si="453"/>
        <v>0</v>
      </c>
      <c r="M1156" s="17">
        <f t="shared" si="453"/>
        <v>0</v>
      </c>
      <c r="N1156" s="17">
        <f t="shared" si="453"/>
        <v>0</v>
      </c>
      <c r="O1156" s="17">
        <f t="shared" si="453"/>
        <v>0</v>
      </c>
      <c r="P1156" s="17">
        <f t="shared" si="453"/>
        <v>0</v>
      </c>
      <c r="Q1156" s="17">
        <f t="shared" si="453"/>
        <v>0</v>
      </c>
      <c r="R1156" s="17">
        <f t="shared" si="453"/>
        <v>0</v>
      </c>
      <c r="S1156" s="17">
        <f t="shared" si="453"/>
        <v>80</v>
      </c>
      <c r="T1156" s="17">
        <f t="shared" si="453"/>
        <v>0</v>
      </c>
      <c r="U1156" s="17">
        <f t="shared" si="453"/>
        <v>0</v>
      </c>
      <c r="V1156" s="17">
        <f t="shared" si="453"/>
        <v>0</v>
      </c>
      <c r="W1156" s="17">
        <f t="shared" si="453"/>
        <v>0</v>
      </c>
      <c r="X1156" s="17">
        <f t="shared" si="453"/>
        <v>0</v>
      </c>
      <c r="Y1156" s="17">
        <f t="shared" si="453"/>
        <v>186297.62</v>
      </c>
      <c r="Z1156" s="17">
        <f t="shared" si="453"/>
        <v>0</v>
      </c>
      <c r="AA1156" s="17">
        <f t="shared" si="453"/>
        <v>-5675.1500000000015</v>
      </c>
      <c r="AB1156" s="17">
        <f t="shared" si="453"/>
        <v>0</v>
      </c>
      <c r="AC1156" s="17">
        <f t="shared" si="453"/>
        <v>-24168.240000000002</v>
      </c>
      <c r="AD1156" s="17">
        <f t="shared" si="453"/>
        <v>0</v>
      </c>
      <c r="AE1156" s="17">
        <f t="shared" si="453"/>
        <v>0</v>
      </c>
      <c r="AF1156" s="17">
        <f t="shared" si="453"/>
        <v>0</v>
      </c>
      <c r="AG1156" s="17">
        <f t="shared" si="453"/>
        <v>0</v>
      </c>
    </row>
    <row r="1157" spans="1:33" s="59" customFormat="1" x14ac:dyDescent="0.2">
      <c r="A1157" s="251" t="s">
        <v>1276</v>
      </c>
      <c r="B1157" s="10" t="s">
        <v>27</v>
      </c>
      <c r="C1157" s="78"/>
      <c r="D1157" s="79"/>
      <c r="E1157" s="79"/>
      <c r="F1157" s="80"/>
      <c r="G1157" s="81"/>
      <c r="H1157" s="17"/>
      <c r="I1157" s="17"/>
      <c r="J1157" s="17"/>
      <c r="K1157" s="227"/>
      <c r="L1157" s="227"/>
      <c r="M1157" s="227"/>
      <c r="N1157" s="17"/>
      <c r="O1157" s="21"/>
      <c r="P1157" s="227"/>
      <c r="Q1157" s="227"/>
      <c r="R1157" s="79"/>
      <c r="S1157" s="79"/>
      <c r="T1157" s="78"/>
      <c r="U1157" s="82"/>
      <c r="V1157" s="82"/>
      <c r="W1157" s="82"/>
      <c r="X1157" s="82"/>
      <c r="Y1157" s="98"/>
      <c r="Z1157" s="82"/>
      <c r="AA1157" s="82"/>
      <c r="AB1157" s="82"/>
      <c r="AC1157" s="82"/>
      <c r="AD1157" s="82"/>
      <c r="AE1157" s="82"/>
      <c r="AF1157" s="104"/>
      <c r="AG1157" s="104"/>
    </row>
    <row r="1158" spans="1:33" s="68" customFormat="1" x14ac:dyDescent="0.2">
      <c r="A1158" s="147" t="s">
        <v>1183</v>
      </c>
      <c r="B1158" s="147"/>
      <c r="C1158" s="147"/>
      <c r="D1158" s="148">
        <v>1</v>
      </c>
      <c r="E1158" s="149"/>
      <c r="F1158" s="150">
        <v>0.4</v>
      </c>
      <c r="G1158" s="150"/>
      <c r="H1158" s="67">
        <v>32897</v>
      </c>
      <c r="I1158" s="67">
        <f>+$H$1052*H1158</f>
        <v>32282.682465392176</v>
      </c>
      <c r="J1158" s="67">
        <f>I1158*(1-F1158)</f>
        <v>19369.609479235303</v>
      </c>
      <c r="K1158" s="63"/>
      <c r="L1158" s="149">
        <v>0</v>
      </c>
      <c r="M1158" s="63">
        <f>+$L$1052*L1158</f>
        <v>0</v>
      </c>
      <c r="N1158" s="63">
        <f>M1158*(1-F1158)</f>
        <v>0</v>
      </c>
      <c r="O1158" s="69"/>
      <c r="P1158" s="149">
        <v>0</v>
      </c>
      <c r="Q1158" s="63">
        <f>+P1158*$P$1052</f>
        <v>0</v>
      </c>
      <c r="R1158" s="64">
        <f>Q1158*(1-F1158)</f>
        <v>0</v>
      </c>
      <c r="S1158" s="148">
        <v>25</v>
      </c>
      <c r="T1158" s="151" t="s">
        <v>107</v>
      </c>
      <c r="U1158" s="65">
        <f>SUMIF('Avoided Costs 2012-2020_EGD'!$A:$A,'2012 Actuals_Auditor'!T1158&amp;'2012 Actuals_Auditor'!S1158,'Avoided Costs 2012-2020_EGD'!$E:$E)*J1158</f>
        <v>62876.306420069093</v>
      </c>
      <c r="V1158" s="65">
        <f>SUMIF('Avoided Costs 2012-2020_EGD'!$A:$A,'2012 Actuals_Auditor'!T1158&amp;'2012 Actuals_Auditor'!S1158,'Avoided Costs 2012-2020_EGD'!$K:$K)*N1158</f>
        <v>0</v>
      </c>
      <c r="W1158" s="65">
        <f>SUMIF('Avoided Costs 2012-2020_EGD'!$A:$A,'2012 Actuals_Auditor'!T1158&amp;'2012 Actuals_Auditor'!S1158,'Avoided Costs 2012-2020_EGD'!$M:$M)*R1158</f>
        <v>0</v>
      </c>
      <c r="X1158" s="65">
        <f>SUM(U1158:W1158)</f>
        <v>62876.306420069093</v>
      </c>
      <c r="Y1158" s="146">
        <v>34163</v>
      </c>
      <c r="Z1158" s="66">
        <f>Y1158*(1-F1158)</f>
        <v>20497.8</v>
      </c>
      <c r="AA1158" s="66">
        <v>4935</v>
      </c>
      <c r="AB1158" s="66"/>
      <c r="AC1158" s="66"/>
      <c r="AD1158" s="66">
        <f>Z1158+AB1158</f>
        <v>20497.8</v>
      </c>
      <c r="AE1158" s="66">
        <f>X1158-AD1158</f>
        <v>42378.506420069098</v>
      </c>
      <c r="AF1158" s="101">
        <f>J1158*S1158</f>
        <v>484240.23698088259</v>
      </c>
      <c r="AG1158" s="101">
        <f>(I1158*S1158)</f>
        <v>807067.06163480435</v>
      </c>
    </row>
    <row r="1159" spans="1:33" s="68" customFormat="1" x14ac:dyDescent="0.2">
      <c r="A1159" s="147" t="s">
        <v>1184</v>
      </c>
      <c r="B1159" s="147"/>
      <c r="C1159" s="147"/>
      <c r="D1159" s="148">
        <v>0</v>
      </c>
      <c r="E1159" s="149"/>
      <c r="F1159" s="150">
        <v>0.4</v>
      </c>
      <c r="G1159" s="150"/>
      <c r="H1159" s="67">
        <v>4066</v>
      </c>
      <c r="I1159" s="67">
        <f>+$H$1052*H1159</f>
        <v>3990.0716449610782</v>
      </c>
      <c r="J1159" s="67">
        <f>I1159*(1-F1159)</f>
        <v>2394.0429869766467</v>
      </c>
      <c r="K1159" s="63"/>
      <c r="L1159" s="149">
        <v>0</v>
      </c>
      <c r="M1159" s="63">
        <f>+$L$1052*L1159</f>
        <v>0</v>
      </c>
      <c r="N1159" s="63">
        <f>M1159*(1-F1159)</f>
        <v>0</v>
      </c>
      <c r="O1159" s="69"/>
      <c r="P1159" s="149">
        <v>0</v>
      </c>
      <c r="Q1159" s="63">
        <f>+P1159*$P$1052</f>
        <v>0</v>
      </c>
      <c r="R1159" s="64">
        <f>Q1159*(1-F1159)</f>
        <v>0</v>
      </c>
      <c r="S1159" s="148">
        <v>15</v>
      </c>
      <c r="T1159" s="151" t="s">
        <v>107</v>
      </c>
      <c r="U1159" s="65">
        <f>SUMIF('Avoided Costs 2012-2020_EGD'!$A:$A,'2012 Actuals_Auditor'!T1159&amp;'2012 Actuals_Auditor'!S1159,'Avoided Costs 2012-2020_EGD'!$E:$E)*J1159</f>
        <v>5500.5914107899343</v>
      </c>
      <c r="V1159" s="65">
        <f>SUMIF('Avoided Costs 2012-2020_EGD'!$A:$A,'2012 Actuals_Auditor'!T1159&amp;'2012 Actuals_Auditor'!S1159,'Avoided Costs 2012-2020_EGD'!$K:$K)*N1159</f>
        <v>0</v>
      </c>
      <c r="W1159" s="65">
        <f>SUMIF('Avoided Costs 2012-2020_EGD'!$A:$A,'2012 Actuals_Auditor'!T1159&amp;'2012 Actuals_Auditor'!S1159,'Avoided Costs 2012-2020_EGD'!$M:$M)*R1159</f>
        <v>0</v>
      </c>
      <c r="X1159" s="65">
        <f>SUM(U1159:W1159)</f>
        <v>5500.5914107899343</v>
      </c>
      <c r="Y1159" s="146">
        <v>1668</v>
      </c>
      <c r="Z1159" s="66">
        <f>Y1159*(1-F1159)</f>
        <v>1000.8</v>
      </c>
      <c r="AA1159" s="66">
        <v>609.9</v>
      </c>
      <c r="AB1159" s="66"/>
      <c r="AC1159" s="66"/>
      <c r="AD1159" s="66">
        <f>Z1159+AB1159</f>
        <v>1000.8</v>
      </c>
      <c r="AE1159" s="66">
        <f>X1159-AD1159</f>
        <v>4499.7914107899342</v>
      </c>
      <c r="AF1159" s="101">
        <f>J1159*S1159</f>
        <v>35910.644804649703</v>
      </c>
      <c r="AG1159" s="101">
        <f>(I1159*S1159)</f>
        <v>59851.074674416173</v>
      </c>
    </row>
    <row r="1160" spans="1:33" s="68" customFormat="1" x14ac:dyDescent="0.2">
      <c r="A1160" s="147" t="s">
        <v>1185</v>
      </c>
      <c r="B1160" s="147"/>
      <c r="C1160" s="147"/>
      <c r="D1160" s="148">
        <v>0</v>
      </c>
      <c r="E1160" s="149"/>
      <c r="F1160" s="150">
        <v>0.4</v>
      </c>
      <c r="G1160" s="150"/>
      <c r="H1160" s="67">
        <v>8972</v>
      </c>
      <c r="I1160" s="67">
        <f>+$H$1052*H1160</f>
        <v>8804.4571565643855</v>
      </c>
      <c r="J1160" s="67">
        <f>I1160*(1-F1160)</f>
        <v>5282.6742939386313</v>
      </c>
      <c r="K1160" s="63"/>
      <c r="L1160" s="149">
        <v>0</v>
      </c>
      <c r="M1160" s="63">
        <f>+$L$1052*L1160</f>
        <v>0</v>
      </c>
      <c r="N1160" s="63">
        <f>M1160*(1-F1160)</f>
        <v>0</v>
      </c>
      <c r="O1160" s="69"/>
      <c r="P1160" s="149">
        <v>0</v>
      </c>
      <c r="Q1160" s="63">
        <f>+P1160*$P$1052</f>
        <v>0</v>
      </c>
      <c r="R1160" s="64">
        <f>Q1160*(1-F1160)</f>
        <v>0</v>
      </c>
      <c r="S1160" s="148">
        <v>15</v>
      </c>
      <c r="T1160" s="151" t="s">
        <v>107</v>
      </c>
      <c r="U1160" s="65">
        <f>SUMIF('Avoided Costs 2012-2020_EGD'!$A:$A,'2012 Actuals_Auditor'!T1160&amp;'2012 Actuals_Auditor'!S1160,'Avoided Costs 2012-2020_EGD'!$E:$E)*J1160</f>
        <v>12137.556846435637</v>
      </c>
      <c r="V1160" s="65">
        <f>SUMIF('Avoided Costs 2012-2020_EGD'!$A:$A,'2012 Actuals_Auditor'!T1160&amp;'2012 Actuals_Auditor'!S1160,'Avoided Costs 2012-2020_EGD'!$K:$K)*N1160</f>
        <v>0</v>
      </c>
      <c r="W1160" s="65">
        <f>SUMIF('Avoided Costs 2012-2020_EGD'!$A:$A,'2012 Actuals_Auditor'!T1160&amp;'2012 Actuals_Auditor'!S1160,'Avoided Costs 2012-2020_EGD'!$M:$M)*R1160</f>
        <v>0</v>
      </c>
      <c r="X1160" s="65">
        <f>SUM(U1160:W1160)</f>
        <v>12137.556846435637</v>
      </c>
      <c r="Y1160" s="146">
        <v>21393</v>
      </c>
      <c r="Z1160" s="66">
        <f>Y1160*(1-F1160)</f>
        <v>12835.8</v>
      </c>
      <c r="AA1160" s="66">
        <v>1346.15</v>
      </c>
      <c r="AB1160" s="66"/>
      <c r="AC1160" s="66"/>
      <c r="AD1160" s="66">
        <f>Z1160+AB1160</f>
        <v>12835.8</v>
      </c>
      <c r="AE1160" s="66">
        <f>X1160-AD1160</f>
        <v>-698.24315356436273</v>
      </c>
      <c r="AF1160" s="101">
        <f>J1160*S1160</f>
        <v>79240.11440907947</v>
      </c>
      <c r="AG1160" s="101">
        <f>(I1160*S1160)</f>
        <v>132066.85734846577</v>
      </c>
    </row>
    <row r="1161" spans="1:33" s="68" customFormat="1" x14ac:dyDescent="0.2">
      <c r="A1161" s="147" t="s">
        <v>1186</v>
      </c>
      <c r="B1161" s="147"/>
      <c r="C1161" s="147"/>
      <c r="D1161" s="148">
        <v>1</v>
      </c>
      <c r="E1161" s="149"/>
      <c r="F1161" s="150">
        <v>0.4</v>
      </c>
      <c r="G1161" s="150"/>
      <c r="H1161" s="67">
        <v>54473</v>
      </c>
      <c r="I1161" s="67">
        <f>+$H$1052*H1161</f>
        <v>53455.772925716876</v>
      </c>
      <c r="J1161" s="67">
        <f>I1161*(1-F1161)</f>
        <v>32073.463755430123</v>
      </c>
      <c r="K1161" s="63"/>
      <c r="L1161" s="149">
        <v>0</v>
      </c>
      <c r="M1161" s="63">
        <f>+$L$1052*L1161</f>
        <v>0</v>
      </c>
      <c r="N1161" s="63">
        <f>M1161*(1-F1161)</f>
        <v>0</v>
      </c>
      <c r="O1161" s="69"/>
      <c r="P1161" s="149">
        <v>0</v>
      </c>
      <c r="Q1161" s="63">
        <f>+P1161*$P$1052</f>
        <v>0</v>
      </c>
      <c r="R1161" s="64">
        <f>Q1161*(1-F1161)</f>
        <v>0</v>
      </c>
      <c r="S1161" s="148">
        <v>10</v>
      </c>
      <c r="T1161" s="151" t="s">
        <v>107</v>
      </c>
      <c r="U1161" s="65">
        <f>SUMIF('Avoided Costs 2012-2020_EGD'!$A:$A,'2012 Actuals_Auditor'!T1161&amp;'2012 Actuals_Auditor'!S1161,'Avoided Costs 2012-2020_EGD'!$E:$E)*J1161</f>
        <v>52068.468572234146</v>
      </c>
      <c r="V1161" s="65">
        <f>SUMIF('Avoided Costs 2012-2020_EGD'!$A:$A,'2012 Actuals_Auditor'!T1161&amp;'2012 Actuals_Auditor'!S1161,'Avoided Costs 2012-2020_EGD'!$K:$K)*N1161</f>
        <v>0</v>
      </c>
      <c r="W1161" s="65">
        <f>SUMIF('Avoided Costs 2012-2020_EGD'!$A:$A,'2012 Actuals_Auditor'!T1161&amp;'2012 Actuals_Auditor'!S1161,'Avoided Costs 2012-2020_EGD'!$M:$M)*R1161</f>
        <v>0</v>
      </c>
      <c r="X1161" s="65">
        <f>SUM(U1161:W1161)</f>
        <v>52068.468572234146</v>
      </c>
      <c r="Y1161" s="146">
        <v>98766</v>
      </c>
      <c r="Z1161" s="66">
        <f>Y1161*(1-F1161)</f>
        <v>59259.6</v>
      </c>
      <c r="AA1161" s="66">
        <v>8170.95</v>
      </c>
      <c r="AB1161" s="66"/>
      <c r="AC1161" s="66"/>
      <c r="AD1161" s="66">
        <f>Z1161+AB1161</f>
        <v>59259.6</v>
      </c>
      <c r="AE1161" s="66">
        <f>X1161-AD1161</f>
        <v>-7191.131427765853</v>
      </c>
      <c r="AF1161" s="101">
        <f>J1161*S1161</f>
        <v>320734.63755430124</v>
      </c>
      <c r="AG1161" s="101">
        <f>(I1161*S1161)</f>
        <v>534557.72925716871</v>
      </c>
    </row>
    <row r="1162" spans="1:33" s="59" customFormat="1" x14ac:dyDescent="0.2">
      <c r="A1162" s="152" t="s">
        <v>3</v>
      </c>
      <c r="B1162" s="152" t="s">
        <v>1187</v>
      </c>
      <c r="C1162" s="155"/>
      <c r="D1162" s="153">
        <f>SUM(D1158:D1161)</f>
        <v>2</v>
      </c>
      <c r="E1162" s="67"/>
      <c r="F1162" s="154"/>
      <c r="G1162" s="228"/>
      <c r="H1162" s="67">
        <f>SUM(H1158:H1161)</f>
        <v>100408</v>
      </c>
      <c r="I1162" s="67">
        <f>SUM(I1158:I1161)</f>
        <v>98532.984192634525</v>
      </c>
      <c r="J1162" s="67">
        <f>SUM(J1158:J1161)</f>
        <v>59119.790515580702</v>
      </c>
      <c r="K1162" s="64"/>
      <c r="L1162" s="67">
        <f>SUM(L1158:L1161)</f>
        <v>0</v>
      </c>
      <c r="M1162" s="67">
        <f>SUM(M1158:M1161)</f>
        <v>0</v>
      </c>
      <c r="N1162" s="67">
        <f>SUM(N1158:N1161)</f>
        <v>0</v>
      </c>
      <c r="O1162" s="229"/>
      <c r="P1162" s="67">
        <f>SUM(P1158:P1161)</f>
        <v>0</v>
      </c>
      <c r="Q1162" s="67">
        <f>SUM(Q1158:Q1161)</f>
        <v>0</v>
      </c>
      <c r="R1162" s="67">
        <f>SUM(R1158:R1161)</f>
        <v>0</v>
      </c>
      <c r="S1162" s="153"/>
      <c r="T1162" s="155"/>
      <c r="U1162" s="66">
        <f>SUM(U1158:U1161)</f>
        <v>132582.9232495288</v>
      </c>
      <c r="V1162" s="66">
        <f>SUM(V1158:V1161)</f>
        <v>0</v>
      </c>
      <c r="W1162" s="66">
        <f>SUM(W1158:W1161)</f>
        <v>0</v>
      </c>
      <c r="X1162" s="66">
        <f>SUM(X1158:X1161)</f>
        <v>132582.9232495288</v>
      </c>
      <c r="Y1162" s="146"/>
      <c r="Z1162" s="66">
        <f>SUM(Z1158:Z1161)</f>
        <v>93594</v>
      </c>
      <c r="AA1162" s="66">
        <v>0</v>
      </c>
      <c r="AB1162" s="66">
        <v>0</v>
      </c>
      <c r="AC1162" s="66">
        <f>AB1162+AA1162</f>
        <v>0</v>
      </c>
      <c r="AD1162" s="66">
        <f>Z1162+AB1162</f>
        <v>93594</v>
      </c>
      <c r="AE1162" s="230">
        <f>X1162-AD1162</f>
        <v>38988.923249528802</v>
      </c>
      <c r="AF1162" s="101">
        <f>SUM(AF1158:AF1161)</f>
        <v>920125.63374891295</v>
      </c>
      <c r="AG1162" s="101">
        <f>SUM(AG1158:AG1161)</f>
        <v>1533542.722914855</v>
      </c>
    </row>
    <row r="1163" spans="1:33" s="59" customFormat="1" x14ac:dyDescent="0.2">
      <c r="A1163" s="60"/>
      <c r="B1163" s="60"/>
      <c r="C1163" s="56"/>
      <c r="D1163" s="17">
        <f>SUM(D1158:D1161)-D1162</f>
        <v>0</v>
      </c>
      <c r="E1163" s="17">
        <f t="shared" ref="E1163:AG1163" si="454">SUM(E1158:E1161)-E1162</f>
        <v>0</v>
      </c>
      <c r="F1163" s="17">
        <f t="shared" si="454"/>
        <v>1.6</v>
      </c>
      <c r="G1163" s="17">
        <f t="shared" si="454"/>
        <v>0</v>
      </c>
      <c r="H1163" s="17">
        <f t="shared" si="454"/>
        <v>0</v>
      </c>
      <c r="I1163" s="17">
        <f t="shared" si="454"/>
        <v>0</v>
      </c>
      <c r="J1163" s="17">
        <f t="shared" si="454"/>
        <v>0</v>
      </c>
      <c r="K1163" s="17">
        <f t="shared" si="454"/>
        <v>0</v>
      </c>
      <c r="L1163" s="17">
        <f t="shared" si="454"/>
        <v>0</v>
      </c>
      <c r="M1163" s="17">
        <f t="shared" si="454"/>
        <v>0</v>
      </c>
      <c r="N1163" s="17">
        <f t="shared" si="454"/>
        <v>0</v>
      </c>
      <c r="O1163" s="17">
        <f t="shared" si="454"/>
        <v>0</v>
      </c>
      <c r="P1163" s="17">
        <f t="shared" si="454"/>
        <v>0</v>
      </c>
      <c r="Q1163" s="17">
        <f t="shared" si="454"/>
        <v>0</v>
      </c>
      <c r="R1163" s="17">
        <f t="shared" si="454"/>
        <v>0</v>
      </c>
      <c r="S1163" s="17">
        <f t="shared" si="454"/>
        <v>65</v>
      </c>
      <c r="T1163" s="17">
        <f t="shared" si="454"/>
        <v>0</v>
      </c>
      <c r="U1163" s="17">
        <f t="shared" si="454"/>
        <v>0</v>
      </c>
      <c r="V1163" s="17">
        <f t="shared" si="454"/>
        <v>0</v>
      </c>
      <c r="W1163" s="17">
        <f t="shared" si="454"/>
        <v>0</v>
      </c>
      <c r="X1163" s="17">
        <f t="shared" si="454"/>
        <v>0</v>
      </c>
      <c r="Y1163" s="17">
        <f t="shared" si="454"/>
        <v>155990</v>
      </c>
      <c r="Z1163" s="17">
        <f t="shared" si="454"/>
        <v>0</v>
      </c>
      <c r="AA1163" s="17">
        <f t="shared" si="454"/>
        <v>15062</v>
      </c>
      <c r="AB1163" s="17">
        <f t="shared" si="454"/>
        <v>0</v>
      </c>
      <c r="AC1163" s="17">
        <f t="shared" si="454"/>
        <v>0</v>
      </c>
      <c r="AD1163" s="17">
        <f t="shared" si="454"/>
        <v>0</v>
      </c>
      <c r="AE1163" s="17">
        <f t="shared" si="454"/>
        <v>0</v>
      </c>
      <c r="AF1163" s="17">
        <f t="shared" si="454"/>
        <v>0</v>
      </c>
      <c r="AG1163" s="17">
        <f t="shared" si="454"/>
        <v>0</v>
      </c>
    </row>
    <row r="1164" spans="1:33" x14ac:dyDescent="0.2">
      <c r="A1164" s="234" t="s">
        <v>50</v>
      </c>
      <c r="B1164" s="224"/>
      <c r="C1164" s="135"/>
      <c r="D1164" s="131">
        <f>D1162+D1155+D1147+D1138+D1091</f>
        <v>91</v>
      </c>
      <c r="E1164" s="131"/>
      <c r="F1164" s="132"/>
      <c r="G1164" s="133"/>
      <c r="H1164" s="131">
        <f>H1162+H1155+H1147+H1138+H1091</f>
        <v>36701454</v>
      </c>
      <c r="I1164" s="131">
        <f>I1162+I1155+I1147+I1138+I1091</f>
        <v>36016092.212061815</v>
      </c>
      <c r="J1164" s="131">
        <f>J1162+J1155+J1147+J1138+J1091</f>
        <v>18071495.899528835</v>
      </c>
      <c r="K1164" s="131"/>
      <c r="L1164" s="131">
        <f>L1162+L1155+L1147+L1138+L1091</f>
        <v>13617217</v>
      </c>
      <c r="M1164" s="131">
        <f>M1162+M1155+M1147+M1138+M1091</f>
        <v>13617217</v>
      </c>
      <c r="N1164" s="131">
        <f>N1162+N1155+N1147+N1138+N1091</f>
        <v>6808608.5</v>
      </c>
      <c r="O1164" s="131"/>
      <c r="P1164" s="131">
        <f>P1162+P1155+P1147+P1138+P1091</f>
        <v>136525</v>
      </c>
      <c r="Q1164" s="131">
        <f>Q1162+Q1155+Q1147+Q1138+Q1091</f>
        <v>136525</v>
      </c>
      <c r="R1164" s="131">
        <f>R1162+R1155+R1147+R1138+R1091</f>
        <v>68262.5</v>
      </c>
      <c r="S1164" s="131"/>
      <c r="T1164" s="250"/>
      <c r="U1164" s="131">
        <f>U1162+U1155+U1147+U1138+U1091</f>
        <v>43902094.574071124</v>
      </c>
      <c r="V1164" s="131">
        <f>V1162+V1155+V1147+V1138+V1091</f>
        <v>7106671.7621813938</v>
      </c>
      <c r="W1164" s="131">
        <f>W1162+W1155+W1147+W1138+W1091</f>
        <v>1949418.8769550046</v>
      </c>
      <c r="X1164" s="131">
        <f>X1162+X1155+X1147+X1138+X1091</f>
        <v>52958185.213207528</v>
      </c>
      <c r="Y1164" s="136"/>
      <c r="Z1164" s="131">
        <f>Z1162+Z1155+Z1147+Z1138+Z1091</f>
        <v>6543705.1670000004</v>
      </c>
      <c r="AA1164" s="225">
        <f t="shared" ref="AA1164:AG1164" si="455">AA1162+AA1155+AA1147+AA1138+AA1091</f>
        <v>1575307.65</v>
      </c>
      <c r="AB1164" s="225">
        <f t="shared" si="455"/>
        <v>1043569.67</v>
      </c>
      <c r="AC1164" s="225">
        <f t="shared" si="455"/>
        <v>2618877.3199999998</v>
      </c>
      <c r="AD1164" s="225">
        <f t="shared" si="455"/>
        <v>7587274.8370000012</v>
      </c>
      <c r="AE1164" s="225">
        <f t="shared" si="455"/>
        <v>45370910.376207523</v>
      </c>
      <c r="AF1164" s="226">
        <f t="shared" si="455"/>
        <v>305915406.46303034</v>
      </c>
      <c r="AG1164" s="226">
        <f t="shared" si="455"/>
        <v>610001529.93961942</v>
      </c>
    </row>
    <row r="1165" spans="1:33" x14ac:dyDescent="0.2">
      <c r="A1165" s="60"/>
      <c r="D1165" s="17">
        <f>D1163+D1156+D1148+D1139+D1092</f>
        <v>0</v>
      </c>
      <c r="E1165" s="17">
        <f t="shared" ref="E1165:AG1165" si="456">E1163+E1156+E1148+E1139+E1092</f>
        <v>0</v>
      </c>
      <c r="F1165" s="17">
        <f t="shared" si="456"/>
        <v>6</v>
      </c>
      <c r="G1165" s="17">
        <f t="shared" si="456"/>
        <v>0</v>
      </c>
      <c r="H1165" s="17">
        <f t="shared" si="456"/>
        <v>0</v>
      </c>
      <c r="I1165" s="17">
        <f t="shared" si="456"/>
        <v>0</v>
      </c>
      <c r="J1165" s="17">
        <f t="shared" si="456"/>
        <v>0</v>
      </c>
      <c r="K1165" s="17">
        <f t="shared" si="456"/>
        <v>0</v>
      </c>
      <c r="L1165" s="17">
        <f t="shared" si="456"/>
        <v>0</v>
      </c>
      <c r="M1165" s="17">
        <f t="shared" si="456"/>
        <v>0</v>
      </c>
      <c r="N1165" s="17">
        <f t="shared" si="456"/>
        <v>0</v>
      </c>
      <c r="O1165" s="17">
        <f t="shared" si="456"/>
        <v>0</v>
      </c>
      <c r="P1165" s="17">
        <f t="shared" si="456"/>
        <v>0</v>
      </c>
      <c r="Q1165" s="17">
        <f t="shared" si="456"/>
        <v>0</v>
      </c>
      <c r="R1165" s="17">
        <f t="shared" si="456"/>
        <v>0</v>
      </c>
      <c r="S1165" s="17">
        <f t="shared" si="456"/>
        <v>220</v>
      </c>
      <c r="T1165" s="17">
        <f t="shared" si="456"/>
        <v>0</v>
      </c>
      <c r="U1165" s="17">
        <f t="shared" si="456"/>
        <v>0</v>
      </c>
      <c r="V1165" s="17">
        <f t="shared" si="456"/>
        <v>0</v>
      </c>
      <c r="W1165" s="17">
        <f t="shared" si="456"/>
        <v>0</v>
      </c>
      <c r="X1165" s="17">
        <f t="shared" si="456"/>
        <v>0</v>
      </c>
      <c r="Y1165" s="17">
        <f t="shared" si="456"/>
        <v>730046.62</v>
      </c>
      <c r="Z1165" s="17">
        <f t="shared" si="456"/>
        <v>0</v>
      </c>
      <c r="AA1165" s="17">
        <f t="shared" si="456"/>
        <v>18174.549999999996</v>
      </c>
      <c r="AB1165" s="17">
        <f t="shared" si="456"/>
        <v>-750</v>
      </c>
      <c r="AC1165" s="17">
        <f t="shared" si="456"/>
        <v>-59850.240000000005</v>
      </c>
      <c r="AD1165" s="17">
        <f t="shared" si="456"/>
        <v>-750</v>
      </c>
      <c r="AE1165" s="17">
        <f t="shared" si="456"/>
        <v>750.00000000005821</v>
      </c>
      <c r="AF1165" s="17">
        <f t="shared" si="456"/>
        <v>0</v>
      </c>
      <c r="AG1165" s="17">
        <f t="shared" si="456"/>
        <v>0</v>
      </c>
    </row>
    <row r="1166" spans="1:33" ht="13.5" thickBot="1" x14ac:dyDescent="0.25">
      <c r="A1166" s="252" t="s">
        <v>54</v>
      </c>
      <c r="B1166" s="83"/>
      <c r="C1166" s="84"/>
      <c r="D1166" s="85">
        <f>D1164+D1050</f>
        <v>10843</v>
      </c>
      <c r="E1166" s="85"/>
      <c r="F1166" s="86"/>
      <c r="G1166" s="87"/>
      <c r="H1166" s="85">
        <f>H1164+H1050</f>
        <v>80812122</v>
      </c>
      <c r="I1166" s="85">
        <f>I1164+I1050</f>
        <v>78445878.46228829</v>
      </c>
      <c r="J1166" s="85">
        <f>J1164+J1050</f>
        <v>53047388.563922733</v>
      </c>
      <c r="K1166" s="85"/>
      <c r="L1166" s="85">
        <f>L1164+L1050</f>
        <v>52945747</v>
      </c>
      <c r="M1166" s="85">
        <f>M1164+M1050</f>
        <v>53353995</v>
      </c>
      <c r="N1166" s="85">
        <f>N1164+N1050</f>
        <v>39442781.219999999</v>
      </c>
      <c r="O1166" s="88"/>
      <c r="P1166" s="85">
        <f>P1164+P1050</f>
        <v>353990.95600000001</v>
      </c>
      <c r="Q1166" s="85">
        <f>Q1164+Q1050</f>
        <v>353990.95600000001</v>
      </c>
      <c r="R1166" s="85">
        <f>R1164+R1050</f>
        <v>240088.46052999998</v>
      </c>
      <c r="S1166" s="85"/>
      <c r="T1166" s="84"/>
      <c r="U1166" s="85">
        <f>U1164+U1050</f>
        <v>140359462.88719013</v>
      </c>
      <c r="V1166" s="85">
        <f>V1164+V1050</f>
        <v>44278916.105501413</v>
      </c>
      <c r="W1166" s="85">
        <f>W1164+W1050</f>
        <v>5620634.5354708284</v>
      </c>
      <c r="X1166" s="85">
        <f>X1164+X1050</f>
        <v>190259013.52816236</v>
      </c>
      <c r="Y1166" s="97"/>
      <c r="Z1166" s="85">
        <f>Z1164+Z1050</f>
        <v>43490842.980000004</v>
      </c>
      <c r="AA1166" s="253">
        <f t="shared" ref="AA1166:AG1166" si="457">AA1164+AA1050</f>
        <v>8332754.1199999992</v>
      </c>
      <c r="AB1166" s="253">
        <f t="shared" si="457"/>
        <v>2246764.08</v>
      </c>
      <c r="AC1166" s="253">
        <f t="shared" si="457"/>
        <v>10413273.600000001</v>
      </c>
      <c r="AD1166" s="253">
        <f t="shared" si="457"/>
        <v>45737607.060000002</v>
      </c>
      <c r="AE1166" s="253">
        <f t="shared" si="457"/>
        <v>144521406.46816236</v>
      </c>
      <c r="AF1166" s="254">
        <f t="shared" si="457"/>
        <v>964752234.27734149</v>
      </c>
      <c r="AG1166" s="254">
        <f t="shared" si="457"/>
        <v>1418840063.2210054</v>
      </c>
    </row>
    <row r="1167" spans="1:33" ht="14.25" thickTop="1" thickBot="1" x14ac:dyDescent="0.25">
      <c r="A1167" s="257"/>
      <c r="B1167" s="59"/>
      <c r="C1167" s="56"/>
      <c r="D1167" s="17">
        <f>D1165+D1051</f>
        <v>0</v>
      </c>
      <c r="E1167" s="17">
        <f t="shared" ref="E1167:AG1167" si="458">E1165+E1051</f>
        <v>0</v>
      </c>
      <c r="F1167" s="17">
        <f t="shared" si="458"/>
        <v>6</v>
      </c>
      <c r="G1167" s="17">
        <f t="shared" si="458"/>
        <v>0</v>
      </c>
      <c r="H1167" s="17">
        <f t="shared" si="458"/>
        <v>0</v>
      </c>
      <c r="I1167" s="17">
        <f t="shared" si="458"/>
        <v>0</v>
      </c>
      <c r="J1167" s="17">
        <f t="shared" si="458"/>
        <v>0</v>
      </c>
      <c r="K1167" s="17">
        <f t="shared" si="458"/>
        <v>0</v>
      </c>
      <c r="L1167" s="17">
        <f t="shared" si="458"/>
        <v>0</v>
      </c>
      <c r="M1167" s="17">
        <f t="shared" si="458"/>
        <v>0</v>
      </c>
      <c r="N1167" s="17">
        <f t="shared" si="458"/>
        <v>0</v>
      </c>
      <c r="O1167" s="17">
        <f t="shared" si="458"/>
        <v>0</v>
      </c>
      <c r="P1167" s="17">
        <f t="shared" si="458"/>
        <v>0</v>
      </c>
      <c r="Q1167" s="17">
        <f t="shared" si="458"/>
        <v>0</v>
      </c>
      <c r="R1167" s="17">
        <f t="shared" si="458"/>
        <v>0</v>
      </c>
      <c r="S1167" s="17">
        <f t="shared" si="458"/>
        <v>220</v>
      </c>
      <c r="T1167" s="17">
        <f t="shared" si="458"/>
        <v>0</v>
      </c>
      <c r="U1167" s="17">
        <f t="shared" si="458"/>
        <v>0</v>
      </c>
      <c r="V1167" s="17">
        <f t="shared" si="458"/>
        <v>0</v>
      </c>
      <c r="W1167" s="17">
        <f t="shared" si="458"/>
        <v>0</v>
      </c>
      <c r="X1167" s="17">
        <f t="shared" si="458"/>
        <v>0</v>
      </c>
      <c r="Y1167" s="17">
        <f t="shared" si="458"/>
        <v>730046.62</v>
      </c>
      <c r="Z1167" s="17">
        <f t="shared" si="458"/>
        <v>0</v>
      </c>
      <c r="AA1167" s="17">
        <f>AA1165+AA1051</f>
        <v>18174.549999999996</v>
      </c>
      <c r="AB1167" s="17">
        <f t="shared" si="458"/>
        <v>-750</v>
      </c>
      <c r="AC1167" s="17">
        <f t="shared" si="458"/>
        <v>-59850.240000000005</v>
      </c>
      <c r="AD1167" s="17">
        <f t="shared" si="458"/>
        <v>-750</v>
      </c>
      <c r="AE1167" s="17">
        <f t="shared" si="458"/>
        <v>750.00000000005821</v>
      </c>
      <c r="AF1167" s="17">
        <f t="shared" si="458"/>
        <v>0</v>
      </c>
      <c r="AG1167" s="17">
        <f t="shared" si="458"/>
        <v>0</v>
      </c>
    </row>
    <row r="1168" spans="1:33" ht="14.25" thickTop="1" thickBot="1" x14ac:dyDescent="0.25">
      <c r="A1168" s="224" t="s">
        <v>1367</v>
      </c>
      <c r="B1168" s="224"/>
      <c r="C1168" s="135"/>
      <c r="D1168" s="131"/>
      <c r="E1168" s="131"/>
      <c r="F1168" s="132"/>
      <c r="G1168" s="133"/>
      <c r="H1168" s="131"/>
      <c r="I1168" s="131"/>
      <c r="J1168" s="131"/>
      <c r="K1168" s="131"/>
      <c r="L1168" s="131"/>
      <c r="M1168" s="131"/>
      <c r="N1168" s="131"/>
      <c r="O1168" s="131"/>
      <c r="P1168" s="131"/>
      <c r="Q1168" s="131"/>
      <c r="R1168" s="131"/>
      <c r="S1168" s="131"/>
      <c r="T1168" s="250"/>
      <c r="U1168" s="131"/>
      <c r="V1168" s="131"/>
      <c r="W1168" s="131"/>
      <c r="X1168" s="131"/>
      <c r="Y1168" s="136"/>
      <c r="Z1168" s="131"/>
      <c r="AA1168" s="225"/>
      <c r="AB1168" s="225">
        <v>3887946.08</v>
      </c>
      <c r="AC1168" s="225">
        <v>3887946.08</v>
      </c>
      <c r="AD1168" s="225">
        <f>Z1168+AB1168</f>
        <v>3887946.08</v>
      </c>
      <c r="AE1168" s="225">
        <f>X1168-AD1168</f>
        <v>-3887946.08</v>
      </c>
      <c r="AF1168" s="226"/>
      <c r="AG1168" s="226"/>
    </row>
    <row r="1169" spans="1:33" ht="14.25" thickTop="1" thickBot="1" x14ac:dyDescent="0.25">
      <c r="A1169" s="258" t="s">
        <v>1342</v>
      </c>
      <c r="B1169" s="158"/>
      <c r="C1169" s="159"/>
      <c r="D1169" s="160">
        <f>D1166+D14</f>
        <v>359078</v>
      </c>
      <c r="E1169" s="160"/>
      <c r="F1169" s="161"/>
      <c r="G1169" s="162"/>
      <c r="H1169" s="160">
        <f>H1166+H14</f>
        <v>91060028</v>
      </c>
      <c r="I1169" s="160">
        <f>I1166+I14</f>
        <v>88693784.46228829</v>
      </c>
      <c r="J1169" s="160">
        <f>J1166+J14</f>
        <v>56393442.416522734</v>
      </c>
      <c r="K1169" s="160"/>
      <c r="L1169" s="160">
        <f>L1166+L14</f>
        <v>52972952.364799999</v>
      </c>
      <c r="M1169" s="160">
        <f>M1166+M14</f>
        <v>53381200.364799999</v>
      </c>
      <c r="N1169" s="160">
        <f>N1166+N14</f>
        <v>39469986.584799998</v>
      </c>
      <c r="O1169" s="163"/>
      <c r="P1169" s="160">
        <f>P1166+P14</f>
        <v>3405895.9560000002</v>
      </c>
      <c r="Q1169" s="160">
        <f>Q1166+Q14</f>
        <v>3405895.9560000002</v>
      </c>
      <c r="R1169" s="160">
        <f>R1166+R14</f>
        <v>1184788.0244575001</v>
      </c>
      <c r="S1169" s="160"/>
      <c r="T1169" s="159"/>
      <c r="U1169" s="160">
        <f>U1166+U14</f>
        <v>146129685.11938322</v>
      </c>
      <c r="V1169" s="160">
        <f>V1166+V14</f>
        <v>44312667.848651096</v>
      </c>
      <c r="W1169" s="160">
        <f>W1166+W14</f>
        <v>22994985.114162639</v>
      </c>
      <c r="X1169" s="160">
        <f>X1166+X14</f>
        <v>213437338.08219692</v>
      </c>
      <c r="Y1169" s="164"/>
      <c r="Z1169" s="160">
        <f>Z1166+Z14</f>
        <v>44926849.639000006</v>
      </c>
      <c r="AA1169" s="259">
        <f>AA1166+AA14</f>
        <v>10699841.199999999</v>
      </c>
      <c r="AB1169" s="259">
        <f>AB1166+AB14+AB1168</f>
        <v>6671377.8100000005</v>
      </c>
      <c r="AC1169" s="259">
        <f>AC1166+AC14+AC1168</f>
        <v>17204974.410000004</v>
      </c>
      <c r="AD1169" s="259">
        <f>AD1166+AD14+AD1168</f>
        <v>51598227.449000001</v>
      </c>
      <c r="AE1169" s="259">
        <f>AE1166+AE14+AE1168</f>
        <v>161839110.63319692</v>
      </c>
      <c r="AF1169" s="260">
        <f>AF1166+AF14</f>
        <v>1000860922.8033415</v>
      </c>
      <c r="AG1169" s="260">
        <f t="shared" ref="AG1169" si="459">AG1166+AG14</f>
        <v>1523967273.2210054</v>
      </c>
    </row>
    <row r="1170" spans="1:33" ht="13.5" thickTop="1" x14ac:dyDescent="0.2">
      <c r="A1170" s="140"/>
      <c r="M1170" s="70"/>
      <c r="Q1170" s="70"/>
      <c r="AF1170" s="100"/>
      <c r="AG1170" s="100"/>
    </row>
    <row r="1171" spans="1:33" x14ac:dyDescent="0.2">
      <c r="A1171" s="140" t="s">
        <v>78</v>
      </c>
      <c r="M1171" s="70"/>
      <c r="Q1171" s="70"/>
      <c r="AF1171" s="100"/>
      <c r="AG1171" s="100"/>
    </row>
    <row r="1172" spans="1:33" s="68" customFormat="1" x14ac:dyDescent="0.2">
      <c r="A1172" s="140" t="s">
        <v>651</v>
      </c>
      <c r="B1172" s="10" t="s">
        <v>652</v>
      </c>
      <c r="C1172" s="11"/>
      <c r="D1172" s="17"/>
      <c r="E1172" s="17"/>
      <c r="F1172" s="51"/>
      <c r="G1172" s="52"/>
      <c r="H1172" s="17"/>
      <c r="I1172" s="71"/>
      <c r="J1172" s="71"/>
      <c r="K1172" s="16"/>
      <c r="L1172" s="165"/>
      <c r="M1172" s="75"/>
      <c r="N1172" s="75"/>
      <c r="O1172" s="91"/>
      <c r="P1172" s="165"/>
      <c r="Q1172" s="75"/>
      <c r="R1172" s="90"/>
      <c r="S1172" s="166"/>
      <c r="T1172" s="167"/>
      <c r="U1172" s="57"/>
      <c r="V1172" s="57"/>
      <c r="W1172" s="57"/>
      <c r="X1172" s="57"/>
      <c r="Y1172" s="96"/>
      <c r="Z1172" s="77"/>
      <c r="AA1172" s="77"/>
      <c r="AB1172" s="77"/>
      <c r="AC1172" s="77"/>
      <c r="AD1172" s="77"/>
      <c r="AE1172" s="77"/>
      <c r="AF1172" s="102"/>
      <c r="AG1172" s="102"/>
    </row>
    <row r="1173" spans="1:33" s="68" customFormat="1" x14ac:dyDescent="0.2">
      <c r="A1173" s="152" t="s">
        <v>651</v>
      </c>
      <c r="B1173" s="152" t="s">
        <v>653</v>
      </c>
      <c r="C1173" s="152" t="s">
        <v>102</v>
      </c>
      <c r="D1173" s="153">
        <v>1107</v>
      </c>
      <c r="E1173" s="64">
        <v>947.91897693134604</v>
      </c>
      <c r="F1173" s="154">
        <v>0</v>
      </c>
      <c r="G1173" s="154"/>
      <c r="H1173" s="110">
        <f t="shared" ref="H1173:H1175" si="460">D1173*E1173</f>
        <v>1049346.3074630001</v>
      </c>
      <c r="I1173" s="67">
        <f>H1173</f>
        <v>1049346.3074630001</v>
      </c>
      <c r="J1173" s="138">
        <f>I1173*(1-F1173)</f>
        <v>1049346.3074630001</v>
      </c>
      <c r="K1173" s="63"/>
      <c r="L1173" s="111">
        <f>K1173*D1173</f>
        <v>0</v>
      </c>
      <c r="M1173" s="112">
        <f t="shared" ref="M1173:M1175" si="461">L1173</f>
        <v>0</v>
      </c>
      <c r="N1173" s="110">
        <f>(K1173*D1173)*(1-F1173)</f>
        <v>0</v>
      </c>
      <c r="O1173" s="113"/>
      <c r="P1173" s="111">
        <f>O1173*D1173</f>
        <v>0</v>
      </c>
      <c r="Q1173" s="112">
        <f t="shared" ref="Q1173:Q1175" si="462">+P1173</f>
        <v>0</v>
      </c>
      <c r="R1173" s="110">
        <f>(O1173*D1173)*(1-F1173)*(1-G1173)</f>
        <v>0</v>
      </c>
      <c r="S1173" s="107">
        <v>23</v>
      </c>
      <c r="T1173" s="114" t="s">
        <v>15</v>
      </c>
      <c r="U1173" s="65">
        <f>SUMIF('Avoided Costs 2012-2020_EGD'!$A:$A,'2012 Actuals_Auditor'!T1173&amp;'2012 Actuals_Auditor'!S1173,'Avoided Costs 2012-2020_EGD'!$E:$E)*J1173</f>
        <v>3431018.346069247</v>
      </c>
      <c r="V1173" s="65">
        <f>SUMIF('Avoided Costs 2012-2020_EGD'!$A:$A,'2012 Actuals_Auditor'!T1173&amp;'2012 Actuals_Auditor'!S1173,'Avoided Costs 2012-2020_EGD'!$K:$K)*N1173</f>
        <v>0</v>
      </c>
      <c r="W1173" s="65">
        <f>SUMIF('Avoided Costs 2012-2020_EGD'!$A:$A,'2012 Actuals_Auditor'!T1173&amp;'2012 Actuals_Auditor'!S1173,'Avoided Costs 2012-2020_EGD'!$M:$M)*R1173</f>
        <v>0</v>
      </c>
      <c r="X1173" s="115">
        <f t="shared" ref="X1173:X1175" si="463">SUM(U1173:W1173)</f>
        <v>3431018.346069247</v>
      </c>
      <c r="Y1173" s="116">
        <v>3163.035383920509</v>
      </c>
      <c r="Z1173" s="115">
        <f>(Y1173*D1173)*(1-F1173)</f>
        <v>3501480.1700000037</v>
      </c>
      <c r="AA1173" s="117">
        <v>5651387.5899999999</v>
      </c>
      <c r="AB1173" s="117">
        <v>107296.17</v>
      </c>
      <c r="AC1173" s="115">
        <f t="shared" ref="AC1173:AC1175" si="464">AB1173+AA1173</f>
        <v>5758683.7599999998</v>
      </c>
      <c r="AD1173" s="115">
        <f>Z1173+AB1173</f>
        <v>3608776.3400000036</v>
      </c>
      <c r="AE1173" s="117">
        <f>X1173-AD1173</f>
        <v>-177757.99393075658</v>
      </c>
      <c r="AF1173" s="118">
        <f>J1173*S1173</f>
        <v>24134965.071649</v>
      </c>
      <c r="AG1173" s="101">
        <f>(I1173*S1173)</f>
        <v>24134965.071649</v>
      </c>
    </row>
    <row r="1174" spans="1:33" s="68" customFormat="1" x14ac:dyDescent="0.2">
      <c r="A1174" s="168" t="s">
        <v>651</v>
      </c>
      <c r="B1174" s="152" t="s">
        <v>1370</v>
      </c>
      <c r="C1174" s="152" t="s">
        <v>102</v>
      </c>
      <c r="D1174" s="169">
        <v>358</v>
      </c>
      <c r="E1174" s="124">
        <v>93.284916201117312</v>
      </c>
      <c r="F1174" s="154">
        <v>0</v>
      </c>
      <c r="G1174" s="170"/>
      <c r="H1174" s="110">
        <f t="shared" si="460"/>
        <v>33396</v>
      </c>
      <c r="I1174" s="67">
        <f>H1174</f>
        <v>33396</v>
      </c>
      <c r="J1174" s="138">
        <f>I1174*(1-F1174)</f>
        <v>33396</v>
      </c>
      <c r="K1174" s="112"/>
      <c r="L1174" s="111">
        <f>K1174*D1174</f>
        <v>0</v>
      </c>
      <c r="M1174" s="112">
        <f t="shared" si="461"/>
        <v>0</v>
      </c>
      <c r="N1174" s="110">
        <f>(K1174*D1174)*(1-F1174)</f>
        <v>0</v>
      </c>
      <c r="O1174" s="113">
        <v>29.502439944134071</v>
      </c>
      <c r="P1174" s="111">
        <f>O1174*D1174</f>
        <v>10561.873499999998</v>
      </c>
      <c r="Q1174" s="112">
        <f t="shared" si="462"/>
        <v>10561.873499999998</v>
      </c>
      <c r="R1174" s="110">
        <f>(O1174*D1174)*(1-F1174)*(1-G1174)</f>
        <v>10561.873499999998</v>
      </c>
      <c r="S1174" s="107">
        <v>10</v>
      </c>
      <c r="T1174" s="114" t="s">
        <v>52</v>
      </c>
      <c r="U1174" s="65">
        <f>SUMIF('Avoided Costs 2012-2020_EGD'!$A:$A,'2012 Actuals_Auditor'!T1174&amp;'2012 Actuals_Auditor'!S1174,'Avoided Costs 2012-2020_EGD'!$E:$E)*J1174</f>
        <v>53953.688436963443</v>
      </c>
      <c r="V1174" s="65">
        <f>SUMIF('Avoided Costs 2012-2020_EGD'!$A:$A,'2012 Actuals_Auditor'!T1174&amp;'2012 Actuals_Auditor'!S1174,'Avoided Costs 2012-2020_EGD'!$K:$K)*N1174</f>
        <v>0</v>
      </c>
      <c r="W1174" s="65">
        <f>SUMIF('Avoided Costs 2012-2020_EGD'!$A:$A,'2012 Actuals_Auditor'!T1174&amp;'2012 Actuals_Auditor'!S1174,'Avoided Costs 2012-2020_EGD'!$M:$M)*R1174</f>
        <v>194247.674037116</v>
      </c>
      <c r="X1174" s="115">
        <f t="shared" si="463"/>
        <v>248201.36247407945</v>
      </c>
      <c r="Y1174" s="116">
        <v>18.57986033519553</v>
      </c>
      <c r="Z1174" s="115">
        <f>(Y1174*D1174)*(1-F1174)</f>
        <v>6651.59</v>
      </c>
      <c r="AA1174" s="117"/>
      <c r="AB1174" s="117"/>
      <c r="AC1174" s="115">
        <f t="shared" si="464"/>
        <v>0</v>
      </c>
      <c r="AD1174" s="115">
        <f>Z1174+AB1174</f>
        <v>6651.59</v>
      </c>
      <c r="AE1174" s="117">
        <f>X1174-AD1174</f>
        <v>241549.77247407945</v>
      </c>
      <c r="AF1174" s="118">
        <f>J1174*S1174</f>
        <v>333960</v>
      </c>
      <c r="AG1174" s="101">
        <f>(I1174*S1174)</f>
        <v>333960</v>
      </c>
    </row>
    <row r="1175" spans="1:33" s="59" customFormat="1" x14ac:dyDescent="0.2">
      <c r="A1175" s="152" t="s">
        <v>651</v>
      </c>
      <c r="B1175" s="152" t="s">
        <v>1369</v>
      </c>
      <c r="C1175" s="152" t="s">
        <v>102</v>
      </c>
      <c r="D1175" s="171">
        <v>301</v>
      </c>
      <c r="E1175" s="64">
        <v>53</v>
      </c>
      <c r="F1175" s="154">
        <v>0</v>
      </c>
      <c r="G1175" s="154"/>
      <c r="H1175" s="110">
        <f t="shared" si="460"/>
        <v>15953</v>
      </c>
      <c r="I1175" s="67">
        <f>H1175</f>
        <v>15953</v>
      </c>
      <c r="J1175" s="138">
        <f>I1175*(1-F1175)</f>
        <v>15953</v>
      </c>
      <c r="K1175" s="63">
        <v>54</v>
      </c>
      <c r="L1175" s="111">
        <f>K1175*D1175</f>
        <v>16254</v>
      </c>
      <c r="M1175" s="112">
        <f t="shared" si="461"/>
        <v>16254</v>
      </c>
      <c r="N1175" s="110">
        <f>(K1175*D1175)*(1-F1175)</f>
        <v>16254</v>
      </c>
      <c r="O1175" s="113">
        <v>0</v>
      </c>
      <c r="P1175" s="111">
        <f>O1175*D1175</f>
        <v>0</v>
      </c>
      <c r="Q1175" s="112">
        <f t="shared" si="462"/>
        <v>0</v>
      </c>
      <c r="R1175" s="110">
        <f>(O1175*D1175)*(1-F1175)*(1-G1175)</f>
        <v>0</v>
      </c>
      <c r="S1175" s="107">
        <v>15</v>
      </c>
      <c r="T1175" s="114" t="s">
        <v>15</v>
      </c>
      <c r="U1175" s="65">
        <f>SUMIF('Avoided Costs 2012-2020_EGD'!$A:$A,'2012 Actuals_Auditor'!T1175&amp;'2012 Actuals_Auditor'!S1175,'Avoided Costs 2012-2020_EGD'!$E:$E)*J1175</f>
        <v>38764.256539433838</v>
      </c>
      <c r="V1175" s="65">
        <f>SUMIF('Avoided Costs 2012-2020_EGD'!$A:$A,'2012 Actuals_Auditor'!T1175&amp;'2012 Actuals_Auditor'!S1175,'Avoided Costs 2012-2020_EGD'!$K:$K)*N1175</f>
        <v>16738.099804475292</v>
      </c>
      <c r="W1175" s="65">
        <f>SUMIF('Avoided Costs 2012-2020_EGD'!$A:$A,'2012 Actuals_Auditor'!T1175&amp;'2012 Actuals_Auditor'!S1175,'Avoided Costs 2012-2020_EGD'!$M:$M)*R1175</f>
        <v>0</v>
      </c>
      <c r="X1175" s="115">
        <f t="shared" si="463"/>
        <v>55502.35634390913</v>
      </c>
      <c r="Y1175" s="116">
        <v>69.180000000000007</v>
      </c>
      <c r="Z1175" s="115">
        <f>(Y1175*D1175)*(1-F1175)</f>
        <v>20823.18</v>
      </c>
      <c r="AA1175" s="117"/>
      <c r="AB1175" s="117"/>
      <c r="AC1175" s="115">
        <f t="shared" si="464"/>
        <v>0</v>
      </c>
      <c r="AD1175" s="115">
        <f>Z1175+AB1175</f>
        <v>20823.18</v>
      </c>
      <c r="AE1175" s="117">
        <f>X1175-AD1175</f>
        <v>34679.17634390913</v>
      </c>
      <c r="AF1175" s="118">
        <f>J1175*S1175</f>
        <v>239295</v>
      </c>
      <c r="AG1175" s="101">
        <f>(I1175*S1175)</f>
        <v>239295</v>
      </c>
    </row>
    <row r="1176" spans="1:33" x14ac:dyDescent="0.2">
      <c r="A1176" s="152" t="s">
        <v>3</v>
      </c>
      <c r="B1176" s="152" t="s">
        <v>652</v>
      </c>
      <c r="C1176" s="155"/>
      <c r="D1176" s="67">
        <f>D1173</f>
        <v>1107</v>
      </c>
      <c r="E1176" s="67"/>
      <c r="F1176" s="154"/>
      <c r="G1176" s="228"/>
      <c r="H1176" s="67">
        <f>SUM(H1173:H1175)</f>
        <v>1098695.3074630001</v>
      </c>
      <c r="I1176" s="67">
        <f t="shared" ref="I1176:J1176" si="465">SUM(I1173:I1175)</f>
        <v>1098695.3074630001</v>
      </c>
      <c r="J1176" s="67">
        <f t="shared" si="465"/>
        <v>1098695.3074630001</v>
      </c>
      <c r="K1176" s="64"/>
      <c r="L1176" s="67">
        <f t="shared" ref="L1176" si="466">SUM(L1173:L1175)</f>
        <v>16254</v>
      </c>
      <c r="M1176" s="67">
        <f t="shared" ref="M1176" si="467">SUM(M1173:M1175)</f>
        <v>16254</v>
      </c>
      <c r="N1176" s="67">
        <f t="shared" ref="N1176" si="468">SUM(N1173:N1175)</f>
        <v>16254</v>
      </c>
      <c r="O1176" s="229"/>
      <c r="P1176" s="67">
        <f t="shared" ref="P1176:Q1176" si="469">SUM(P1173:P1175)</f>
        <v>10561.873499999998</v>
      </c>
      <c r="Q1176" s="67">
        <f t="shared" si="469"/>
        <v>10561.873499999998</v>
      </c>
      <c r="R1176" s="67">
        <f t="shared" ref="R1176" si="470">SUM(R1173:R1175)</f>
        <v>10561.873499999998</v>
      </c>
      <c r="S1176" s="153"/>
      <c r="T1176" s="155"/>
      <c r="U1176" s="66">
        <f t="shared" ref="U1176" si="471">SUM(U1173:U1175)</f>
        <v>3523736.2910456443</v>
      </c>
      <c r="V1176" s="66">
        <f t="shared" ref="V1176" si="472">SUM(V1173:V1175)</f>
        <v>16738.099804475292</v>
      </c>
      <c r="W1176" s="66">
        <f t="shared" ref="W1176" si="473">SUM(W1173:W1175)</f>
        <v>194247.674037116</v>
      </c>
      <c r="X1176" s="66">
        <f t="shared" ref="X1176" si="474">SUM(X1173:X1175)</f>
        <v>3734722.0648872354</v>
      </c>
      <c r="Y1176" s="146"/>
      <c r="Z1176" s="66">
        <f t="shared" ref="Z1176" si="475">SUM(Z1173:Z1175)</f>
        <v>3528954.9400000037</v>
      </c>
      <c r="AA1176" s="66">
        <f t="shared" ref="AA1176:AB1176" si="476">SUM(AA1173:AA1175)</f>
        <v>5651387.5899999999</v>
      </c>
      <c r="AB1176" s="66">
        <f t="shared" si="476"/>
        <v>107296.17</v>
      </c>
      <c r="AC1176" s="66">
        <f t="shared" ref="AC1176" si="477">SUM(AC1173:AC1175)</f>
        <v>5758683.7599999998</v>
      </c>
      <c r="AD1176" s="66">
        <f t="shared" ref="AD1176" si="478">SUM(AD1173:AD1175)</f>
        <v>3636251.1100000036</v>
      </c>
      <c r="AE1176" s="230">
        <f t="shared" ref="AE1176" si="479">SUM(AE1173:AE1175)</f>
        <v>98470.954887232001</v>
      </c>
      <c r="AF1176" s="101">
        <f t="shared" ref="AF1176" si="480">SUM(AF1173:AF1175)</f>
        <v>24708220.071649</v>
      </c>
      <c r="AG1176" s="101">
        <f t="shared" ref="AG1176" si="481">SUM(AG1173:AG1175)</f>
        <v>24708220.071649</v>
      </c>
    </row>
    <row r="1177" spans="1:33" x14ac:dyDescent="0.2">
      <c r="A1177" s="140"/>
      <c r="F1177" s="17"/>
      <c r="G1177" s="17"/>
      <c r="M1177" s="17"/>
      <c r="O1177" s="17"/>
      <c r="P1177" s="17"/>
      <c r="Q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</row>
    <row r="1178" spans="1:33" s="68" customFormat="1" x14ac:dyDescent="0.2">
      <c r="A1178" s="140" t="s">
        <v>204</v>
      </c>
      <c r="B1178" s="10" t="s">
        <v>45</v>
      </c>
      <c r="C1178" s="11"/>
      <c r="D1178" s="17"/>
      <c r="E1178" s="17"/>
      <c r="F1178" s="51"/>
      <c r="G1178" s="52"/>
      <c r="H1178" s="17"/>
      <c r="I1178" s="17"/>
      <c r="J1178" s="13"/>
      <c r="K1178" s="54"/>
      <c r="L1178" s="54"/>
      <c r="M1178" s="54"/>
      <c r="N1178" s="17"/>
      <c r="O1178" s="21"/>
      <c r="P1178" s="22"/>
      <c r="Q1178" s="54"/>
      <c r="R1178" s="13"/>
      <c r="S1178" s="13"/>
      <c r="T1178" s="11"/>
      <c r="U1178" s="12"/>
      <c r="V1178" s="12"/>
      <c r="W1178" s="12"/>
      <c r="X1178" s="12"/>
      <c r="Y1178" s="61"/>
      <c r="Z1178" s="57"/>
      <c r="AA1178" s="57"/>
      <c r="AB1178" s="12"/>
      <c r="AC1178" s="57"/>
      <c r="AD1178" s="57"/>
      <c r="AE1178" s="57"/>
      <c r="AF1178" s="100"/>
      <c r="AG1178" s="100"/>
    </row>
    <row r="1179" spans="1:33" s="68" customFormat="1" x14ac:dyDescent="0.2">
      <c r="A1179" s="152" t="s">
        <v>205</v>
      </c>
      <c r="B1179" s="152"/>
      <c r="C1179" s="152"/>
      <c r="D1179" s="153">
        <v>0</v>
      </c>
      <c r="E1179" s="64"/>
      <c r="F1179" s="154">
        <v>0</v>
      </c>
      <c r="G1179" s="154"/>
      <c r="H1179" s="67">
        <v>14018</v>
      </c>
      <c r="I1179" s="67">
        <f t="shared" ref="I1179:I1194" si="482">+$H$42*H1179</f>
        <v>13399.619909632904</v>
      </c>
      <c r="J1179" s="67">
        <f t="shared" ref="J1179:J1210" si="483">I1179*(1-F1179)</f>
        <v>13399.619909632904</v>
      </c>
      <c r="K1179" s="63"/>
      <c r="L1179" s="149">
        <v>8480</v>
      </c>
      <c r="M1179" s="63">
        <f t="shared" ref="M1179:M1246" si="484">+$L$42*L1179</f>
        <v>8480</v>
      </c>
      <c r="N1179" s="63">
        <f t="shared" ref="N1179:N1210" si="485">M1179*(1-F1179)</f>
        <v>8480</v>
      </c>
      <c r="O1179" s="69"/>
      <c r="P1179" s="149">
        <v>0</v>
      </c>
      <c r="Q1179" s="63">
        <f t="shared" ref="Q1179:Q1194" si="486">+P1179*$P$42</f>
        <v>0</v>
      </c>
      <c r="R1179" s="64">
        <f t="shared" ref="R1179:R1210" si="487">Q1179*(1-F1179)</f>
        <v>0</v>
      </c>
      <c r="S1179" s="153">
        <v>15</v>
      </c>
      <c r="T1179" s="155" t="s">
        <v>15</v>
      </c>
      <c r="U1179" s="65">
        <f>SUMIF('Avoided Costs 2012-2020_EGD'!$A:$A,'2012 Actuals_Auditor'!T1179&amp;'2012 Actuals_Auditor'!S1179,'Avoided Costs 2012-2020_EGD'!$E:$E)*J1179</f>
        <v>32559.788360052349</v>
      </c>
      <c r="V1179" s="65">
        <f>SUMIF('Avoided Costs 2012-2020_EGD'!$A:$A,'2012 Actuals_Auditor'!T1179&amp;'2012 Actuals_Auditor'!S1179,'Avoided Costs 2012-2020_EGD'!$K:$K)*N1179</f>
        <v>8732.5634515781039</v>
      </c>
      <c r="W1179" s="65">
        <f>SUMIF('Avoided Costs 2012-2020_EGD'!$A:$A,'2012 Actuals_Auditor'!T1179&amp;'2012 Actuals_Auditor'!S1179,'Avoided Costs 2012-2020_EGD'!$M:$M)*R1179</f>
        <v>0</v>
      </c>
      <c r="X1179" s="65">
        <f t="shared" ref="X1179:X1246" si="488">SUM(U1179:W1179)</f>
        <v>41292.351811630455</v>
      </c>
      <c r="Y1179" s="146">
        <v>2811.9</v>
      </c>
      <c r="Z1179" s="66">
        <f t="shared" ref="Z1179:Z1210" si="489">Y1179*(1-F1179)</f>
        <v>2811.9</v>
      </c>
      <c r="AA1179" s="66">
        <v>1401</v>
      </c>
      <c r="AB1179" s="66"/>
      <c r="AC1179" s="66"/>
      <c r="AD1179" s="66">
        <f t="shared" ref="AD1179:AD1210" si="490">Z1179+AB1179</f>
        <v>2811.9</v>
      </c>
      <c r="AE1179" s="66">
        <f t="shared" ref="AE1179:AE1210" si="491">X1179-AD1179</f>
        <v>38480.451811630453</v>
      </c>
      <c r="AF1179" s="101">
        <f t="shared" ref="AF1179:AF1210" si="492">J1179*S1179</f>
        <v>200994.29864449357</v>
      </c>
      <c r="AG1179" s="101">
        <f t="shared" ref="AG1179:AG1210" si="493">(I1179*S1179)</f>
        <v>200994.29864449357</v>
      </c>
    </row>
    <row r="1180" spans="1:33" s="68" customFormat="1" x14ac:dyDescent="0.2">
      <c r="A1180" s="152" t="s">
        <v>206</v>
      </c>
      <c r="B1180" s="152"/>
      <c r="C1180" s="152"/>
      <c r="D1180" s="153">
        <v>1</v>
      </c>
      <c r="E1180" s="64"/>
      <c r="F1180" s="154">
        <v>0</v>
      </c>
      <c r="G1180" s="154"/>
      <c r="H1180" s="67">
        <v>48839</v>
      </c>
      <c r="I1180" s="67">
        <f t="shared" si="482"/>
        <v>46684.551060533697</v>
      </c>
      <c r="J1180" s="67">
        <f t="shared" si="483"/>
        <v>46684.551060533697</v>
      </c>
      <c r="K1180" s="63"/>
      <c r="L1180" s="149">
        <v>0</v>
      </c>
      <c r="M1180" s="63">
        <f t="shared" si="484"/>
        <v>0</v>
      </c>
      <c r="N1180" s="63">
        <f t="shared" si="485"/>
        <v>0</v>
      </c>
      <c r="O1180" s="69"/>
      <c r="P1180" s="149">
        <v>0</v>
      </c>
      <c r="Q1180" s="63">
        <f t="shared" si="486"/>
        <v>0</v>
      </c>
      <c r="R1180" s="64">
        <f t="shared" si="487"/>
        <v>0</v>
      </c>
      <c r="S1180" s="153">
        <v>25</v>
      </c>
      <c r="T1180" s="155" t="s">
        <v>15</v>
      </c>
      <c r="U1180" s="65">
        <f>SUMIF('Avoided Costs 2012-2020_EGD'!$A:$A,'2012 Actuals_Auditor'!T1180&amp;'2012 Actuals_Auditor'!S1180,'Avoided Costs 2012-2020_EGD'!$E:$E)*J1180</f>
        <v>160314.51486834959</v>
      </c>
      <c r="V1180" s="65">
        <f>SUMIF('Avoided Costs 2012-2020_EGD'!$A:$A,'2012 Actuals_Auditor'!T1180&amp;'2012 Actuals_Auditor'!S1180,'Avoided Costs 2012-2020_EGD'!$K:$K)*N1180</f>
        <v>0</v>
      </c>
      <c r="W1180" s="65">
        <f>SUMIF('Avoided Costs 2012-2020_EGD'!$A:$A,'2012 Actuals_Auditor'!T1180&amp;'2012 Actuals_Auditor'!S1180,'Avoided Costs 2012-2020_EGD'!$M:$M)*R1180</f>
        <v>0</v>
      </c>
      <c r="X1180" s="65">
        <f t="shared" si="488"/>
        <v>160314.51486834959</v>
      </c>
      <c r="Y1180" s="146">
        <v>34528</v>
      </c>
      <c r="Z1180" s="66">
        <f t="shared" si="489"/>
        <v>34528</v>
      </c>
      <c r="AA1180" s="66">
        <v>7990</v>
      </c>
      <c r="AB1180" s="66"/>
      <c r="AC1180" s="66"/>
      <c r="AD1180" s="66">
        <f t="shared" si="490"/>
        <v>34528</v>
      </c>
      <c r="AE1180" s="66">
        <f t="shared" si="491"/>
        <v>125786.51486834959</v>
      </c>
      <c r="AF1180" s="101">
        <f t="shared" si="492"/>
        <v>1167113.7765133425</v>
      </c>
      <c r="AG1180" s="101">
        <f t="shared" si="493"/>
        <v>1167113.7765133425</v>
      </c>
    </row>
    <row r="1181" spans="1:33" s="68" customFormat="1" x14ac:dyDescent="0.2">
      <c r="A1181" s="152" t="s">
        <v>207</v>
      </c>
      <c r="B1181" s="152"/>
      <c r="C1181" s="152"/>
      <c r="D1181" s="153">
        <v>0</v>
      </c>
      <c r="E1181" s="64"/>
      <c r="F1181" s="154">
        <v>0</v>
      </c>
      <c r="G1181" s="154"/>
      <c r="H1181" s="67">
        <v>11681</v>
      </c>
      <c r="I1181" s="67">
        <f t="shared" si="482"/>
        <v>11165.712666886999</v>
      </c>
      <c r="J1181" s="67">
        <f t="shared" si="483"/>
        <v>11165.712666886999</v>
      </c>
      <c r="K1181" s="63"/>
      <c r="L1181" s="149">
        <v>0</v>
      </c>
      <c r="M1181" s="63">
        <f t="shared" si="484"/>
        <v>0</v>
      </c>
      <c r="N1181" s="63">
        <f t="shared" si="485"/>
        <v>0</v>
      </c>
      <c r="O1181" s="69"/>
      <c r="P1181" s="149">
        <v>0</v>
      </c>
      <c r="Q1181" s="63">
        <f t="shared" si="486"/>
        <v>0</v>
      </c>
      <c r="R1181" s="64">
        <f t="shared" si="487"/>
        <v>0</v>
      </c>
      <c r="S1181" s="153">
        <v>25</v>
      </c>
      <c r="T1181" s="155" t="s">
        <v>52</v>
      </c>
      <c r="U1181" s="65">
        <f>SUMIF('Avoided Costs 2012-2020_EGD'!$A:$A,'2012 Actuals_Auditor'!T1181&amp;'2012 Actuals_Auditor'!S1181,'Avoided Costs 2012-2020_EGD'!$E:$E)*J1181</f>
        <v>36029.428041408923</v>
      </c>
      <c r="V1181" s="65">
        <f>SUMIF('Avoided Costs 2012-2020_EGD'!$A:$A,'2012 Actuals_Auditor'!T1181&amp;'2012 Actuals_Auditor'!S1181,'Avoided Costs 2012-2020_EGD'!$K:$K)*N1181</f>
        <v>0</v>
      </c>
      <c r="W1181" s="65">
        <f>SUMIF('Avoided Costs 2012-2020_EGD'!$A:$A,'2012 Actuals_Auditor'!T1181&amp;'2012 Actuals_Auditor'!S1181,'Avoided Costs 2012-2020_EGD'!$M:$M)*R1181</f>
        <v>0</v>
      </c>
      <c r="X1181" s="65">
        <f t="shared" si="488"/>
        <v>36029.428041408923</v>
      </c>
      <c r="Y1181" s="146">
        <v>3844</v>
      </c>
      <c r="Z1181" s="66">
        <f t="shared" si="489"/>
        <v>3844</v>
      </c>
      <c r="AA1181" s="66">
        <v>2782</v>
      </c>
      <c r="AB1181" s="66"/>
      <c r="AC1181" s="66"/>
      <c r="AD1181" s="66">
        <f t="shared" si="490"/>
        <v>3844</v>
      </c>
      <c r="AE1181" s="66">
        <f t="shared" si="491"/>
        <v>32185.428041408923</v>
      </c>
      <c r="AF1181" s="101">
        <f t="shared" si="492"/>
        <v>279142.81667217496</v>
      </c>
      <c r="AG1181" s="101">
        <f t="shared" si="493"/>
        <v>279142.81667217496</v>
      </c>
    </row>
    <row r="1182" spans="1:33" s="68" customFormat="1" x14ac:dyDescent="0.2">
      <c r="A1182" s="152" t="s">
        <v>208</v>
      </c>
      <c r="B1182" s="152"/>
      <c r="C1182" s="152"/>
      <c r="D1182" s="153">
        <v>0</v>
      </c>
      <c r="E1182" s="64"/>
      <c r="F1182" s="154">
        <v>0</v>
      </c>
      <c r="G1182" s="154"/>
      <c r="H1182" s="67">
        <v>2865</v>
      </c>
      <c r="I1182" s="67">
        <f t="shared" si="482"/>
        <v>2738.6154259593573</v>
      </c>
      <c r="J1182" s="67">
        <f t="shared" si="483"/>
        <v>2738.6154259593573</v>
      </c>
      <c r="K1182" s="63"/>
      <c r="L1182" s="149">
        <v>3406</v>
      </c>
      <c r="M1182" s="63">
        <f t="shared" si="484"/>
        <v>3406</v>
      </c>
      <c r="N1182" s="63">
        <f t="shared" si="485"/>
        <v>3406</v>
      </c>
      <c r="O1182" s="69"/>
      <c r="P1182" s="149">
        <v>0</v>
      </c>
      <c r="Q1182" s="63">
        <f t="shared" si="486"/>
        <v>0</v>
      </c>
      <c r="R1182" s="64">
        <f t="shared" si="487"/>
        <v>0</v>
      </c>
      <c r="S1182" s="153">
        <v>15</v>
      </c>
      <c r="T1182" s="155" t="s">
        <v>15</v>
      </c>
      <c r="U1182" s="65">
        <f>SUMIF('Avoided Costs 2012-2020_EGD'!$A:$A,'2012 Actuals_Auditor'!T1182&amp;'2012 Actuals_Auditor'!S1182,'Avoided Costs 2012-2020_EGD'!$E:$E)*J1182</f>
        <v>6654.5722393743745</v>
      </c>
      <c r="V1182" s="65">
        <f>SUMIF('Avoided Costs 2012-2020_EGD'!$A:$A,'2012 Actuals_Auditor'!T1182&amp;'2012 Actuals_Auditor'!S1182,'Avoided Costs 2012-2020_EGD'!$K:$K)*N1182</f>
        <v>3507.4423485937523</v>
      </c>
      <c r="W1182" s="65">
        <f>SUMIF('Avoided Costs 2012-2020_EGD'!$A:$A,'2012 Actuals_Auditor'!T1182&amp;'2012 Actuals_Auditor'!S1182,'Avoided Costs 2012-2020_EGD'!$M:$M)*R1182</f>
        <v>0</v>
      </c>
      <c r="X1182" s="65">
        <f t="shared" si="488"/>
        <v>10162.014587968126</v>
      </c>
      <c r="Y1182" s="146">
        <v>5508</v>
      </c>
      <c r="Z1182" s="66">
        <f t="shared" si="489"/>
        <v>5508</v>
      </c>
      <c r="AA1182" s="66">
        <v>287</v>
      </c>
      <c r="AB1182" s="66"/>
      <c r="AC1182" s="66"/>
      <c r="AD1182" s="66">
        <f t="shared" si="490"/>
        <v>5508</v>
      </c>
      <c r="AE1182" s="66">
        <f t="shared" si="491"/>
        <v>4654.0145879681259</v>
      </c>
      <c r="AF1182" s="101">
        <f t="shared" si="492"/>
        <v>41079.231389390356</v>
      </c>
      <c r="AG1182" s="101">
        <f t="shared" si="493"/>
        <v>41079.231389390356</v>
      </c>
    </row>
    <row r="1183" spans="1:33" s="68" customFormat="1" x14ac:dyDescent="0.2">
      <c r="A1183" s="152" t="s">
        <v>209</v>
      </c>
      <c r="B1183" s="152"/>
      <c r="C1183" s="152"/>
      <c r="D1183" s="153">
        <v>1</v>
      </c>
      <c r="E1183" s="64"/>
      <c r="F1183" s="154">
        <v>0</v>
      </c>
      <c r="G1183" s="154"/>
      <c r="H1183" s="67">
        <v>31402</v>
      </c>
      <c r="I1183" s="67">
        <f t="shared" si="482"/>
        <v>30016.754487251565</v>
      </c>
      <c r="J1183" s="67">
        <f t="shared" si="483"/>
        <v>30016.754487251565</v>
      </c>
      <c r="K1183" s="63"/>
      <c r="L1183" s="149">
        <v>0</v>
      </c>
      <c r="M1183" s="63">
        <f t="shared" si="484"/>
        <v>0</v>
      </c>
      <c r="N1183" s="63">
        <f t="shared" si="485"/>
        <v>0</v>
      </c>
      <c r="O1183" s="69"/>
      <c r="P1183" s="149">
        <v>0</v>
      </c>
      <c r="Q1183" s="63">
        <f t="shared" si="486"/>
        <v>0</v>
      </c>
      <c r="R1183" s="64">
        <f t="shared" si="487"/>
        <v>0</v>
      </c>
      <c r="S1183" s="153">
        <v>25</v>
      </c>
      <c r="T1183" s="155" t="s">
        <v>15</v>
      </c>
      <c r="U1183" s="65">
        <f>SUMIF('Avoided Costs 2012-2020_EGD'!$A:$A,'2012 Actuals_Auditor'!T1183&amp;'2012 Actuals_Auditor'!S1183,'Avoided Costs 2012-2020_EGD'!$E:$E)*J1183</f>
        <v>103077.38479280725</v>
      </c>
      <c r="V1183" s="65">
        <f>SUMIF('Avoided Costs 2012-2020_EGD'!$A:$A,'2012 Actuals_Auditor'!T1183&amp;'2012 Actuals_Auditor'!S1183,'Avoided Costs 2012-2020_EGD'!$K:$K)*N1183</f>
        <v>0</v>
      </c>
      <c r="W1183" s="65">
        <f>SUMIF('Avoided Costs 2012-2020_EGD'!$A:$A,'2012 Actuals_Auditor'!T1183&amp;'2012 Actuals_Auditor'!S1183,'Avoided Costs 2012-2020_EGD'!$M:$M)*R1183</f>
        <v>0</v>
      </c>
      <c r="X1183" s="65">
        <f t="shared" si="488"/>
        <v>103077.38479280725</v>
      </c>
      <c r="Y1183" s="146">
        <v>15381</v>
      </c>
      <c r="Z1183" s="66">
        <f t="shared" si="489"/>
        <v>15381</v>
      </c>
      <c r="AA1183" s="66">
        <v>4683</v>
      </c>
      <c r="AB1183" s="66"/>
      <c r="AC1183" s="66"/>
      <c r="AD1183" s="66">
        <f t="shared" si="490"/>
        <v>15381</v>
      </c>
      <c r="AE1183" s="66">
        <f t="shared" si="491"/>
        <v>87696.38479280725</v>
      </c>
      <c r="AF1183" s="101">
        <f t="shared" si="492"/>
        <v>750418.86218128912</v>
      </c>
      <c r="AG1183" s="101">
        <f t="shared" si="493"/>
        <v>750418.86218128912</v>
      </c>
    </row>
    <row r="1184" spans="1:33" s="68" customFormat="1" x14ac:dyDescent="0.2">
      <c r="A1184" s="152" t="s">
        <v>210</v>
      </c>
      <c r="B1184" s="152"/>
      <c r="C1184" s="152"/>
      <c r="D1184" s="153">
        <v>1</v>
      </c>
      <c r="E1184" s="64"/>
      <c r="F1184" s="154">
        <v>0</v>
      </c>
      <c r="G1184" s="154"/>
      <c r="H1184" s="67">
        <v>20595</v>
      </c>
      <c r="I1184" s="67">
        <f t="shared" si="482"/>
        <v>19686.48680545653</v>
      </c>
      <c r="J1184" s="67">
        <f t="shared" si="483"/>
        <v>19686.48680545653</v>
      </c>
      <c r="K1184" s="63"/>
      <c r="L1184" s="149">
        <v>12719</v>
      </c>
      <c r="M1184" s="63">
        <f t="shared" si="484"/>
        <v>12719</v>
      </c>
      <c r="N1184" s="63">
        <f t="shared" si="485"/>
        <v>12719</v>
      </c>
      <c r="O1184" s="69"/>
      <c r="P1184" s="149">
        <v>0</v>
      </c>
      <c r="Q1184" s="63">
        <f t="shared" si="486"/>
        <v>0</v>
      </c>
      <c r="R1184" s="64">
        <f t="shared" si="487"/>
        <v>0</v>
      </c>
      <c r="S1184" s="153">
        <v>15</v>
      </c>
      <c r="T1184" s="155" t="s">
        <v>15</v>
      </c>
      <c r="U1184" s="65">
        <f>SUMIF('Avoided Costs 2012-2020_EGD'!$A:$A,'2012 Actuals_Auditor'!T1184&amp;'2012 Actuals_Auditor'!S1184,'Avoided Costs 2012-2020_EGD'!$E:$E)*J1184</f>
        <v>47836.270600319454</v>
      </c>
      <c r="V1184" s="65">
        <f>SUMIF('Avoided Costs 2012-2020_EGD'!$A:$A,'2012 Actuals_Auditor'!T1184&amp;'2012 Actuals_Auditor'!S1184,'Avoided Costs 2012-2020_EGD'!$K:$K)*N1184</f>
        <v>13097.81539394126</v>
      </c>
      <c r="W1184" s="65">
        <f>SUMIF('Avoided Costs 2012-2020_EGD'!$A:$A,'2012 Actuals_Auditor'!T1184&amp;'2012 Actuals_Auditor'!S1184,'Avoided Costs 2012-2020_EGD'!$M:$M)*R1184</f>
        <v>0</v>
      </c>
      <c r="X1184" s="65">
        <f t="shared" si="488"/>
        <v>60934.085994260713</v>
      </c>
      <c r="Y1184" s="146">
        <v>5398</v>
      </c>
      <c r="Z1184" s="66">
        <f t="shared" si="489"/>
        <v>5398</v>
      </c>
      <c r="AA1184" s="66">
        <v>2060</v>
      </c>
      <c r="AB1184" s="66"/>
      <c r="AC1184" s="66"/>
      <c r="AD1184" s="66">
        <f t="shared" si="490"/>
        <v>5398</v>
      </c>
      <c r="AE1184" s="66">
        <f t="shared" si="491"/>
        <v>55536.085994260713</v>
      </c>
      <c r="AF1184" s="101">
        <f t="shared" si="492"/>
        <v>295297.30208184797</v>
      </c>
      <c r="AG1184" s="101">
        <f t="shared" si="493"/>
        <v>295297.30208184797</v>
      </c>
    </row>
    <row r="1185" spans="1:33" s="68" customFormat="1" x14ac:dyDescent="0.2">
      <c r="A1185" s="152" t="s">
        <v>211</v>
      </c>
      <c r="B1185" s="152"/>
      <c r="C1185" s="152"/>
      <c r="D1185" s="153">
        <v>1</v>
      </c>
      <c r="E1185" s="64"/>
      <c r="F1185" s="154">
        <v>0</v>
      </c>
      <c r="G1185" s="154"/>
      <c r="H1185" s="67">
        <v>11134</v>
      </c>
      <c r="I1185" s="67">
        <f t="shared" si="482"/>
        <v>10642.842636171546</v>
      </c>
      <c r="J1185" s="67">
        <f t="shared" si="483"/>
        <v>10642.842636171546</v>
      </c>
      <c r="K1185" s="63"/>
      <c r="L1185" s="149">
        <v>0</v>
      </c>
      <c r="M1185" s="63">
        <f t="shared" si="484"/>
        <v>0</v>
      </c>
      <c r="N1185" s="63">
        <f t="shared" si="485"/>
        <v>0</v>
      </c>
      <c r="O1185" s="69"/>
      <c r="P1185" s="149">
        <v>0</v>
      </c>
      <c r="Q1185" s="63">
        <f t="shared" si="486"/>
        <v>0</v>
      </c>
      <c r="R1185" s="64">
        <f t="shared" si="487"/>
        <v>0</v>
      </c>
      <c r="S1185" s="153">
        <v>25</v>
      </c>
      <c r="T1185" s="155" t="s">
        <v>15</v>
      </c>
      <c r="U1185" s="65">
        <f>SUMIF('Avoided Costs 2012-2020_EGD'!$A:$A,'2012 Actuals_Auditor'!T1185&amp;'2012 Actuals_Auditor'!S1185,'Avoided Costs 2012-2020_EGD'!$E:$E)*J1185</f>
        <v>36547.468386826185</v>
      </c>
      <c r="V1185" s="65">
        <f>SUMIF('Avoided Costs 2012-2020_EGD'!$A:$A,'2012 Actuals_Auditor'!T1185&amp;'2012 Actuals_Auditor'!S1185,'Avoided Costs 2012-2020_EGD'!$K:$K)*N1185</f>
        <v>0</v>
      </c>
      <c r="W1185" s="65">
        <f>SUMIF('Avoided Costs 2012-2020_EGD'!$A:$A,'2012 Actuals_Auditor'!T1185&amp;'2012 Actuals_Auditor'!S1185,'Avoided Costs 2012-2020_EGD'!$M:$M)*R1185</f>
        <v>0</v>
      </c>
      <c r="X1185" s="65">
        <f t="shared" si="488"/>
        <v>36547.468386826185</v>
      </c>
      <c r="Y1185" s="146">
        <v>16459</v>
      </c>
      <c r="Z1185" s="66">
        <f t="shared" si="489"/>
        <v>16459</v>
      </c>
      <c r="AA1185" s="66">
        <v>2390</v>
      </c>
      <c r="AB1185" s="66"/>
      <c r="AC1185" s="66"/>
      <c r="AD1185" s="66">
        <f t="shared" si="490"/>
        <v>16459</v>
      </c>
      <c r="AE1185" s="66">
        <f t="shared" si="491"/>
        <v>20088.468386826185</v>
      </c>
      <c r="AF1185" s="101">
        <f t="shared" si="492"/>
        <v>266071.06590428867</v>
      </c>
      <c r="AG1185" s="101">
        <f t="shared" si="493"/>
        <v>266071.06590428867</v>
      </c>
    </row>
    <row r="1186" spans="1:33" s="68" customFormat="1" x14ac:dyDescent="0.2">
      <c r="A1186" s="152" t="s">
        <v>212</v>
      </c>
      <c r="B1186" s="152"/>
      <c r="C1186" s="152"/>
      <c r="D1186" s="153">
        <v>0</v>
      </c>
      <c r="E1186" s="64"/>
      <c r="F1186" s="154">
        <v>0</v>
      </c>
      <c r="G1186" s="154"/>
      <c r="H1186" s="67">
        <v>105088</v>
      </c>
      <c r="I1186" s="67">
        <f t="shared" si="482"/>
        <v>100452.22264684709</v>
      </c>
      <c r="J1186" s="67">
        <f t="shared" si="483"/>
        <v>100452.22264684709</v>
      </c>
      <c r="K1186" s="63"/>
      <c r="L1186" s="149">
        <v>0</v>
      </c>
      <c r="M1186" s="63">
        <f t="shared" si="484"/>
        <v>0</v>
      </c>
      <c r="N1186" s="63">
        <f t="shared" si="485"/>
        <v>0</v>
      </c>
      <c r="O1186" s="69"/>
      <c r="P1186" s="149">
        <v>0</v>
      </c>
      <c r="Q1186" s="63">
        <f t="shared" si="486"/>
        <v>0</v>
      </c>
      <c r="R1186" s="64">
        <f t="shared" si="487"/>
        <v>0</v>
      </c>
      <c r="S1186" s="153">
        <v>15</v>
      </c>
      <c r="T1186" s="155" t="s">
        <v>15</v>
      </c>
      <c r="U1186" s="65">
        <f>SUMIF('Avoided Costs 2012-2020_EGD'!$A:$A,'2012 Actuals_Auditor'!T1186&amp;'2012 Actuals_Auditor'!S1186,'Avoided Costs 2012-2020_EGD'!$E:$E)*J1186</f>
        <v>244089.24519768736</v>
      </c>
      <c r="V1186" s="65">
        <f>SUMIF('Avoided Costs 2012-2020_EGD'!$A:$A,'2012 Actuals_Auditor'!T1186&amp;'2012 Actuals_Auditor'!S1186,'Avoided Costs 2012-2020_EGD'!$K:$K)*N1186</f>
        <v>0</v>
      </c>
      <c r="W1186" s="65">
        <f>SUMIF('Avoided Costs 2012-2020_EGD'!$A:$A,'2012 Actuals_Auditor'!T1186&amp;'2012 Actuals_Auditor'!S1186,'Avoided Costs 2012-2020_EGD'!$M:$M)*R1186</f>
        <v>0</v>
      </c>
      <c r="X1186" s="65">
        <f t="shared" si="488"/>
        <v>244089.24519768736</v>
      </c>
      <c r="Y1186" s="146">
        <v>112050</v>
      </c>
      <c r="Z1186" s="66">
        <f t="shared" si="489"/>
        <v>112050</v>
      </c>
      <c r="AA1186" s="66">
        <v>10508</v>
      </c>
      <c r="AB1186" s="66"/>
      <c r="AC1186" s="66"/>
      <c r="AD1186" s="66">
        <f t="shared" si="490"/>
        <v>112050</v>
      </c>
      <c r="AE1186" s="66">
        <f t="shared" si="491"/>
        <v>132039.24519768736</v>
      </c>
      <c r="AF1186" s="101">
        <f t="shared" si="492"/>
        <v>1506783.3397027063</v>
      </c>
      <c r="AG1186" s="101">
        <f t="shared" si="493"/>
        <v>1506783.3397027063</v>
      </c>
    </row>
    <row r="1187" spans="1:33" s="68" customFormat="1" x14ac:dyDescent="0.2">
      <c r="A1187" s="152" t="s">
        <v>213</v>
      </c>
      <c r="B1187" s="152"/>
      <c r="C1187" s="152"/>
      <c r="D1187" s="153">
        <v>1</v>
      </c>
      <c r="E1187" s="64"/>
      <c r="F1187" s="154">
        <v>0</v>
      </c>
      <c r="G1187" s="154"/>
      <c r="H1187" s="67">
        <v>22366</v>
      </c>
      <c r="I1187" s="67">
        <f t="shared" si="482"/>
        <v>21379.362169984986</v>
      </c>
      <c r="J1187" s="67">
        <f t="shared" si="483"/>
        <v>21379.362169984986</v>
      </c>
      <c r="K1187" s="63"/>
      <c r="L1187" s="149">
        <v>17535</v>
      </c>
      <c r="M1187" s="63">
        <f t="shared" si="484"/>
        <v>17535</v>
      </c>
      <c r="N1187" s="63">
        <f t="shared" si="485"/>
        <v>17535</v>
      </c>
      <c r="O1187" s="69"/>
      <c r="P1187" s="149">
        <v>0</v>
      </c>
      <c r="Q1187" s="63">
        <f t="shared" si="486"/>
        <v>0</v>
      </c>
      <c r="R1187" s="64">
        <f t="shared" si="487"/>
        <v>0</v>
      </c>
      <c r="S1187" s="153">
        <v>15</v>
      </c>
      <c r="T1187" s="155" t="s">
        <v>15</v>
      </c>
      <c r="U1187" s="65">
        <f>SUMIF('Avoided Costs 2012-2020_EGD'!$A:$A,'2012 Actuals_Auditor'!T1187&amp;'2012 Actuals_Auditor'!S1187,'Avoided Costs 2012-2020_EGD'!$E:$E)*J1187</f>
        <v>51949.795010766939</v>
      </c>
      <c r="V1187" s="65">
        <f>SUMIF('Avoided Costs 2012-2020_EGD'!$A:$A,'2012 Actuals_Auditor'!T1187&amp;'2012 Actuals_Auditor'!S1187,'Avoided Costs 2012-2020_EGD'!$K:$K)*N1187</f>
        <v>18057.252373045052</v>
      </c>
      <c r="W1187" s="65">
        <f>SUMIF('Avoided Costs 2012-2020_EGD'!$A:$A,'2012 Actuals_Auditor'!T1187&amp;'2012 Actuals_Auditor'!S1187,'Avoided Costs 2012-2020_EGD'!$M:$M)*R1187</f>
        <v>0</v>
      </c>
      <c r="X1187" s="65">
        <f t="shared" si="488"/>
        <v>70007.047383811994</v>
      </c>
      <c r="Y1187" s="146">
        <v>1000</v>
      </c>
      <c r="Z1187" s="66">
        <f t="shared" si="489"/>
        <v>1000</v>
      </c>
      <c r="AA1187" s="66">
        <v>2237</v>
      </c>
      <c r="AB1187" s="66"/>
      <c r="AC1187" s="66"/>
      <c r="AD1187" s="66">
        <f t="shared" si="490"/>
        <v>1000</v>
      </c>
      <c r="AE1187" s="66">
        <f t="shared" si="491"/>
        <v>69007.047383811994</v>
      </c>
      <c r="AF1187" s="101">
        <f t="shared" si="492"/>
        <v>320690.43254977482</v>
      </c>
      <c r="AG1187" s="101">
        <f t="shared" si="493"/>
        <v>320690.43254977482</v>
      </c>
    </row>
    <row r="1188" spans="1:33" s="68" customFormat="1" x14ac:dyDescent="0.2">
      <c r="A1188" s="152" t="s">
        <v>214</v>
      </c>
      <c r="B1188" s="152"/>
      <c r="C1188" s="152"/>
      <c r="D1188" s="153">
        <v>1</v>
      </c>
      <c r="E1188" s="64"/>
      <c r="F1188" s="154">
        <v>0</v>
      </c>
      <c r="G1188" s="154"/>
      <c r="H1188" s="67">
        <v>28217</v>
      </c>
      <c r="I1188" s="67">
        <f t="shared" si="482"/>
        <v>26972.255313890117</v>
      </c>
      <c r="J1188" s="67">
        <f t="shared" si="483"/>
        <v>26972.255313890117</v>
      </c>
      <c r="K1188" s="63"/>
      <c r="L1188" s="149">
        <v>17535</v>
      </c>
      <c r="M1188" s="63">
        <f t="shared" si="484"/>
        <v>17535</v>
      </c>
      <c r="N1188" s="63">
        <f t="shared" si="485"/>
        <v>17535</v>
      </c>
      <c r="O1188" s="69"/>
      <c r="P1188" s="149">
        <v>0</v>
      </c>
      <c r="Q1188" s="63">
        <f t="shared" si="486"/>
        <v>0</v>
      </c>
      <c r="R1188" s="64">
        <f t="shared" si="487"/>
        <v>0</v>
      </c>
      <c r="S1188" s="153">
        <v>15</v>
      </c>
      <c r="T1188" s="155" t="s">
        <v>15</v>
      </c>
      <c r="U1188" s="65">
        <f>SUMIF('Avoided Costs 2012-2020_EGD'!$A:$A,'2012 Actuals_Auditor'!T1188&amp;'2012 Actuals_Auditor'!S1188,'Avoided Costs 2012-2020_EGD'!$E:$E)*J1188</f>
        <v>65539.987741161167</v>
      </c>
      <c r="V1188" s="65">
        <f>SUMIF('Avoided Costs 2012-2020_EGD'!$A:$A,'2012 Actuals_Auditor'!T1188&amp;'2012 Actuals_Auditor'!S1188,'Avoided Costs 2012-2020_EGD'!$K:$K)*N1188</f>
        <v>18057.252373045052</v>
      </c>
      <c r="W1188" s="65">
        <f>SUMIF('Avoided Costs 2012-2020_EGD'!$A:$A,'2012 Actuals_Auditor'!T1188&amp;'2012 Actuals_Auditor'!S1188,'Avoided Costs 2012-2020_EGD'!$M:$M)*R1188</f>
        <v>0</v>
      </c>
      <c r="X1188" s="65">
        <f t="shared" si="488"/>
        <v>83597.240114206215</v>
      </c>
      <c r="Y1188" s="146">
        <v>1000</v>
      </c>
      <c r="Z1188" s="66">
        <f t="shared" si="489"/>
        <v>1000</v>
      </c>
      <c r="AA1188" s="66">
        <v>2822</v>
      </c>
      <c r="AB1188" s="66"/>
      <c r="AC1188" s="66"/>
      <c r="AD1188" s="66">
        <f t="shared" si="490"/>
        <v>1000</v>
      </c>
      <c r="AE1188" s="66">
        <f t="shared" si="491"/>
        <v>82597.240114206215</v>
      </c>
      <c r="AF1188" s="101">
        <f t="shared" si="492"/>
        <v>404583.82970835175</v>
      </c>
      <c r="AG1188" s="101">
        <f t="shared" si="493"/>
        <v>404583.82970835175</v>
      </c>
    </row>
    <row r="1189" spans="1:33" s="68" customFormat="1" x14ac:dyDescent="0.2">
      <c r="A1189" s="152" t="s">
        <v>215</v>
      </c>
      <c r="B1189" s="152"/>
      <c r="C1189" s="152"/>
      <c r="D1189" s="153">
        <v>1</v>
      </c>
      <c r="E1189" s="64"/>
      <c r="F1189" s="154">
        <v>0</v>
      </c>
      <c r="G1189" s="154"/>
      <c r="H1189" s="67">
        <v>28217</v>
      </c>
      <c r="I1189" s="67">
        <f t="shared" si="482"/>
        <v>26972.255313890117</v>
      </c>
      <c r="J1189" s="67">
        <f t="shared" si="483"/>
        <v>26972.255313890117</v>
      </c>
      <c r="K1189" s="63"/>
      <c r="L1189" s="149">
        <v>17535</v>
      </c>
      <c r="M1189" s="63">
        <f t="shared" si="484"/>
        <v>17535</v>
      </c>
      <c r="N1189" s="63">
        <f t="shared" si="485"/>
        <v>17535</v>
      </c>
      <c r="O1189" s="69"/>
      <c r="P1189" s="149">
        <v>0</v>
      </c>
      <c r="Q1189" s="63">
        <f t="shared" si="486"/>
        <v>0</v>
      </c>
      <c r="R1189" s="64">
        <f t="shared" si="487"/>
        <v>0</v>
      </c>
      <c r="S1189" s="153">
        <v>15</v>
      </c>
      <c r="T1189" s="155" t="s">
        <v>15</v>
      </c>
      <c r="U1189" s="65">
        <f>SUMIF('Avoided Costs 2012-2020_EGD'!$A:$A,'2012 Actuals_Auditor'!T1189&amp;'2012 Actuals_Auditor'!S1189,'Avoided Costs 2012-2020_EGD'!$E:$E)*J1189</f>
        <v>65539.987741161167</v>
      </c>
      <c r="V1189" s="65">
        <f>SUMIF('Avoided Costs 2012-2020_EGD'!$A:$A,'2012 Actuals_Auditor'!T1189&amp;'2012 Actuals_Auditor'!S1189,'Avoided Costs 2012-2020_EGD'!$K:$K)*N1189</f>
        <v>18057.252373045052</v>
      </c>
      <c r="W1189" s="65">
        <f>SUMIF('Avoided Costs 2012-2020_EGD'!$A:$A,'2012 Actuals_Auditor'!T1189&amp;'2012 Actuals_Auditor'!S1189,'Avoided Costs 2012-2020_EGD'!$M:$M)*R1189</f>
        <v>0</v>
      </c>
      <c r="X1189" s="65">
        <f t="shared" si="488"/>
        <v>83597.240114206215</v>
      </c>
      <c r="Y1189" s="146">
        <v>1000</v>
      </c>
      <c r="Z1189" s="66">
        <f t="shared" si="489"/>
        <v>1000</v>
      </c>
      <c r="AA1189" s="66">
        <v>2822</v>
      </c>
      <c r="AB1189" s="66"/>
      <c r="AC1189" s="66"/>
      <c r="AD1189" s="66">
        <f t="shared" si="490"/>
        <v>1000</v>
      </c>
      <c r="AE1189" s="66">
        <f t="shared" si="491"/>
        <v>82597.240114206215</v>
      </c>
      <c r="AF1189" s="101">
        <f t="shared" si="492"/>
        <v>404583.82970835175</v>
      </c>
      <c r="AG1189" s="101">
        <f t="shared" si="493"/>
        <v>404583.82970835175</v>
      </c>
    </row>
    <row r="1190" spans="1:33" s="68" customFormat="1" x14ac:dyDescent="0.2">
      <c r="A1190" s="152" t="s">
        <v>216</v>
      </c>
      <c r="B1190" s="152"/>
      <c r="C1190" s="152"/>
      <c r="D1190" s="153">
        <v>1</v>
      </c>
      <c r="E1190" s="64"/>
      <c r="F1190" s="154">
        <v>0</v>
      </c>
      <c r="G1190" s="154"/>
      <c r="H1190" s="67">
        <v>4930</v>
      </c>
      <c r="I1190" s="67">
        <f t="shared" si="482"/>
        <v>4712.521483413484</v>
      </c>
      <c r="J1190" s="67">
        <f t="shared" si="483"/>
        <v>4712.521483413484</v>
      </c>
      <c r="K1190" s="63"/>
      <c r="L1190" s="149">
        <v>0</v>
      </c>
      <c r="M1190" s="63">
        <f t="shared" si="484"/>
        <v>0</v>
      </c>
      <c r="N1190" s="63">
        <f t="shared" si="485"/>
        <v>0</v>
      </c>
      <c r="O1190" s="69"/>
      <c r="P1190" s="149">
        <v>0</v>
      </c>
      <c r="Q1190" s="63">
        <f t="shared" si="486"/>
        <v>0</v>
      </c>
      <c r="R1190" s="64">
        <f t="shared" si="487"/>
        <v>0</v>
      </c>
      <c r="S1190" s="153">
        <v>25</v>
      </c>
      <c r="T1190" s="155" t="s">
        <v>52</v>
      </c>
      <c r="U1190" s="65">
        <f>SUMIF('Avoided Costs 2012-2020_EGD'!$A:$A,'2012 Actuals_Auditor'!T1190&amp;'2012 Actuals_Auditor'!S1190,'Avoided Costs 2012-2020_EGD'!$E:$E)*J1190</f>
        <v>15206.324821859942</v>
      </c>
      <c r="V1190" s="65">
        <f>SUMIF('Avoided Costs 2012-2020_EGD'!$A:$A,'2012 Actuals_Auditor'!T1190&amp;'2012 Actuals_Auditor'!S1190,'Avoided Costs 2012-2020_EGD'!$K:$K)*N1190</f>
        <v>0</v>
      </c>
      <c r="W1190" s="65">
        <f>SUMIF('Avoided Costs 2012-2020_EGD'!$A:$A,'2012 Actuals_Auditor'!T1190&amp;'2012 Actuals_Auditor'!S1190,'Avoided Costs 2012-2020_EGD'!$M:$M)*R1190</f>
        <v>0</v>
      </c>
      <c r="X1190" s="65">
        <f t="shared" si="488"/>
        <v>15206.324821859942</v>
      </c>
      <c r="Y1190" s="146">
        <v>9716</v>
      </c>
      <c r="Z1190" s="66">
        <f t="shared" si="489"/>
        <v>9716</v>
      </c>
      <c r="AA1190" s="66">
        <v>1155</v>
      </c>
      <c r="AB1190" s="66"/>
      <c r="AC1190" s="66"/>
      <c r="AD1190" s="66">
        <f t="shared" si="490"/>
        <v>9716</v>
      </c>
      <c r="AE1190" s="66">
        <f t="shared" si="491"/>
        <v>5490.3248218599419</v>
      </c>
      <c r="AF1190" s="101">
        <f t="shared" si="492"/>
        <v>117813.0370853371</v>
      </c>
      <c r="AG1190" s="101">
        <f t="shared" si="493"/>
        <v>117813.0370853371</v>
      </c>
    </row>
    <row r="1191" spans="1:33" s="68" customFormat="1" x14ac:dyDescent="0.2">
      <c r="A1191" s="152" t="s">
        <v>217</v>
      </c>
      <c r="B1191" s="152"/>
      <c r="C1191" s="152"/>
      <c r="D1191" s="153">
        <v>1</v>
      </c>
      <c r="E1191" s="64"/>
      <c r="F1191" s="154">
        <v>0</v>
      </c>
      <c r="G1191" s="154"/>
      <c r="H1191" s="67">
        <v>1855</v>
      </c>
      <c r="I1191" s="67">
        <f t="shared" si="482"/>
        <v>1773.1698482215036</v>
      </c>
      <c r="J1191" s="67">
        <f t="shared" si="483"/>
        <v>1773.1698482215036</v>
      </c>
      <c r="K1191" s="63"/>
      <c r="L1191" s="149">
        <v>0</v>
      </c>
      <c r="M1191" s="63">
        <f t="shared" si="484"/>
        <v>0</v>
      </c>
      <c r="N1191" s="63">
        <f t="shared" si="485"/>
        <v>0</v>
      </c>
      <c r="O1191" s="69"/>
      <c r="P1191" s="149">
        <v>0</v>
      </c>
      <c r="Q1191" s="63">
        <f t="shared" si="486"/>
        <v>0</v>
      </c>
      <c r="R1191" s="64">
        <f t="shared" si="487"/>
        <v>0</v>
      </c>
      <c r="S1191" s="153">
        <v>15</v>
      </c>
      <c r="T1191" s="155" t="s">
        <v>15</v>
      </c>
      <c r="U1191" s="65">
        <f>SUMIF('Avoided Costs 2012-2020_EGD'!$A:$A,'2012 Actuals_Auditor'!T1191&amp;'2012 Actuals_Auditor'!S1191,'Avoided Costs 2012-2020_EGD'!$E:$E)*J1191</f>
        <v>4308.6322876228496</v>
      </c>
      <c r="V1191" s="65">
        <f>SUMIF('Avoided Costs 2012-2020_EGD'!$A:$A,'2012 Actuals_Auditor'!T1191&amp;'2012 Actuals_Auditor'!S1191,'Avoided Costs 2012-2020_EGD'!$K:$K)*N1191</f>
        <v>0</v>
      </c>
      <c r="W1191" s="65">
        <f>SUMIF('Avoided Costs 2012-2020_EGD'!$A:$A,'2012 Actuals_Auditor'!T1191&amp;'2012 Actuals_Auditor'!S1191,'Avoided Costs 2012-2020_EGD'!$M:$M)*R1191</f>
        <v>0</v>
      </c>
      <c r="X1191" s="65">
        <f t="shared" si="488"/>
        <v>4308.6322876228496</v>
      </c>
      <c r="Y1191" s="146">
        <v>2590</v>
      </c>
      <c r="Z1191" s="66">
        <f t="shared" si="489"/>
        <v>2590</v>
      </c>
      <c r="AA1191" s="66">
        <v>278.25</v>
      </c>
      <c r="AB1191" s="66"/>
      <c r="AC1191" s="66"/>
      <c r="AD1191" s="66">
        <f t="shared" si="490"/>
        <v>2590</v>
      </c>
      <c r="AE1191" s="66">
        <f t="shared" si="491"/>
        <v>1718.6322876228496</v>
      </c>
      <c r="AF1191" s="101">
        <f t="shared" si="492"/>
        <v>26597.547723322554</v>
      </c>
      <c r="AG1191" s="101">
        <f t="shared" si="493"/>
        <v>26597.547723322554</v>
      </c>
    </row>
    <row r="1192" spans="1:33" s="68" customFormat="1" x14ac:dyDescent="0.2">
      <c r="A1192" s="152" t="s">
        <v>218</v>
      </c>
      <c r="B1192" s="152"/>
      <c r="C1192" s="152"/>
      <c r="D1192" s="153">
        <v>1</v>
      </c>
      <c r="E1192" s="64"/>
      <c r="F1192" s="154">
        <v>0</v>
      </c>
      <c r="G1192" s="154"/>
      <c r="H1192" s="67">
        <v>4774</v>
      </c>
      <c r="I1192" s="67">
        <f t="shared" si="482"/>
        <v>4563.403156554964</v>
      </c>
      <c r="J1192" s="67">
        <f t="shared" si="483"/>
        <v>4563.403156554964</v>
      </c>
      <c r="K1192" s="63"/>
      <c r="L1192" s="149">
        <v>0</v>
      </c>
      <c r="M1192" s="63">
        <f t="shared" si="484"/>
        <v>0</v>
      </c>
      <c r="N1192" s="63">
        <f t="shared" si="485"/>
        <v>0</v>
      </c>
      <c r="O1192" s="69"/>
      <c r="P1192" s="149">
        <v>0</v>
      </c>
      <c r="Q1192" s="63">
        <f t="shared" si="486"/>
        <v>0</v>
      </c>
      <c r="R1192" s="64">
        <f t="shared" si="487"/>
        <v>0</v>
      </c>
      <c r="S1192" s="153">
        <v>25</v>
      </c>
      <c r="T1192" s="155" t="s">
        <v>15</v>
      </c>
      <c r="U1192" s="65">
        <f>SUMIF('Avoided Costs 2012-2020_EGD'!$A:$A,'2012 Actuals_Auditor'!T1192&amp;'2012 Actuals_Auditor'!S1192,'Avoided Costs 2012-2020_EGD'!$E:$E)*J1192</f>
        <v>15670.703617631421</v>
      </c>
      <c r="V1192" s="65">
        <f>SUMIF('Avoided Costs 2012-2020_EGD'!$A:$A,'2012 Actuals_Auditor'!T1192&amp;'2012 Actuals_Auditor'!S1192,'Avoided Costs 2012-2020_EGD'!$K:$K)*N1192</f>
        <v>0</v>
      </c>
      <c r="W1192" s="65">
        <f>SUMIF('Avoided Costs 2012-2020_EGD'!$A:$A,'2012 Actuals_Auditor'!T1192&amp;'2012 Actuals_Auditor'!S1192,'Avoided Costs 2012-2020_EGD'!$M:$M)*R1192</f>
        <v>0</v>
      </c>
      <c r="X1192" s="65">
        <f t="shared" si="488"/>
        <v>15670.703617631421</v>
      </c>
      <c r="Y1192" s="146">
        <v>5000</v>
      </c>
      <c r="Z1192" s="66">
        <f t="shared" si="489"/>
        <v>5000</v>
      </c>
      <c r="AA1192" s="66">
        <v>1408</v>
      </c>
      <c r="AB1192" s="66"/>
      <c r="AC1192" s="66"/>
      <c r="AD1192" s="66">
        <f t="shared" si="490"/>
        <v>5000</v>
      </c>
      <c r="AE1192" s="66">
        <f t="shared" si="491"/>
        <v>10670.703617631421</v>
      </c>
      <c r="AF1192" s="101">
        <f t="shared" si="492"/>
        <v>114085.07891387409</v>
      </c>
      <c r="AG1192" s="101">
        <f t="shared" si="493"/>
        <v>114085.07891387409</v>
      </c>
    </row>
    <row r="1193" spans="1:33" s="68" customFormat="1" x14ac:dyDescent="0.2">
      <c r="A1193" s="152" t="s">
        <v>219</v>
      </c>
      <c r="B1193" s="152"/>
      <c r="C1193" s="152"/>
      <c r="D1193" s="153">
        <v>0</v>
      </c>
      <c r="E1193" s="64"/>
      <c r="F1193" s="154">
        <v>0</v>
      </c>
      <c r="G1193" s="154"/>
      <c r="H1193" s="67">
        <v>7409</v>
      </c>
      <c r="I1193" s="67">
        <f t="shared" si="482"/>
        <v>7082.1646390690676</v>
      </c>
      <c r="J1193" s="67">
        <f t="shared" si="483"/>
        <v>7082.1646390690676</v>
      </c>
      <c r="K1193" s="63"/>
      <c r="L1193" s="149">
        <v>-12071</v>
      </c>
      <c r="M1193" s="63">
        <f t="shared" si="484"/>
        <v>-12071</v>
      </c>
      <c r="N1193" s="63">
        <f t="shared" si="485"/>
        <v>-12071</v>
      </c>
      <c r="O1193" s="69"/>
      <c r="P1193" s="149">
        <v>0</v>
      </c>
      <c r="Q1193" s="63">
        <f t="shared" si="486"/>
        <v>0</v>
      </c>
      <c r="R1193" s="64">
        <f t="shared" si="487"/>
        <v>0</v>
      </c>
      <c r="S1193" s="153">
        <v>15</v>
      </c>
      <c r="T1193" s="155" t="s">
        <v>15</v>
      </c>
      <c r="U1193" s="65">
        <f>SUMIF('Avoided Costs 2012-2020_EGD'!$A:$A,'2012 Actuals_Auditor'!T1193&amp;'2012 Actuals_Auditor'!S1193,'Avoided Costs 2012-2020_EGD'!$E:$E)*J1193</f>
        <v>17208.979309432721</v>
      </c>
      <c r="V1193" s="65">
        <f>SUMIF('Avoided Costs 2012-2020_EGD'!$A:$A,'2012 Actuals_Auditor'!T1193&amp;'2012 Actuals_Auditor'!S1193,'Avoided Costs 2012-2020_EGD'!$K:$K)*N1193</f>
        <v>-12430.51573396218</v>
      </c>
      <c r="W1193" s="65">
        <f>SUMIF('Avoided Costs 2012-2020_EGD'!$A:$A,'2012 Actuals_Auditor'!T1193&amp;'2012 Actuals_Auditor'!S1193,'Avoided Costs 2012-2020_EGD'!$M:$M)*R1193</f>
        <v>0</v>
      </c>
      <c r="X1193" s="65">
        <f t="shared" si="488"/>
        <v>4778.4635754705414</v>
      </c>
      <c r="Y1193" s="146">
        <v>4000</v>
      </c>
      <c r="Z1193" s="66">
        <f t="shared" si="489"/>
        <v>4000</v>
      </c>
      <c r="AA1193" s="66">
        <v>1111</v>
      </c>
      <c r="AB1193" s="66"/>
      <c r="AC1193" s="66"/>
      <c r="AD1193" s="66">
        <f t="shared" si="490"/>
        <v>4000</v>
      </c>
      <c r="AE1193" s="66">
        <f t="shared" si="491"/>
        <v>778.4635754705414</v>
      </c>
      <c r="AF1193" s="101">
        <f t="shared" si="492"/>
        <v>106232.46958603601</v>
      </c>
      <c r="AG1193" s="101">
        <f t="shared" si="493"/>
        <v>106232.46958603601</v>
      </c>
    </row>
    <row r="1194" spans="1:33" s="68" customFormat="1" x14ac:dyDescent="0.2">
      <c r="A1194" s="152" t="s">
        <v>220</v>
      </c>
      <c r="B1194" s="152"/>
      <c r="C1194" s="152"/>
      <c r="D1194" s="153">
        <v>1</v>
      </c>
      <c r="E1194" s="64"/>
      <c r="F1194" s="154">
        <v>0</v>
      </c>
      <c r="G1194" s="154"/>
      <c r="H1194" s="67">
        <v>16130</v>
      </c>
      <c r="I1194" s="67">
        <f t="shared" si="482"/>
        <v>15418.452642486713</v>
      </c>
      <c r="J1194" s="67">
        <f t="shared" si="483"/>
        <v>15418.452642486713</v>
      </c>
      <c r="K1194" s="63"/>
      <c r="L1194" s="149">
        <v>0</v>
      </c>
      <c r="M1194" s="63">
        <f t="shared" si="484"/>
        <v>0</v>
      </c>
      <c r="N1194" s="63">
        <f t="shared" si="485"/>
        <v>0</v>
      </c>
      <c r="O1194" s="69"/>
      <c r="P1194" s="149">
        <v>0</v>
      </c>
      <c r="Q1194" s="63">
        <f t="shared" si="486"/>
        <v>0</v>
      </c>
      <c r="R1194" s="64">
        <f t="shared" si="487"/>
        <v>0</v>
      </c>
      <c r="S1194" s="153">
        <v>25</v>
      </c>
      <c r="T1194" s="155" t="s">
        <v>15</v>
      </c>
      <c r="U1194" s="65">
        <f>SUMIF('Avoided Costs 2012-2020_EGD'!$A:$A,'2012 Actuals_Auditor'!T1194&amp;'2012 Actuals_Auditor'!S1194,'Avoided Costs 2012-2020_EGD'!$E:$E)*J1194</f>
        <v>52946.889265269128</v>
      </c>
      <c r="V1194" s="65">
        <f>SUMIF('Avoided Costs 2012-2020_EGD'!$A:$A,'2012 Actuals_Auditor'!T1194&amp;'2012 Actuals_Auditor'!S1194,'Avoided Costs 2012-2020_EGD'!$K:$K)*N1194</f>
        <v>0</v>
      </c>
      <c r="W1194" s="65">
        <f>SUMIF('Avoided Costs 2012-2020_EGD'!$A:$A,'2012 Actuals_Auditor'!T1194&amp;'2012 Actuals_Auditor'!S1194,'Avoided Costs 2012-2020_EGD'!$M:$M)*R1194</f>
        <v>0</v>
      </c>
      <c r="X1194" s="65">
        <f t="shared" si="488"/>
        <v>52946.889265269128</v>
      </c>
      <c r="Y1194" s="146">
        <v>34134</v>
      </c>
      <c r="Z1194" s="66">
        <f t="shared" si="489"/>
        <v>34134</v>
      </c>
      <c r="AA1194" s="66">
        <v>3379</v>
      </c>
      <c r="AB1194" s="66"/>
      <c r="AC1194" s="66"/>
      <c r="AD1194" s="66">
        <f t="shared" si="490"/>
        <v>34134</v>
      </c>
      <c r="AE1194" s="66">
        <f t="shared" si="491"/>
        <v>18812.889265269128</v>
      </c>
      <c r="AF1194" s="101">
        <f t="shared" si="492"/>
        <v>385461.31606216781</v>
      </c>
      <c r="AG1194" s="101">
        <f t="shared" si="493"/>
        <v>385461.31606216781</v>
      </c>
    </row>
    <row r="1195" spans="1:33" s="68" customFormat="1" x14ac:dyDescent="0.2">
      <c r="A1195" s="152" t="s">
        <v>221</v>
      </c>
      <c r="B1195" s="152"/>
      <c r="C1195" s="152"/>
      <c r="D1195" s="153">
        <v>0</v>
      </c>
      <c r="E1195" s="64"/>
      <c r="F1195" s="154">
        <v>0</v>
      </c>
      <c r="G1195" s="154"/>
      <c r="H1195" s="67">
        <v>3721</v>
      </c>
      <c r="I1195" s="67">
        <f t="shared" ref="I1195:I1202" si="494">H1195</f>
        <v>3721</v>
      </c>
      <c r="J1195" s="67">
        <f t="shared" si="483"/>
        <v>3721</v>
      </c>
      <c r="K1195" s="63"/>
      <c r="L1195" s="149">
        <v>0</v>
      </c>
      <c r="M1195" s="63">
        <f t="shared" ref="M1195:M1202" si="495">L1195</f>
        <v>0</v>
      </c>
      <c r="N1195" s="63">
        <f t="shared" si="485"/>
        <v>0</v>
      </c>
      <c r="O1195" s="69"/>
      <c r="P1195" s="149">
        <v>0</v>
      </c>
      <c r="Q1195" s="63">
        <f t="shared" ref="Q1195:Q1202" si="496">+P1195</f>
        <v>0</v>
      </c>
      <c r="R1195" s="64">
        <f t="shared" si="487"/>
        <v>0</v>
      </c>
      <c r="S1195" s="153">
        <v>25</v>
      </c>
      <c r="T1195" s="155" t="s">
        <v>52</v>
      </c>
      <c r="U1195" s="65">
        <f>SUMIF('Avoided Costs 2012-2020_EGD'!$A:$A,'2012 Actuals_Auditor'!T1195&amp;'2012 Actuals_Auditor'!S1195,'Avoided Costs 2012-2020_EGD'!$E:$E)*J1195</f>
        <v>12006.891610211931</v>
      </c>
      <c r="V1195" s="65">
        <f>SUMIF('Avoided Costs 2012-2020_EGD'!$A:$A,'2012 Actuals_Auditor'!T1195&amp;'2012 Actuals_Auditor'!S1195,'Avoided Costs 2012-2020_EGD'!$K:$K)*N1195</f>
        <v>0</v>
      </c>
      <c r="W1195" s="65">
        <f>SUMIF('Avoided Costs 2012-2020_EGD'!$A:$A,'2012 Actuals_Auditor'!T1195&amp;'2012 Actuals_Auditor'!S1195,'Avoided Costs 2012-2020_EGD'!$M:$M)*R1195</f>
        <v>0</v>
      </c>
      <c r="X1195" s="65">
        <f t="shared" si="488"/>
        <v>12006.891610211931</v>
      </c>
      <c r="Y1195" s="146">
        <v>9000</v>
      </c>
      <c r="Z1195" s="66">
        <f t="shared" si="489"/>
        <v>9000</v>
      </c>
      <c r="AA1195" s="66">
        <v>800</v>
      </c>
      <c r="AB1195" s="66"/>
      <c r="AC1195" s="66"/>
      <c r="AD1195" s="66">
        <f t="shared" si="490"/>
        <v>9000</v>
      </c>
      <c r="AE1195" s="66">
        <f t="shared" si="491"/>
        <v>3006.891610211931</v>
      </c>
      <c r="AF1195" s="101">
        <f t="shared" si="492"/>
        <v>93025</v>
      </c>
      <c r="AG1195" s="101">
        <f t="shared" si="493"/>
        <v>93025</v>
      </c>
    </row>
    <row r="1196" spans="1:33" s="68" customFormat="1" x14ac:dyDescent="0.2">
      <c r="A1196" s="152" t="s">
        <v>222</v>
      </c>
      <c r="B1196" s="152"/>
      <c r="C1196" s="152"/>
      <c r="D1196" s="153">
        <v>1</v>
      </c>
      <c r="E1196" s="64"/>
      <c r="F1196" s="154">
        <v>0</v>
      </c>
      <c r="G1196" s="154"/>
      <c r="H1196" s="67">
        <v>25406</v>
      </c>
      <c r="I1196" s="67">
        <f t="shared" si="494"/>
        <v>25406</v>
      </c>
      <c r="J1196" s="67">
        <f t="shared" si="483"/>
        <v>25406</v>
      </c>
      <c r="K1196" s="63"/>
      <c r="L1196" s="149">
        <v>0</v>
      </c>
      <c r="M1196" s="63">
        <f t="shared" si="495"/>
        <v>0</v>
      </c>
      <c r="N1196" s="63">
        <f t="shared" si="485"/>
        <v>0</v>
      </c>
      <c r="O1196" s="69"/>
      <c r="P1196" s="149">
        <v>0</v>
      </c>
      <c r="Q1196" s="63">
        <f t="shared" si="496"/>
        <v>0</v>
      </c>
      <c r="R1196" s="64">
        <f t="shared" si="487"/>
        <v>0</v>
      </c>
      <c r="S1196" s="153">
        <v>25</v>
      </c>
      <c r="T1196" s="155" t="s">
        <v>15</v>
      </c>
      <c r="U1196" s="65">
        <f>SUMIF('Avoided Costs 2012-2020_EGD'!$A:$A,'2012 Actuals_Auditor'!T1196&amp;'2012 Actuals_Auditor'!S1196,'Avoided Costs 2012-2020_EGD'!$E:$E)*J1196</f>
        <v>87244.076942371859</v>
      </c>
      <c r="V1196" s="65">
        <f>SUMIF('Avoided Costs 2012-2020_EGD'!$A:$A,'2012 Actuals_Auditor'!T1196&amp;'2012 Actuals_Auditor'!S1196,'Avoided Costs 2012-2020_EGD'!$K:$K)*N1196</f>
        <v>0</v>
      </c>
      <c r="W1196" s="65">
        <f>SUMIF('Avoided Costs 2012-2020_EGD'!$A:$A,'2012 Actuals_Auditor'!T1196&amp;'2012 Actuals_Auditor'!S1196,'Avoided Costs 2012-2020_EGD'!$M:$M)*R1196</f>
        <v>0</v>
      </c>
      <c r="X1196" s="65">
        <f t="shared" si="488"/>
        <v>87244.076942371859</v>
      </c>
      <c r="Y1196" s="146">
        <v>22300</v>
      </c>
      <c r="Z1196" s="66">
        <f t="shared" si="489"/>
        <v>22300</v>
      </c>
      <c r="AA1196" s="66">
        <v>3100</v>
      </c>
      <c r="AB1196" s="66"/>
      <c r="AC1196" s="66"/>
      <c r="AD1196" s="66">
        <f t="shared" si="490"/>
        <v>22300</v>
      </c>
      <c r="AE1196" s="66">
        <f t="shared" si="491"/>
        <v>64944.076942371859</v>
      </c>
      <c r="AF1196" s="101">
        <f t="shared" si="492"/>
        <v>635150</v>
      </c>
      <c r="AG1196" s="101">
        <f t="shared" si="493"/>
        <v>635150</v>
      </c>
    </row>
    <row r="1197" spans="1:33" s="68" customFormat="1" x14ac:dyDescent="0.2">
      <c r="A1197" s="152" t="s">
        <v>223</v>
      </c>
      <c r="B1197" s="152"/>
      <c r="C1197" s="152"/>
      <c r="D1197" s="153">
        <v>1</v>
      </c>
      <c r="E1197" s="64"/>
      <c r="F1197" s="154">
        <v>0</v>
      </c>
      <c r="G1197" s="154"/>
      <c r="H1197" s="67">
        <v>38805</v>
      </c>
      <c r="I1197" s="67">
        <f t="shared" si="494"/>
        <v>38805</v>
      </c>
      <c r="J1197" s="67">
        <f t="shared" si="483"/>
        <v>38805</v>
      </c>
      <c r="K1197" s="63"/>
      <c r="L1197" s="149">
        <v>0</v>
      </c>
      <c r="M1197" s="63">
        <f t="shared" si="495"/>
        <v>0</v>
      </c>
      <c r="N1197" s="63">
        <f t="shared" si="485"/>
        <v>0</v>
      </c>
      <c r="O1197" s="69"/>
      <c r="P1197" s="149">
        <v>0</v>
      </c>
      <c r="Q1197" s="63">
        <f t="shared" si="496"/>
        <v>0</v>
      </c>
      <c r="R1197" s="64">
        <f t="shared" si="487"/>
        <v>0</v>
      </c>
      <c r="S1197" s="153">
        <v>25</v>
      </c>
      <c r="T1197" s="155" t="s">
        <v>15</v>
      </c>
      <c r="U1197" s="65">
        <f>SUMIF('Avoided Costs 2012-2020_EGD'!$A:$A,'2012 Actuals_Auditor'!T1197&amp;'2012 Actuals_Auditor'!S1197,'Avoided Costs 2012-2020_EGD'!$E:$E)*J1197</f>
        <v>133256.17593280092</v>
      </c>
      <c r="V1197" s="65">
        <f>SUMIF('Avoided Costs 2012-2020_EGD'!$A:$A,'2012 Actuals_Auditor'!T1197&amp;'2012 Actuals_Auditor'!S1197,'Avoided Costs 2012-2020_EGD'!$K:$K)*N1197</f>
        <v>0</v>
      </c>
      <c r="W1197" s="65">
        <f>SUMIF('Avoided Costs 2012-2020_EGD'!$A:$A,'2012 Actuals_Auditor'!T1197&amp;'2012 Actuals_Auditor'!S1197,'Avoided Costs 2012-2020_EGD'!$M:$M)*R1197</f>
        <v>0</v>
      </c>
      <c r="X1197" s="65">
        <f t="shared" si="488"/>
        <v>133256.17593280092</v>
      </c>
      <c r="Y1197" s="146">
        <v>25100</v>
      </c>
      <c r="Z1197" s="66">
        <f t="shared" si="489"/>
        <v>25100</v>
      </c>
      <c r="AA1197" s="66">
        <v>5000</v>
      </c>
      <c r="AB1197" s="66"/>
      <c r="AC1197" s="66"/>
      <c r="AD1197" s="66">
        <f t="shared" si="490"/>
        <v>25100</v>
      </c>
      <c r="AE1197" s="66">
        <f t="shared" si="491"/>
        <v>108156.17593280092</v>
      </c>
      <c r="AF1197" s="101">
        <f t="shared" si="492"/>
        <v>970125</v>
      </c>
      <c r="AG1197" s="101">
        <f t="shared" si="493"/>
        <v>970125</v>
      </c>
    </row>
    <row r="1198" spans="1:33" s="68" customFormat="1" x14ac:dyDescent="0.2">
      <c r="A1198" s="152" t="s">
        <v>224</v>
      </c>
      <c r="B1198" s="152"/>
      <c r="C1198" s="152"/>
      <c r="D1198" s="153">
        <v>1</v>
      </c>
      <c r="E1198" s="64"/>
      <c r="F1198" s="154">
        <v>0</v>
      </c>
      <c r="G1198" s="154"/>
      <c r="H1198" s="67">
        <v>24283</v>
      </c>
      <c r="I1198" s="67">
        <f t="shared" si="494"/>
        <v>24283</v>
      </c>
      <c r="J1198" s="67">
        <f t="shared" si="483"/>
        <v>24283</v>
      </c>
      <c r="K1198" s="63"/>
      <c r="L1198" s="149">
        <v>0</v>
      </c>
      <c r="M1198" s="63">
        <f t="shared" si="495"/>
        <v>0</v>
      </c>
      <c r="N1198" s="63">
        <f t="shared" si="485"/>
        <v>0</v>
      </c>
      <c r="O1198" s="69"/>
      <c r="P1198" s="149">
        <v>0</v>
      </c>
      <c r="Q1198" s="63">
        <f t="shared" si="496"/>
        <v>0</v>
      </c>
      <c r="R1198" s="64">
        <f t="shared" si="487"/>
        <v>0</v>
      </c>
      <c r="S1198" s="153">
        <v>25</v>
      </c>
      <c r="T1198" s="155" t="s">
        <v>15</v>
      </c>
      <c r="U1198" s="65">
        <f>SUMIF('Avoided Costs 2012-2020_EGD'!$A:$A,'2012 Actuals_Auditor'!T1198&amp;'2012 Actuals_Auditor'!S1198,'Avoided Costs 2012-2020_EGD'!$E:$E)*J1198</f>
        <v>83387.700558593075</v>
      </c>
      <c r="V1198" s="65">
        <f>SUMIF('Avoided Costs 2012-2020_EGD'!$A:$A,'2012 Actuals_Auditor'!T1198&amp;'2012 Actuals_Auditor'!S1198,'Avoided Costs 2012-2020_EGD'!$K:$K)*N1198</f>
        <v>0</v>
      </c>
      <c r="W1198" s="65">
        <f>SUMIF('Avoided Costs 2012-2020_EGD'!$A:$A,'2012 Actuals_Auditor'!T1198&amp;'2012 Actuals_Auditor'!S1198,'Avoided Costs 2012-2020_EGD'!$M:$M)*R1198</f>
        <v>0</v>
      </c>
      <c r="X1198" s="65">
        <f t="shared" si="488"/>
        <v>83387.700558593075</v>
      </c>
      <c r="Y1198" s="146">
        <v>20600</v>
      </c>
      <c r="Z1198" s="66">
        <f t="shared" si="489"/>
        <v>20600</v>
      </c>
      <c r="AA1198" s="66">
        <v>2800</v>
      </c>
      <c r="AB1198" s="66"/>
      <c r="AC1198" s="66"/>
      <c r="AD1198" s="66">
        <f t="shared" si="490"/>
        <v>20600</v>
      </c>
      <c r="AE1198" s="66">
        <f t="shared" si="491"/>
        <v>62787.700558593075</v>
      </c>
      <c r="AF1198" s="101">
        <f t="shared" si="492"/>
        <v>607075</v>
      </c>
      <c r="AG1198" s="101">
        <f t="shared" si="493"/>
        <v>607075</v>
      </c>
    </row>
    <row r="1199" spans="1:33" s="68" customFormat="1" x14ac:dyDescent="0.2">
      <c r="A1199" s="152" t="s">
        <v>225</v>
      </c>
      <c r="B1199" s="152"/>
      <c r="C1199" s="152"/>
      <c r="D1199" s="153">
        <v>0</v>
      </c>
      <c r="E1199" s="64"/>
      <c r="F1199" s="154">
        <v>0</v>
      </c>
      <c r="G1199" s="154"/>
      <c r="H1199" s="67">
        <v>19189</v>
      </c>
      <c r="I1199" s="67">
        <f t="shared" si="494"/>
        <v>19189</v>
      </c>
      <c r="J1199" s="67">
        <f t="shared" si="483"/>
        <v>19189</v>
      </c>
      <c r="K1199" s="63"/>
      <c r="L1199" s="149">
        <v>0</v>
      </c>
      <c r="M1199" s="63">
        <f t="shared" si="495"/>
        <v>0</v>
      </c>
      <c r="N1199" s="63">
        <f t="shared" si="485"/>
        <v>0</v>
      </c>
      <c r="O1199" s="69"/>
      <c r="P1199" s="149">
        <v>0</v>
      </c>
      <c r="Q1199" s="63">
        <f t="shared" si="496"/>
        <v>0</v>
      </c>
      <c r="R1199" s="64">
        <f t="shared" si="487"/>
        <v>0</v>
      </c>
      <c r="S1199" s="153">
        <v>25</v>
      </c>
      <c r="T1199" s="155" t="s">
        <v>15</v>
      </c>
      <c r="U1199" s="65">
        <f>SUMIF('Avoided Costs 2012-2020_EGD'!$A:$A,'2012 Actuals_Auditor'!T1199&amp;'2012 Actuals_Auditor'!S1199,'Avoided Costs 2012-2020_EGD'!$E:$E)*J1199</f>
        <v>65894.930034132631</v>
      </c>
      <c r="V1199" s="65">
        <f>SUMIF('Avoided Costs 2012-2020_EGD'!$A:$A,'2012 Actuals_Auditor'!T1199&amp;'2012 Actuals_Auditor'!S1199,'Avoided Costs 2012-2020_EGD'!$K:$K)*N1199</f>
        <v>0</v>
      </c>
      <c r="W1199" s="65">
        <f>SUMIF('Avoided Costs 2012-2020_EGD'!$A:$A,'2012 Actuals_Auditor'!T1199&amp;'2012 Actuals_Auditor'!S1199,'Avoided Costs 2012-2020_EGD'!$M:$M)*R1199</f>
        <v>0</v>
      </c>
      <c r="X1199" s="65">
        <f t="shared" si="488"/>
        <v>65894.930034132631</v>
      </c>
      <c r="Y1199" s="146">
        <v>7400</v>
      </c>
      <c r="Z1199" s="66">
        <f t="shared" si="489"/>
        <v>7400</v>
      </c>
      <c r="AA1199" s="66">
        <v>2200</v>
      </c>
      <c r="AB1199" s="66"/>
      <c r="AC1199" s="66"/>
      <c r="AD1199" s="66">
        <f t="shared" si="490"/>
        <v>7400</v>
      </c>
      <c r="AE1199" s="66">
        <f t="shared" si="491"/>
        <v>58494.930034132631</v>
      </c>
      <c r="AF1199" s="101">
        <f t="shared" si="492"/>
        <v>479725</v>
      </c>
      <c r="AG1199" s="101">
        <f t="shared" si="493"/>
        <v>479725</v>
      </c>
    </row>
    <row r="1200" spans="1:33" s="68" customFormat="1" x14ac:dyDescent="0.2">
      <c r="A1200" s="152" t="s">
        <v>226</v>
      </c>
      <c r="B1200" s="152"/>
      <c r="C1200" s="152"/>
      <c r="D1200" s="153">
        <v>1</v>
      </c>
      <c r="E1200" s="64"/>
      <c r="F1200" s="154">
        <v>0</v>
      </c>
      <c r="G1200" s="154"/>
      <c r="H1200" s="67">
        <v>19189</v>
      </c>
      <c r="I1200" s="67">
        <f t="shared" si="494"/>
        <v>19189</v>
      </c>
      <c r="J1200" s="67">
        <f t="shared" si="483"/>
        <v>19189</v>
      </c>
      <c r="K1200" s="63"/>
      <c r="L1200" s="149">
        <v>0</v>
      </c>
      <c r="M1200" s="63">
        <f t="shared" si="495"/>
        <v>0</v>
      </c>
      <c r="N1200" s="63">
        <f t="shared" si="485"/>
        <v>0</v>
      </c>
      <c r="O1200" s="69"/>
      <c r="P1200" s="149">
        <v>0</v>
      </c>
      <c r="Q1200" s="63">
        <f t="shared" si="496"/>
        <v>0</v>
      </c>
      <c r="R1200" s="64">
        <f t="shared" si="487"/>
        <v>0</v>
      </c>
      <c r="S1200" s="153">
        <v>25</v>
      </c>
      <c r="T1200" s="155" t="s">
        <v>15</v>
      </c>
      <c r="U1200" s="65">
        <f>SUMIF('Avoided Costs 2012-2020_EGD'!$A:$A,'2012 Actuals_Auditor'!T1200&amp;'2012 Actuals_Auditor'!S1200,'Avoided Costs 2012-2020_EGD'!$E:$E)*J1200</f>
        <v>65894.930034132631</v>
      </c>
      <c r="V1200" s="65">
        <f>SUMIF('Avoided Costs 2012-2020_EGD'!$A:$A,'2012 Actuals_Auditor'!T1200&amp;'2012 Actuals_Auditor'!S1200,'Avoided Costs 2012-2020_EGD'!$K:$K)*N1200</f>
        <v>0</v>
      </c>
      <c r="W1200" s="65">
        <f>SUMIF('Avoided Costs 2012-2020_EGD'!$A:$A,'2012 Actuals_Auditor'!T1200&amp;'2012 Actuals_Auditor'!S1200,'Avoided Costs 2012-2020_EGD'!$M:$M)*R1200</f>
        <v>0</v>
      </c>
      <c r="X1200" s="65">
        <f t="shared" si="488"/>
        <v>65894.930034132631</v>
      </c>
      <c r="Y1200" s="146">
        <v>7400</v>
      </c>
      <c r="Z1200" s="66">
        <f t="shared" si="489"/>
        <v>7400</v>
      </c>
      <c r="AA1200" s="66">
        <v>2200</v>
      </c>
      <c r="AB1200" s="66"/>
      <c r="AC1200" s="66"/>
      <c r="AD1200" s="66">
        <f t="shared" si="490"/>
        <v>7400</v>
      </c>
      <c r="AE1200" s="66">
        <f t="shared" si="491"/>
        <v>58494.930034132631</v>
      </c>
      <c r="AF1200" s="101">
        <f t="shared" si="492"/>
        <v>479725</v>
      </c>
      <c r="AG1200" s="101">
        <f t="shared" si="493"/>
        <v>479725</v>
      </c>
    </row>
    <row r="1201" spans="1:33" s="68" customFormat="1" x14ac:dyDescent="0.2">
      <c r="A1201" s="152" t="s">
        <v>227</v>
      </c>
      <c r="B1201" s="152"/>
      <c r="C1201" s="152"/>
      <c r="D1201" s="153">
        <v>0</v>
      </c>
      <c r="E1201" s="64"/>
      <c r="F1201" s="154">
        <v>0</v>
      </c>
      <c r="G1201" s="154"/>
      <c r="H1201" s="67">
        <v>12141</v>
      </c>
      <c r="I1201" s="67">
        <f t="shared" si="494"/>
        <v>12141</v>
      </c>
      <c r="J1201" s="67">
        <f t="shared" si="483"/>
        <v>12141</v>
      </c>
      <c r="K1201" s="63"/>
      <c r="L1201" s="149">
        <v>0</v>
      </c>
      <c r="M1201" s="63">
        <f t="shared" si="495"/>
        <v>0</v>
      </c>
      <c r="N1201" s="63">
        <f t="shared" si="485"/>
        <v>0</v>
      </c>
      <c r="O1201" s="69"/>
      <c r="P1201" s="149">
        <v>0</v>
      </c>
      <c r="Q1201" s="63">
        <f t="shared" si="496"/>
        <v>0</v>
      </c>
      <c r="R1201" s="64">
        <f t="shared" si="487"/>
        <v>0</v>
      </c>
      <c r="S1201" s="153">
        <v>25</v>
      </c>
      <c r="T1201" s="155" t="s">
        <v>15</v>
      </c>
      <c r="U1201" s="65">
        <f>SUMIF('Avoided Costs 2012-2020_EGD'!$A:$A,'2012 Actuals_Auditor'!T1201&amp;'2012 Actuals_Auditor'!S1201,'Avoided Costs 2012-2020_EGD'!$E:$E)*J1201</f>
        <v>41692.133281797083</v>
      </c>
      <c r="V1201" s="65">
        <f>SUMIF('Avoided Costs 2012-2020_EGD'!$A:$A,'2012 Actuals_Auditor'!T1201&amp;'2012 Actuals_Auditor'!S1201,'Avoided Costs 2012-2020_EGD'!$K:$K)*N1201</f>
        <v>0</v>
      </c>
      <c r="W1201" s="65">
        <f>SUMIF('Avoided Costs 2012-2020_EGD'!$A:$A,'2012 Actuals_Auditor'!T1201&amp;'2012 Actuals_Auditor'!S1201,'Avoided Costs 2012-2020_EGD'!$M:$M)*R1201</f>
        <v>0</v>
      </c>
      <c r="X1201" s="65">
        <f t="shared" si="488"/>
        <v>41692.133281797083</v>
      </c>
      <c r="Y1201" s="146">
        <v>10300</v>
      </c>
      <c r="Z1201" s="66">
        <f t="shared" si="489"/>
        <v>10300</v>
      </c>
      <c r="AA1201" s="66">
        <v>1400</v>
      </c>
      <c r="AB1201" s="66"/>
      <c r="AC1201" s="66"/>
      <c r="AD1201" s="66">
        <f t="shared" si="490"/>
        <v>10300</v>
      </c>
      <c r="AE1201" s="66">
        <f t="shared" si="491"/>
        <v>31392.133281797083</v>
      </c>
      <c r="AF1201" s="101">
        <f t="shared" si="492"/>
        <v>303525</v>
      </c>
      <c r="AG1201" s="101">
        <f t="shared" si="493"/>
        <v>303525</v>
      </c>
    </row>
    <row r="1202" spans="1:33" s="68" customFormat="1" x14ac:dyDescent="0.2">
      <c r="A1202" s="152" t="s">
        <v>228</v>
      </c>
      <c r="B1202" s="152"/>
      <c r="C1202" s="152"/>
      <c r="D1202" s="153">
        <v>1</v>
      </c>
      <c r="E1202" s="64"/>
      <c r="F1202" s="154">
        <v>0</v>
      </c>
      <c r="G1202" s="154"/>
      <c r="H1202" s="67">
        <v>19898</v>
      </c>
      <c r="I1202" s="67">
        <f t="shared" si="494"/>
        <v>19898</v>
      </c>
      <c r="J1202" s="67">
        <f t="shared" si="483"/>
        <v>19898</v>
      </c>
      <c r="K1202" s="63"/>
      <c r="L1202" s="149">
        <v>0</v>
      </c>
      <c r="M1202" s="63">
        <f t="shared" si="495"/>
        <v>0</v>
      </c>
      <c r="N1202" s="63">
        <f t="shared" si="485"/>
        <v>0</v>
      </c>
      <c r="O1202" s="69"/>
      <c r="P1202" s="149">
        <v>0</v>
      </c>
      <c r="Q1202" s="63">
        <f t="shared" si="496"/>
        <v>0</v>
      </c>
      <c r="R1202" s="64">
        <f t="shared" si="487"/>
        <v>0</v>
      </c>
      <c r="S1202" s="153">
        <v>25</v>
      </c>
      <c r="T1202" s="155" t="s">
        <v>15</v>
      </c>
      <c r="U1202" s="65">
        <f>SUMIF('Avoided Costs 2012-2020_EGD'!$A:$A,'2012 Actuals_Auditor'!T1202&amp;'2012 Actuals_Auditor'!S1202,'Avoided Costs 2012-2020_EGD'!$E:$E)*J1202</f>
        <v>68329.632488361618</v>
      </c>
      <c r="V1202" s="65">
        <f>SUMIF('Avoided Costs 2012-2020_EGD'!$A:$A,'2012 Actuals_Auditor'!T1202&amp;'2012 Actuals_Auditor'!S1202,'Avoided Costs 2012-2020_EGD'!$K:$K)*N1202</f>
        <v>0</v>
      </c>
      <c r="W1202" s="65">
        <f>SUMIF('Avoided Costs 2012-2020_EGD'!$A:$A,'2012 Actuals_Auditor'!T1202&amp;'2012 Actuals_Auditor'!S1202,'Avoided Costs 2012-2020_EGD'!$M:$M)*R1202</f>
        <v>0</v>
      </c>
      <c r="X1202" s="65">
        <f t="shared" si="488"/>
        <v>68329.632488361618</v>
      </c>
      <c r="Y1202" s="146">
        <v>18000</v>
      </c>
      <c r="Z1202" s="66">
        <f t="shared" si="489"/>
        <v>18000</v>
      </c>
      <c r="AA1202" s="66">
        <v>2550</v>
      </c>
      <c r="AB1202" s="66"/>
      <c r="AC1202" s="66"/>
      <c r="AD1202" s="66">
        <f t="shared" si="490"/>
        <v>18000</v>
      </c>
      <c r="AE1202" s="66">
        <f t="shared" si="491"/>
        <v>50329.632488361618</v>
      </c>
      <c r="AF1202" s="101">
        <f t="shared" si="492"/>
        <v>497450</v>
      </c>
      <c r="AG1202" s="101">
        <f t="shared" si="493"/>
        <v>497450</v>
      </c>
    </row>
    <row r="1203" spans="1:33" s="68" customFormat="1" x14ac:dyDescent="0.2">
      <c r="A1203" s="152" t="s">
        <v>229</v>
      </c>
      <c r="B1203" s="152"/>
      <c r="C1203" s="152"/>
      <c r="D1203" s="153">
        <v>0</v>
      </c>
      <c r="E1203" s="64"/>
      <c r="F1203" s="154">
        <v>0</v>
      </c>
      <c r="G1203" s="154"/>
      <c r="H1203" s="67">
        <v>15828</v>
      </c>
      <c r="I1203" s="67">
        <f>+$H$42*H1203</f>
        <v>15129.774855875989</v>
      </c>
      <c r="J1203" s="67">
        <f t="shared" si="483"/>
        <v>15129.774855875989</v>
      </c>
      <c r="K1203" s="63"/>
      <c r="L1203" s="149">
        <v>0</v>
      </c>
      <c r="M1203" s="63">
        <f t="shared" si="484"/>
        <v>0</v>
      </c>
      <c r="N1203" s="63">
        <f t="shared" si="485"/>
        <v>0</v>
      </c>
      <c r="O1203" s="69"/>
      <c r="P1203" s="149">
        <v>0</v>
      </c>
      <c r="Q1203" s="63">
        <f>+P1203*$P$42</f>
        <v>0</v>
      </c>
      <c r="R1203" s="64">
        <f t="shared" si="487"/>
        <v>0</v>
      </c>
      <c r="S1203" s="153">
        <v>25</v>
      </c>
      <c r="T1203" s="155" t="s">
        <v>52</v>
      </c>
      <c r="U1203" s="65">
        <f>SUMIF('Avoided Costs 2012-2020_EGD'!$A:$A,'2012 Actuals_Auditor'!T1203&amp;'2012 Actuals_Auditor'!S1203,'Avoided Costs 2012-2020_EGD'!$E:$E)*J1203</f>
        <v>48820.630685679345</v>
      </c>
      <c r="V1203" s="65">
        <f>SUMIF('Avoided Costs 2012-2020_EGD'!$A:$A,'2012 Actuals_Auditor'!T1203&amp;'2012 Actuals_Auditor'!S1203,'Avoided Costs 2012-2020_EGD'!$K:$K)*N1203</f>
        <v>0</v>
      </c>
      <c r="W1203" s="65">
        <f>SUMIF('Avoided Costs 2012-2020_EGD'!$A:$A,'2012 Actuals_Auditor'!T1203&amp;'2012 Actuals_Auditor'!S1203,'Avoided Costs 2012-2020_EGD'!$M:$M)*R1203</f>
        <v>0</v>
      </c>
      <c r="X1203" s="65">
        <f t="shared" si="488"/>
        <v>48820.630685679345</v>
      </c>
      <c r="Y1203" s="146">
        <v>13466</v>
      </c>
      <c r="Z1203" s="66">
        <f t="shared" si="489"/>
        <v>13466</v>
      </c>
      <c r="AA1203" s="66">
        <v>3166</v>
      </c>
      <c r="AB1203" s="66"/>
      <c r="AC1203" s="66"/>
      <c r="AD1203" s="66">
        <f t="shared" si="490"/>
        <v>13466</v>
      </c>
      <c r="AE1203" s="66">
        <f t="shared" si="491"/>
        <v>35354.630685679345</v>
      </c>
      <c r="AF1203" s="101">
        <f t="shared" si="492"/>
        <v>378244.37139689969</v>
      </c>
      <c r="AG1203" s="101">
        <f t="shared" si="493"/>
        <v>378244.37139689969</v>
      </c>
    </row>
    <row r="1204" spans="1:33" s="68" customFormat="1" x14ac:dyDescent="0.2">
      <c r="A1204" s="152" t="s">
        <v>230</v>
      </c>
      <c r="B1204" s="152"/>
      <c r="C1204" s="152"/>
      <c r="D1204" s="153">
        <v>0</v>
      </c>
      <c r="E1204" s="64"/>
      <c r="F1204" s="154">
        <v>0</v>
      </c>
      <c r="G1204" s="154"/>
      <c r="H1204" s="67">
        <v>19805</v>
      </c>
      <c r="I1204" s="67">
        <f>+$H$42*H1204</f>
        <v>18931.336304057615</v>
      </c>
      <c r="J1204" s="67">
        <f t="shared" si="483"/>
        <v>18931.336304057615</v>
      </c>
      <c r="K1204" s="63"/>
      <c r="L1204" s="149">
        <v>7339</v>
      </c>
      <c r="M1204" s="63">
        <f t="shared" si="484"/>
        <v>7339</v>
      </c>
      <c r="N1204" s="63">
        <f t="shared" si="485"/>
        <v>7339</v>
      </c>
      <c r="O1204" s="69"/>
      <c r="P1204" s="149">
        <v>0</v>
      </c>
      <c r="Q1204" s="63">
        <f>+P1204*$P$42</f>
        <v>0</v>
      </c>
      <c r="R1204" s="64">
        <f t="shared" si="487"/>
        <v>0</v>
      </c>
      <c r="S1204" s="153">
        <v>15</v>
      </c>
      <c r="T1204" s="155" t="s">
        <v>15</v>
      </c>
      <c r="U1204" s="65">
        <f>SUMIF('Avoided Costs 2012-2020_EGD'!$A:$A,'2012 Actuals_Auditor'!T1204&amp;'2012 Actuals_Auditor'!S1204,'Avoided Costs 2012-2020_EGD'!$E:$E)*J1204</f>
        <v>46001.327469741533</v>
      </c>
      <c r="V1204" s="65">
        <f>SUMIF('Avoided Costs 2012-2020_EGD'!$A:$A,'2012 Actuals_Auditor'!T1204&amp;'2012 Actuals_Auditor'!S1204,'Avoided Costs 2012-2020_EGD'!$K:$K)*N1204</f>
        <v>7557.580562633455</v>
      </c>
      <c r="W1204" s="65">
        <f>SUMIF('Avoided Costs 2012-2020_EGD'!$A:$A,'2012 Actuals_Auditor'!T1204&amp;'2012 Actuals_Auditor'!S1204,'Avoided Costs 2012-2020_EGD'!$M:$M)*R1204</f>
        <v>0</v>
      </c>
      <c r="X1204" s="65">
        <f t="shared" si="488"/>
        <v>53558.908032374988</v>
      </c>
      <c r="Y1204" s="146">
        <v>9300</v>
      </c>
      <c r="Z1204" s="66">
        <f t="shared" si="489"/>
        <v>9300</v>
      </c>
      <c r="AA1204" s="66">
        <v>2270</v>
      </c>
      <c r="AB1204" s="66"/>
      <c r="AC1204" s="66"/>
      <c r="AD1204" s="66">
        <f t="shared" si="490"/>
        <v>9300</v>
      </c>
      <c r="AE1204" s="66">
        <f t="shared" si="491"/>
        <v>44258.908032374988</v>
      </c>
      <c r="AF1204" s="101">
        <f t="shared" si="492"/>
        <v>283970.04456086422</v>
      </c>
      <c r="AG1204" s="101">
        <f t="shared" si="493"/>
        <v>283970.04456086422</v>
      </c>
    </row>
    <row r="1205" spans="1:33" s="68" customFormat="1" x14ac:dyDescent="0.2">
      <c r="A1205" s="152" t="s">
        <v>231</v>
      </c>
      <c r="B1205" s="152"/>
      <c r="C1205" s="152"/>
      <c r="D1205" s="153">
        <v>1</v>
      </c>
      <c r="E1205" s="64"/>
      <c r="F1205" s="154">
        <v>0</v>
      </c>
      <c r="G1205" s="154"/>
      <c r="H1205" s="67">
        <v>54018</v>
      </c>
      <c r="I1205" s="67">
        <f>+$H$42*H1205</f>
        <v>51635.088334894434</v>
      </c>
      <c r="J1205" s="67">
        <f t="shared" si="483"/>
        <v>51635.088334894434</v>
      </c>
      <c r="K1205" s="63"/>
      <c r="L1205" s="149">
        <v>0</v>
      </c>
      <c r="M1205" s="63">
        <f t="shared" si="484"/>
        <v>0</v>
      </c>
      <c r="N1205" s="63">
        <f t="shared" si="485"/>
        <v>0</v>
      </c>
      <c r="O1205" s="69"/>
      <c r="P1205" s="149">
        <v>0</v>
      </c>
      <c r="Q1205" s="63">
        <f>+P1205*$P$42</f>
        <v>0</v>
      </c>
      <c r="R1205" s="64">
        <f t="shared" si="487"/>
        <v>0</v>
      </c>
      <c r="S1205" s="153">
        <v>25</v>
      </c>
      <c r="T1205" s="155" t="s">
        <v>15</v>
      </c>
      <c r="U1205" s="65">
        <f>SUMIF('Avoided Costs 2012-2020_EGD'!$A:$A,'2012 Actuals_Auditor'!T1205&amp;'2012 Actuals_Auditor'!S1205,'Avoided Costs 2012-2020_EGD'!$E:$E)*J1205</f>
        <v>177314.63511043444</v>
      </c>
      <c r="V1205" s="65">
        <f>SUMIF('Avoided Costs 2012-2020_EGD'!$A:$A,'2012 Actuals_Auditor'!T1205&amp;'2012 Actuals_Auditor'!S1205,'Avoided Costs 2012-2020_EGD'!$K:$K)*N1205</f>
        <v>0</v>
      </c>
      <c r="W1205" s="65">
        <f>SUMIF('Avoided Costs 2012-2020_EGD'!$A:$A,'2012 Actuals_Auditor'!T1205&amp;'2012 Actuals_Auditor'!S1205,'Avoided Costs 2012-2020_EGD'!$M:$M)*R1205</f>
        <v>0</v>
      </c>
      <c r="X1205" s="65">
        <f t="shared" si="488"/>
        <v>177314.63511043444</v>
      </c>
      <c r="Y1205" s="146">
        <v>6998</v>
      </c>
      <c r="Z1205" s="66">
        <f t="shared" si="489"/>
        <v>6998</v>
      </c>
      <c r="AA1205" s="66">
        <v>10803</v>
      </c>
      <c r="AB1205" s="66"/>
      <c r="AC1205" s="66"/>
      <c r="AD1205" s="66">
        <f t="shared" si="490"/>
        <v>6998</v>
      </c>
      <c r="AE1205" s="66">
        <f t="shared" si="491"/>
        <v>170316.63511043444</v>
      </c>
      <c r="AF1205" s="101">
        <f t="shared" si="492"/>
        <v>1290877.2083723608</v>
      </c>
      <c r="AG1205" s="101">
        <f t="shared" si="493"/>
        <v>1290877.2083723608</v>
      </c>
    </row>
    <row r="1206" spans="1:33" s="68" customFormat="1" x14ac:dyDescent="0.2">
      <c r="A1206" s="152" t="s">
        <v>232</v>
      </c>
      <c r="B1206" s="152"/>
      <c r="C1206" s="152"/>
      <c r="D1206" s="153">
        <v>1</v>
      </c>
      <c r="E1206" s="64"/>
      <c r="F1206" s="154">
        <v>0</v>
      </c>
      <c r="G1206" s="154"/>
      <c r="H1206" s="67">
        <v>33000</v>
      </c>
      <c r="I1206" s="67">
        <f>+$H$42*H1206</f>
        <v>31544.261450840764</v>
      </c>
      <c r="J1206" s="67">
        <f t="shared" si="483"/>
        <v>31544.261450840764</v>
      </c>
      <c r="K1206" s="63"/>
      <c r="L1206" s="149">
        <v>0</v>
      </c>
      <c r="M1206" s="63">
        <f t="shared" si="484"/>
        <v>0</v>
      </c>
      <c r="N1206" s="63">
        <f t="shared" si="485"/>
        <v>0</v>
      </c>
      <c r="O1206" s="69"/>
      <c r="P1206" s="149">
        <v>0</v>
      </c>
      <c r="Q1206" s="63">
        <f>+P1206*$P$42</f>
        <v>0</v>
      </c>
      <c r="R1206" s="64">
        <f t="shared" si="487"/>
        <v>0</v>
      </c>
      <c r="S1206" s="153">
        <v>25</v>
      </c>
      <c r="T1206" s="155" t="s">
        <v>15</v>
      </c>
      <c r="U1206" s="65">
        <f>SUMIF('Avoided Costs 2012-2020_EGD'!$A:$A,'2012 Actuals_Auditor'!T1206&amp;'2012 Actuals_Auditor'!S1206,'Avoided Costs 2012-2020_EGD'!$E:$E)*J1206</f>
        <v>108322.83606657664</v>
      </c>
      <c r="V1206" s="65">
        <f>SUMIF('Avoided Costs 2012-2020_EGD'!$A:$A,'2012 Actuals_Auditor'!T1206&amp;'2012 Actuals_Auditor'!S1206,'Avoided Costs 2012-2020_EGD'!$K:$K)*N1206</f>
        <v>0</v>
      </c>
      <c r="W1206" s="65">
        <f>SUMIF('Avoided Costs 2012-2020_EGD'!$A:$A,'2012 Actuals_Auditor'!T1206&amp;'2012 Actuals_Auditor'!S1206,'Avoided Costs 2012-2020_EGD'!$M:$M)*R1206</f>
        <v>0</v>
      </c>
      <c r="X1206" s="65">
        <f t="shared" si="488"/>
        <v>108322.83606657664</v>
      </c>
      <c r="Y1206" s="146">
        <v>77400</v>
      </c>
      <c r="Z1206" s="66">
        <f t="shared" si="489"/>
        <v>77400</v>
      </c>
      <c r="AA1206" s="66">
        <v>6600</v>
      </c>
      <c r="AB1206" s="66"/>
      <c r="AC1206" s="66"/>
      <c r="AD1206" s="66">
        <f t="shared" si="490"/>
        <v>77400</v>
      </c>
      <c r="AE1206" s="66">
        <f t="shared" si="491"/>
        <v>30922.836066576638</v>
      </c>
      <c r="AF1206" s="101">
        <f t="shared" si="492"/>
        <v>788606.53627101914</v>
      </c>
      <c r="AG1206" s="101">
        <f t="shared" si="493"/>
        <v>788606.53627101914</v>
      </c>
    </row>
    <row r="1207" spans="1:33" s="68" customFormat="1" x14ac:dyDescent="0.2">
      <c r="A1207" s="152" t="s">
        <v>233</v>
      </c>
      <c r="B1207" s="152"/>
      <c r="C1207" s="152"/>
      <c r="D1207" s="153">
        <v>1</v>
      </c>
      <c r="E1207" s="64"/>
      <c r="F1207" s="154">
        <v>0</v>
      </c>
      <c r="G1207" s="154"/>
      <c r="H1207" s="67">
        <v>13265</v>
      </c>
      <c r="I1207" s="67">
        <f>H1207</f>
        <v>13265</v>
      </c>
      <c r="J1207" s="67">
        <f t="shared" si="483"/>
        <v>13265</v>
      </c>
      <c r="K1207" s="63"/>
      <c r="L1207" s="149">
        <v>0</v>
      </c>
      <c r="M1207" s="63">
        <f>L1207</f>
        <v>0</v>
      </c>
      <c r="N1207" s="63">
        <f t="shared" si="485"/>
        <v>0</v>
      </c>
      <c r="O1207" s="69"/>
      <c r="P1207" s="149">
        <v>0</v>
      </c>
      <c r="Q1207" s="63">
        <f>+P1207</f>
        <v>0</v>
      </c>
      <c r="R1207" s="64">
        <f t="shared" si="487"/>
        <v>0</v>
      </c>
      <c r="S1207" s="153">
        <v>25</v>
      </c>
      <c r="T1207" s="155" t="s">
        <v>15</v>
      </c>
      <c r="U1207" s="65">
        <f>SUMIF('Avoided Costs 2012-2020_EGD'!$A:$A,'2012 Actuals_Auditor'!T1207&amp;'2012 Actuals_Auditor'!S1207,'Avoided Costs 2012-2020_EGD'!$E:$E)*J1207</f>
        <v>45551.943660574776</v>
      </c>
      <c r="V1207" s="65">
        <f>SUMIF('Avoided Costs 2012-2020_EGD'!$A:$A,'2012 Actuals_Auditor'!T1207&amp;'2012 Actuals_Auditor'!S1207,'Avoided Costs 2012-2020_EGD'!$K:$K)*N1207</f>
        <v>0</v>
      </c>
      <c r="W1207" s="65">
        <f>SUMIF('Avoided Costs 2012-2020_EGD'!$A:$A,'2012 Actuals_Auditor'!T1207&amp;'2012 Actuals_Auditor'!S1207,'Avoided Costs 2012-2020_EGD'!$M:$M)*R1207</f>
        <v>0</v>
      </c>
      <c r="X1207" s="65">
        <f t="shared" si="488"/>
        <v>45551.943660574776</v>
      </c>
      <c r="Y1207" s="146">
        <v>12000</v>
      </c>
      <c r="Z1207" s="66">
        <f t="shared" si="489"/>
        <v>12000</v>
      </c>
      <c r="AA1207" s="66">
        <v>2550</v>
      </c>
      <c r="AB1207" s="66"/>
      <c r="AC1207" s="66"/>
      <c r="AD1207" s="66">
        <f t="shared" si="490"/>
        <v>12000</v>
      </c>
      <c r="AE1207" s="66">
        <f t="shared" si="491"/>
        <v>33551.943660574776</v>
      </c>
      <c r="AF1207" s="101">
        <f t="shared" si="492"/>
        <v>331625</v>
      </c>
      <c r="AG1207" s="101">
        <f t="shared" si="493"/>
        <v>331625</v>
      </c>
    </row>
    <row r="1208" spans="1:33" s="68" customFormat="1" x14ac:dyDescent="0.2">
      <c r="A1208" s="152" t="s">
        <v>234</v>
      </c>
      <c r="B1208" s="152"/>
      <c r="C1208" s="152"/>
      <c r="D1208" s="153">
        <v>1</v>
      </c>
      <c r="E1208" s="64"/>
      <c r="F1208" s="154">
        <v>0</v>
      </c>
      <c r="G1208" s="154"/>
      <c r="H1208" s="67">
        <v>346</v>
      </c>
      <c r="I1208" s="67">
        <f>H1208</f>
        <v>346</v>
      </c>
      <c r="J1208" s="67">
        <f t="shared" si="483"/>
        <v>346</v>
      </c>
      <c r="K1208" s="63"/>
      <c r="L1208" s="149">
        <v>0</v>
      </c>
      <c r="M1208" s="63">
        <f>L1208</f>
        <v>0</v>
      </c>
      <c r="N1208" s="63">
        <f t="shared" si="485"/>
        <v>0</v>
      </c>
      <c r="O1208" s="69"/>
      <c r="P1208" s="149">
        <v>0</v>
      </c>
      <c r="Q1208" s="63">
        <f>+P1208</f>
        <v>0</v>
      </c>
      <c r="R1208" s="64">
        <f t="shared" si="487"/>
        <v>0</v>
      </c>
      <c r="S1208" s="153">
        <v>25</v>
      </c>
      <c r="T1208" s="155" t="s">
        <v>15</v>
      </c>
      <c r="U1208" s="65">
        <f>SUMIF('Avoided Costs 2012-2020_EGD'!$A:$A,'2012 Actuals_Auditor'!T1208&amp;'2012 Actuals_Auditor'!S1208,'Avoided Costs 2012-2020_EGD'!$E:$E)*J1208</f>
        <v>1188.1622696237371</v>
      </c>
      <c r="V1208" s="65">
        <f>SUMIF('Avoided Costs 2012-2020_EGD'!$A:$A,'2012 Actuals_Auditor'!T1208&amp;'2012 Actuals_Auditor'!S1208,'Avoided Costs 2012-2020_EGD'!$K:$K)*N1208</f>
        <v>0</v>
      </c>
      <c r="W1208" s="65">
        <f>SUMIF('Avoided Costs 2012-2020_EGD'!$A:$A,'2012 Actuals_Auditor'!T1208&amp;'2012 Actuals_Auditor'!S1208,'Avoided Costs 2012-2020_EGD'!$M:$M)*R1208</f>
        <v>0</v>
      </c>
      <c r="X1208" s="65">
        <f t="shared" si="488"/>
        <v>1188.1622696237371</v>
      </c>
      <c r="Y1208" s="146">
        <v>4500</v>
      </c>
      <c r="Z1208" s="66">
        <f t="shared" si="489"/>
        <v>4500</v>
      </c>
      <c r="AA1208" s="66">
        <v>600</v>
      </c>
      <c r="AB1208" s="66"/>
      <c r="AC1208" s="66"/>
      <c r="AD1208" s="66">
        <f t="shared" si="490"/>
        <v>4500</v>
      </c>
      <c r="AE1208" s="66">
        <f t="shared" si="491"/>
        <v>-3311.8377303762627</v>
      </c>
      <c r="AF1208" s="101">
        <f t="shared" si="492"/>
        <v>8650</v>
      </c>
      <c r="AG1208" s="101">
        <f t="shared" si="493"/>
        <v>8650</v>
      </c>
    </row>
    <row r="1209" spans="1:33" s="68" customFormat="1" x14ac:dyDescent="0.2">
      <c r="A1209" s="152" t="s">
        <v>235</v>
      </c>
      <c r="B1209" s="152"/>
      <c r="C1209" s="152"/>
      <c r="D1209" s="153">
        <v>1</v>
      </c>
      <c r="E1209" s="64"/>
      <c r="F1209" s="154">
        <v>0</v>
      </c>
      <c r="G1209" s="154"/>
      <c r="H1209" s="67">
        <v>998</v>
      </c>
      <c r="I1209" s="67">
        <f>H1209</f>
        <v>998</v>
      </c>
      <c r="J1209" s="67">
        <f t="shared" si="483"/>
        <v>998</v>
      </c>
      <c r="K1209" s="63"/>
      <c r="L1209" s="149">
        <v>0</v>
      </c>
      <c r="M1209" s="63">
        <f>L1209</f>
        <v>0</v>
      </c>
      <c r="N1209" s="63">
        <f t="shared" si="485"/>
        <v>0</v>
      </c>
      <c r="O1209" s="69"/>
      <c r="P1209" s="149">
        <v>0</v>
      </c>
      <c r="Q1209" s="63">
        <f>+P1209</f>
        <v>0</v>
      </c>
      <c r="R1209" s="64">
        <f t="shared" si="487"/>
        <v>0</v>
      </c>
      <c r="S1209" s="153">
        <v>25</v>
      </c>
      <c r="T1209" s="155" t="s">
        <v>15</v>
      </c>
      <c r="U1209" s="65">
        <f>SUMIF('Avoided Costs 2012-2020_EGD'!$A:$A,'2012 Actuals_Auditor'!T1209&amp;'2012 Actuals_Auditor'!S1209,'Avoided Costs 2012-2020_EGD'!$E:$E)*J1209</f>
        <v>3427.1270089147097</v>
      </c>
      <c r="V1209" s="65">
        <f>SUMIF('Avoided Costs 2012-2020_EGD'!$A:$A,'2012 Actuals_Auditor'!T1209&amp;'2012 Actuals_Auditor'!S1209,'Avoided Costs 2012-2020_EGD'!$K:$K)*N1209</f>
        <v>0</v>
      </c>
      <c r="W1209" s="65">
        <f>SUMIF('Avoided Costs 2012-2020_EGD'!$A:$A,'2012 Actuals_Auditor'!T1209&amp;'2012 Actuals_Auditor'!S1209,'Avoided Costs 2012-2020_EGD'!$M:$M)*R1209</f>
        <v>0</v>
      </c>
      <c r="X1209" s="65">
        <f t="shared" si="488"/>
        <v>3427.1270089147097</v>
      </c>
      <c r="Y1209" s="146">
        <v>1544</v>
      </c>
      <c r="Z1209" s="66">
        <f t="shared" si="489"/>
        <v>1544</v>
      </c>
      <c r="AA1209" s="66">
        <v>600</v>
      </c>
      <c r="AB1209" s="66"/>
      <c r="AC1209" s="66"/>
      <c r="AD1209" s="66">
        <f t="shared" si="490"/>
        <v>1544</v>
      </c>
      <c r="AE1209" s="66">
        <f t="shared" si="491"/>
        <v>1883.1270089147097</v>
      </c>
      <c r="AF1209" s="101">
        <f t="shared" si="492"/>
        <v>24950</v>
      </c>
      <c r="AG1209" s="101">
        <f t="shared" si="493"/>
        <v>24950</v>
      </c>
    </row>
    <row r="1210" spans="1:33" s="68" customFormat="1" x14ac:dyDescent="0.2">
      <c r="A1210" s="152" t="s">
        <v>236</v>
      </c>
      <c r="B1210" s="152"/>
      <c r="C1210" s="152"/>
      <c r="D1210" s="153">
        <v>1</v>
      </c>
      <c r="E1210" s="64"/>
      <c r="F1210" s="154">
        <v>0</v>
      </c>
      <c r="G1210" s="154"/>
      <c r="H1210" s="67">
        <v>34780</v>
      </c>
      <c r="I1210" s="67">
        <f t="shared" ref="I1210:I1247" si="497">+$H$42*H1210</f>
        <v>33245.739795764901</v>
      </c>
      <c r="J1210" s="67">
        <f t="shared" si="483"/>
        <v>33245.739795764901</v>
      </c>
      <c r="K1210" s="63"/>
      <c r="L1210" s="149">
        <v>0</v>
      </c>
      <c r="M1210" s="63">
        <f t="shared" si="484"/>
        <v>0</v>
      </c>
      <c r="N1210" s="63">
        <f t="shared" si="485"/>
        <v>0</v>
      </c>
      <c r="O1210" s="69"/>
      <c r="P1210" s="149">
        <v>0</v>
      </c>
      <c r="Q1210" s="63">
        <f t="shared" ref="Q1210:Q1247" si="498">+P1210*$P$42</f>
        <v>0</v>
      </c>
      <c r="R1210" s="64">
        <f t="shared" si="487"/>
        <v>0</v>
      </c>
      <c r="S1210" s="153">
        <v>14</v>
      </c>
      <c r="T1210" s="155" t="s">
        <v>15</v>
      </c>
      <c r="U1210" s="65">
        <f>SUMIF('Avoided Costs 2012-2020_EGD'!$A:$A,'2012 Actuals_Auditor'!T1210&amp;'2012 Actuals_Auditor'!S1210,'Avoided Costs 2012-2020_EGD'!$E:$E)*J1210</f>
        <v>76481.420775508697</v>
      </c>
      <c r="V1210" s="65">
        <f>SUMIF('Avoided Costs 2012-2020_EGD'!$A:$A,'2012 Actuals_Auditor'!T1210&amp;'2012 Actuals_Auditor'!S1210,'Avoided Costs 2012-2020_EGD'!$K:$K)*N1210</f>
        <v>0</v>
      </c>
      <c r="W1210" s="65">
        <f>SUMIF('Avoided Costs 2012-2020_EGD'!$A:$A,'2012 Actuals_Auditor'!T1210&amp;'2012 Actuals_Auditor'!S1210,'Avoided Costs 2012-2020_EGD'!$M:$M)*R1210</f>
        <v>0</v>
      </c>
      <c r="X1210" s="65">
        <f t="shared" si="488"/>
        <v>76481.420775508697</v>
      </c>
      <c r="Y1210" s="146">
        <v>26714</v>
      </c>
      <c r="Z1210" s="66">
        <f t="shared" si="489"/>
        <v>26714</v>
      </c>
      <c r="AA1210" s="66">
        <v>4070</v>
      </c>
      <c r="AB1210" s="66"/>
      <c r="AC1210" s="66"/>
      <c r="AD1210" s="66">
        <f t="shared" si="490"/>
        <v>26714</v>
      </c>
      <c r="AE1210" s="66">
        <f t="shared" si="491"/>
        <v>49767.420775508697</v>
      </c>
      <c r="AF1210" s="101">
        <f t="shared" si="492"/>
        <v>465440.3571407086</v>
      </c>
      <c r="AG1210" s="101">
        <f t="shared" si="493"/>
        <v>465440.3571407086</v>
      </c>
    </row>
    <row r="1211" spans="1:33" s="68" customFormat="1" x14ac:dyDescent="0.2">
      <c r="A1211" s="152" t="s">
        <v>237</v>
      </c>
      <c r="B1211" s="152"/>
      <c r="C1211" s="152"/>
      <c r="D1211" s="153">
        <v>1</v>
      </c>
      <c r="E1211" s="64"/>
      <c r="F1211" s="154">
        <v>0</v>
      </c>
      <c r="G1211" s="154"/>
      <c r="H1211" s="67">
        <v>70525</v>
      </c>
      <c r="I1211" s="67">
        <f t="shared" si="497"/>
        <v>67413.910267289233</v>
      </c>
      <c r="J1211" s="67">
        <f t="shared" ref="J1211:J1242" si="499">I1211*(1-F1211)</f>
        <v>67413.910267289233</v>
      </c>
      <c r="K1211" s="63"/>
      <c r="L1211" s="149">
        <v>0</v>
      </c>
      <c r="M1211" s="63">
        <f t="shared" si="484"/>
        <v>0</v>
      </c>
      <c r="N1211" s="63">
        <f t="shared" ref="N1211:N1242" si="500">M1211*(1-F1211)</f>
        <v>0</v>
      </c>
      <c r="O1211" s="69"/>
      <c r="P1211" s="149">
        <v>0</v>
      </c>
      <c r="Q1211" s="63">
        <f t="shared" si="498"/>
        <v>0</v>
      </c>
      <c r="R1211" s="64">
        <f t="shared" ref="R1211:R1242" si="501">Q1211*(1-F1211)</f>
        <v>0</v>
      </c>
      <c r="S1211" s="153">
        <v>25</v>
      </c>
      <c r="T1211" s="155" t="s">
        <v>15</v>
      </c>
      <c r="U1211" s="65">
        <f>SUMIF('Avoided Costs 2012-2020_EGD'!$A:$A,'2012 Actuals_Auditor'!T1211&amp;'2012 Actuals_Auditor'!S1211,'Avoided Costs 2012-2020_EGD'!$E:$E)*J1211</f>
        <v>231499.03071500961</v>
      </c>
      <c r="V1211" s="65">
        <f>SUMIF('Avoided Costs 2012-2020_EGD'!$A:$A,'2012 Actuals_Auditor'!T1211&amp;'2012 Actuals_Auditor'!S1211,'Avoided Costs 2012-2020_EGD'!$K:$K)*N1211</f>
        <v>0</v>
      </c>
      <c r="W1211" s="65">
        <f>SUMIF('Avoided Costs 2012-2020_EGD'!$A:$A,'2012 Actuals_Auditor'!T1211&amp;'2012 Actuals_Auditor'!S1211,'Avoided Costs 2012-2020_EGD'!$M:$M)*R1211</f>
        <v>0</v>
      </c>
      <c r="X1211" s="65">
        <f t="shared" si="488"/>
        <v>231499.03071500961</v>
      </c>
      <c r="Y1211" s="146">
        <v>-28170</v>
      </c>
      <c r="Z1211" s="66">
        <f t="shared" ref="Z1211:Z1242" si="502">Y1211*(1-F1211)</f>
        <v>-28170</v>
      </c>
      <c r="AA1211" s="66">
        <v>14105</v>
      </c>
      <c r="AB1211" s="66"/>
      <c r="AC1211" s="66"/>
      <c r="AD1211" s="66">
        <f t="shared" ref="AD1211:AD1242" si="503">Z1211+AB1211</f>
        <v>-28170</v>
      </c>
      <c r="AE1211" s="66">
        <f t="shared" ref="AE1211:AE1242" si="504">X1211-AD1211</f>
        <v>259669.03071500961</v>
      </c>
      <c r="AF1211" s="101">
        <f t="shared" ref="AF1211:AF1242" si="505">J1211*S1211</f>
        <v>1685347.7566822309</v>
      </c>
      <c r="AG1211" s="101">
        <f t="shared" ref="AG1211:AG1242" si="506">(I1211*S1211)</f>
        <v>1685347.7566822309</v>
      </c>
    </row>
    <row r="1212" spans="1:33" s="68" customFormat="1" x14ac:dyDescent="0.2">
      <c r="A1212" s="152" t="s">
        <v>238</v>
      </c>
      <c r="B1212" s="152"/>
      <c r="C1212" s="152"/>
      <c r="D1212" s="153">
        <v>1</v>
      </c>
      <c r="E1212" s="64"/>
      <c r="F1212" s="154">
        <v>0</v>
      </c>
      <c r="G1212" s="154"/>
      <c r="H1212" s="67">
        <v>55076</v>
      </c>
      <c r="I1212" s="67">
        <f t="shared" si="497"/>
        <v>52646.416474742604</v>
      </c>
      <c r="J1212" s="67">
        <f t="shared" si="499"/>
        <v>52646.416474742604</v>
      </c>
      <c r="K1212" s="63"/>
      <c r="L1212" s="149">
        <v>0</v>
      </c>
      <c r="M1212" s="63">
        <f t="shared" si="484"/>
        <v>0</v>
      </c>
      <c r="N1212" s="63">
        <f t="shared" si="500"/>
        <v>0</v>
      </c>
      <c r="O1212" s="69"/>
      <c r="P1212" s="149">
        <v>0</v>
      </c>
      <c r="Q1212" s="63">
        <f t="shared" si="498"/>
        <v>0</v>
      </c>
      <c r="R1212" s="64">
        <f t="shared" si="501"/>
        <v>0</v>
      </c>
      <c r="S1212" s="153">
        <v>25</v>
      </c>
      <c r="T1212" s="155" t="s">
        <v>15</v>
      </c>
      <c r="U1212" s="65">
        <f>SUMIF('Avoided Costs 2012-2020_EGD'!$A:$A,'2012 Actuals_Auditor'!T1212&amp;'2012 Actuals_Auditor'!S1212,'Avoided Costs 2012-2020_EGD'!$E:$E)*J1212</f>
        <v>180787.53088493258</v>
      </c>
      <c r="V1212" s="65">
        <f>SUMIF('Avoided Costs 2012-2020_EGD'!$A:$A,'2012 Actuals_Auditor'!T1212&amp;'2012 Actuals_Auditor'!S1212,'Avoided Costs 2012-2020_EGD'!$K:$K)*N1212</f>
        <v>0</v>
      </c>
      <c r="W1212" s="65">
        <f>SUMIF('Avoided Costs 2012-2020_EGD'!$A:$A,'2012 Actuals_Auditor'!T1212&amp;'2012 Actuals_Auditor'!S1212,'Avoided Costs 2012-2020_EGD'!$M:$M)*R1212</f>
        <v>0</v>
      </c>
      <c r="X1212" s="65">
        <f t="shared" si="488"/>
        <v>180787.53088493258</v>
      </c>
      <c r="Y1212" s="146">
        <v>3490</v>
      </c>
      <c r="Z1212" s="66">
        <f t="shared" si="502"/>
        <v>3490</v>
      </c>
      <c r="AA1212" s="66">
        <v>11015.2</v>
      </c>
      <c r="AB1212" s="66"/>
      <c r="AC1212" s="66"/>
      <c r="AD1212" s="66">
        <f t="shared" si="503"/>
        <v>3490</v>
      </c>
      <c r="AE1212" s="66">
        <f t="shared" si="504"/>
        <v>177297.53088493258</v>
      </c>
      <c r="AF1212" s="101">
        <f t="shared" si="505"/>
        <v>1316160.411868565</v>
      </c>
      <c r="AG1212" s="101">
        <f t="shared" si="506"/>
        <v>1316160.411868565</v>
      </c>
    </row>
    <row r="1213" spans="1:33" s="68" customFormat="1" x14ac:dyDescent="0.2">
      <c r="A1213" s="152" t="s">
        <v>239</v>
      </c>
      <c r="B1213" s="152"/>
      <c r="C1213" s="152"/>
      <c r="D1213" s="153">
        <v>0</v>
      </c>
      <c r="E1213" s="64"/>
      <c r="F1213" s="154">
        <v>0</v>
      </c>
      <c r="G1213" s="154"/>
      <c r="H1213" s="67">
        <v>33162</v>
      </c>
      <c r="I1213" s="67">
        <f t="shared" si="497"/>
        <v>31699.115097963073</v>
      </c>
      <c r="J1213" s="67">
        <f t="shared" si="499"/>
        <v>31699.115097963073</v>
      </c>
      <c r="K1213" s="63"/>
      <c r="L1213" s="149">
        <v>0</v>
      </c>
      <c r="M1213" s="63">
        <f t="shared" si="484"/>
        <v>0</v>
      </c>
      <c r="N1213" s="63">
        <f t="shared" si="500"/>
        <v>0</v>
      </c>
      <c r="O1213" s="69"/>
      <c r="P1213" s="149">
        <v>0</v>
      </c>
      <c r="Q1213" s="63">
        <f t="shared" si="498"/>
        <v>0</v>
      </c>
      <c r="R1213" s="64">
        <f t="shared" si="501"/>
        <v>0</v>
      </c>
      <c r="S1213" s="153">
        <v>25</v>
      </c>
      <c r="T1213" s="155" t="s">
        <v>52</v>
      </c>
      <c r="U1213" s="65">
        <f>SUMIF('Avoided Costs 2012-2020_EGD'!$A:$A,'2012 Actuals_Auditor'!T1213&amp;'2012 Actuals_Auditor'!S1213,'Avoided Costs 2012-2020_EGD'!$E:$E)*J1213</f>
        <v>102286.43889300596</v>
      </c>
      <c r="V1213" s="65">
        <f>SUMIF('Avoided Costs 2012-2020_EGD'!$A:$A,'2012 Actuals_Auditor'!T1213&amp;'2012 Actuals_Auditor'!S1213,'Avoided Costs 2012-2020_EGD'!$K:$K)*N1213</f>
        <v>0</v>
      </c>
      <c r="W1213" s="65">
        <f>SUMIF('Avoided Costs 2012-2020_EGD'!$A:$A,'2012 Actuals_Auditor'!T1213&amp;'2012 Actuals_Auditor'!S1213,'Avoided Costs 2012-2020_EGD'!$M:$M)*R1213</f>
        <v>0</v>
      </c>
      <c r="X1213" s="65">
        <f t="shared" si="488"/>
        <v>102286.43889300596</v>
      </c>
      <c r="Y1213" s="146">
        <v>-20046</v>
      </c>
      <c r="Z1213" s="66">
        <f t="shared" si="502"/>
        <v>-20046</v>
      </c>
      <c r="AA1213" s="66">
        <v>6632.4</v>
      </c>
      <c r="AB1213" s="66"/>
      <c r="AC1213" s="66"/>
      <c r="AD1213" s="66">
        <f t="shared" si="503"/>
        <v>-20046</v>
      </c>
      <c r="AE1213" s="66">
        <f t="shared" si="504"/>
        <v>122332.43889300596</v>
      </c>
      <c r="AF1213" s="101">
        <f t="shared" si="505"/>
        <v>792477.87744907686</v>
      </c>
      <c r="AG1213" s="101">
        <f t="shared" si="506"/>
        <v>792477.87744907686</v>
      </c>
    </row>
    <row r="1214" spans="1:33" s="68" customFormat="1" x14ac:dyDescent="0.2">
      <c r="A1214" s="152" t="s">
        <v>240</v>
      </c>
      <c r="B1214" s="152"/>
      <c r="C1214" s="152"/>
      <c r="D1214" s="153">
        <v>1</v>
      </c>
      <c r="E1214" s="64"/>
      <c r="F1214" s="154">
        <v>0</v>
      </c>
      <c r="G1214" s="154"/>
      <c r="H1214" s="67">
        <v>43731</v>
      </c>
      <c r="I1214" s="67">
        <f t="shared" si="497"/>
        <v>41801.881742627804</v>
      </c>
      <c r="J1214" s="67">
        <f t="shared" si="499"/>
        <v>41801.881742627804</v>
      </c>
      <c r="K1214" s="63"/>
      <c r="L1214" s="149">
        <v>0</v>
      </c>
      <c r="M1214" s="63">
        <f t="shared" si="484"/>
        <v>0</v>
      </c>
      <c r="N1214" s="63">
        <f t="shared" si="500"/>
        <v>0</v>
      </c>
      <c r="O1214" s="69"/>
      <c r="P1214" s="149">
        <v>0</v>
      </c>
      <c r="Q1214" s="63">
        <f t="shared" si="498"/>
        <v>0</v>
      </c>
      <c r="R1214" s="64">
        <f t="shared" si="501"/>
        <v>0</v>
      </c>
      <c r="S1214" s="153">
        <v>25</v>
      </c>
      <c r="T1214" s="155" t="s">
        <v>15</v>
      </c>
      <c r="U1214" s="65">
        <f>SUMIF('Avoided Costs 2012-2020_EGD'!$A:$A,'2012 Actuals_Auditor'!T1214&amp;'2012 Actuals_Auditor'!S1214,'Avoided Costs 2012-2020_EGD'!$E:$E)*J1214</f>
        <v>143547.45284931708</v>
      </c>
      <c r="V1214" s="65">
        <f>SUMIF('Avoided Costs 2012-2020_EGD'!$A:$A,'2012 Actuals_Auditor'!T1214&amp;'2012 Actuals_Auditor'!S1214,'Avoided Costs 2012-2020_EGD'!$K:$K)*N1214</f>
        <v>0</v>
      </c>
      <c r="W1214" s="65">
        <f>SUMIF('Avoided Costs 2012-2020_EGD'!$A:$A,'2012 Actuals_Auditor'!T1214&amp;'2012 Actuals_Auditor'!S1214,'Avoided Costs 2012-2020_EGD'!$M:$M)*R1214</f>
        <v>0</v>
      </c>
      <c r="X1214" s="65">
        <f t="shared" si="488"/>
        <v>143547.45284931708</v>
      </c>
      <c r="Y1214" s="146">
        <v>8097</v>
      </c>
      <c r="Z1214" s="66">
        <f t="shared" si="502"/>
        <v>8097</v>
      </c>
      <c r="AA1214" s="66">
        <v>8746.2000000000007</v>
      </c>
      <c r="AB1214" s="66"/>
      <c r="AC1214" s="66"/>
      <c r="AD1214" s="66">
        <f t="shared" si="503"/>
        <v>8097</v>
      </c>
      <c r="AE1214" s="66">
        <f t="shared" si="504"/>
        <v>135450.45284931708</v>
      </c>
      <c r="AF1214" s="101">
        <f t="shared" si="505"/>
        <v>1045047.0435656951</v>
      </c>
      <c r="AG1214" s="101">
        <f t="shared" si="506"/>
        <v>1045047.0435656951</v>
      </c>
    </row>
    <row r="1215" spans="1:33" s="68" customFormat="1" x14ac:dyDescent="0.2">
      <c r="A1215" s="152" t="s">
        <v>241</v>
      </c>
      <c r="B1215" s="152"/>
      <c r="C1215" s="152"/>
      <c r="D1215" s="153">
        <v>1</v>
      </c>
      <c r="E1215" s="64"/>
      <c r="F1215" s="154">
        <v>0</v>
      </c>
      <c r="G1215" s="154"/>
      <c r="H1215" s="67">
        <v>27142</v>
      </c>
      <c r="I1215" s="67">
        <f t="shared" si="497"/>
        <v>25944.677099961213</v>
      </c>
      <c r="J1215" s="67">
        <f t="shared" si="499"/>
        <v>25944.677099961213</v>
      </c>
      <c r="K1215" s="63"/>
      <c r="L1215" s="149">
        <v>0</v>
      </c>
      <c r="M1215" s="63">
        <f t="shared" si="484"/>
        <v>0</v>
      </c>
      <c r="N1215" s="63">
        <f t="shared" si="500"/>
        <v>0</v>
      </c>
      <c r="O1215" s="69"/>
      <c r="P1215" s="149">
        <v>0</v>
      </c>
      <c r="Q1215" s="63">
        <f t="shared" si="498"/>
        <v>0</v>
      </c>
      <c r="R1215" s="64">
        <f t="shared" si="501"/>
        <v>0</v>
      </c>
      <c r="S1215" s="153">
        <v>15</v>
      </c>
      <c r="T1215" s="155" t="s">
        <v>15</v>
      </c>
      <c r="U1215" s="65">
        <f>SUMIF('Avoided Costs 2012-2020_EGD'!$A:$A,'2012 Actuals_Auditor'!T1215&amp;'2012 Actuals_Auditor'!S1215,'Avoided Costs 2012-2020_EGD'!$E:$E)*J1215</f>
        <v>63043.071455881072</v>
      </c>
      <c r="V1215" s="65">
        <f>SUMIF('Avoided Costs 2012-2020_EGD'!$A:$A,'2012 Actuals_Auditor'!T1215&amp;'2012 Actuals_Auditor'!S1215,'Avoided Costs 2012-2020_EGD'!$K:$K)*N1215</f>
        <v>0</v>
      </c>
      <c r="W1215" s="65">
        <f>SUMIF('Avoided Costs 2012-2020_EGD'!$A:$A,'2012 Actuals_Auditor'!T1215&amp;'2012 Actuals_Auditor'!S1215,'Avoided Costs 2012-2020_EGD'!$M:$M)*R1215</f>
        <v>0</v>
      </c>
      <c r="X1215" s="65">
        <f t="shared" si="488"/>
        <v>63043.071455881072</v>
      </c>
      <c r="Y1215" s="146">
        <v>36632</v>
      </c>
      <c r="Z1215" s="66">
        <f t="shared" si="502"/>
        <v>36632</v>
      </c>
      <c r="AA1215" s="66">
        <v>5428</v>
      </c>
      <c r="AB1215" s="66"/>
      <c r="AC1215" s="66"/>
      <c r="AD1215" s="66">
        <f t="shared" si="503"/>
        <v>36632</v>
      </c>
      <c r="AE1215" s="66">
        <f t="shared" si="504"/>
        <v>26411.071455881072</v>
      </c>
      <c r="AF1215" s="101">
        <f t="shared" si="505"/>
        <v>389170.1564994182</v>
      </c>
      <c r="AG1215" s="101">
        <f t="shared" si="506"/>
        <v>389170.1564994182</v>
      </c>
    </row>
    <row r="1216" spans="1:33" s="68" customFormat="1" x14ac:dyDescent="0.2">
      <c r="A1216" s="152" t="s">
        <v>242</v>
      </c>
      <c r="B1216" s="152"/>
      <c r="C1216" s="152"/>
      <c r="D1216" s="153">
        <v>1</v>
      </c>
      <c r="E1216" s="64"/>
      <c r="F1216" s="154">
        <v>0</v>
      </c>
      <c r="G1216" s="154"/>
      <c r="H1216" s="67">
        <v>21393</v>
      </c>
      <c r="I1216" s="67">
        <f t="shared" si="497"/>
        <v>20449.284400540499</v>
      </c>
      <c r="J1216" s="67">
        <f t="shared" si="499"/>
        <v>20449.284400540499</v>
      </c>
      <c r="K1216" s="63"/>
      <c r="L1216" s="149">
        <v>0</v>
      </c>
      <c r="M1216" s="63">
        <f t="shared" si="484"/>
        <v>0</v>
      </c>
      <c r="N1216" s="63">
        <f t="shared" si="500"/>
        <v>0</v>
      </c>
      <c r="O1216" s="69"/>
      <c r="P1216" s="149">
        <v>0</v>
      </c>
      <c r="Q1216" s="63">
        <f t="shared" si="498"/>
        <v>0</v>
      </c>
      <c r="R1216" s="64">
        <f t="shared" si="501"/>
        <v>0</v>
      </c>
      <c r="S1216" s="153">
        <v>15</v>
      </c>
      <c r="T1216" s="155" t="s">
        <v>15</v>
      </c>
      <c r="U1216" s="65">
        <f>SUMIF('Avoided Costs 2012-2020_EGD'!$A:$A,'2012 Actuals_Auditor'!T1216&amp;'2012 Actuals_Auditor'!S1216,'Avoided Costs 2012-2020_EGD'!$E:$E)*J1216</f>
        <v>49689.795433485517</v>
      </c>
      <c r="V1216" s="65">
        <f>SUMIF('Avoided Costs 2012-2020_EGD'!$A:$A,'2012 Actuals_Auditor'!T1216&amp;'2012 Actuals_Auditor'!S1216,'Avoided Costs 2012-2020_EGD'!$K:$K)*N1216</f>
        <v>0</v>
      </c>
      <c r="W1216" s="65">
        <f>SUMIF('Avoided Costs 2012-2020_EGD'!$A:$A,'2012 Actuals_Auditor'!T1216&amp;'2012 Actuals_Auditor'!S1216,'Avoided Costs 2012-2020_EGD'!$M:$M)*R1216</f>
        <v>0</v>
      </c>
      <c r="X1216" s="65">
        <f t="shared" si="488"/>
        <v>49689.795433485517</v>
      </c>
      <c r="Y1216" s="146">
        <v>36632</v>
      </c>
      <c r="Z1216" s="66">
        <f t="shared" si="502"/>
        <v>36632</v>
      </c>
      <c r="AA1216" s="66">
        <v>4279</v>
      </c>
      <c r="AB1216" s="66"/>
      <c r="AC1216" s="66"/>
      <c r="AD1216" s="66">
        <f t="shared" si="503"/>
        <v>36632</v>
      </c>
      <c r="AE1216" s="66">
        <f t="shared" si="504"/>
        <v>13057.795433485517</v>
      </c>
      <c r="AF1216" s="101">
        <f t="shared" si="505"/>
        <v>306739.26600810746</v>
      </c>
      <c r="AG1216" s="101">
        <f t="shared" si="506"/>
        <v>306739.26600810746</v>
      </c>
    </row>
    <row r="1217" spans="1:33" s="68" customFormat="1" x14ac:dyDescent="0.2">
      <c r="A1217" s="152" t="s">
        <v>243</v>
      </c>
      <c r="B1217" s="152"/>
      <c r="C1217" s="152"/>
      <c r="D1217" s="153">
        <v>1</v>
      </c>
      <c r="E1217" s="64"/>
      <c r="F1217" s="154">
        <v>0</v>
      </c>
      <c r="G1217" s="154"/>
      <c r="H1217" s="67">
        <v>45298</v>
      </c>
      <c r="I1217" s="67">
        <f t="shared" si="497"/>
        <v>43299.756218187424</v>
      </c>
      <c r="J1217" s="67">
        <f t="shared" si="499"/>
        <v>43299.756218187424</v>
      </c>
      <c r="K1217" s="63"/>
      <c r="L1217" s="149">
        <v>0</v>
      </c>
      <c r="M1217" s="63">
        <f t="shared" si="484"/>
        <v>0</v>
      </c>
      <c r="N1217" s="63">
        <f t="shared" si="500"/>
        <v>0</v>
      </c>
      <c r="O1217" s="69"/>
      <c r="P1217" s="149">
        <v>0</v>
      </c>
      <c r="Q1217" s="63">
        <f t="shared" si="498"/>
        <v>0</v>
      </c>
      <c r="R1217" s="64">
        <f t="shared" si="501"/>
        <v>0</v>
      </c>
      <c r="S1217" s="153">
        <v>15</v>
      </c>
      <c r="T1217" s="155" t="s">
        <v>15</v>
      </c>
      <c r="U1217" s="65">
        <f>SUMIF('Avoided Costs 2012-2020_EGD'!$A:$A,'2012 Actuals_Auditor'!T1217&amp;'2012 Actuals_Auditor'!S1217,'Avoided Costs 2012-2020_EGD'!$E:$E)*J1217</f>
        <v>105214.24547964413</v>
      </c>
      <c r="V1217" s="65">
        <f>SUMIF('Avoided Costs 2012-2020_EGD'!$A:$A,'2012 Actuals_Auditor'!T1217&amp;'2012 Actuals_Auditor'!S1217,'Avoided Costs 2012-2020_EGD'!$K:$K)*N1217</f>
        <v>0</v>
      </c>
      <c r="W1217" s="65">
        <f>SUMIF('Avoided Costs 2012-2020_EGD'!$A:$A,'2012 Actuals_Auditor'!T1217&amp;'2012 Actuals_Auditor'!S1217,'Avoided Costs 2012-2020_EGD'!$M:$M)*R1217</f>
        <v>0</v>
      </c>
      <c r="X1217" s="65">
        <f t="shared" si="488"/>
        <v>105214.24547964413</v>
      </c>
      <c r="Y1217" s="146">
        <v>19396</v>
      </c>
      <c r="Z1217" s="66">
        <f t="shared" si="502"/>
        <v>19396</v>
      </c>
      <c r="AA1217" s="66">
        <v>9060</v>
      </c>
      <c r="AB1217" s="66"/>
      <c r="AC1217" s="66"/>
      <c r="AD1217" s="66">
        <f t="shared" si="503"/>
        <v>19396</v>
      </c>
      <c r="AE1217" s="66">
        <f t="shared" si="504"/>
        <v>85818.245479644131</v>
      </c>
      <c r="AF1217" s="101">
        <f t="shared" si="505"/>
        <v>649496.34327281138</v>
      </c>
      <c r="AG1217" s="101">
        <f t="shared" si="506"/>
        <v>649496.34327281138</v>
      </c>
    </row>
    <row r="1218" spans="1:33" s="68" customFormat="1" x14ac:dyDescent="0.2">
      <c r="A1218" s="152" t="s">
        <v>244</v>
      </c>
      <c r="B1218" s="152"/>
      <c r="C1218" s="152"/>
      <c r="D1218" s="153">
        <v>1</v>
      </c>
      <c r="E1218" s="64"/>
      <c r="F1218" s="154">
        <v>0</v>
      </c>
      <c r="G1218" s="154"/>
      <c r="H1218" s="67">
        <v>22405</v>
      </c>
      <c r="I1218" s="67">
        <f t="shared" si="497"/>
        <v>21416.641751699615</v>
      </c>
      <c r="J1218" s="67">
        <f t="shared" si="499"/>
        <v>21416.641751699615</v>
      </c>
      <c r="K1218" s="63"/>
      <c r="L1218" s="149">
        <v>0</v>
      </c>
      <c r="M1218" s="63">
        <f t="shared" si="484"/>
        <v>0</v>
      </c>
      <c r="N1218" s="63">
        <f t="shared" si="500"/>
        <v>0</v>
      </c>
      <c r="O1218" s="69"/>
      <c r="P1218" s="149">
        <v>0</v>
      </c>
      <c r="Q1218" s="63">
        <f t="shared" si="498"/>
        <v>0</v>
      </c>
      <c r="R1218" s="64">
        <f t="shared" si="501"/>
        <v>0</v>
      </c>
      <c r="S1218" s="153">
        <v>15</v>
      </c>
      <c r="T1218" s="155" t="s">
        <v>15</v>
      </c>
      <c r="U1218" s="65">
        <f>SUMIF('Avoided Costs 2012-2020_EGD'!$A:$A,'2012 Actuals_Auditor'!T1218&amp;'2012 Actuals_Auditor'!S1218,'Avoided Costs 2012-2020_EGD'!$E:$E)*J1218</f>
        <v>52040.380810884075</v>
      </c>
      <c r="V1218" s="65">
        <f>SUMIF('Avoided Costs 2012-2020_EGD'!$A:$A,'2012 Actuals_Auditor'!T1218&amp;'2012 Actuals_Auditor'!S1218,'Avoided Costs 2012-2020_EGD'!$K:$K)*N1218</f>
        <v>0</v>
      </c>
      <c r="W1218" s="65">
        <f>SUMIF('Avoided Costs 2012-2020_EGD'!$A:$A,'2012 Actuals_Auditor'!T1218&amp;'2012 Actuals_Auditor'!S1218,'Avoided Costs 2012-2020_EGD'!$M:$M)*R1218</f>
        <v>0</v>
      </c>
      <c r="X1218" s="65">
        <f t="shared" si="488"/>
        <v>52040.380810884075</v>
      </c>
      <c r="Y1218" s="146">
        <v>31664</v>
      </c>
      <c r="Z1218" s="66">
        <f t="shared" si="502"/>
        <v>31664</v>
      </c>
      <c r="AA1218" s="66">
        <v>4532</v>
      </c>
      <c r="AB1218" s="66"/>
      <c r="AC1218" s="66"/>
      <c r="AD1218" s="66">
        <f t="shared" si="503"/>
        <v>31664</v>
      </c>
      <c r="AE1218" s="66">
        <f t="shared" si="504"/>
        <v>20376.380810884075</v>
      </c>
      <c r="AF1218" s="101">
        <f t="shared" si="505"/>
        <v>321249.62627549423</v>
      </c>
      <c r="AG1218" s="101">
        <f t="shared" si="506"/>
        <v>321249.62627549423</v>
      </c>
    </row>
    <row r="1219" spans="1:33" s="68" customFormat="1" x14ac:dyDescent="0.2">
      <c r="A1219" s="152" t="s">
        <v>245</v>
      </c>
      <c r="B1219" s="152"/>
      <c r="C1219" s="152"/>
      <c r="D1219" s="153">
        <v>1</v>
      </c>
      <c r="E1219" s="64"/>
      <c r="F1219" s="154">
        <v>0</v>
      </c>
      <c r="G1219" s="154"/>
      <c r="H1219" s="67">
        <v>14777</v>
      </c>
      <c r="I1219" s="67">
        <f t="shared" si="497"/>
        <v>14125.137923002241</v>
      </c>
      <c r="J1219" s="67">
        <f t="shared" si="499"/>
        <v>14125.137923002241</v>
      </c>
      <c r="K1219" s="63"/>
      <c r="L1219" s="149">
        <v>0</v>
      </c>
      <c r="M1219" s="63">
        <f t="shared" si="484"/>
        <v>0</v>
      </c>
      <c r="N1219" s="63">
        <f t="shared" si="500"/>
        <v>0</v>
      </c>
      <c r="O1219" s="69"/>
      <c r="P1219" s="149">
        <v>0</v>
      </c>
      <c r="Q1219" s="63">
        <f t="shared" si="498"/>
        <v>0</v>
      </c>
      <c r="R1219" s="64">
        <f t="shared" si="501"/>
        <v>0</v>
      </c>
      <c r="S1219" s="153">
        <v>15</v>
      </c>
      <c r="T1219" s="155" t="s">
        <v>15</v>
      </c>
      <c r="U1219" s="65">
        <f>SUMIF('Avoided Costs 2012-2020_EGD'!$A:$A,'2012 Actuals_Auditor'!T1219&amp;'2012 Actuals_Auditor'!S1219,'Avoided Costs 2012-2020_EGD'!$E:$E)*J1219</f>
        <v>34322.727393101268</v>
      </c>
      <c r="V1219" s="65">
        <f>SUMIF('Avoided Costs 2012-2020_EGD'!$A:$A,'2012 Actuals_Auditor'!T1219&amp;'2012 Actuals_Auditor'!S1219,'Avoided Costs 2012-2020_EGD'!$K:$K)*N1219</f>
        <v>0</v>
      </c>
      <c r="W1219" s="65">
        <f>SUMIF('Avoided Costs 2012-2020_EGD'!$A:$A,'2012 Actuals_Auditor'!T1219&amp;'2012 Actuals_Auditor'!S1219,'Avoided Costs 2012-2020_EGD'!$M:$M)*R1219</f>
        <v>0</v>
      </c>
      <c r="X1219" s="65">
        <f t="shared" si="488"/>
        <v>34322.727393101268</v>
      </c>
      <c r="Y1219" s="146">
        <v>19677</v>
      </c>
      <c r="Z1219" s="66">
        <f t="shared" si="502"/>
        <v>19677</v>
      </c>
      <c r="AA1219" s="66">
        <v>2955</v>
      </c>
      <c r="AB1219" s="66"/>
      <c r="AC1219" s="66"/>
      <c r="AD1219" s="66">
        <f t="shared" si="503"/>
        <v>19677</v>
      </c>
      <c r="AE1219" s="66">
        <f t="shared" si="504"/>
        <v>14645.727393101268</v>
      </c>
      <c r="AF1219" s="101">
        <f t="shared" si="505"/>
        <v>211877.06884503362</v>
      </c>
      <c r="AG1219" s="101">
        <f t="shared" si="506"/>
        <v>211877.06884503362</v>
      </c>
    </row>
    <row r="1220" spans="1:33" s="68" customFormat="1" x14ac:dyDescent="0.2">
      <c r="A1220" s="152" t="s">
        <v>246</v>
      </c>
      <c r="B1220" s="152"/>
      <c r="C1220" s="152"/>
      <c r="D1220" s="153">
        <v>1</v>
      </c>
      <c r="E1220" s="64"/>
      <c r="F1220" s="154">
        <v>0</v>
      </c>
      <c r="G1220" s="154"/>
      <c r="H1220" s="67">
        <v>14333</v>
      </c>
      <c r="I1220" s="67">
        <f t="shared" si="497"/>
        <v>13700.724223481839</v>
      </c>
      <c r="J1220" s="67">
        <f t="shared" si="499"/>
        <v>13700.724223481839</v>
      </c>
      <c r="K1220" s="63"/>
      <c r="L1220" s="149">
        <v>0</v>
      </c>
      <c r="M1220" s="63">
        <f t="shared" si="484"/>
        <v>0</v>
      </c>
      <c r="N1220" s="63">
        <f t="shared" si="500"/>
        <v>0</v>
      </c>
      <c r="O1220" s="69"/>
      <c r="P1220" s="149">
        <v>0</v>
      </c>
      <c r="Q1220" s="63">
        <f t="shared" si="498"/>
        <v>0</v>
      </c>
      <c r="R1220" s="64">
        <f t="shared" si="501"/>
        <v>0</v>
      </c>
      <c r="S1220" s="153">
        <v>15</v>
      </c>
      <c r="T1220" s="155" t="s">
        <v>15</v>
      </c>
      <c r="U1220" s="65">
        <f>SUMIF('Avoided Costs 2012-2020_EGD'!$A:$A,'2012 Actuals_Auditor'!T1220&amp;'2012 Actuals_Auditor'!S1220,'Avoided Costs 2012-2020_EGD'!$E:$E)*J1220</f>
        <v>33291.442899460002</v>
      </c>
      <c r="V1220" s="65">
        <f>SUMIF('Avoided Costs 2012-2020_EGD'!$A:$A,'2012 Actuals_Auditor'!T1220&amp;'2012 Actuals_Auditor'!S1220,'Avoided Costs 2012-2020_EGD'!$K:$K)*N1220</f>
        <v>0</v>
      </c>
      <c r="W1220" s="65">
        <f>SUMIF('Avoided Costs 2012-2020_EGD'!$A:$A,'2012 Actuals_Auditor'!T1220&amp;'2012 Actuals_Auditor'!S1220,'Avoided Costs 2012-2020_EGD'!$M:$M)*R1220</f>
        <v>0</v>
      </c>
      <c r="X1220" s="65">
        <f t="shared" si="488"/>
        <v>33291.442899460002</v>
      </c>
      <c r="Y1220" s="146">
        <v>36208</v>
      </c>
      <c r="Z1220" s="66">
        <f t="shared" si="502"/>
        <v>36208</v>
      </c>
      <c r="AA1220" s="66">
        <v>2867</v>
      </c>
      <c r="AB1220" s="66"/>
      <c r="AC1220" s="66"/>
      <c r="AD1220" s="66">
        <f t="shared" si="503"/>
        <v>36208</v>
      </c>
      <c r="AE1220" s="66">
        <f t="shared" si="504"/>
        <v>-2916.5571005399979</v>
      </c>
      <c r="AF1220" s="101">
        <f t="shared" si="505"/>
        <v>205510.86335222758</v>
      </c>
      <c r="AG1220" s="101">
        <f t="shared" si="506"/>
        <v>205510.86335222758</v>
      </c>
    </row>
    <row r="1221" spans="1:33" s="68" customFormat="1" x14ac:dyDescent="0.2">
      <c r="A1221" s="152" t="s">
        <v>247</v>
      </c>
      <c r="B1221" s="152"/>
      <c r="C1221" s="152"/>
      <c r="D1221" s="153">
        <v>1</v>
      </c>
      <c r="E1221" s="64"/>
      <c r="F1221" s="154">
        <v>0</v>
      </c>
      <c r="G1221" s="154"/>
      <c r="H1221" s="67">
        <v>40148</v>
      </c>
      <c r="I1221" s="67">
        <f t="shared" si="497"/>
        <v>38376.939658434996</v>
      </c>
      <c r="J1221" s="67">
        <f t="shared" si="499"/>
        <v>38376.939658434996</v>
      </c>
      <c r="K1221" s="63"/>
      <c r="L1221" s="149">
        <v>0</v>
      </c>
      <c r="M1221" s="63">
        <f t="shared" si="484"/>
        <v>0</v>
      </c>
      <c r="N1221" s="63">
        <f t="shared" si="500"/>
        <v>0</v>
      </c>
      <c r="O1221" s="69"/>
      <c r="P1221" s="149">
        <v>0</v>
      </c>
      <c r="Q1221" s="63">
        <f t="shared" si="498"/>
        <v>0</v>
      </c>
      <c r="R1221" s="64">
        <f t="shared" si="501"/>
        <v>0</v>
      </c>
      <c r="S1221" s="153">
        <v>15</v>
      </c>
      <c r="T1221" s="155" t="s">
        <v>15</v>
      </c>
      <c r="U1221" s="65">
        <f>SUMIF('Avoided Costs 2012-2020_EGD'!$A:$A,'2012 Actuals_Auditor'!T1221&amp;'2012 Actuals_Auditor'!S1221,'Avoided Costs 2012-2020_EGD'!$E:$E)*J1221</f>
        <v>93252.274438534863</v>
      </c>
      <c r="V1221" s="65">
        <f>SUMIF('Avoided Costs 2012-2020_EGD'!$A:$A,'2012 Actuals_Auditor'!T1221&amp;'2012 Actuals_Auditor'!S1221,'Avoided Costs 2012-2020_EGD'!$K:$K)*N1221</f>
        <v>0</v>
      </c>
      <c r="W1221" s="65">
        <f>SUMIF('Avoided Costs 2012-2020_EGD'!$A:$A,'2012 Actuals_Auditor'!T1221&amp;'2012 Actuals_Auditor'!S1221,'Avoided Costs 2012-2020_EGD'!$M:$M)*R1221</f>
        <v>0</v>
      </c>
      <c r="X1221" s="65">
        <f t="shared" si="488"/>
        <v>93252.274438534863</v>
      </c>
      <c r="Y1221" s="146">
        <v>27191</v>
      </c>
      <c r="Z1221" s="66">
        <f t="shared" si="502"/>
        <v>27191</v>
      </c>
      <c r="AA1221" s="66">
        <v>8030</v>
      </c>
      <c r="AB1221" s="66"/>
      <c r="AC1221" s="66"/>
      <c r="AD1221" s="66">
        <f t="shared" si="503"/>
        <v>27191</v>
      </c>
      <c r="AE1221" s="66">
        <f t="shared" si="504"/>
        <v>66061.274438534863</v>
      </c>
      <c r="AF1221" s="101">
        <f t="shared" si="505"/>
        <v>575654.09487652499</v>
      </c>
      <c r="AG1221" s="101">
        <f t="shared" si="506"/>
        <v>575654.09487652499</v>
      </c>
    </row>
    <row r="1222" spans="1:33" s="68" customFormat="1" x14ac:dyDescent="0.2">
      <c r="A1222" s="152" t="s">
        <v>248</v>
      </c>
      <c r="B1222" s="152"/>
      <c r="C1222" s="152"/>
      <c r="D1222" s="153">
        <v>1</v>
      </c>
      <c r="E1222" s="64"/>
      <c r="F1222" s="154">
        <v>0</v>
      </c>
      <c r="G1222" s="154"/>
      <c r="H1222" s="67">
        <v>4268</v>
      </c>
      <c r="I1222" s="67">
        <f t="shared" si="497"/>
        <v>4079.7244809754056</v>
      </c>
      <c r="J1222" s="67">
        <f t="shared" si="499"/>
        <v>4079.7244809754056</v>
      </c>
      <c r="K1222" s="63"/>
      <c r="L1222" s="149">
        <v>0</v>
      </c>
      <c r="M1222" s="63">
        <f t="shared" si="484"/>
        <v>0</v>
      </c>
      <c r="N1222" s="63">
        <f t="shared" si="500"/>
        <v>0</v>
      </c>
      <c r="O1222" s="69"/>
      <c r="P1222" s="149">
        <v>0</v>
      </c>
      <c r="Q1222" s="63">
        <f t="shared" si="498"/>
        <v>0</v>
      </c>
      <c r="R1222" s="64">
        <f t="shared" si="501"/>
        <v>0</v>
      </c>
      <c r="S1222" s="153">
        <v>15</v>
      </c>
      <c r="T1222" s="155" t="s">
        <v>15</v>
      </c>
      <c r="U1222" s="65">
        <f>SUMIF('Avoided Costs 2012-2020_EGD'!$A:$A,'2012 Actuals_Auditor'!T1222&amp;'2012 Actuals_Auditor'!S1222,'Avoided Costs 2012-2020_EGD'!$E:$E)*J1222</f>
        <v>9913.3383307678305</v>
      </c>
      <c r="V1222" s="65">
        <f>SUMIF('Avoided Costs 2012-2020_EGD'!$A:$A,'2012 Actuals_Auditor'!T1222&amp;'2012 Actuals_Auditor'!S1222,'Avoided Costs 2012-2020_EGD'!$K:$K)*N1222</f>
        <v>0</v>
      </c>
      <c r="W1222" s="65">
        <f>SUMIF('Avoided Costs 2012-2020_EGD'!$A:$A,'2012 Actuals_Auditor'!T1222&amp;'2012 Actuals_Auditor'!S1222,'Avoided Costs 2012-2020_EGD'!$M:$M)*R1222</f>
        <v>0</v>
      </c>
      <c r="X1222" s="65">
        <f t="shared" si="488"/>
        <v>9913.3383307678305</v>
      </c>
      <c r="Y1222" s="146">
        <v>23921</v>
      </c>
      <c r="Z1222" s="66">
        <f t="shared" si="502"/>
        <v>23921</v>
      </c>
      <c r="AA1222" s="66">
        <v>854</v>
      </c>
      <c r="AB1222" s="66"/>
      <c r="AC1222" s="66"/>
      <c r="AD1222" s="66">
        <f t="shared" si="503"/>
        <v>23921</v>
      </c>
      <c r="AE1222" s="66">
        <f t="shared" si="504"/>
        <v>-14007.66166923217</v>
      </c>
      <c r="AF1222" s="101">
        <f t="shared" si="505"/>
        <v>61195.867214631086</v>
      </c>
      <c r="AG1222" s="101">
        <f t="shared" si="506"/>
        <v>61195.867214631086</v>
      </c>
    </row>
    <row r="1223" spans="1:33" s="68" customFormat="1" x14ac:dyDescent="0.2">
      <c r="A1223" s="152" t="s">
        <v>249</v>
      </c>
      <c r="B1223" s="152"/>
      <c r="C1223" s="152"/>
      <c r="D1223" s="153">
        <v>1</v>
      </c>
      <c r="E1223" s="64"/>
      <c r="F1223" s="154">
        <v>0</v>
      </c>
      <c r="G1223" s="154"/>
      <c r="H1223" s="67">
        <v>58039</v>
      </c>
      <c r="I1223" s="67">
        <f t="shared" si="497"/>
        <v>55478.708798343854</v>
      </c>
      <c r="J1223" s="67">
        <f t="shared" si="499"/>
        <v>55478.708798343854</v>
      </c>
      <c r="K1223" s="63"/>
      <c r="L1223" s="149">
        <v>0</v>
      </c>
      <c r="M1223" s="63">
        <f t="shared" si="484"/>
        <v>0</v>
      </c>
      <c r="N1223" s="63">
        <f t="shared" si="500"/>
        <v>0</v>
      </c>
      <c r="O1223" s="69"/>
      <c r="P1223" s="149">
        <v>0</v>
      </c>
      <c r="Q1223" s="63">
        <f t="shared" si="498"/>
        <v>0</v>
      </c>
      <c r="R1223" s="64">
        <f t="shared" si="501"/>
        <v>0</v>
      </c>
      <c r="S1223" s="153">
        <v>15</v>
      </c>
      <c r="T1223" s="155" t="s">
        <v>15</v>
      </c>
      <c r="U1223" s="65">
        <f>SUMIF('Avoided Costs 2012-2020_EGD'!$A:$A,'2012 Actuals_Auditor'!T1223&amp;'2012 Actuals_Auditor'!S1223,'Avoided Costs 2012-2020_EGD'!$E:$E)*J1223</f>
        <v>134807.92956406609</v>
      </c>
      <c r="V1223" s="65">
        <f>SUMIF('Avoided Costs 2012-2020_EGD'!$A:$A,'2012 Actuals_Auditor'!T1223&amp;'2012 Actuals_Auditor'!S1223,'Avoided Costs 2012-2020_EGD'!$K:$K)*N1223</f>
        <v>0</v>
      </c>
      <c r="W1223" s="65">
        <f>SUMIF('Avoided Costs 2012-2020_EGD'!$A:$A,'2012 Actuals_Auditor'!T1223&amp;'2012 Actuals_Auditor'!S1223,'Avoided Costs 2012-2020_EGD'!$M:$M)*R1223</f>
        <v>0</v>
      </c>
      <c r="X1223" s="65">
        <f t="shared" si="488"/>
        <v>134807.92956406609</v>
      </c>
      <c r="Y1223" s="146">
        <v>29683</v>
      </c>
      <c r="Z1223" s="66">
        <f t="shared" si="502"/>
        <v>29683</v>
      </c>
      <c r="AA1223" s="66">
        <v>11608</v>
      </c>
      <c r="AB1223" s="66"/>
      <c r="AC1223" s="66"/>
      <c r="AD1223" s="66">
        <f t="shared" si="503"/>
        <v>29683</v>
      </c>
      <c r="AE1223" s="66">
        <f t="shared" si="504"/>
        <v>105124.92956406609</v>
      </c>
      <c r="AF1223" s="101">
        <f t="shared" si="505"/>
        <v>832180.63197515777</v>
      </c>
      <c r="AG1223" s="101">
        <f t="shared" si="506"/>
        <v>832180.63197515777</v>
      </c>
    </row>
    <row r="1224" spans="1:33" s="68" customFormat="1" x14ac:dyDescent="0.2">
      <c r="A1224" s="152" t="s">
        <v>250</v>
      </c>
      <c r="B1224" s="152"/>
      <c r="C1224" s="152"/>
      <c r="D1224" s="153">
        <v>1</v>
      </c>
      <c r="E1224" s="64"/>
      <c r="F1224" s="154">
        <v>0</v>
      </c>
      <c r="G1224" s="154"/>
      <c r="H1224" s="67">
        <v>128704</v>
      </c>
      <c r="I1224" s="67">
        <f t="shared" si="497"/>
        <v>123026.44320512151</v>
      </c>
      <c r="J1224" s="67">
        <f t="shared" si="499"/>
        <v>123026.44320512151</v>
      </c>
      <c r="K1224" s="63"/>
      <c r="L1224" s="149">
        <v>0</v>
      </c>
      <c r="M1224" s="63">
        <f t="shared" si="484"/>
        <v>0</v>
      </c>
      <c r="N1224" s="63">
        <f t="shared" si="500"/>
        <v>0</v>
      </c>
      <c r="O1224" s="69"/>
      <c r="P1224" s="149">
        <v>0</v>
      </c>
      <c r="Q1224" s="63">
        <f t="shared" si="498"/>
        <v>0</v>
      </c>
      <c r="R1224" s="64">
        <f t="shared" si="501"/>
        <v>0</v>
      </c>
      <c r="S1224" s="153">
        <v>15</v>
      </c>
      <c r="T1224" s="155" t="s">
        <v>15</v>
      </c>
      <c r="U1224" s="65">
        <f>SUMIF('Avoided Costs 2012-2020_EGD'!$A:$A,'2012 Actuals_Auditor'!T1224&amp;'2012 Actuals_Auditor'!S1224,'Avoided Costs 2012-2020_EGD'!$E:$E)*J1224</f>
        <v>298942.43123784976</v>
      </c>
      <c r="V1224" s="65">
        <f>SUMIF('Avoided Costs 2012-2020_EGD'!$A:$A,'2012 Actuals_Auditor'!T1224&amp;'2012 Actuals_Auditor'!S1224,'Avoided Costs 2012-2020_EGD'!$K:$K)*N1224</f>
        <v>0</v>
      </c>
      <c r="W1224" s="65">
        <f>SUMIF('Avoided Costs 2012-2020_EGD'!$A:$A,'2012 Actuals_Auditor'!T1224&amp;'2012 Actuals_Auditor'!S1224,'Avoided Costs 2012-2020_EGD'!$M:$M)*R1224</f>
        <v>0</v>
      </c>
      <c r="X1224" s="65">
        <f t="shared" si="488"/>
        <v>298942.43123784976</v>
      </c>
      <c r="Y1224" s="146">
        <v>37264</v>
      </c>
      <c r="Z1224" s="66">
        <f t="shared" si="502"/>
        <v>37264</v>
      </c>
      <c r="AA1224" s="66">
        <v>25748</v>
      </c>
      <c r="AB1224" s="66"/>
      <c r="AC1224" s="66"/>
      <c r="AD1224" s="66">
        <f t="shared" si="503"/>
        <v>37264</v>
      </c>
      <c r="AE1224" s="66">
        <f t="shared" si="504"/>
        <v>261678.43123784976</v>
      </c>
      <c r="AF1224" s="101">
        <f t="shared" si="505"/>
        <v>1845396.6480768227</v>
      </c>
      <c r="AG1224" s="101">
        <f t="shared" si="506"/>
        <v>1845396.6480768227</v>
      </c>
    </row>
    <row r="1225" spans="1:33" s="68" customFormat="1" x14ac:dyDescent="0.2">
      <c r="A1225" s="152" t="s">
        <v>251</v>
      </c>
      <c r="B1225" s="152"/>
      <c r="C1225" s="152"/>
      <c r="D1225" s="153">
        <v>1</v>
      </c>
      <c r="E1225" s="64"/>
      <c r="F1225" s="154">
        <v>0</v>
      </c>
      <c r="G1225" s="154"/>
      <c r="H1225" s="67">
        <v>26714</v>
      </c>
      <c r="I1225" s="67">
        <f t="shared" si="497"/>
        <v>25535.557587810916</v>
      </c>
      <c r="J1225" s="67">
        <f t="shared" si="499"/>
        <v>25535.557587810916</v>
      </c>
      <c r="K1225" s="63"/>
      <c r="L1225" s="149">
        <v>0</v>
      </c>
      <c r="M1225" s="63">
        <f t="shared" si="484"/>
        <v>0</v>
      </c>
      <c r="N1225" s="63">
        <f t="shared" si="500"/>
        <v>0</v>
      </c>
      <c r="O1225" s="69"/>
      <c r="P1225" s="149">
        <v>0</v>
      </c>
      <c r="Q1225" s="63">
        <f t="shared" si="498"/>
        <v>0</v>
      </c>
      <c r="R1225" s="64">
        <f t="shared" si="501"/>
        <v>0</v>
      </c>
      <c r="S1225" s="153">
        <v>15</v>
      </c>
      <c r="T1225" s="155" t="s">
        <v>15</v>
      </c>
      <c r="U1225" s="65">
        <f>SUMIF('Avoided Costs 2012-2020_EGD'!$A:$A,'2012 Actuals_Auditor'!T1225&amp;'2012 Actuals_Auditor'!S1225,'Avoided Costs 2012-2020_EGD'!$E:$E)*J1225</f>
        <v>62048.950367416073</v>
      </c>
      <c r="V1225" s="65">
        <f>SUMIF('Avoided Costs 2012-2020_EGD'!$A:$A,'2012 Actuals_Auditor'!T1225&amp;'2012 Actuals_Auditor'!S1225,'Avoided Costs 2012-2020_EGD'!$K:$K)*N1225</f>
        <v>0</v>
      </c>
      <c r="W1225" s="65">
        <f>SUMIF('Avoided Costs 2012-2020_EGD'!$A:$A,'2012 Actuals_Auditor'!T1225&amp;'2012 Actuals_Auditor'!S1225,'Avoided Costs 2012-2020_EGD'!$M:$M)*R1225</f>
        <v>0</v>
      </c>
      <c r="X1225" s="65">
        <f t="shared" si="488"/>
        <v>62048.950367416073</v>
      </c>
      <c r="Y1225" s="146">
        <v>31664</v>
      </c>
      <c r="Z1225" s="66">
        <f t="shared" si="502"/>
        <v>31664</v>
      </c>
      <c r="AA1225" s="66">
        <v>5343</v>
      </c>
      <c r="AB1225" s="66"/>
      <c r="AC1225" s="66"/>
      <c r="AD1225" s="66">
        <f t="shared" si="503"/>
        <v>31664</v>
      </c>
      <c r="AE1225" s="66">
        <f t="shared" si="504"/>
        <v>30384.950367416073</v>
      </c>
      <c r="AF1225" s="101">
        <f t="shared" si="505"/>
        <v>383033.36381716374</v>
      </c>
      <c r="AG1225" s="101">
        <f t="shared" si="506"/>
        <v>383033.36381716374</v>
      </c>
    </row>
    <row r="1226" spans="1:33" s="68" customFormat="1" x14ac:dyDescent="0.2">
      <c r="A1226" s="152" t="s">
        <v>252</v>
      </c>
      <c r="B1226" s="152"/>
      <c r="C1226" s="152"/>
      <c r="D1226" s="153">
        <v>1</v>
      </c>
      <c r="E1226" s="64"/>
      <c r="F1226" s="154">
        <v>0</v>
      </c>
      <c r="G1226" s="154"/>
      <c r="H1226" s="67">
        <v>44485</v>
      </c>
      <c r="I1226" s="67">
        <f t="shared" si="497"/>
        <v>42522.620322443981</v>
      </c>
      <c r="J1226" s="67">
        <f t="shared" si="499"/>
        <v>42522.620322443981</v>
      </c>
      <c r="K1226" s="63"/>
      <c r="L1226" s="149">
        <v>0</v>
      </c>
      <c r="M1226" s="63">
        <f t="shared" si="484"/>
        <v>0</v>
      </c>
      <c r="N1226" s="63">
        <f t="shared" si="500"/>
        <v>0</v>
      </c>
      <c r="O1226" s="69"/>
      <c r="P1226" s="149">
        <v>0</v>
      </c>
      <c r="Q1226" s="63">
        <f t="shared" si="498"/>
        <v>0</v>
      </c>
      <c r="R1226" s="64">
        <f t="shared" si="501"/>
        <v>0</v>
      </c>
      <c r="S1226" s="153">
        <v>15</v>
      </c>
      <c r="T1226" s="155" t="s">
        <v>15</v>
      </c>
      <c r="U1226" s="65">
        <f>SUMIF('Avoided Costs 2012-2020_EGD'!$A:$A,'2012 Actuals_Auditor'!T1226&amp;'2012 Actuals_Auditor'!S1226,'Avoided Costs 2012-2020_EGD'!$E:$E)*J1226</f>
        <v>103325.87995412532</v>
      </c>
      <c r="V1226" s="65">
        <f>SUMIF('Avoided Costs 2012-2020_EGD'!$A:$A,'2012 Actuals_Auditor'!T1226&amp;'2012 Actuals_Auditor'!S1226,'Avoided Costs 2012-2020_EGD'!$K:$K)*N1226</f>
        <v>0</v>
      </c>
      <c r="W1226" s="65">
        <f>SUMIF('Avoided Costs 2012-2020_EGD'!$A:$A,'2012 Actuals_Auditor'!T1226&amp;'2012 Actuals_Auditor'!S1226,'Avoided Costs 2012-2020_EGD'!$M:$M)*R1226</f>
        <v>0</v>
      </c>
      <c r="X1226" s="65">
        <f t="shared" si="488"/>
        <v>103325.87995412532</v>
      </c>
      <c r="Y1226" s="146">
        <v>100170</v>
      </c>
      <c r="Z1226" s="66">
        <f t="shared" si="502"/>
        <v>100170</v>
      </c>
      <c r="AA1226" s="66">
        <v>8897</v>
      </c>
      <c r="AB1226" s="66"/>
      <c r="AC1226" s="66"/>
      <c r="AD1226" s="66">
        <f t="shared" si="503"/>
        <v>100170</v>
      </c>
      <c r="AE1226" s="66">
        <f t="shared" si="504"/>
        <v>3155.8799541253247</v>
      </c>
      <c r="AF1226" s="101">
        <f t="shared" si="505"/>
        <v>637839.30483665969</v>
      </c>
      <c r="AG1226" s="101">
        <f t="shared" si="506"/>
        <v>637839.30483665969</v>
      </c>
    </row>
    <row r="1227" spans="1:33" s="68" customFormat="1" x14ac:dyDescent="0.2">
      <c r="A1227" s="152" t="s">
        <v>253</v>
      </c>
      <c r="B1227" s="152"/>
      <c r="C1227" s="152"/>
      <c r="D1227" s="153">
        <v>1</v>
      </c>
      <c r="E1227" s="64"/>
      <c r="F1227" s="154">
        <v>0</v>
      </c>
      <c r="G1227" s="154"/>
      <c r="H1227" s="67">
        <v>93368</v>
      </c>
      <c r="I1227" s="67">
        <f t="shared" si="497"/>
        <v>89249.230398245461</v>
      </c>
      <c r="J1227" s="67">
        <f t="shared" si="499"/>
        <v>89249.230398245461</v>
      </c>
      <c r="K1227" s="63"/>
      <c r="L1227" s="149">
        <v>0</v>
      </c>
      <c r="M1227" s="63">
        <f t="shared" si="484"/>
        <v>0</v>
      </c>
      <c r="N1227" s="63">
        <f t="shared" si="500"/>
        <v>0</v>
      </c>
      <c r="O1227" s="69"/>
      <c r="P1227" s="149">
        <v>0</v>
      </c>
      <c r="Q1227" s="63">
        <f t="shared" si="498"/>
        <v>0</v>
      </c>
      <c r="R1227" s="64">
        <f t="shared" si="501"/>
        <v>0</v>
      </c>
      <c r="S1227" s="153">
        <v>15</v>
      </c>
      <c r="T1227" s="155" t="s">
        <v>15</v>
      </c>
      <c r="U1227" s="65">
        <f>SUMIF('Avoided Costs 2012-2020_EGD'!$A:$A,'2012 Actuals_Auditor'!T1227&amp;'2012 Actuals_Auditor'!S1227,'Avoided Costs 2012-2020_EGD'!$E:$E)*J1227</f>
        <v>216867.0509060756</v>
      </c>
      <c r="V1227" s="65">
        <f>SUMIF('Avoided Costs 2012-2020_EGD'!$A:$A,'2012 Actuals_Auditor'!T1227&amp;'2012 Actuals_Auditor'!S1227,'Avoided Costs 2012-2020_EGD'!$K:$K)*N1227</f>
        <v>0</v>
      </c>
      <c r="W1227" s="65">
        <f>SUMIF('Avoided Costs 2012-2020_EGD'!$A:$A,'2012 Actuals_Auditor'!T1227&amp;'2012 Actuals_Auditor'!S1227,'Avoided Costs 2012-2020_EGD'!$M:$M)*R1227</f>
        <v>0</v>
      </c>
      <c r="X1227" s="65">
        <f t="shared" si="488"/>
        <v>216867.0509060756</v>
      </c>
      <c r="Y1227" s="146">
        <v>42305</v>
      </c>
      <c r="Z1227" s="66">
        <f t="shared" si="502"/>
        <v>42305</v>
      </c>
      <c r="AA1227" s="66">
        <v>18674</v>
      </c>
      <c r="AB1227" s="66"/>
      <c r="AC1227" s="66"/>
      <c r="AD1227" s="66">
        <f t="shared" si="503"/>
        <v>42305</v>
      </c>
      <c r="AE1227" s="66">
        <f t="shared" si="504"/>
        <v>174562.0509060756</v>
      </c>
      <c r="AF1227" s="101">
        <f t="shared" si="505"/>
        <v>1338738.455973682</v>
      </c>
      <c r="AG1227" s="101">
        <f t="shared" si="506"/>
        <v>1338738.455973682</v>
      </c>
    </row>
    <row r="1228" spans="1:33" s="68" customFormat="1" x14ac:dyDescent="0.2">
      <c r="A1228" s="152" t="s">
        <v>254</v>
      </c>
      <c r="B1228" s="152"/>
      <c r="C1228" s="152"/>
      <c r="D1228" s="153">
        <v>1</v>
      </c>
      <c r="E1228" s="64"/>
      <c r="F1228" s="154">
        <v>0</v>
      </c>
      <c r="G1228" s="154"/>
      <c r="H1228" s="67">
        <v>83945</v>
      </c>
      <c r="I1228" s="67">
        <f t="shared" si="497"/>
        <v>80241.909923964486</v>
      </c>
      <c r="J1228" s="67">
        <f t="shared" si="499"/>
        <v>80241.909923964486</v>
      </c>
      <c r="K1228" s="63"/>
      <c r="L1228" s="149">
        <v>0</v>
      </c>
      <c r="M1228" s="63">
        <f t="shared" si="484"/>
        <v>0</v>
      </c>
      <c r="N1228" s="63">
        <f t="shared" si="500"/>
        <v>0</v>
      </c>
      <c r="O1228" s="69"/>
      <c r="P1228" s="149">
        <v>0</v>
      </c>
      <c r="Q1228" s="63">
        <f t="shared" si="498"/>
        <v>0</v>
      </c>
      <c r="R1228" s="64">
        <f t="shared" si="501"/>
        <v>0</v>
      </c>
      <c r="S1228" s="153">
        <v>15</v>
      </c>
      <c r="T1228" s="155" t="s">
        <v>15</v>
      </c>
      <c r="U1228" s="65">
        <f>SUMIF('Avoided Costs 2012-2020_EGD'!$A:$A,'2012 Actuals_Auditor'!T1228&amp;'2012 Actuals_Auditor'!S1228,'Avoided Costs 2012-2020_EGD'!$E:$E)*J1228</f>
        <v>194980.12797008094</v>
      </c>
      <c r="V1228" s="65">
        <f>SUMIF('Avoided Costs 2012-2020_EGD'!$A:$A,'2012 Actuals_Auditor'!T1228&amp;'2012 Actuals_Auditor'!S1228,'Avoided Costs 2012-2020_EGD'!$K:$K)*N1228</f>
        <v>0</v>
      </c>
      <c r="W1228" s="65">
        <f>SUMIF('Avoided Costs 2012-2020_EGD'!$A:$A,'2012 Actuals_Auditor'!T1228&amp;'2012 Actuals_Auditor'!S1228,'Avoided Costs 2012-2020_EGD'!$M:$M)*R1228</f>
        <v>0</v>
      </c>
      <c r="X1228" s="65">
        <f t="shared" si="488"/>
        <v>194980.12797008094</v>
      </c>
      <c r="Y1228" s="146">
        <v>30254</v>
      </c>
      <c r="Z1228" s="66">
        <f t="shared" si="502"/>
        <v>30254</v>
      </c>
      <c r="AA1228" s="66">
        <v>16789</v>
      </c>
      <c r="AB1228" s="66"/>
      <c r="AC1228" s="66"/>
      <c r="AD1228" s="66">
        <f t="shared" si="503"/>
        <v>30254</v>
      </c>
      <c r="AE1228" s="66">
        <f t="shared" si="504"/>
        <v>164726.12797008094</v>
      </c>
      <c r="AF1228" s="101">
        <f t="shared" si="505"/>
        <v>1203628.6488594674</v>
      </c>
      <c r="AG1228" s="101">
        <f t="shared" si="506"/>
        <v>1203628.6488594674</v>
      </c>
    </row>
    <row r="1229" spans="1:33" s="68" customFormat="1" x14ac:dyDescent="0.2">
      <c r="A1229" s="152" t="s">
        <v>255</v>
      </c>
      <c r="B1229" s="152"/>
      <c r="C1229" s="152"/>
      <c r="D1229" s="153">
        <v>1</v>
      </c>
      <c r="E1229" s="64"/>
      <c r="F1229" s="154">
        <v>0</v>
      </c>
      <c r="G1229" s="154"/>
      <c r="H1229" s="67">
        <v>75738</v>
      </c>
      <c r="I1229" s="67">
        <f t="shared" si="497"/>
        <v>72396.947689811452</v>
      </c>
      <c r="J1229" s="67">
        <f t="shared" si="499"/>
        <v>72396.947689811452</v>
      </c>
      <c r="K1229" s="63"/>
      <c r="L1229" s="149">
        <v>0</v>
      </c>
      <c r="M1229" s="63">
        <f t="shared" si="484"/>
        <v>0</v>
      </c>
      <c r="N1229" s="63">
        <f t="shared" si="500"/>
        <v>0</v>
      </c>
      <c r="O1229" s="69"/>
      <c r="P1229" s="149">
        <v>0</v>
      </c>
      <c r="Q1229" s="63">
        <f t="shared" si="498"/>
        <v>0</v>
      </c>
      <c r="R1229" s="64">
        <f t="shared" si="501"/>
        <v>0</v>
      </c>
      <c r="S1229" s="153">
        <v>15</v>
      </c>
      <c r="T1229" s="155" t="s">
        <v>15</v>
      </c>
      <c r="U1229" s="65">
        <f>SUMIF('Avoided Costs 2012-2020_EGD'!$A:$A,'2012 Actuals_Auditor'!T1229&amp;'2012 Actuals_Auditor'!S1229,'Avoided Costs 2012-2020_EGD'!$E:$E)*J1229</f>
        <v>175917.62382748217</v>
      </c>
      <c r="V1229" s="65">
        <f>SUMIF('Avoided Costs 2012-2020_EGD'!$A:$A,'2012 Actuals_Auditor'!T1229&amp;'2012 Actuals_Auditor'!S1229,'Avoided Costs 2012-2020_EGD'!$K:$K)*N1229</f>
        <v>0</v>
      </c>
      <c r="W1229" s="65">
        <f>SUMIF('Avoided Costs 2012-2020_EGD'!$A:$A,'2012 Actuals_Auditor'!T1229&amp;'2012 Actuals_Auditor'!S1229,'Avoided Costs 2012-2020_EGD'!$M:$M)*R1229</f>
        <v>0</v>
      </c>
      <c r="X1229" s="65">
        <f t="shared" si="488"/>
        <v>175917.62382748217</v>
      </c>
      <c r="Y1229" s="146">
        <v>41312</v>
      </c>
      <c r="Z1229" s="66">
        <f t="shared" si="502"/>
        <v>41312</v>
      </c>
      <c r="AA1229" s="66">
        <v>15148</v>
      </c>
      <c r="AB1229" s="66"/>
      <c r="AC1229" s="66"/>
      <c r="AD1229" s="66">
        <f t="shared" si="503"/>
        <v>41312</v>
      </c>
      <c r="AE1229" s="66">
        <f t="shared" si="504"/>
        <v>134605.62382748217</v>
      </c>
      <c r="AF1229" s="101">
        <f t="shared" si="505"/>
        <v>1085954.2153471718</v>
      </c>
      <c r="AG1229" s="101">
        <f t="shared" si="506"/>
        <v>1085954.2153471718</v>
      </c>
    </row>
    <row r="1230" spans="1:33" s="68" customFormat="1" x14ac:dyDescent="0.2">
      <c r="A1230" s="152" t="s">
        <v>256</v>
      </c>
      <c r="B1230" s="152"/>
      <c r="C1230" s="152"/>
      <c r="D1230" s="153">
        <v>1</v>
      </c>
      <c r="E1230" s="64"/>
      <c r="F1230" s="154">
        <v>0</v>
      </c>
      <c r="G1230" s="154"/>
      <c r="H1230" s="67">
        <v>29099</v>
      </c>
      <c r="I1230" s="67">
        <f t="shared" si="497"/>
        <v>27815.347392667132</v>
      </c>
      <c r="J1230" s="67">
        <f t="shared" si="499"/>
        <v>27815.347392667132</v>
      </c>
      <c r="K1230" s="63"/>
      <c r="L1230" s="149">
        <v>0</v>
      </c>
      <c r="M1230" s="63">
        <f t="shared" si="484"/>
        <v>0</v>
      </c>
      <c r="N1230" s="63">
        <f t="shared" si="500"/>
        <v>0</v>
      </c>
      <c r="O1230" s="69"/>
      <c r="P1230" s="149">
        <v>0</v>
      </c>
      <c r="Q1230" s="63">
        <f t="shared" si="498"/>
        <v>0</v>
      </c>
      <c r="R1230" s="64">
        <f t="shared" si="501"/>
        <v>0</v>
      </c>
      <c r="S1230" s="153">
        <v>15</v>
      </c>
      <c r="T1230" s="155" t="s">
        <v>15</v>
      </c>
      <c r="U1230" s="65">
        <f>SUMIF('Avoided Costs 2012-2020_EGD'!$A:$A,'2012 Actuals_Auditor'!T1230&amp;'2012 Actuals_Auditor'!S1230,'Avoided Costs 2012-2020_EGD'!$E:$E)*J1230</f>
        <v>67588.620451502589</v>
      </c>
      <c r="V1230" s="65">
        <f>SUMIF('Avoided Costs 2012-2020_EGD'!$A:$A,'2012 Actuals_Auditor'!T1230&amp;'2012 Actuals_Auditor'!S1230,'Avoided Costs 2012-2020_EGD'!$K:$K)*N1230</f>
        <v>0</v>
      </c>
      <c r="W1230" s="65">
        <f>SUMIF('Avoided Costs 2012-2020_EGD'!$A:$A,'2012 Actuals_Auditor'!T1230&amp;'2012 Actuals_Auditor'!S1230,'Avoided Costs 2012-2020_EGD'!$M:$M)*R1230</f>
        <v>0</v>
      </c>
      <c r="X1230" s="65">
        <f t="shared" si="488"/>
        <v>67588.620451502589</v>
      </c>
      <c r="Y1230" s="146">
        <v>18367</v>
      </c>
      <c r="Z1230" s="66">
        <f t="shared" si="502"/>
        <v>18367</v>
      </c>
      <c r="AA1230" s="66">
        <v>5820</v>
      </c>
      <c r="AB1230" s="66"/>
      <c r="AC1230" s="66"/>
      <c r="AD1230" s="66">
        <f t="shared" si="503"/>
        <v>18367</v>
      </c>
      <c r="AE1230" s="66">
        <f t="shared" si="504"/>
        <v>49221.620451502589</v>
      </c>
      <c r="AF1230" s="101">
        <f t="shared" si="505"/>
        <v>417230.21089000697</v>
      </c>
      <c r="AG1230" s="101">
        <f t="shared" si="506"/>
        <v>417230.21089000697</v>
      </c>
    </row>
    <row r="1231" spans="1:33" s="68" customFormat="1" x14ac:dyDescent="0.2">
      <c r="A1231" s="152" t="s">
        <v>257</v>
      </c>
      <c r="B1231" s="152"/>
      <c r="C1231" s="152"/>
      <c r="D1231" s="153">
        <v>1</v>
      </c>
      <c r="E1231" s="64"/>
      <c r="F1231" s="154">
        <v>0</v>
      </c>
      <c r="G1231" s="154"/>
      <c r="H1231" s="67">
        <v>28614</v>
      </c>
      <c r="I1231" s="67">
        <f t="shared" si="497"/>
        <v>27351.742338010838</v>
      </c>
      <c r="J1231" s="67">
        <f t="shared" si="499"/>
        <v>27351.742338010838</v>
      </c>
      <c r="K1231" s="63"/>
      <c r="L1231" s="149">
        <v>0</v>
      </c>
      <c r="M1231" s="63">
        <f t="shared" si="484"/>
        <v>0</v>
      </c>
      <c r="N1231" s="63">
        <f t="shared" si="500"/>
        <v>0</v>
      </c>
      <c r="O1231" s="69"/>
      <c r="P1231" s="149">
        <v>0</v>
      </c>
      <c r="Q1231" s="63">
        <f t="shared" si="498"/>
        <v>0</v>
      </c>
      <c r="R1231" s="64">
        <f t="shared" si="501"/>
        <v>0</v>
      </c>
      <c r="S1231" s="153">
        <v>15</v>
      </c>
      <c r="T1231" s="155" t="s">
        <v>15</v>
      </c>
      <c r="U1231" s="65">
        <f>SUMIF('Avoided Costs 2012-2020_EGD'!$A:$A,'2012 Actuals_Auditor'!T1231&amp;'2012 Actuals_Auditor'!S1231,'Avoided Costs 2012-2020_EGD'!$E:$E)*J1231</f>
        <v>66462.104732097156</v>
      </c>
      <c r="V1231" s="65">
        <f>SUMIF('Avoided Costs 2012-2020_EGD'!$A:$A,'2012 Actuals_Auditor'!T1231&amp;'2012 Actuals_Auditor'!S1231,'Avoided Costs 2012-2020_EGD'!$K:$K)*N1231</f>
        <v>0</v>
      </c>
      <c r="W1231" s="65">
        <f>SUMIF('Avoided Costs 2012-2020_EGD'!$A:$A,'2012 Actuals_Auditor'!T1231&amp;'2012 Actuals_Auditor'!S1231,'Avoided Costs 2012-2020_EGD'!$M:$M)*R1231</f>
        <v>0</v>
      </c>
      <c r="X1231" s="65">
        <f t="shared" si="488"/>
        <v>66462.104732097156</v>
      </c>
      <c r="Y1231" s="146">
        <v>34369</v>
      </c>
      <c r="Z1231" s="66">
        <f t="shared" si="502"/>
        <v>34369</v>
      </c>
      <c r="AA1231" s="66">
        <v>5723</v>
      </c>
      <c r="AB1231" s="66"/>
      <c r="AC1231" s="66"/>
      <c r="AD1231" s="66">
        <f t="shared" si="503"/>
        <v>34369</v>
      </c>
      <c r="AE1231" s="66">
        <f t="shared" si="504"/>
        <v>32093.104732097156</v>
      </c>
      <c r="AF1231" s="101">
        <f t="shared" si="505"/>
        <v>410276.13507016259</v>
      </c>
      <c r="AG1231" s="101">
        <f t="shared" si="506"/>
        <v>410276.13507016259</v>
      </c>
    </row>
    <row r="1232" spans="1:33" s="68" customFormat="1" x14ac:dyDescent="0.2">
      <c r="A1232" s="152" t="s">
        <v>258</v>
      </c>
      <c r="B1232" s="152"/>
      <c r="C1232" s="152"/>
      <c r="D1232" s="153">
        <v>1</v>
      </c>
      <c r="E1232" s="64"/>
      <c r="F1232" s="154">
        <v>0</v>
      </c>
      <c r="G1232" s="154"/>
      <c r="H1232" s="67">
        <v>47678</v>
      </c>
      <c r="I1232" s="67">
        <f t="shared" si="497"/>
        <v>45574.766589490486</v>
      </c>
      <c r="J1232" s="67">
        <f t="shared" si="499"/>
        <v>45574.766589490486</v>
      </c>
      <c r="K1232" s="63"/>
      <c r="L1232" s="149">
        <v>0</v>
      </c>
      <c r="M1232" s="63">
        <f t="shared" si="484"/>
        <v>0</v>
      </c>
      <c r="N1232" s="63">
        <f t="shared" si="500"/>
        <v>0</v>
      </c>
      <c r="O1232" s="69"/>
      <c r="P1232" s="149">
        <v>0</v>
      </c>
      <c r="Q1232" s="63">
        <f t="shared" si="498"/>
        <v>0</v>
      </c>
      <c r="R1232" s="64">
        <f t="shared" si="501"/>
        <v>0</v>
      </c>
      <c r="S1232" s="153">
        <v>15</v>
      </c>
      <c r="T1232" s="155" t="s">
        <v>15</v>
      </c>
      <c r="U1232" s="65">
        <f>SUMIF('Avoided Costs 2012-2020_EGD'!$A:$A,'2012 Actuals_Auditor'!T1232&amp;'2012 Actuals_Auditor'!S1232,'Avoided Costs 2012-2020_EGD'!$E:$E)*J1232</f>
        <v>110742.30199961308</v>
      </c>
      <c r="V1232" s="65">
        <f>SUMIF('Avoided Costs 2012-2020_EGD'!$A:$A,'2012 Actuals_Auditor'!T1232&amp;'2012 Actuals_Auditor'!S1232,'Avoided Costs 2012-2020_EGD'!$K:$K)*N1232</f>
        <v>0</v>
      </c>
      <c r="W1232" s="65">
        <f>SUMIF('Avoided Costs 2012-2020_EGD'!$A:$A,'2012 Actuals_Auditor'!T1232&amp;'2012 Actuals_Auditor'!S1232,'Avoided Costs 2012-2020_EGD'!$M:$M)*R1232</f>
        <v>0</v>
      </c>
      <c r="X1232" s="65">
        <f t="shared" si="488"/>
        <v>110742.30199961308</v>
      </c>
      <c r="Y1232" s="146">
        <v>19396</v>
      </c>
      <c r="Z1232" s="66">
        <f t="shared" si="502"/>
        <v>19396</v>
      </c>
      <c r="AA1232" s="66">
        <v>9536</v>
      </c>
      <c r="AB1232" s="66"/>
      <c r="AC1232" s="66"/>
      <c r="AD1232" s="66">
        <f t="shared" si="503"/>
        <v>19396</v>
      </c>
      <c r="AE1232" s="66">
        <f t="shared" si="504"/>
        <v>91346.301999613075</v>
      </c>
      <c r="AF1232" s="101">
        <f t="shared" si="505"/>
        <v>683621.49884235731</v>
      </c>
      <c r="AG1232" s="101">
        <f t="shared" si="506"/>
        <v>683621.49884235731</v>
      </c>
    </row>
    <row r="1233" spans="1:33" s="68" customFormat="1" x14ac:dyDescent="0.2">
      <c r="A1233" s="152" t="s">
        <v>259</v>
      </c>
      <c r="B1233" s="152"/>
      <c r="C1233" s="152"/>
      <c r="D1233" s="153">
        <v>1</v>
      </c>
      <c r="E1233" s="64"/>
      <c r="F1233" s="154">
        <v>0</v>
      </c>
      <c r="G1233" s="154"/>
      <c r="H1233" s="67">
        <v>34966</v>
      </c>
      <c r="I1233" s="67">
        <f t="shared" si="497"/>
        <v>33423.534723942365</v>
      </c>
      <c r="J1233" s="67">
        <f t="shared" si="499"/>
        <v>33423.534723942365</v>
      </c>
      <c r="K1233" s="63"/>
      <c r="L1233" s="149">
        <v>0</v>
      </c>
      <c r="M1233" s="63">
        <f t="shared" si="484"/>
        <v>0</v>
      </c>
      <c r="N1233" s="63">
        <f t="shared" si="500"/>
        <v>0</v>
      </c>
      <c r="O1233" s="69"/>
      <c r="P1233" s="149">
        <v>0</v>
      </c>
      <c r="Q1233" s="63">
        <f t="shared" si="498"/>
        <v>0</v>
      </c>
      <c r="R1233" s="64">
        <f t="shared" si="501"/>
        <v>0</v>
      </c>
      <c r="S1233" s="153">
        <v>15</v>
      </c>
      <c r="T1233" s="155" t="s">
        <v>15</v>
      </c>
      <c r="U1233" s="65">
        <f>SUMIF('Avoided Costs 2012-2020_EGD'!$A:$A,'2012 Actuals_Auditor'!T1233&amp;'2012 Actuals_Auditor'!S1233,'Avoided Costs 2012-2020_EGD'!$E:$E)*J1233</f>
        <v>81215.976587073077</v>
      </c>
      <c r="V1233" s="65">
        <f>SUMIF('Avoided Costs 2012-2020_EGD'!$A:$A,'2012 Actuals_Auditor'!T1233&amp;'2012 Actuals_Auditor'!S1233,'Avoided Costs 2012-2020_EGD'!$K:$K)*N1233</f>
        <v>0</v>
      </c>
      <c r="W1233" s="65">
        <f>SUMIF('Avoided Costs 2012-2020_EGD'!$A:$A,'2012 Actuals_Auditor'!T1233&amp;'2012 Actuals_Auditor'!S1233,'Avoided Costs 2012-2020_EGD'!$M:$M)*R1233</f>
        <v>0</v>
      </c>
      <c r="X1233" s="65">
        <f t="shared" si="488"/>
        <v>81215.976587073077</v>
      </c>
      <c r="Y1233" s="146">
        <v>28301</v>
      </c>
      <c r="Z1233" s="66">
        <f t="shared" si="502"/>
        <v>28301</v>
      </c>
      <c r="AA1233" s="66">
        <v>6993</v>
      </c>
      <c r="AB1233" s="66"/>
      <c r="AC1233" s="66"/>
      <c r="AD1233" s="66">
        <f t="shared" si="503"/>
        <v>28301</v>
      </c>
      <c r="AE1233" s="66">
        <f t="shared" si="504"/>
        <v>52914.976587073077</v>
      </c>
      <c r="AF1233" s="101">
        <f t="shared" si="505"/>
        <v>501353.02085913549</v>
      </c>
      <c r="AG1233" s="101">
        <f t="shared" si="506"/>
        <v>501353.02085913549</v>
      </c>
    </row>
    <row r="1234" spans="1:33" s="68" customFormat="1" x14ac:dyDescent="0.2">
      <c r="A1234" s="152" t="s">
        <v>260</v>
      </c>
      <c r="B1234" s="152"/>
      <c r="C1234" s="152"/>
      <c r="D1234" s="153">
        <v>1</v>
      </c>
      <c r="E1234" s="64"/>
      <c r="F1234" s="154">
        <v>0</v>
      </c>
      <c r="G1234" s="154"/>
      <c r="H1234" s="67">
        <v>29535</v>
      </c>
      <c r="I1234" s="67">
        <f t="shared" si="497"/>
        <v>28232.113998502482</v>
      </c>
      <c r="J1234" s="67">
        <f t="shared" si="499"/>
        <v>28232.113998502482</v>
      </c>
      <c r="K1234" s="63"/>
      <c r="L1234" s="149">
        <v>0</v>
      </c>
      <c r="M1234" s="63">
        <f t="shared" si="484"/>
        <v>0</v>
      </c>
      <c r="N1234" s="63">
        <f t="shared" si="500"/>
        <v>0</v>
      </c>
      <c r="O1234" s="69"/>
      <c r="P1234" s="149">
        <v>0</v>
      </c>
      <c r="Q1234" s="63">
        <f t="shared" si="498"/>
        <v>0</v>
      </c>
      <c r="R1234" s="64">
        <f t="shared" si="501"/>
        <v>0</v>
      </c>
      <c r="S1234" s="153">
        <v>15</v>
      </c>
      <c r="T1234" s="155" t="s">
        <v>15</v>
      </c>
      <c r="U1234" s="65">
        <f>SUMIF('Avoided Costs 2012-2020_EGD'!$A:$A,'2012 Actuals_Auditor'!T1234&amp;'2012 Actuals_Auditor'!S1234,'Avoided Costs 2012-2020_EGD'!$E:$E)*J1234</f>
        <v>68601.323242555722</v>
      </c>
      <c r="V1234" s="65">
        <f>SUMIF('Avoided Costs 2012-2020_EGD'!$A:$A,'2012 Actuals_Auditor'!T1234&amp;'2012 Actuals_Auditor'!S1234,'Avoided Costs 2012-2020_EGD'!$K:$K)*N1234</f>
        <v>0</v>
      </c>
      <c r="W1234" s="65">
        <f>SUMIF('Avoided Costs 2012-2020_EGD'!$A:$A,'2012 Actuals_Auditor'!T1234&amp;'2012 Actuals_Auditor'!S1234,'Avoided Costs 2012-2020_EGD'!$M:$M)*R1234</f>
        <v>0</v>
      </c>
      <c r="X1234" s="65">
        <f t="shared" si="488"/>
        <v>68601.323242555722</v>
      </c>
      <c r="Y1234" s="146">
        <v>28301</v>
      </c>
      <c r="Z1234" s="66">
        <f t="shared" si="502"/>
        <v>28301</v>
      </c>
      <c r="AA1234" s="66">
        <v>5907</v>
      </c>
      <c r="AB1234" s="66"/>
      <c r="AC1234" s="66"/>
      <c r="AD1234" s="66">
        <f t="shared" si="503"/>
        <v>28301</v>
      </c>
      <c r="AE1234" s="66">
        <f t="shared" si="504"/>
        <v>40300.323242555722</v>
      </c>
      <c r="AF1234" s="101">
        <f t="shared" si="505"/>
        <v>423481.70997753722</v>
      </c>
      <c r="AG1234" s="101">
        <f t="shared" si="506"/>
        <v>423481.70997753722</v>
      </c>
    </row>
    <row r="1235" spans="1:33" s="68" customFormat="1" x14ac:dyDescent="0.2">
      <c r="A1235" s="152" t="s">
        <v>261</v>
      </c>
      <c r="B1235" s="152"/>
      <c r="C1235" s="152"/>
      <c r="D1235" s="153">
        <v>0</v>
      </c>
      <c r="E1235" s="64"/>
      <c r="F1235" s="154">
        <v>0</v>
      </c>
      <c r="G1235" s="154"/>
      <c r="H1235" s="67">
        <v>13855</v>
      </c>
      <c r="I1235" s="67">
        <f t="shared" si="497"/>
        <v>13243.810375799963</v>
      </c>
      <c r="J1235" s="67">
        <f t="shared" si="499"/>
        <v>13243.810375799963</v>
      </c>
      <c r="K1235" s="63"/>
      <c r="L1235" s="149">
        <v>0</v>
      </c>
      <c r="M1235" s="63">
        <f t="shared" si="484"/>
        <v>0</v>
      </c>
      <c r="N1235" s="63">
        <f t="shared" si="500"/>
        <v>0</v>
      </c>
      <c r="O1235" s="69"/>
      <c r="P1235" s="149">
        <v>0</v>
      </c>
      <c r="Q1235" s="63">
        <f t="shared" si="498"/>
        <v>0</v>
      </c>
      <c r="R1235" s="64">
        <f t="shared" si="501"/>
        <v>0</v>
      </c>
      <c r="S1235" s="153">
        <v>25</v>
      </c>
      <c r="T1235" s="155" t="s">
        <v>52</v>
      </c>
      <c r="U1235" s="65">
        <f>SUMIF('Avoided Costs 2012-2020_EGD'!$A:$A,'2012 Actuals_Auditor'!T1235&amp;'2012 Actuals_Auditor'!S1235,'Avoided Costs 2012-2020_EGD'!$E:$E)*J1235</f>
        <v>42735.016309709841</v>
      </c>
      <c r="V1235" s="65">
        <f>SUMIF('Avoided Costs 2012-2020_EGD'!$A:$A,'2012 Actuals_Auditor'!T1235&amp;'2012 Actuals_Auditor'!S1235,'Avoided Costs 2012-2020_EGD'!$K:$K)*N1235</f>
        <v>0</v>
      </c>
      <c r="W1235" s="65">
        <f>SUMIF('Avoided Costs 2012-2020_EGD'!$A:$A,'2012 Actuals_Auditor'!T1235&amp;'2012 Actuals_Auditor'!S1235,'Avoided Costs 2012-2020_EGD'!$M:$M)*R1235</f>
        <v>0</v>
      </c>
      <c r="X1235" s="65">
        <f t="shared" si="488"/>
        <v>42735.016309709841</v>
      </c>
      <c r="Y1235" s="146">
        <v>37464</v>
      </c>
      <c r="Z1235" s="66">
        <f t="shared" si="502"/>
        <v>37464</v>
      </c>
      <c r="AA1235" s="66">
        <v>2771</v>
      </c>
      <c r="AB1235" s="66"/>
      <c r="AC1235" s="66"/>
      <c r="AD1235" s="66">
        <f t="shared" si="503"/>
        <v>37464</v>
      </c>
      <c r="AE1235" s="66">
        <f t="shared" si="504"/>
        <v>5271.0163097098412</v>
      </c>
      <c r="AF1235" s="101">
        <f t="shared" si="505"/>
        <v>331095.25939499907</v>
      </c>
      <c r="AG1235" s="101">
        <f t="shared" si="506"/>
        <v>331095.25939499907</v>
      </c>
    </row>
    <row r="1236" spans="1:33" s="68" customFormat="1" x14ac:dyDescent="0.2">
      <c r="A1236" s="152" t="s">
        <v>262</v>
      </c>
      <c r="B1236" s="152"/>
      <c r="C1236" s="152"/>
      <c r="D1236" s="153">
        <v>1</v>
      </c>
      <c r="E1236" s="64"/>
      <c r="F1236" s="154">
        <v>0</v>
      </c>
      <c r="G1236" s="154"/>
      <c r="H1236" s="67">
        <v>37044</v>
      </c>
      <c r="I1236" s="67">
        <f t="shared" si="497"/>
        <v>35409.867308634704</v>
      </c>
      <c r="J1236" s="67">
        <f t="shared" si="499"/>
        <v>35409.867308634704</v>
      </c>
      <c r="K1236" s="63"/>
      <c r="L1236" s="149">
        <v>0</v>
      </c>
      <c r="M1236" s="63">
        <f t="shared" si="484"/>
        <v>0</v>
      </c>
      <c r="N1236" s="63">
        <f t="shared" si="500"/>
        <v>0</v>
      </c>
      <c r="O1236" s="69"/>
      <c r="P1236" s="149">
        <v>0</v>
      </c>
      <c r="Q1236" s="63">
        <f t="shared" si="498"/>
        <v>0</v>
      </c>
      <c r="R1236" s="64">
        <f t="shared" si="501"/>
        <v>0</v>
      </c>
      <c r="S1236" s="153">
        <v>25</v>
      </c>
      <c r="T1236" s="155" t="s">
        <v>15</v>
      </c>
      <c r="U1236" s="65">
        <f>SUMIF('Avoided Costs 2012-2020_EGD'!$A:$A,'2012 Actuals_Auditor'!T1236&amp;'2012 Actuals_Auditor'!S1236,'Avoided Costs 2012-2020_EGD'!$E:$E)*J1236</f>
        <v>121597.30725000803</v>
      </c>
      <c r="V1236" s="65">
        <f>SUMIF('Avoided Costs 2012-2020_EGD'!$A:$A,'2012 Actuals_Auditor'!T1236&amp;'2012 Actuals_Auditor'!S1236,'Avoided Costs 2012-2020_EGD'!$K:$K)*N1236</f>
        <v>0</v>
      </c>
      <c r="W1236" s="65">
        <f>SUMIF('Avoided Costs 2012-2020_EGD'!$A:$A,'2012 Actuals_Auditor'!T1236&amp;'2012 Actuals_Auditor'!S1236,'Avoided Costs 2012-2020_EGD'!$M:$M)*R1236</f>
        <v>0</v>
      </c>
      <c r="X1236" s="65">
        <f t="shared" si="488"/>
        <v>121597.30725000803</v>
      </c>
      <c r="Y1236" s="146">
        <v>27416</v>
      </c>
      <c r="Z1236" s="66">
        <f t="shared" si="502"/>
        <v>27416</v>
      </c>
      <c r="AA1236" s="66">
        <v>7408.8</v>
      </c>
      <c r="AB1236" s="66"/>
      <c r="AC1236" s="66"/>
      <c r="AD1236" s="66">
        <f t="shared" si="503"/>
        <v>27416</v>
      </c>
      <c r="AE1236" s="66">
        <f t="shared" si="504"/>
        <v>94181.307250008031</v>
      </c>
      <c r="AF1236" s="101">
        <f t="shared" si="505"/>
        <v>885246.68271586765</v>
      </c>
      <c r="AG1236" s="101">
        <f t="shared" si="506"/>
        <v>885246.68271586765</v>
      </c>
    </row>
    <row r="1237" spans="1:33" s="68" customFormat="1" x14ac:dyDescent="0.2">
      <c r="A1237" s="152" t="s">
        <v>263</v>
      </c>
      <c r="B1237" s="152"/>
      <c r="C1237" s="152"/>
      <c r="D1237" s="153">
        <v>1</v>
      </c>
      <c r="E1237" s="64"/>
      <c r="F1237" s="154">
        <v>0</v>
      </c>
      <c r="G1237" s="154"/>
      <c r="H1237" s="67">
        <v>25157</v>
      </c>
      <c r="I1237" s="67">
        <f t="shared" si="497"/>
        <v>24047.241979357608</v>
      </c>
      <c r="J1237" s="67">
        <f t="shared" si="499"/>
        <v>24047.241979357608</v>
      </c>
      <c r="K1237" s="63"/>
      <c r="L1237" s="149">
        <v>0</v>
      </c>
      <c r="M1237" s="63">
        <f t="shared" si="484"/>
        <v>0</v>
      </c>
      <c r="N1237" s="63">
        <f t="shared" si="500"/>
        <v>0</v>
      </c>
      <c r="O1237" s="69"/>
      <c r="P1237" s="149">
        <v>0</v>
      </c>
      <c r="Q1237" s="63">
        <f t="shared" si="498"/>
        <v>0</v>
      </c>
      <c r="R1237" s="64">
        <f t="shared" si="501"/>
        <v>0</v>
      </c>
      <c r="S1237" s="153">
        <v>15</v>
      </c>
      <c r="T1237" s="155" t="s">
        <v>15</v>
      </c>
      <c r="U1237" s="65">
        <f>SUMIF('Avoided Costs 2012-2020_EGD'!$A:$A,'2012 Actuals_Auditor'!T1237&amp;'2012 Actuals_Auditor'!S1237,'Avoided Costs 2012-2020_EGD'!$E:$E)*J1237</f>
        <v>58432.4865012011</v>
      </c>
      <c r="V1237" s="65">
        <f>SUMIF('Avoided Costs 2012-2020_EGD'!$A:$A,'2012 Actuals_Auditor'!T1237&amp;'2012 Actuals_Auditor'!S1237,'Avoided Costs 2012-2020_EGD'!$K:$K)*N1237</f>
        <v>0</v>
      </c>
      <c r="W1237" s="65">
        <f>SUMIF('Avoided Costs 2012-2020_EGD'!$A:$A,'2012 Actuals_Auditor'!T1237&amp;'2012 Actuals_Auditor'!S1237,'Avoided Costs 2012-2020_EGD'!$M:$M)*R1237</f>
        <v>0</v>
      </c>
      <c r="X1237" s="65">
        <f t="shared" si="488"/>
        <v>58432.4865012011</v>
      </c>
      <c r="Y1237" s="146">
        <v>30539</v>
      </c>
      <c r="Z1237" s="66">
        <f t="shared" si="502"/>
        <v>30539</v>
      </c>
      <c r="AA1237" s="66">
        <v>5031</v>
      </c>
      <c r="AB1237" s="66"/>
      <c r="AC1237" s="66"/>
      <c r="AD1237" s="66">
        <f t="shared" si="503"/>
        <v>30539</v>
      </c>
      <c r="AE1237" s="66">
        <f t="shared" si="504"/>
        <v>27893.4865012011</v>
      </c>
      <c r="AF1237" s="101">
        <f t="shared" si="505"/>
        <v>360708.62969036412</v>
      </c>
      <c r="AG1237" s="101">
        <f t="shared" si="506"/>
        <v>360708.62969036412</v>
      </c>
    </row>
    <row r="1238" spans="1:33" s="68" customFormat="1" x14ac:dyDescent="0.2">
      <c r="A1238" s="152" t="s">
        <v>264</v>
      </c>
      <c r="B1238" s="152"/>
      <c r="C1238" s="152"/>
      <c r="D1238" s="153">
        <v>1</v>
      </c>
      <c r="E1238" s="64"/>
      <c r="F1238" s="154">
        <v>0</v>
      </c>
      <c r="G1238" s="154"/>
      <c r="H1238" s="67">
        <v>23222</v>
      </c>
      <c r="I1238" s="67">
        <f t="shared" si="497"/>
        <v>22197.601194285584</v>
      </c>
      <c r="J1238" s="67">
        <f t="shared" si="499"/>
        <v>22197.601194285584</v>
      </c>
      <c r="K1238" s="63"/>
      <c r="L1238" s="149">
        <v>0</v>
      </c>
      <c r="M1238" s="63">
        <f t="shared" si="484"/>
        <v>0</v>
      </c>
      <c r="N1238" s="63">
        <f t="shared" si="500"/>
        <v>0</v>
      </c>
      <c r="O1238" s="69"/>
      <c r="P1238" s="149">
        <v>0</v>
      </c>
      <c r="Q1238" s="63">
        <f t="shared" si="498"/>
        <v>0</v>
      </c>
      <c r="R1238" s="64">
        <f t="shared" si="501"/>
        <v>0</v>
      </c>
      <c r="S1238" s="153">
        <v>15</v>
      </c>
      <c r="T1238" s="155" t="s">
        <v>15</v>
      </c>
      <c r="U1238" s="65">
        <f>SUMIF('Avoided Costs 2012-2020_EGD'!$A:$A,'2012 Actuals_Auditor'!T1238&amp;'2012 Actuals_Auditor'!S1238,'Avoided Costs 2012-2020_EGD'!$E:$E)*J1238</f>
        <v>53938.037187696944</v>
      </c>
      <c r="V1238" s="65">
        <f>SUMIF('Avoided Costs 2012-2020_EGD'!$A:$A,'2012 Actuals_Auditor'!T1238&amp;'2012 Actuals_Auditor'!S1238,'Avoided Costs 2012-2020_EGD'!$K:$K)*N1238</f>
        <v>0</v>
      </c>
      <c r="W1238" s="65">
        <f>SUMIF('Avoided Costs 2012-2020_EGD'!$A:$A,'2012 Actuals_Auditor'!T1238&amp;'2012 Actuals_Auditor'!S1238,'Avoided Costs 2012-2020_EGD'!$M:$M)*R1238</f>
        <v>0</v>
      </c>
      <c r="X1238" s="65">
        <f t="shared" si="488"/>
        <v>53938.037187696944</v>
      </c>
      <c r="Y1238" s="146">
        <v>34835</v>
      </c>
      <c r="Z1238" s="66">
        <f t="shared" si="502"/>
        <v>34835</v>
      </c>
      <c r="AA1238" s="66">
        <v>4644</v>
      </c>
      <c r="AB1238" s="66"/>
      <c r="AC1238" s="66"/>
      <c r="AD1238" s="66">
        <f t="shared" si="503"/>
        <v>34835</v>
      </c>
      <c r="AE1238" s="66">
        <f t="shared" si="504"/>
        <v>19103.037187696944</v>
      </c>
      <c r="AF1238" s="101">
        <f t="shared" si="505"/>
        <v>332964.01791428379</v>
      </c>
      <c r="AG1238" s="101">
        <f t="shared" si="506"/>
        <v>332964.01791428379</v>
      </c>
    </row>
    <row r="1239" spans="1:33" s="68" customFormat="1" x14ac:dyDescent="0.2">
      <c r="A1239" s="152" t="s">
        <v>265</v>
      </c>
      <c r="B1239" s="152"/>
      <c r="C1239" s="152"/>
      <c r="D1239" s="153">
        <v>1</v>
      </c>
      <c r="E1239" s="64"/>
      <c r="F1239" s="154">
        <v>0</v>
      </c>
      <c r="G1239" s="154"/>
      <c r="H1239" s="67">
        <v>18485</v>
      </c>
      <c r="I1239" s="67">
        <f t="shared" si="497"/>
        <v>17669.565846023987</v>
      </c>
      <c r="J1239" s="67">
        <f t="shared" si="499"/>
        <v>17669.565846023987</v>
      </c>
      <c r="K1239" s="63"/>
      <c r="L1239" s="149">
        <v>0</v>
      </c>
      <c r="M1239" s="63">
        <f t="shared" si="484"/>
        <v>0</v>
      </c>
      <c r="N1239" s="63">
        <f t="shared" si="500"/>
        <v>0</v>
      </c>
      <c r="O1239" s="69"/>
      <c r="P1239" s="149">
        <v>0</v>
      </c>
      <c r="Q1239" s="63">
        <f t="shared" si="498"/>
        <v>0</v>
      </c>
      <c r="R1239" s="64">
        <f t="shared" si="501"/>
        <v>0</v>
      </c>
      <c r="S1239" s="153">
        <v>15</v>
      </c>
      <c r="T1239" s="155" t="s">
        <v>15</v>
      </c>
      <c r="U1239" s="65">
        <f>SUMIF('Avoided Costs 2012-2020_EGD'!$A:$A,'2012 Actuals_Auditor'!T1239&amp;'2012 Actuals_Auditor'!S1239,'Avoided Costs 2012-2020_EGD'!$E:$E)*J1239</f>
        <v>42935.346542699939</v>
      </c>
      <c r="V1239" s="65">
        <f>SUMIF('Avoided Costs 2012-2020_EGD'!$A:$A,'2012 Actuals_Auditor'!T1239&amp;'2012 Actuals_Auditor'!S1239,'Avoided Costs 2012-2020_EGD'!$K:$K)*N1239</f>
        <v>0</v>
      </c>
      <c r="W1239" s="65">
        <f>SUMIF('Avoided Costs 2012-2020_EGD'!$A:$A,'2012 Actuals_Auditor'!T1239&amp;'2012 Actuals_Auditor'!S1239,'Avoided Costs 2012-2020_EGD'!$M:$M)*R1239</f>
        <v>0</v>
      </c>
      <c r="X1239" s="65">
        <f t="shared" si="488"/>
        <v>42935.346542699939</v>
      </c>
      <c r="Y1239" s="146">
        <v>36679</v>
      </c>
      <c r="Z1239" s="66">
        <f t="shared" si="502"/>
        <v>36679</v>
      </c>
      <c r="AA1239" s="66">
        <v>3697</v>
      </c>
      <c r="AB1239" s="66"/>
      <c r="AC1239" s="66"/>
      <c r="AD1239" s="66">
        <f t="shared" si="503"/>
        <v>36679</v>
      </c>
      <c r="AE1239" s="66">
        <f t="shared" si="504"/>
        <v>6256.3465426999392</v>
      </c>
      <c r="AF1239" s="101">
        <f t="shared" si="505"/>
        <v>265043.48769035982</v>
      </c>
      <c r="AG1239" s="101">
        <f t="shared" si="506"/>
        <v>265043.48769035982</v>
      </c>
    </row>
    <row r="1240" spans="1:33" s="68" customFormat="1" x14ac:dyDescent="0.2">
      <c r="A1240" s="152" t="s">
        <v>266</v>
      </c>
      <c r="B1240" s="152"/>
      <c r="C1240" s="152"/>
      <c r="D1240" s="153">
        <v>1</v>
      </c>
      <c r="E1240" s="64"/>
      <c r="F1240" s="154">
        <v>0</v>
      </c>
      <c r="G1240" s="154"/>
      <c r="H1240" s="67">
        <v>25754</v>
      </c>
      <c r="I1240" s="67">
        <f t="shared" si="497"/>
        <v>24617.906345604639</v>
      </c>
      <c r="J1240" s="67">
        <f t="shared" si="499"/>
        <v>24617.906345604639</v>
      </c>
      <c r="K1240" s="63"/>
      <c r="L1240" s="149">
        <v>0</v>
      </c>
      <c r="M1240" s="63">
        <f t="shared" si="484"/>
        <v>0</v>
      </c>
      <c r="N1240" s="63">
        <f t="shared" si="500"/>
        <v>0</v>
      </c>
      <c r="O1240" s="69"/>
      <c r="P1240" s="149">
        <v>0</v>
      </c>
      <c r="Q1240" s="63">
        <f t="shared" si="498"/>
        <v>0</v>
      </c>
      <c r="R1240" s="64">
        <f t="shared" si="501"/>
        <v>0</v>
      </c>
      <c r="S1240" s="153">
        <v>15</v>
      </c>
      <c r="T1240" s="155" t="s">
        <v>15</v>
      </c>
      <c r="U1240" s="65">
        <f>SUMIF('Avoided Costs 2012-2020_EGD'!$A:$A,'2012 Actuals_Auditor'!T1240&amp;'2012 Actuals_Auditor'!S1240,'Avoided Costs 2012-2020_EGD'!$E:$E)*J1240</f>
        <v>59819.146056840371</v>
      </c>
      <c r="V1240" s="65">
        <f>SUMIF('Avoided Costs 2012-2020_EGD'!$A:$A,'2012 Actuals_Auditor'!T1240&amp;'2012 Actuals_Auditor'!S1240,'Avoided Costs 2012-2020_EGD'!$K:$K)*N1240</f>
        <v>0</v>
      </c>
      <c r="W1240" s="65">
        <f>SUMIF('Avoided Costs 2012-2020_EGD'!$A:$A,'2012 Actuals_Auditor'!T1240&amp;'2012 Actuals_Auditor'!S1240,'Avoided Costs 2012-2020_EGD'!$M:$M)*R1240</f>
        <v>0</v>
      </c>
      <c r="X1240" s="65">
        <f t="shared" si="488"/>
        <v>59819.146056840371</v>
      </c>
      <c r="Y1240" s="146">
        <v>32221</v>
      </c>
      <c r="Z1240" s="66">
        <f t="shared" si="502"/>
        <v>32221</v>
      </c>
      <c r="AA1240" s="66">
        <v>5151</v>
      </c>
      <c r="AB1240" s="66"/>
      <c r="AC1240" s="66"/>
      <c r="AD1240" s="66">
        <f t="shared" si="503"/>
        <v>32221</v>
      </c>
      <c r="AE1240" s="66">
        <f t="shared" si="504"/>
        <v>27598.146056840371</v>
      </c>
      <c r="AF1240" s="101">
        <f t="shared" si="505"/>
        <v>369268.59518406959</v>
      </c>
      <c r="AG1240" s="101">
        <f t="shared" si="506"/>
        <v>369268.59518406959</v>
      </c>
    </row>
    <row r="1241" spans="1:33" s="68" customFormat="1" x14ac:dyDescent="0.2">
      <c r="A1241" s="152" t="s">
        <v>267</v>
      </c>
      <c r="B1241" s="152"/>
      <c r="C1241" s="152"/>
      <c r="D1241" s="153">
        <v>1</v>
      </c>
      <c r="E1241" s="64"/>
      <c r="F1241" s="154">
        <v>0</v>
      </c>
      <c r="G1241" s="154"/>
      <c r="H1241" s="67">
        <v>22122</v>
      </c>
      <c r="I1241" s="67">
        <f t="shared" si="497"/>
        <v>21146.12581259089</v>
      </c>
      <c r="J1241" s="67">
        <f t="shared" si="499"/>
        <v>21146.12581259089</v>
      </c>
      <c r="K1241" s="63"/>
      <c r="L1241" s="149">
        <v>28567</v>
      </c>
      <c r="M1241" s="63">
        <f t="shared" si="484"/>
        <v>28567</v>
      </c>
      <c r="N1241" s="63">
        <f t="shared" si="500"/>
        <v>28567</v>
      </c>
      <c r="O1241" s="69"/>
      <c r="P1241" s="149">
        <v>0</v>
      </c>
      <c r="Q1241" s="63">
        <f t="shared" si="498"/>
        <v>0</v>
      </c>
      <c r="R1241" s="64">
        <f t="shared" si="501"/>
        <v>0</v>
      </c>
      <c r="S1241" s="153">
        <v>15</v>
      </c>
      <c r="T1241" s="155" t="s">
        <v>15</v>
      </c>
      <c r="U1241" s="65">
        <f>SUMIF('Avoided Costs 2012-2020_EGD'!$A:$A,'2012 Actuals_Auditor'!T1241&amp;'2012 Actuals_Auditor'!S1241,'Avoided Costs 2012-2020_EGD'!$E:$E)*J1241</f>
        <v>51383.053081828941</v>
      </c>
      <c r="V1241" s="65">
        <f>SUMIF('Avoided Costs 2012-2020_EGD'!$A:$A,'2012 Actuals_Auditor'!T1241&amp;'2012 Actuals_Auditor'!S1241,'Avoided Costs 2012-2020_EGD'!$K:$K)*N1241</f>
        <v>29417.823127503736</v>
      </c>
      <c r="W1241" s="65">
        <f>SUMIF('Avoided Costs 2012-2020_EGD'!$A:$A,'2012 Actuals_Auditor'!T1241&amp;'2012 Actuals_Auditor'!S1241,'Avoided Costs 2012-2020_EGD'!$M:$M)*R1241</f>
        <v>0</v>
      </c>
      <c r="X1241" s="65">
        <f t="shared" si="488"/>
        <v>80800.87620933268</v>
      </c>
      <c r="Y1241" s="146">
        <v>61421</v>
      </c>
      <c r="Z1241" s="66">
        <f t="shared" si="502"/>
        <v>61421</v>
      </c>
      <c r="AA1241" s="66">
        <v>4424</v>
      </c>
      <c r="AB1241" s="66"/>
      <c r="AC1241" s="66"/>
      <c r="AD1241" s="66">
        <f t="shared" si="503"/>
        <v>61421</v>
      </c>
      <c r="AE1241" s="66">
        <f t="shared" si="504"/>
        <v>19379.87620933268</v>
      </c>
      <c r="AF1241" s="101">
        <f t="shared" si="505"/>
        <v>317191.88718886336</v>
      </c>
      <c r="AG1241" s="101">
        <f t="shared" si="506"/>
        <v>317191.88718886336</v>
      </c>
    </row>
    <row r="1242" spans="1:33" s="68" customFormat="1" x14ac:dyDescent="0.2">
      <c r="A1242" s="152" t="s">
        <v>268</v>
      </c>
      <c r="B1242" s="152"/>
      <c r="C1242" s="152"/>
      <c r="D1242" s="153">
        <v>1</v>
      </c>
      <c r="E1242" s="64"/>
      <c r="F1242" s="154">
        <v>0</v>
      </c>
      <c r="G1242" s="154"/>
      <c r="H1242" s="67">
        <v>15364</v>
      </c>
      <c r="I1242" s="67">
        <f t="shared" si="497"/>
        <v>14686.243422142954</v>
      </c>
      <c r="J1242" s="67">
        <f t="shared" si="499"/>
        <v>14686.243422142954</v>
      </c>
      <c r="K1242" s="63"/>
      <c r="L1242" s="149">
        <v>0</v>
      </c>
      <c r="M1242" s="63">
        <f t="shared" si="484"/>
        <v>0</v>
      </c>
      <c r="N1242" s="63">
        <f t="shared" si="500"/>
        <v>0</v>
      </c>
      <c r="O1242" s="69"/>
      <c r="P1242" s="149">
        <v>0</v>
      </c>
      <c r="Q1242" s="63">
        <f t="shared" si="498"/>
        <v>0</v>
      </c>
      <c r="R1242" s="64">
        <f t="shared" si="501"/>
        <v>0</v>
      </c>
      <c r="S1242" s="153">
        <v>25</v>
      </c>
      <c r="T1242" s="155" t="s">
        <v>52</v>
      </c>
      <c r="U1242" s="65">
        <f>SUMIF('Avoided Costs 2012-2020_EGD'!$A:$A,'2012 Actuals_Auditor'!T1242&amp;'2012 Actuals_Auditor'!S1242,'Avoided Costs 2012-2020_EGD'!$E:$E)*J1242</f>
        <v>47389.447173033703</v>
      </c>
      <c r="V1242" s="65">
        <f>SUMIF('Avoided Costs 2012-2020_EGD'!$A:$A,'2012 Actuals_Auditor'!T1242&amp;'2012 Actuals_Auditor'!S1242,'Avoided Costs 2012-2020_EGD'!$K:$K)*N1242</f>
        <v>0</v>
      </c>
      <c r="W1242" s="65">
        <f>SUMIF('Avoided Costs 2012-2020_EGD'!$A:$A,'2012 Actuals_Auditor'!T1242&amp;'2012 Actuals_Auditor'!S1242,'Avoided Costs 2012-2020_EGD'!$M:$M)*R1242</f>
        <v>0</v>
      </c>
      <c r="X1242" s="65">
        <f t="shared" si="488"/>
        <v>47389.447173033703</v>
      </c>
      <c r="Y1242" s="146">
        <v>19304</v>
      </c>
      <c r="Z1242" s="66">
        <f t="shared" si="502"/>
        <v>19304</v>
      </c>
      <c r="AA1242" s="66">
        <v>3632</v>
      </c>
      <c r="AB1242" s="66"/>
      <c r="AC1242" s="66"/>
      <c r="AD1242" s="66">
        <f t="shared" si="503"/>
        <v>19304</v>
      </c>
      <c r="AE1242" s="66">
        <f t="shared" si="504"/>
        <v>28085.447173033703</v>
      </c>
      <c r="AF1242" s="101">
        <f t="shared" si="505"/>
        <v>367156.08555357385</v>
      </c>
      <c r="AG1242" s="101">
        <f t="shared" si="506"/>
        <v>367156.08555357385</v>
      </c>
    </row>
    <row r="1243" spans="1:33" s="68" customFormat="1" x14ac:dyDescent="0.2">
      <c r="A1243" s="152" t="s">
        <v>269</v>
      </c>
      <c r="B1243" s="152"/>
      <c r="C1243" s="152"/>
      <c r="D1243" s="153">
        <v>1</v>
      </c>
      <c r="E1243" s="64"/>
      <c r="F1243" s="154">
        <v>0</v>
      </c>
      <c r="G1243" s="154"/>
      <c r="H1243" s="67">
        <v>4919</v>
      </c>
      <c r="I1243" s="67">
        <f t="shared" si="497"/>
        <v>4702.0067295965373</v>
      </c>
      <c r="J1243" s="67">
        <f t="shared" ref="J1243:J1247" si="507">I1243*(1-F1243)</f>
        <v>4702.0067295965373</v>
      </c>
      <c r="K1243" s="63"/>
      <c r="L1243" s="149">
        <v>0</v>
      </c>
      <c r="M1243" s="63">
        <f t="shared" si="484"/>
        <v>0</v>
      </c>
      <c r="N1243" s="63">
        <f t="shared" ref="N1243:N1247" si="508">M1243*(1-F1243)</f>
        <v>0</v>
      </c>
      <c r="O1243" s="69"/>
      <c r="P1243" s="149">
        <v>0</v>
      </c>
      <c r="Q1243" s="63">
        <f t="shared" si="498"/>
        <v>0</v>
      </c>
      <c r="R1243" s="64">
        <f t="shared" ref="R1243:R1247" si="509">Q1243*(1-F1243)</f>
        <v>0</v>
      </c>
      <c r="S1243" s="153">
        <v>25</v>
      </c>
      <c r="T1243" s="155" t="s">
        <v>52</v>
      </c>
      <c r="U1243" s="65">
        <f>SUMIF('Avoided Costs 2012-2020_EGD'!$A:$A,'2012 Actuals_Auditor'!T1243&amp;'2012 Actuals_Auditor'!S1243,'Avoided Costs 2012-2020_EGD'!$E:$E)*J1243</f>
        <v>15172.395902379119</v>
      </c>
      <c r="V1243" s="65">
        <f>SUMIF('Avoided Costs 2012-2020_EGD'!$A:$A,'2012 Actuals_Auditor'!T1243&amp;'2012 Actuals_Auditor'!S1243,'Avoided Costs 2012-2020_EGD'!$K:$K)*N1243</f>
        <v>0</v>
      </c>
      <c r="W1243" s="65">
        <f>SUMIF('Avoided Costs 2012-2020_EGD'!$A:$A,'2012 Actuals_Auditor'!T1243&amp;'2012 Actuals_Auditor'!S1243,'Avoided Costs 2012-2020_EGD'!$M:$M)*R1243</f>
        <v>0</v>
      </c>
      <c r="X1243" s="65">
        <f t="shared" si="488"/>
        <v>15172.395902379119</v>
      </c>
      <c r="Y1243" s="146">
        <v>5968</v>
      </c>
      <c r="Z1243" s="66">
        <f t="shared" ref="Z1243:Z1247" si="510">Y1243*(1-F1243)</f>
        <v>5968</v>
      </c>
      <c r="AA1243" s="66">
        <v>1200</v>
      </c>
      <c r="AB1243" s="66"/>
      <c r="AC1243" s="66"/>
      <c r="AD1243" s="66">
        <f t="shared" ref="AD1243:AD1250" si="511">Z1243+AB1243</f>
        <v>5968</v>
      </c>
      <c r="AE1243" s="66">
        <f t="shared" ref="AE1243:AE1274" si="512">X1243-AD1243</f>
        <v>9204.3959023791194</v>
      </c>
      <c r="AF1243" s="101">
        <f t="shared" ref="AF1243:AF1249" si="513">J1243*S1243</f>
        <v>117550.16823991343</v>
      </c>
      <c r="AG1243" s="101">
        <f t="shared" ref="AG1243:AG1249" si="514">(I1243*S1243)</f>
        <v>117550.16823991343</v>
      </c>
    </row>
    <row r="1244" spans="1:33" s="68" customFormat="1" x14ac:dyDescent="0.2">
      <c r="A1244" s="152" t="s">
        <v>270</v>
      </c>
      <c r="B1244" s="152"/>
      <c r="C1244" s="152"/>
      <c r="D1244" s="153">
        <v>1</v>
      </c>
      <c r="E1244" s="64"/>
      <c r="F1244" s="154">
        <v>0</v>
      </c>
      <c r="G1244" s="154"/>
      <c r="H1244" s="67">
        <v>6572</v>
      </c>
      <c r="I1244" s="67">
        <f t="shared" si="497"/>
        <v>6282.0874622704696</v>
      </c>
      <c r="J1244" s="67">
        <f t="shared" si="507"/>
        <v>6282.0874622704696</v>
      </c>
      <c r="K1244" s="63"/>
      <c r="L1244" s="149">
        <v>0</v>
      </c>
      <c r="M1244" s="63">
        <f t="shared" si="484"/>
        <v>0</v>
      </c>
      <c r="N1244" s="63">
        <f t="shared" si="508"/>
        <v>0</v>
      </c>
      <c r="O1244" s="69"/>
      <c r="P1244" s="149">
        <v>0</v>
      </c>
      <c r="Q1244" s="63">
        <f t="shared" si="498"/>
        <v>0</v>
      </c>
      <c r="R1244" s="64">
        <f t="shared" si="509"/>
        <v>0</v>
      </c>
      <c r="S1244" s="153">
        <v>25</v>
      </c>
      <c r="T1244" s="155" t="s">
        <v>52</v>
      </c>
      <c r="U1244" s="65">
        <f>SUMIF('Avoided Costs 2012-2020_EGD'!$A:$A,'2012 Actuals_Auditor'!T1244&amp;'2012 Actuals_Auditor'!S1244,'Avoided Costs 2012-2020_EGD'!$E:$E)*J1244</f>
        <v>20270.987166179217</v>
      </c>
      <c r="V1244" s="65">
        <f>SUMIF('Avoided Costs 2012-2020_EGD'!$A:$A,'2012 Actuals_Auditor'!T1244&amp;'2012 Actuals_Auditor'!S1244,'Avoided Costs 2012-2020_EGD'!$K:$K)*N1244</f>
        <v>0</v>
      </c>
      <c r="W1244" s="65">
        <f>SUMIF('Avoided Costs 2012-2020_EGD'!$A:$A,'2012 Actuals_Auditor'!T1244&amp;'2012 Actuals_Auditor'!S1244,'Avoided Costs 2012-2020_EGD'!$M:$M)*R1244</f>
        <v>0</v>
      </c>
      <c r="X1244" s="65">
        <f t="shared" si="488"/>
        <v>20270.987166179217</v>
      </c>
      <c r="Y1244" s="146">
        <v>7594</v>
      </c>
      <c r="Z1244" s="66">
        <f t="shared" si="510"/>
        <v>7594</v>
      </c>
      <c r="AA1244" s="66">
        <v>1200</v>
      </c>
      <c r="AB1244" s="66"/>
      <c r="AC1244" s="66"/>
      <c r="AD1244" s="66">
        <f t="shared" si="511"/>
        <v>7594</v>
      </c>
      <c r="AE1244" s="66">
        <f t="shared" si="512"/>
        <v>12676.987166179217</v>
      </c>
      <c r="AF1244" s="101">
        <f t="shared" si="513"/>
        <v>157052.18655676174</v>
      </c>
      <c r="AG1244" s="101">
        <f t="shared" si="514"/>
        <v>157052.18655676174</v>
      </c>
    </row>
    <row r="1245" spans="1:33" s="68" customFormat="1" x14ac:dyDescent="0.2">
      <c r="A1245" s="152" t="s">
        <v>271</v>
      </c>
      <c r="B1245" s="152"/>
      <c r="C1245" s="152"/>
      <c r="D1245" s="153">
        <v>1</v>
      </c>
      <c r="E1245" s="64"/>
      <c r="F1245" s="154">
        <v>0</v>
      </c>
      <c r="G1245" s="154"/>
      <c r="H1245" s="67">
        <v>17721</v>
      </c>
      <c r="I1245" s="67">
        <f t="shared" si="497"/>
        <v>16939.268399101489</v>
      </c>
      <c r="J1245" s="67">
        <f t="shared" si="507"/>
        <v>16939.268399101489</v>
      </c>
      <c r="K1245" s="63"/>
      <c r="L1245" s="149">
        <v>0</v>
      </c>
      <c r="M1245" s="63">
        <f t="shared" si="484"/>
        <v>0</v>
      </c>
      <c r="N1245" s="63">
        <f t="shared" si="508"/>
        <v>0</v>
      </c>
      <c r="O1245" s="69"/>
      <c r="P1245" s="149">
        <v>0</v>
      </c>
      <c r="Q1245" s="63">
        <f t="shared" si="498"/>
        <v>0</v>
      </c>
      <c r="R1245" s="64">
        <f t="shared" si="509"/>
        <v>0</v>
      </c>
      <c r="S1245" s="153">
        <v>25</v>
      </c>
      <c r="T1245" s="155" t="s">
        <v>52</v>
      </c>
      <c r="U1245" s="65">
        <f>SUMIF('Avoided Costs 2012-2020_EGD'!$A:$A,'2012 Actuals_Auditor'!T1245&amp;'2012 Actuals_Auditor'!S1245,'Avoided Costs 2012-2020_EGD'!$E:$E)*J1245</f>
        <v>54659.489283606497</v>
      </c>
      <c r="V1245" s="65">
        <f>SUMIF('Avoided Costs 2012-2020_EGD'!$A:$A,'2012 Actuals_Auditor'!T1245&amp;'2012 Actuals_Auditor'!S1245,'Avoided Costs 2012-2020_EGD'!$K:$K)*N1245</f>
        <v>0</v>
      </c>
      <c r="W1245" s="65">
        <f>SUMIF('Avoided Costs 2012-2020_EGD'!$A:$A,'2012 Actuals_Auditor'!T1245&amp;'2012 Actuals_Auditor'!S1245,'Avoided Costs 2012-2020_EGD'!$M:$M)*R1245</f>
        <v>0</v>
      </c>
      <c r="X1245" s="65">
        <f t="shared" si="488"/>
        <v>54659.489283606497</v>
      </c>
      <c r="Y1245" s="146">
        <v>22202</v>
      </c>
      <c r="Z1245" s="66">
        <f t="shared" si="510"/>
        <v>22202</v>
      </c>
      <c r="AA1245" s="66">
        <v>3544</v>
      </c>
      <c r="AB1245" s="66"/>
      <c r="AC1245" s="66"/>
      <c r="AD1245" s="66">
        <f t="shared" si="511"/>
        <v>22202</v>
      </c>
      <c r="AE1245" s="66">
        <f t="shared" si="512"/>
        <v>32457.489283606497</v>
      </c>
      <c r="AF1245" s="101">
        <f t="shared" si="513"/>
        <v>423481.70997753722</v>
      </c>
      <c r="AG1245" s="101">
        <f t="shared" si="514"/>
        <v>423481.70997753722</v>
      </c>
    </row>
    <row r="1246" spans="1:33" s="68" customFormat="1" x14ac:dyDescent="0.2">
      <c r="A1246" s="152" t="s">
        <v>272</v>
      </c>
      <c r="B1246" s="152"/>
      <c r="C1246" s="152"/>
      <c r="D1246" s="153">
        <v>1</v>
      </c>
      <c r="E1246" s="64"/>
      <c r="F1246" s="154">
        <v>0</v>
      </c>
      <c r="G1246" s="154"/>
      <c r="H1246" s="67">
        <v>20601</v>
      </c>
      <c r="I1246" s="67">
        <f t="shared" si="497"/>
        <v>19692.22212572032</v>
      </c>
      <c r="J1246" s="67">
        <f t="shared" si="507"/>
        <v>19692.22212572032</v>
      </c>
      <c r="K1246" s="63"/>
      <c r="L1246" s="149">
        <v>33737</v>
      </c>
      <c r="M1246" s="63">
        <f t="shared" si="484"/>
        <v>33737</v>
      </c>
      <c r="N1246" s="63">
        <f t="shared" si="508"/>
        <v>33737</v>
      </c>
      <c r="O1246" s="69"/>
      <c r="P1246" s="149">
        <v>0</v>
      </c>
      <c r="Q1246" s="63">
        <f t="shared" si="498"/>
        <v>0</v>
      </c>
      <c r="R1246" s="64">
        <f t="shared" si="509"/>
        <v>0</v>
      </c>
      <c r="S1246" s="153">
        <v>15</v>
      </c>
      <c r="T1246" s="155" t="s">
        <v>15</v>
      </c>
      <c r="U1246" s="65">
        <f>SUMIF('Avoided Costs 2012-2020_EGD'!$A:$A,'2012 Actuals_Auditor'!T1246&amp;'2012 Actuals_Auditor'!S1246,'Avoided Costs 2012-2020_EGD'!$E:$E)*J1246</f>
        <v>47850.206877260556</v>
      </c>
      <c r="V1246" s="65">
        <f>SUMIF('Avoided Costs 2012-2020_EGD'!$A:$A,'2012 Actuals_Auditor'!T1246&amp;'2012 Actuals_Auditor'!S1246,'Avoided Costs 2012-2020_EGD'!$K:$K)*N1246</f>
        <v>34741.803439373878</v>
      </c>
      <c r="W1246" s="65">
        <f>SUMIF('Avoided Costs 2012-2020_EGD'!$A:$A,'2012 Actuals_Auditor'!T1246&amp;'2012 Actuals_Auditor'!S1246,'Avoided Costs 2012-2020_EGD'!$M:$M)*R1246</f>
        <v>0</v>
      </c>
      <c r="X1246" s="65">
        <f t="shared" si="488"/>
        <v>82592.010316634434</v>
      </c>
      <c r="Y1246" s="146">
        <v>5880</v>
      </c>
      <c r="Z1246" s="66">
        <f t="shared" si="510"/>
        <v>5880</v>
      </c>
      <c r="AA1246" s="66">
        <v>2940</v>
      </c>
      <c r="AB1246" s="66"/>
      <c r="AC1246" s="66"/>
      <c r="AD1246" s="66">
        <f t="shared" si="511"/>
        <v>5880</v>
      </c>
      <c r="AE1246" s="66">
        <f t="shared" si="512"/>
        <v>76712.010316634434</v>
      </c>
      <c r="AF1246" s="101">
        <f t="shared" si="513"/>
        <v>295383.33188580477</v>
      </c>
      <c r="AG1246" s="101">
        <f t="shared" si="514"/>
        <v>295383.33188580477</v>
      </c>
    </row>
    <row r="1247" spans="1:33" s="68" customFormat="1" x14ac:dyDescent="0.2">
      <c r="A1247" s="152" t="s">
        <v>273</v>
      </c>
      <c r="B1247" s="152"/>
      <c r="C1247" s="152"/>
      <c r="D1247" s="153">
        <v>1</v>
      </c>
      <c r="E1247" s="64"/>
      <c r="F1247" s="154">
        <v>0</v>
      </c>
      <c r="G1247" s="154"/>
      <c r="H1247" s="67">
        <v>40449</v>
      </c>
      <c r="I1247" s="67">
        <f t="shared" si="497"/>
        <v>38664.661558335094</v>
      </c>
      <c r="J1247" s="67">
        <f t="shared" si="507"/>
        <v>38664.661558335094</v>
      </c>
      <c r="K1247" s="63"/>
      <c r="L1247" s="149">
        <v>0</v>
      </c>
      <c r="M1247" s="63">
        <f>+$L$42*L1247</f>
        <v>0</v>
      </c>
      <c r="N1247" s="63">
        <f t="shared" si="508"/>
        <v>0</v>
      </c>
      <c r="O1247" s="69"/>
      <c r="P1247" s="149">
        <v>0</v>
      </c>
      <c r="Q1247" s="63">
        <f t="shared" si="498"/>
        <v>0</v>
      </c>
      <c r="R1247" s="64">
        <f t="shared" si="509"/>
        <v>0</v>
      </c>
      <c r="S1247" s="153">
        <v>25</v>
      </c>
      <c r="T1247" s="155" t="s">
        <v>15</v>
      </c>
      <c r="U1247" s="65">
        <f>SUMIF('Avoided Costs 2012-2020_EGD'!$A:$A,'2012 Actuals_Auditor'!T1247&amp;'2012 Actuals_Auditor'!S1247,'Avoided Costs 2012-2020_EGD'!$E:$E)*J1247</f>
        <v>132774.25442596845</v>
      </c>
      <c r="V1247" s="65">
        <f>SUMIF('Avoided Costs 2012-2020_EGD'!$A:$A,'2012 Actuals_Auditor'!T1247&amp;'2012 Actuals_Auditor'!S1247,'Avoided Costs 2012-2020_EGD'!$K:$K)*N1247</f>
        <v>0</v>
      </c>
      <c r="W1247" s="65">
        <f>SUMIF('Avoided Costs 2012-2020_EGD'!$A:$A,'2012 Actuals_Auditor'!T1247&amp;'2012 Actuals_Auditor'!S1247,'Avoided Costs 2012-2020_EGD'!$M:$M)*R1247</f>
        <v>0</v>
      </c>
      <c r="X1247" s="65">
        <f>SUM(U1247:W1247)</f>
        <v>132774.25442596845</v>
      </c>
      <c r="Y1247" s="146">
        <v>26184</v>
      </c>
      <c r="Z1247" s="66">
        <f t="shared" si="510"/>
        <v>26184</v>
      </c>
      <c r="AA1247" s="66">
        <v>8089.8</v>
      </c>
      <c r="AB1247" s="66"/>
      <c r="AC1247" s="66"/>
      <c r="AD1247" s="66">
        <f t="shared" si="511"/>
        <v>26184</v>
      </c>
      <c r="AE1247" s="66">
        <f t="shared" si="512"/>
        <v>106590.25442596845</v>
      </c>
      <c r="AF1247" s="101">
        <f t="shared" si="513"/>
        <v>966616.53895837732</v>
      </c>
      <c r="AG1247" s="101">
        <f t="shared" si="514"/>
        <v>966616.53895837732</v>
      </c>
    </row>
    <row r="1248" spans="1:33" s="59" customFormat="1" x14ac:dyDescent="0.2">
      <c r="A1248" s="168" t="s">
        <v>1363</v>
      </c>
      <c r="B1248" s="168" t="s">
        <v>1364</v>
      </c>
      <c r="C1248" s="168"/>
      <c r="D1248" s="107">
        <v>4303</v>
      </c>
      <c r="E1248" s="119">
        <v>55.29</v>
      </c>
      <c r="F1248" s="108">
        <v>0</v>
      </c>
      <c r="G1248" s="109">
        <v>0.123</v>
      </c>
      <c r="H1248" s="110">
        <f>D1248*E1248</f>
        <v>237912.87</v>
      </c>
      <c r="I1248" s="107">
        <f>H1248</f>
        <v>237912.87</v>
      </c>
      <c r="J1248" s="110">
        <f>(E1248*D1248)*(1-F1248)*(1-G1248)</f>
        <v>208649.58699000001</v>
      </c>
      <c r="K1248" s="107">
        <v>0</v>
      </c>
      <c r="L1248" s="111">
        <f>K1248*D1248</f>
        <v>0</v>
      </c>
      <c r="M1248" s="112">
        <f>L1248</f>
        <v>0</v>
      </c>
      <c r="N1248" s="110">
        <f>(K1248*D1248)*(1-F1248)</f>
        <v>0</v>
      </c>
      <c r="O1248" s="113">
        <v>11.628</v>
      </c>
      <c r="P1248" s="111">
        <f>O1248*D1248</f>
        <v>50035.284</v>
      </c>
      <c r="Q1248" s="112">
        <f>+P1248</f>
        <v>50035.284</v>
      </c>
      <c r="R1248" s="110">
        <f>(O1248*D1248)*(1-F1248)*(1-G1248)</f>
        <v>43880.944067999997</v>
      </c>
      <c r="S1248" s="107">
        <v>10</v>
      </c>
      <c r="T1248" s="114" t="s">
        <v>52</v>
      </c>
      <c r="U1248" s="65">
        <f>SUMIF('Avoided Costs 2012-2020_EGD'!$A:$A,'2012 Actuals_Auditor'!T1248&amp;'2012 Actuals_Auditor'!S1248,'Avoided Costs 2012-2020_EGD'!$E:$E)*J1248</f>
        <v>337088.71747992455</v>
      </c>
      <c r="V1248" s="65">
        <f>SUMIF('Avoided Costs 2012-2020_EGD'!$A:$A,'2012 Actuals_Auditor'!T1248&amp;'2012 Actuals_Auditor'!S1248,'Avoided Costs 2012-2020_EGD'!$K:$K)*N1248</f>
        <v>0</v>
      </c>
      <c r="W1248" s="65">
        <f>SUMIF('Avoided Costs 2012-2020_EGD'!$A:$A,'2012 Actuals_Auditor'!T1248&amp;'2012 Actuals_Auditor'!S1248,'Avoided Costs 2012-2020_EGD'!$M:$M)*R1248</f>
        <v>807032.13494857564</v>
      </c>
      <c r="X1248" s="115">
        <f>SUM(U1248:W1248)</f>
        <v>1144120.8524285001</v>
      </c>
      <c r="Y1248" s="116">
        <v>12.5</v>
      </c>
      <c r="Z1248" s="115">
        <f>(Y1248*D1248)*(1-F1248)</f>
        <v>53787.5</v>
      </c>
      <c r="AA1248" s="117">
        <v>0</v>
      </c>
      <c r="AB1248" s="117"/>
      <c r="AC1248" s="115"/>
      <c r="AD1248" s="115">
        <f t="shared" si="511"/>
        <v>53787.5</v>
      </c>
      <c r="AE1248" s="117">
        <f t="shared" si="512"/>
        <v>1090333.3524285001</v>
      </c>
      <c r="AF1248" s="118">
        <f t="shared" si="513"/>
        <v>2086495.8699</v>
      </c>
      <c r="AG1248" s="101">
        <f t="shared" si="514"/>
        <v>2379128.7000000002</v>
      </c>
    </row>
    <row r="1249" spans="1:33" s="59" customFormat="1" x14ac:dyDescent="0.2">
      <c r="A1249" s="168" t="s">
        <v>648</v>
      </c>
      <c r="B1249" s="105" t="s">
        <v>649</v>
      </c>
      <c r="C1249" s="106"/>
      <c r="D1249" s="107">
        <v>7907</v>
      </c>
      <c r="E1249" s="119">
        <v>69</v>
      </c>
      <c r="F1249" s="108">
        <v>0</v>
      </c>
      <c r="G1249" s="109">
        <v>0.123</v>
      </c>
      <c r="H1249" s="110">
        <f>D1249*E1249</f>
        <v>545583</v>
      </c>
      <c r="I1249" s="107">
        <f>H1249</f>
        <v>545583</v>
      </c>
      <c r="J1249" s="110">
        <f>(E1249*D1249)*(1-F1249)*(1-G1249)</f>
        <v>478476.29100000003</v>
      </c>
      <c r="K1249" s="107">
        <v>0</v>
      </c>
      <c r="L1249" s="111">
        <f>K1249*D1249</f>
        <v>0</v>
      </c>
      <c r="M1249" s="112">
        <f>L1249</f>
        <v>0</v>
      </c>
      <c r="N1249" s="110">
        <f>(K1249*D1249)*(1-F1249)</f>
        <v>0</v>
      </c>
      <c r="O1249" s="113">
        <v>15.705</v>
      </c>
      <c r="P1249" s="111">
        <f>O1249*D1249</f>
        <v>124179.435</v>
      </c>
      <c r="Q1249" s="112">
        <f>+P1249</f>
        <v>124179.435</v>
      </c>
      <c r="R1249" s="110">
        <f>(O1249*D1249)*(1-F1249)*(1-G1249)</f>
        <v>108905.364495</v>
      </c>
      <c r="S1249" s="107">
        <v>10</v>
      </c>
      <c r="T1249" s="114" t="s">
        <v>52</v>
      </c>
      <c r="U1249" s="65">
        <f>SUMIF('Avoided Costs 2012-2020_EGD'!$A:$A,'2012 Actuals_Auditor'!T1249&amp;'2012 Actuals_Auditor'!S1249,'Avoided Costs 2012-2020_EGD'!$E:$E)*J1249</f>
        <v>773013.55638662877</v>
      </c>
      <c r="V1249" s="65">
        <f>SUMIF('Avoided Costs 2012-2020_EGD'!$A:$A,'2012 Actuals_Auditor'!T1249&amp;'2012 Actuals_Auditor'!S1249,'Avoided Costs 2012-2020_EGD'!$K:$K)*N1249</f>
        <v>0</v>
      </c>
      <c r="W1249" s="65">
        <f>SUMIF('Avoided Costs 2012-2020_EGD'!$A:$A,'2012 Actuals_Auditor'!T1249&amp;'2012 Actuals_Auditor'!S1249,'Avoided Costs 2012-2020_EGD'!$M:$M)*R1249</f>
        <v>2002922.4685675388</v>
      </c>
      <c r="X1249" s="115">
        <f>SUM(U1249:W1249)</f>
        <v>2775936.0249541677</v>
      </c>
      <c r="Y1249" s="116">
        <v>12.5</v>
      </c>
      <c r="Z1249" s="115">
        <f>(Y1249*D1249)*(1-F1249)</f>
        <v>98837.5</v>
      </c>
      <c r="AA1249" s="117">
        <v>0</v>
      </c>
      <c r="AB1249" s="117"/>
      <c r="AC1249" s="115"/>
      <c r="AD1249" s="115">
        <f t="shared" si="511"/>
        <v>98837.5</v>
      </c>
      <c r="AE1249" s="117">
        <f t="shared" si="512"/>
        <v>2677098.5249541677</v>
      </c>
      <c r="AF1249" s="118">
        <f t="shared" si="513"/>
        <v>4784762.91</v>
      </c>
      <c r="AG1249" s="101">
        <f t="shared" si="514"/>
        <v>5455830</v>
      </c>
    </row>
    <row r="1250" spans="1:33" x14ac:dyDescent="0.2">
      <c r="A1250" s="152" t="s">
        <v>3</v>
      </c>
      <c r="B1250" s="152" t="s">
        <v>203</v>
      </c>
      <c r="C1250" s="155"/>
      <c r="D1250" s="67">
        <f>SUM(D1179:D1249)</f>
        <v>12267</v>
      </c>
      <c r="E1250" s="67"/>
      <c r="F1250" s="154"/>
      <c r="G1250" s="228"/>
      <c r="H1250" s="67">
        <f>SUM(H1179:H1249)</f>
        <v>2822095.87</v>
      </c>
      <c r="I1250" s="67">
        <f>SUM(I1179:I1249)</f>
        <v>2739985.2018144089</v>
      </c>
      <c r="J1250" s="67">
        <f>SUM(J1179:J1249)</f>
        <v>2643615.2098044092</v>
      </c>
      <c r="K1250" s="64"/>
      <c r="L1250" s="67">
        <f>SUM(L1179:L1249)</f>
        <v>134782</v>
      </c>
      <c r="M1250" s="67">
        <f>SUM(M1179:M1249)</f>
        <v>134782</v>
      </c>
      <c r="N1250" s="67">
        <f>SUM(N1179:N1249)</f>
        <v>134782</v>
      </c>
      <c r="O1250" s="229"/>
      <c r="P1250" s="67">
        <f>SUM(P1179:P1249)</f>
        <v>174214.71899999998</v>
      </c>
      <c r="Q1250" s="67">
        <f>SUM(Q1179:Q1249)</f>
        <v>174214.71899999998</v>
      </c>
      <c r="R1250" s="67">
        <f>SUM(R1179:R1249)</f>
        <v>152786.308563</v>
      </c>
      <c r="S1250" s="153">
        <v>0</v>
      </c>
      <c r="T1250" s="155"/>
      <c r="U1250" s="66">
        <f>SUM(U1179:U1249)</f>
        <v>6559742.0242601158</v>
      </c>
      <c r="V1250" s="66">
        <f>SUM(V1179:V1249)</f>
        <v>138796.26970879716</v>
      </c>
      <c r="W1250" s="66">
        <f>SUM(W1179:W1249)</f>
        <v>2809954.6035161144</v>
      </c>
      <c r="X1250" s="66">
        <f>SUM(X1179:X1249)</f>
        <v>9508492.8974850271</v>
      </c>
      <c r="Y1250" s="146"/>
      <c r="Z1250" s="66">
        <f>SUM(Z1179:Z1249)</f>
        <v>1662851.9</v>
      </c>
      <c r="AA1250" s="66">
        <v>1069195.07</v>
      </c>
      <c r="AB1250" s="66">
        <v>298748.7</v>
      </c>
      <c r="AC1250" s="66">
        <f>AB1250+AA1250</f>
        <v>1367943.77</v>
      </c>
      <c r="AD1250" s="66">
        <f t="shared" si="511"/>
        <v>1961600.5999999999</v>
      </c>
      <c r="AE1250" s="230">
        <f t="shared" si="512"/>
        <v>7546892.2974850275</v>
      </c>
      <c r="AF1250" s="101">
        <f>SUM(AF1179:AF1249)</f>
        <v>43407789.333454534</v>
      </c>
      <c r="AG1250" s="101">
        <f>SUM(AG1179:AG1249)</f>
        <v>44371489.25355453</v>
      </c>
    </row>
    <row r="1251" spans="1:33" x14ac:dyDescent="0.2">
      <c r="A1251" s="140"/>
      <c r="D1251" s="17">
        <f>SUM(D1179:D1249)-D1250</f>
        <v>0</v>
      </c>
      <c r="E1251" s="17">
        <f t="shared" ref="E1251:AG1251" si="515">SUM(E1179:E1249)-E1250</f>
        <v>124.28999999999999</v>
      </c>
      <c r="F1251" s="17">
        <f t="shared" si="515"/>
        <v>0</v>
      </c>
      <c r="G1251" s="17">
        <f t="shared" si="515"/>
        <v>0.246</v>
      </c>
      <c r="H1251" s="17">
        <f t="shared" si="515"/>
        <v>0</v>
      </c>
      <c r="I1251" s="17">
        <f t="shared" si="515"/>
        <v>0</v>
      </c>
      <c r="J1251" s="17">
        <f t="shared" si="515"/>
        <v>0</v>
      </c>
      <c r="K1251" s="17">
        <f t="shared" si="515"/>
        <v>0</v>
      </c>
      <c r="L1251" s="17">
        <f t="shared" si="515"/>
        <v>0</v>
      </c>
      <c r="M1251" s="17">
        <f t="shared" si="515"/>
        <v>0</v>
      </c>
      <c r="N1251" s="17">
        <f t="shared" si="515"/>
        <v>0</v>
      </c>
      <c r="O1251" s="17">
        <f t="shared" si="515"/>
        <v>27.332999999999998</v>
      </c>
      <c r="P1251" s="17">
        <f t="shared" si="515"/>
        <v>0</v>
      </c>
      <c r="Q1251" s="17">
        <f t="shared" si="515"/>
        <v>0</v>
      </c>
      <c r="R1251" s="17">
        <f t="shared" si="515"/>
        <v>0</v>
      </c>
      <c r="S1251" s="17">
        <f t="shared" si="515"/>
        <v>1374</v>
      </c>
      <c r="T1251" s="17">
        <f t="shared" si="515"/>
        <v>0</v>
      </c>
      <c r="U1251" s="17">
        <f t="shared" si="515"/>
        <v>0</v>
      </c>
      <c r="V1251" s="17">
        <f t="shared" si="515"/>
        <v>0</v>
      </c>
      <c r="W1251" s="17">
        <f t="shared" si="515"/>
        <v>0</v>
      </c>
      <c r="X1251" s="17">
        <f t="shared" si="515"/>
        <v>0</v>
      </c>
      <c r="Y1251" s="17">
        <f t="shared" si="515"/>
        <v>1510251.9</v>
      </c>
      <c r="Z1251" s="17">
        <f t="shared" si="515"/>
        <v>0</v>
      </c>
      <c r="AA1251" s="17">
        <f t="shared" si="515"/>
        <v>-702750.42000000016</v>
      </c>
      <c r="AB1251" s="17">
        <f t="shared" si="515"/>
        <v>-298748.7</v>
      </c>
      <c r="AC1251" s="17">
        <f t="shared" si="515"/>
        <v>-1367943.77</v>
      </c>
      <c r="AD1251" s="17">
        <f t="shared" si="515"/>
        <v>-298748.69999999995</v>
      </c>
      <c r="AE1251" s="17">
        <f t="shared" si="515"/>
        <v>298748.69999999925</v>
      </c>
      <c r="AF1251" s="17">
        <f t="shared" si="515"/>
        <v>0</v>
      </c>
      <c r="AG1251" s="17">
        <f t="shared" si="515"/>
        <v>0</v>
      </c>
    </row>
    <row r="1252" spans="1:33" ht="13.5" thickBot="1" x14ac:dyDescent="0.25">
      <c r="A1252" s="224" t="s">
        <v>1366</v>
      </c>
      <c r="B1252" s="224"/>
      <c r="C1252" s="135"/>
      <c r="D1252" s="131"/>
      <c r="E1252" s="131"/>
      <c r="F1252" s="132"/>
      <c r="G1252" s="133"/>
      <c r="H1252" s="131"/>
      <c r="I1252" s="131"/>
      <c r="J1252" s="131"/>
      <c r="K1252" s="131"/>
      <c r="L1252" s="131"/>
      <c r="M1252" s="131"/>
      <c r="N1252" s="131"/>
      <c r="O1252" s="131"/>
      <c r="P1252" s="131"/>
      <c r="Q1252" s="131"/>
      <c r="R1252" s="131"/>
      <c r="S1252" s="131"/>
      <c r="T1252" s="250"/>
      <c r="U1252" s="131"/>
      <c r="V1252" s="131"/>
      <c r="W1252" s="131"/>
      <c r="X1252" s="131"/>
      <c r="Y1252" s="136"/>
      <c r="Z1252" s="131"/>
      <c r="AA1252" s="225"/>
      <c r="AB1252" s="225">
        <v>895493.08</v>
      </c>
      <c r="AC1252" s="225">
        <v>895493.08</v>
      </c>
      <c r="AD1252" s="225">
        <f>Z1252+AB1252</f>
        <v>895493.08</v>
      </c>
      <c r="AE1252" s="225">
        <f>X1252-AD1252</f>
        <v>-895493.08</v>
      </c>
      <c r="AF1252" s="226"/>
      <c r="AG1252" s="226"/>
    </row>
    <row r="1253" spans="1:33" ht="14.25" thickTop="1" thickBot="1" x14ac:dyDescent="0.25">
      <c r="A1253" s="258" t="s">
        <v>75</v>
      </c>
      <c r="B1253" s="158"/>
      <c r="C1253" s="159"/>
      <c r="D1253" s="260">
        <f>D1250+D1176</f>
        <v>13374</v>
      </c>
      <c r="E1253" s="160"/>
      <c r="F1253" s="161"/>
      <c r="G1253" s="162"/>
      <c r="H1253" s="160">
        <f>H1250+H1176</f>
        <v>3920791.1774630002</v>
      </c>
      <c r="I1253" s="160">
        <f>I1250+I1176</f>
        <v>3838680.5092774089</v>
      </c>
      <c r="J1253" s="160">
        <f>J1250+J1176</f>
        <v>3742310.5172674092</v>
      </c>
      <c r="K1253" s="160"/>
      <c r="L1253" s="260">
        <f>L1250+L1176</f>
        <v>151036</v>
      </c>
      <c r="M1253" s="260">
        <f>M1250+M1176</f>
        <v>151036</v>
      </c>
      <c r="N1253" s="260">
        <f>N1250+N1176</f>
        <v>151036</v>
      </c>
      <c r="O1253" s="163"/>
      <c r="P1253" s="260">
        <f>P1250+P1176</f>
        <v>184776.59249999997</v>
      </c>
      <c r="Q1253" s="260">
        <f>Q1250+Q1176</f>
        <v>184776.59249999997</v>
      </c>
      <c r="R1253" s="260">
        <f>R1250+R1176</f>
        <v>163348.18206299999</v>
      </c>
      <c r="S1253" s="160"/>
      <c r="T1253" s="159"/>
      <c r="U1253" s="260">
        <f>U1250+U1176</f>
        <v>10083478.31530576</v>
      </c>
      <c r="V1253" s="260">
        <f>V1250+V1176</f>
        <v>155534.36951327245</v>
      </c>
      <c r="W1253" s="260">
        <f>W1250+W1176</f>
        <v>3004202.2775532305</v>
      </c>
      <c r="X1253" s="260">
        <f>X1250+X1176</f>
        <v>13243214.962372262</v>
      </c>
      <c r="Y1253" s="164"/>
      <c r="Z1253" s="260">
        <f>Z1250+Z1176</f>
        <v>5191806.8400000036</v>
      </c>
      <c r="AA1253" s="259">
        <f>AA1250+AA1176</f>
        <v>6720582.6600000001</v>
      </c>
      <c r="AB1253" s="259">
        <f>AB1250+AB1176+AB1252</f>
        <v>1301537.95</v>
      </c>
      <c r="AC1253" s="259">
        <f>AC1250+AC1176+AC1252</f>
        <v>8022120.6099999994</v>
      </c>
      <c r="AD1253" s="259">
        <f>AD1250+AD1176+AD1252</f>
        <v>6493344.7900000038</v>
      </c>
      <c r="AE1253" s="259">
        <f>AE1250+AE1176+AE1252</f>
        <v>6749870.1723722592</v>
      </c>
      <c r="AF1253" s="260">
        <f>AF1250+AF1176</f>
        <v>68116009.405103534</v>
      </c>
      <c r="AG1253" s="260">
        <f t="shared" ref="AG1253" si="516">AG1250+AG1176</f>
        <v>69079709.325203538</v>
      </c>
    </row>
    <row r="1254" spans="1:33" ht="13.5" thickTop="1" x14ac:dyDescent="0.2">
      <c r="A1254" s="140"/>
      <c r="F1254" s="17"/>
      <c r="G1254" s="17"/>
      <c r="M1254" s="17"/>
      <c r="O1254" s="17"/>
      <c r="P1254" s="17"/>
      <c r="Q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</row>
    <row r="1255" spans="1:33" x14ac:dyDescent="0.2">
      <c r="A1255" s="140" t="s">
        <v>76</v>
      </c>
      <c r="B1255" s="59"/>
      <c r="C1255" s="56"/>
      <c r="D1255" s="13"/>
      <c r="E1255" s="13"/>
      <c r="F1255" s="14"/>
      <c r="G1255" s="15"/>
      <c r="H1255" s="13"/>
      <c r="I1255" s="13"/>
      <c r="J1255" s="13"/>
      <c r="K1255" s="13"/>
      <c r="L1255" s="13"/>
      <c r="M1255" s="16"/>
      <c r="N1255" s="13"/>
      <c r="O1255" s="21"/>
      <c r="P1255" s="22"/>
      <c r="Q1255" s="16"/>
      <c r="R1255" s="13"/>
      <c r="S1255" s="13"/>
      <c r="T1255" s="56"/>
      <c r="U1255" s="57"/>
      <c r="V1255" s="57"/>
      <c r="W1255" s="57"/>
      <c r="X1255" s="57"/>
      <c r="Y1255" s="95"/>
      <c r="Z1255" s="57"/>
      <c r="AA1255" s="57"/>
      <c r="AB1255" s="57"/>
      <c r="AC1255" s="57"/>
      <c r="AD1255" s="57"/>
      <c r="AE1255" s="57"/>
      <c r="AF1255" s="100"/>
      <c r="AG1255" s="100"/>
    </row>
    <row r="1256" spans="1:33" x14ac:dyDescent="0.2">
      <c r="A1256" s="152" t="s">
        <v>1330</v>
      </c>
      <c r="B1256" s="152" t="s">
        <v>1331</v>
      </c>
      <c r="C1256" s="152"/>
      <c r="D1256" s="153">
        <v>8600</v>
      </c>
      <c r="E1256" s="154"/>
      <c r="F1256" s="154"/>
      <c r="G1256" s="154"/>
      <c r="H1256" s="67"/>
      <c r="I1256" s="67"/>
      <c r="J1256" s="67"/>
      <c r="K1256" s="64"/>
      <c r="L1256" s="64"/>
      <c r="M1256" s="64"/>
      <c r="N1256" s="64"/>
      <c r="O1256" s="64"/>
      <c r="P1256" s="64"/>
      <c r="Q1256" s="64"/>
      <c r="R1256" s="64"/>
      <c r="S1256" s="153"/>
      <c r="T1256" s="153"/>
      <c r="U1256" s="172"/>
      <c r="V1256" s="172"/>
      <c r="W1256" s="172"/>
      <c r="X1256" s="172"/>
      <c r="Y1256" s="172"/>
      <c r="Z1256" s="172"/>
      <c r="AA1256" s="66">
        <v>35433</v>
      </c>
      <c r="AB1256" s="66">
        <v>292808.37</v>
      </c>
      <c r="AC1256" s="65">
        <f>AB1256+AA1256</f>
        <v>328241.37</v>
      </c>
      <c r="AD1256" s="66"/>
      <c r="AE1256" s="66"/>
      <c r="AF1256" s="101"/>
      <c r="AG1256" s="101"/>
    </row>
    <row r="1257" spans="1:33" x14ac:dyDescent="0.2">
      <c r="A1257" s="152" t="s">
        <v>1332</v>
      </c>
      <c r="B1257" s="152" t="s">
        <v>1333</v>
      </c>
      <c r="C1257" s="152"/>
      <c r="D1257" s="153">
        <v>5047</v>
      </c>
      <c r="E1257" s="154"/>
      <c r="F1257" s="154"/>
      <c r="G1257" s="154"/>
      <c r="H1257" s="67"/>
      <c r="I1257" s="67"/>
      <c r="J1257" s="67"/>
      <c r="K1257" s="64"/>
      <c r="L1257" s="64"/>
      <c r="M1257" s="64"/>
      <c r="N1257" s="64"/>
      <c r="O1257" s="64"/>
      <c r="P1257" s="64"/>
      <c r="Q1257" s="64"/>
      <c r="R1257" s="64"/>
      <c r="S1257" s="153"/>
      <c r="T1257" s="153"/>
      <c r="U1257" s="172"/>
      <c r="V1257" s="172"/>
      <c r="W1257" s="172"/>
      <c r="X1257" s="172"/>
      <c r="Y1257" s="172"/>
      <c r="Z1257" s="172"/>
      <c r="AA1257" s="66">
        <v>2195821.36</v>
      </c>
      <c r="AB1257" s="66">
        <v>96648.33</v>
      </c>
      <c r="AC1257" s="65">
        <f>AB1257+AA1257</f>
        <v>2292469.69</v>
      </c>
      <c r="AD1257" s="66"/>
      <c r="AE1257" s="66"/>
      <c r="AF1257" s="101"/>
      <c r="AG1257" s="101"/>
    </row>
    <row r="1258" spans="1:33" x14ac:dyDescent="0.2">
      <c r="A1258" s="152" t="s">
        <v>1334</v>
      </c>
      <c r="B1258" s="152" t="s">
        <v>1335</v>
      </c>
      <c r="C1258" s="152"/>
      <c r="D1258" s="153">
        <v>12</v>
      </c>
      <c r="E1258" s="154"/>
      <c r="F1258" s="154"/>
      <c r="G1258" s="154"/>
      <c r="H1258" s="67"/>
      <c r="I1258" s="67"/>
      <c r="J1258" s="67"/>
      <c r="K1258" s="64"/>
      <c r="L1258" s="64"/>
      <c r="M1258" s="64"/>
      <c r="N1258" s="64"/>
      <c r="O1258" s="64"/>
      <c r="P1258" s="64"/>
      <c r="Q1258" s="64"/>
      <c r="R1258" s="64"/>
      <c r="S1258" s="153"/>
      <c r="T1258" s="153"/>
      <c r="U1258" s="172"/>
      <c r="V1258" s="172"/>
      <c r="W1258" s="172"/>
      <c r="X1258" s="172"/>
      <c r="Y1258" s="172"/>
      <c r="Z1258" s="172"/>
      <c r="AA1258" s="66">
        <v>284600.38</v>
      </c>
      <c r="AB1258" s="66">
        <v>547808.43999999994</v>
      </c>
      <c r="AC1258" s="65">
        <f>AB1258+AA1258</f>
        <v>832408.82</v>
      </c>
      <c r="AD1258" s="66"/>
      <c r="AE1258" s="66"/>
      <c r="AF1258" s="101"/>
      <c r="AG1258" s="101"/>
    </row>
    <row r="1259" spans="1:33" x14ac:dyDescent="0.2">
      <c r="A1259" s="152" t="s">
        <v>3</v>
      </c>
      <c r="B1259" s="152" t="s">
        <v>1336</v>
      </c>
      <c r="C1259" s="152"/>
      <c r="D1259" s="153"/>
      <c r="E1259" s="154"/>
      <c r="F1259" s="154"/>
      <c r="G1259" s="154"/>
      <c r="H1259" s="67"/>
      <c r="I1259" s="67"/>
      <c r="J1259" s="67"/>
      <c r="K1259" s="64"/>
      <c r="L1259" s="64"/>
      <c r="M1259" s="64"/>
      <c r="N1259" s="64"/>
      <c r="O1259" s="64"/>
      <c r="P1259" s="64"/>
      <c r="Q1259" s="64"/>
      <c r="R1259" s="64"/>
      <c r="S1259" s="153"/>
      <c r="T1259" s="153"/>
      <c r="U1259" s="153"/>
      <c r="V1259" s="172"/>
      <c r="W1259" s="172"/>
      <c r="X1259" s="172"/>
      <c r="Y1259" s="172"/>
      <c r="Z1259" s="153"/>
      <c r="AA1259" s="66">
        <f>SUM(AA1256:AA1258)</f>
        <v>2515854.7399999998</v>
      </c>
      <c r="AB1259" s="66">
        <f>SUM(AB1256:AB1258)</f>
        <v>937265.1399999999</v>
      </c>
      <c r="AC1259" s="66">
        <f>SUM(AC1256:AC1258)</f>
        <v>3453119.88</v>
      </c>
      <c r="AD1259" s="66"/>
      <c r="AE1259" s="66"/>
      <c r="AF1259" s="261"/>
      <c r="AG1259" s="261"/>
    </row>
    <row r="1260" spans="1:33" x14ac:dyDescent="0.2">
      <c r="A1260" s="60"/>
      <c r="B1260" s="60"/>
      <c r="C1260" s="60"/>
      <c r="E1260" s="157"/>
      <c r="F1260" s="157"/>
      <c r="G1260" s="157"/>
      <c r="H1260" s="71"/>
      <c r="I1260" s="71"/>
      <c r="J1260" s="71"/>
      <c r="K1260" s="90"/>
      <c r="L1260" s="90"/>
      <c r="M1260" s="90"/>
      <c r="N1260" s="90"/>
      <c r="O1260" s="90"/>
      <c r="P1260" s="90"/>
      <c r="Q1260" s="90"/>
      <c r="R1260" s="90"/>
      <c r="S1260" s="156"/>
      <c r="T1260" s="156"/>
      <c r="U1260" s="156"/>
      <c r="V1260" s="156"/>
      <c r="W1260" s="156"/>
      <c r="X1260" s="156"/>
      <c r="Y1260" s="156"/>
      <c r="Z1260" s="156"/>
      <c r="AA1260" s="17">
        <f>SUM(AA1256:AA1258)-AA1259</f>
        <v>0</v>
      </c>
      <c r="AB1260" s="17">
        <f t="shared" ref="AB1260:AG1260" si="517">SUM(AB1256:AB1258)-AB1259</f>
        <v>0</v>
      </c>
      <c r="AC1260" s="17">
        <f t="shared" si="517"/>
        <v>0</v>
      </c>
      <c r="AD1260" s="17">
        <f t="shared" si="517"/>
        <v>0</v>
      </c>
      <c r="AE1260" s="17">
        <f t="shared" si="517"/>
        <v>0</v>
      </c>
      <c r="AF1260" s="17">
        <f t="shared" si="517"/>
        <v>0</v>
      </c>
      <c r="AG1260" s="17">
        <f t="shared" si="517"/>
        <v>0</v>
      </c>
    </row>
    <row r="1261" spans="1:33" x14ac:dyDescent="0.2">
      <c r="A1261" s="152" t="s">
        <v>1337</v>
      </c>
      <c r="B1261" s="152" t="s">
        <v>1338</v>
      </c>
      <c r="C1261" s="152"/>
      <c r="D1261" s="153">
        <v>9</v>
      </c>
      <c r="E1261" s="154"/>
      <c r="F1261" s="154"/>
      <c r="G1261" s="154"/>
      <c r="H1261" s="67"/>
      <c r="I1261" s="67"/>
      <c r="J1261" s="67"/>
      <c r="K1261" s="64"/>
      <c r="L1261" s="64"/>
      <c r="M1261" s="64"/>
      <c r="N1261" s="64"/>
      <c r="O1261" s="64"/>
      <c r="P1261" s="64"/>
      <c r="Q1261" s="64"/>
      <c r="R1261" s="64"/>
      <c r="S1261" s="153"/>
      <c r="T1261" s="153"/>
      <c r="U1261" s="172"/>
      <c r="V1261" s="172"/>
      <c r="W1261" s="172"/>
      <c r="X1261" s="172"/>
      <c r="Y1261" s="172"/>
      <c r="Z1261" s="172"/>
      <c r="AA1261" s="66">
        <v>200339.6</v>
      </c>
      <c r="AB1261" s="66">
        <v>655058.35</v>
      </c>
      <c r="AC1261" s="65">
        <f>AB1261+AA1261</f>
        <v>855397.95</v>
      </c>
      <c r="AD1261" s="66"/>
      <c r="AE1261" s="66"/>
      <c r="AF1261" s="101"/>
      <c r="AG1261" s="101"/>
    </row>
    <row r="1262" spans="1:33" x14ac:dyDescent="0.2">
      <c r="A1262" s="152" t="s">
        <v>3</v>
      </c>
      <c r="B1262" s="152" t="s">
        <v>1339</v>
      </c>
      <c r="C1262" s="152"/>
      <c r="D1262" s="153"/>
      <c r="E1262" s="154"/>
      <c r="F1262" s="154"/>
      <c r="G1262" s="154"/>
      <c r="H1262" s="67"/>
      <c r="I1262" s="67"/>
      <c r="J1262" s="67"/>
      <c r="K1262" s="64"/>
      <c r="L1262" s="64"/>
      <c r="M1262" s="64"/>
      <c r="N1262" s="64"/>
      <c r="O1262" s="64"/>
      <c r="P1262" s="64"/>
      <c r="Q1262" s="64"/>
      <c r="R1262" s="64"/>
      <c r="S1262" s="153"/>
      <c r="T1262" s="153"/>
      <c r="U1262" s="153"/>
      <c r="V1262" s="172"/>
      <c r="W1262" s="172"/>
      <c r="X1262" s="172"/>
      <c r="Y1262" s="172"/>
      <c r="Z1262" s="153"/>
      <c r="AA1262" s="66">
        <f>AA1261</f>
        <v>200339.6</v>
      </c>
      <c r="AB1262" s="66">
        <f>AB1261</f>
        <v>655058.35</v>
      </c>
      <c r="AC1262" s="66">
        <f>AC1261</f>
        <v>855397.95</v>
      </c>
      <c r="AD1262" s="66"/>
      <c r="AE1262" s="66"/>
      <c r="AF1262" s="261"/>
      <c r="AG1262" s="261"/>
    </row>
    <row r="1263" spans="1:33" x14ac:dyDescent="0.2">
      <c r="A1263" s="60"/>
      <c r="B1263" s="60"/>
      <c r="C1263" s="60"/>
      <c r="E1263" s="157"/>
      <c r="F1263" s="157"/>
      <c r="G1263" s="157"/>
      <c r="H1263" s="71"/>
      <c r="I1263" s="71"/>
      <c r="J1263" s="71"/>
      <c r="K1263" s="90"/>
      <c r="L1263" s="90"/>
      <c r="M1263" s="90"/>
      <c r="N1263" s="90"/>
      <c r="O1263" s="90"/>
      <c r="P1263" s="90"/>
      <c r="Q1263" s="90"/>
      <c r="R1263" s="90"/>
      <c r="S1263" s="156"/>
      <c r="T1263" s="156"/>
      <c r="U1263" s="156"/>
      <c r="V1263" s="262"/>
      <c r="W1263" s="262"/>
      <c r="X1263" s="262"/>
      <c r="Y1263" s="262"/>
      <c r="Z1263" s="156"/>
      <c r="AA1263" s="77"/>
      <c r="AB1263" s="77"/>
      <c r="AC1263" s="77"/>
      <c r="AD1263" s="77"/>
      <c r="AE1263" s="77"/>
      <c r="AF1263" s="263"/>
      <c r="AG1263" s="263"/>
    </row>
    <row r="1264" spans="1:33" ht="13.5" thickBot="1" x14ac:dyDescent="0.25">
      <c r="A1264" s="224" t="s">
        <v>1365</v>
      </c>
      <c r="B1264" s="224"/>
      <c r="C1264" s="135"/>
      <c r="D1264" s="131"/>
      <c r="E1264" s="131"/>
      <c r="F1264" s="132"/>
      <c r="G1264" s="133"/>
      <c r="H1264" s="131"/>
      <c r="I1264" s="131"/>
      <c r="J1264" s="131"/>
      <c r="K1264" s="131"/>
      <c r="L1264" s="131"/>
      <c r="M1264" s="131"/>
      <c r="N1264" s="131"/>
      <c r="O1264" s="131"/>
      <c r="P1264" s="131"/>
      <c r="Q1264" s="131"/>
      <c r="R1264" s="131"/>
      <c r="S1264" s="131"/>
      <c r="T1264" s="250"/>
      <c r="U1264" s="131"/>
      <c r="V1264" s="131"/>
      <c r="W1264" s="131"/>
      <c r="X1264" s="131"/>
      <c r="Y1264" s="136"/>
      <c r="Z1264" s="131"/>
      <c r="AA1264" s="225"/>
      <c r="AB1264" s="225">
        <v>904652.49</v>
      </c>
      <c r="AC1264" s="225">
        <v>904652.49</v>
      </c>
      <c r="AD1264" s="225">
        <f>AC1264</f>
        <v>904652.49</v>
      </c>
      <c r="AE1264" s="225">
        <f>-AD1264</f>
        <v>-904652.49</v>
      </c>
      <c r="AF1264" s="226"/>
      <c r="AG1264" s="226"/>
    </row>
    <row r="1265" spans="1:33" ht="14.25" thickTop="1" thickBot="1" x14ac:dyDescent="0.25">
      <c r="A1265" s="258" t="s">
        <v>1340</v>
      </c>
      <c r="B1265" s="158" t="s">
        <v>1341</v>
      </c>
      <c r="C1265" s="159"/>
      <c r="D1265" s="160"/>
      <c r="E1265" s="160"/>
      <c r="F1265" s="161"/>
      <c r="G1265" s="162"/>
      <c r="H1265" s="160"/>
      <c r="I1265" s="160"/>
      <c r="J1265" s="160"/>
      <c r="K1265" s="160"/>
      <c r="L1265" s="160"/>
      <c r="M1265" s="160"/>
      <c r="N1265" s="160"/>
      <c r="O1265" s="163"/>
      <c r="P1265" s="160"/>
      <c r="Q1265" s="160"/>
      <c r="R1265" s="160"/>
      <c r="S1265" s="160"/>
      <c r="T1265" s="159"/>
      <c r="U1265" s="160"/>
      <c r="V1265" s="160"/>
      <c r="W1265" s="160"/>
      <c r="X1265" s="160"/>
      <c r="Y1265" s="164"/>
      <c r="Z1265" s="160"/>
      <c r="AA1265" s="259">
        <f>AA1262+AA1259</f>
        <v>2716194.34</v>
      </c>
      <c r="AB1265" s="259">
        <f>AB1262+AB1259+AB1264</f>
        <v>2496975.9799999995</v>
      </c>
      <c r="AC1265" s="259">
        <f>AC1262+AC1259+AC1264</f>
        <v>5213170.32</v>
      </c>
      <c r="AD1265" s="259">
        <f t="shared" ref="AD1265:AE1265" si="518">AD1262+AD1259+AD1264</f>
        <v>904652.49</v>
      </c>
      <c r="AE1265" s="259">
        <f t="shared" si="518"/>
        <v>-904652.49</v>
      </c>
      <c r="AF1265" s="260"/>
      <c r="AG1265" s="260"/>
    </row>
    <row r="1266" spans="1:33" ht="14.25" thickTop="1" thickBot="1" x14ac:dyDescent="0.25">
      <c r="A1266" s="140"/>
      <c r="AD1266" s="57"/>
      <c r="AE1266" s="57"/>
      <c r="AF1266" s="100"/>
      <c r="AG1266" s="100"/>
    </row>
    <row r="1267" spans="1:33" ht="14.25" thickTop="1" thickBot="1" x14ac:dyDescent="0.25">
      <c r="A1267" s="258" t="s">
        <v>1343</v>
      </c>
      <c r="B1267" s="158"/>
      <c r="C1267" s="159"/>
      <c r="D1267" s="160"/>
      <c r="E1267" s="160"/>
      <c r="F1267" s="161"/>
      <c r="G1267" s="162"/>
      <c r="H1267" s="160">
        <f>H1265+H1253+H1169</f>
        <v>94980819.177462995</v>
      </c>
      <c r="I1267" s="160">
        <f>I1265+I1253+I1169</f>
        <v>92532464.971565694</v>
      </c>
      <c r="J1267" s="160">
        <f>J1265+J1253+J1169</f>
        <v>60135752.93379014</v>
      </c>
      <c r="K1267" s="160"/>
      <c r="L1267" s="160">
        <f>L1265+L1253+L1169</f>
        <v>53123988.364799999</v>
      </c>
      <c r="M1267" s="160">
        <f>M1265+M1253+M1169</f>
        <v>53532236.364799999</v>
      </c>
      <c r="N1267" s="160">
        <f>N1265+N1253+N1169</f>
        <v>39621022.584799998</v>
      </c>
      <c r="O1267" s="160"/>
      <c r="P1267" s="160">
        <f>P1265+P1253+P1169</f>
        <v>3590672.5485</v>
      </c>
      <c r="Q1267" s="160">
        <f>Q1265+Q1253+Q1169</f>
        <v>3590672.5485</v>
      </c>
      <c r="R1267" s="160">
        <f>R1265+R1253+R1169</f>
        <v>1348136.2065205001</v>
      </c>
      <c r="S1267" s="160"/>
      <c r="T1267" s="160"/>
      <c r="U1267" s="160">
        <f>U1265+U1253+U1169</f>
        <v>156213163.43468899</v>
      </c>
      <c r="V1267" s="160">
        <f>V1265+V1253+V1169</f>
        <v>44468202.218164369</v>
      </c>
      <c r="W1267" s="160">
        <f>W1265+W1253+W1169</f>
        <v>25999187.391715869</v>
      </c>
      <c r="X1267" s="160">
        <f>X1265+X1253+X1169</f>
        <v>226680553.04456919</v>
      </c>
      <c r="Y1267" s="160"/>
      <c r="Z1267" s="160">
        <f>Z1265+Z1253+Z1169</f>
        <v>50118656.47900001</v>
      </c>
      <c r="AA1267" s="259">
        <f t="shared" ref="AA1267:AG1267" si="519">AA1265+AA1253+AA1169</f>
        <v>20136618.199999999</v>
      </c>
      <c r="AB1267" s="259">
        <f t="shared" si="519"/>
        <v>10469891.74</v>
      </c>
      <c r="AC1267" s="259">
        <f t="shared" si="519"/>
        <v>30440265.340000004</v>
      </c>
      <c r="AD1267" s="259">
        <f>AD1265+AD1253+AD1169</f>
        <v>58996224.729000002</v>
      </c>
      <c r="AE1267" s="259">
        <f>AE1265+AE1253+AE1169</f>
        <v>167684328.31556919</v>
      </c>
      <c r="AF1267" s="160">
        <f t="shared" si="519"/>
        <v>1068976932.2084451</v>
      </c>
      <c r="AG1267" s="160">
        <f t="shared" si="519"/>
        <v>1593046982.5462089</v>
      </c>
    </row>
    <row r="1268" spans="1:33" ht="13.5" thickTop="1" x14ac:dyDescent="0.2"/>
  </sheetData>
  <autoFilter ref="A42:AG1265"/>
  <customSheetViews>
    <customSheetView guid="{D3618886-EC92-4244-941D-CAF99D049731}" showGridLines="0" fitToPage="1" printArea="1" showAutoFilter="1" showRuler="0">
      <pane xSplit="2" ySplit="8" topLeftCell="D42" activePane="bottomRight" state="frozen"/>
      <selection pane="bottomRight" activeCell="I46" sqref="I46"/>
      <rowBreaks count="1" manualBreakCount="1">
        <brk id="103" max="24" man="1"/>
      </rowBreaks>
      <pageMargins left="0" right="0" top="0" bottom="0.5" header="0.17" footer="0.2"/>
      <printOptions horizontalCentered="1" verticalCentered="1" headings="1"/>
      <pageSetup paperSize="17" scale="65" fitToHeight="2" orientation="landscape" verticalDpi="300" r:id="rId1"/>
      <headerFooter alignWithMargins="0">
        <oddFooter>&amp;L&amp;8&amp;D&amp;T&amp;R&amp;"Arial,Italic"&amp;8&amp;Z&amp;F&amp;A</oddFooter>
      </headerFooter>
      <autoFilter ref="B1:AL1"/>
    </customSheetView>
  </customSheetViews>
  <mergeCells count="1">
    <mergeCell ref="AA2:AC2"/>
  </mergeCells>
  <phoneticPr fontId="20" type="noConversion"/>
  <conditionalFormatting sqref="D1091:H1091 L1091 P1091 S1091 Y1091 AA1091 U1041:Y1047 T969:T970 D585:H585 L585 S585 Y585 AA585 P585 D567:H567 L567 P567 S567 Y567 AA567 D461:H461 L461 P461 S461 Y461 AA461 S385 L385 AA385 D385:H385 P385 Y385 P353 D353:H353 Y353 L353 S353 AA353 D132:H132 L132 S132 Y132 AA132 P331 D331:H331 S331 L331 Y331 D309:H309 AA331 P132 V3:V4 E10:E12 L59 E5:F9 S59 Y59 AA59 D59:H59 S57 P59 D57:H57 D1048:H1048 U1250:X1250 Z1250 M1250 L966:L973 D966:H966 S966:S973 AA966:AA973 J104:K114 Z104:Z114 U104:X114 R104:R114 N104:O114 R117:R121 N117:O121 U117:X121 Z117:Z121 J117:K121 K439 D439:G439 O439 AA1162 AA1157 Y1157 S1157 P1157 L1157 D1157:H1157 V5:Y12 Z2:Z12 N309:P309 R293:R299 U293:X299 Z293:Z299 J293:K299 N293:O299 Z126:Z132 U126:X132 U59:X94 Z59:Z94 U1178:X1246 Z1178:Z1246 Z1052:Z1091 U1052:X1091 D1052:H1052 L1052 S1052 Y1052 AA1052 F2:H4 AA441 P441 Y441 S439 L441 D441:H441 S39 T26 D39:G39 K39 O39 S41:S42 D41:H42 F5:F12 H5:H12 I391 I393:I395 M391 M393:M395 M1178:M1247 Q391 Q393:Q395 Q1178:Q1247 E13:H13 U441:X461 Z441:Z461 AD1256:AE1258 AD1261:AE1261 D1255:H1259 U1255:Y1263 AB1250:AE1250 T28:T29 P1162 S1162 L1162 U1140:X1155 Z1140:Z1155 R1266:S1266 R309:S309 Q41:R57 R32:S37 Q441:R461 R1178:R1246 R59:R94 R126:R132 Q1250:R1250 D1162:H1162 J309:L309 I41:J57 J1178:K1246 J59:K94 J126:K132 I1250:K1251 L973:M973 L1048:M1048 K57:L57 M441:O461 N59:O94 N126:O132 N1178:O1246 N1250:O1251 Y966:Y973 Y1162 U1169:Z1171 D28:S30 D32:Q38 AB1140:AF1155 AF1250:AF1251 AA1170:AF1171 AB1052:AF1091 AB1178:AF1246 AB59:AF94 AB126:AF132 AB293:AF299 AB117:AF121 AB104:AF114 P966:P973 P1048:Y1048 D1169:S1171 I1255:S1263 O57:P57 D16:S26 N134:O135 J134:K135 R134:R135 Q134:Q309 M134:M309 I134:I309 AB134:AF135 U134:X135 Z134:Z135 P134 AA134 Y134 S134 L134 D134:H134 AB311:AF331 Z311:Z331 U311:X331 P311 AA311 Y311 S311 L311 D311:H311 D333:H333 U333:X353 Z333:Z353 AB333:AF353 Q333:R353 M333:O353 I333:K353 AA333 Y333 L333 S333 P333 AB355:AF385 I355:K385 Q355:R385 Z355:Z385 U355:X385 M355:O385 AA355 S355 L355 Y355 D355:H355 P355 Q387:Q388 M387:M388 I387:I388 N387:P387 D387:H387 J387:L387 R387:S387 AB441:AF461 S441 M463:O567 I463:K567 Z463:Z567 U463:X567 Q463:R567 AB463:AF567 AA463 Y463 S463 P463 L463 D463:H463 U569:X585 Z569:Z585 Q569:R585 M569:O585 AB569:AF585 AA569 Y569 S569 P569 L569 D569:H569 D587:S590 D592:H593 L592:L593 S592:S593 Y592:Y593 AA592:AA593 P592:P593 AB592:AB973 U592:X973 Z592:Z973 AC592:AF972 D968:H973 D975:H975 M975:O1048 Z975:Z1048 U975:X1048 Q975:R1048 AB975:AF1048 P975 Y975 AA975 S975 L975 AB1093:AF1137 U1093:X1138 Z1093:Z1138 AB1157:AF1162 M1157:O1162 I1157:K1162 Z1157:Z1162 U1157:X1162 Q1157:R1162 D1261:H1262 E1260:H1260 E1263:H1263 D1166:S1166 M41:N57 I311:K331 I1052:K1091 I1093:K1138 I1140:K1155 Q1052:R1091 Q1093:R1138 Q1140:R1155 M1052:O1091 M1093:O1138 M1140:O1155 M59:M132 M311:O331 M592:O973 Q59:Q132 Q311:R331 Q592:R973 I59:I132 I592:K973 I975:K1048 I1178:I1247 I569:K585 I441:K461 K41:L42 W2:Y4 U1:U12 AD1:AE12 D2:E9 AG1:AG4 AF1169:AG1169 AF1253:AG1253 AF1:AF13 AF1267:AG65393 E1:J1 O41:P42 D1264:Q1267 I2:S13 L1:S1 D1268:S65403 AA10:AE12 Z1:AC1 AA3:AC12 Z1261:AB1261 Z1256:AB1258 U39:AE39 U109:AE110 U338:AE339 U325:AE325 U347:AE347 U342:AE345 U352:AE352 U584:AE584 U706:AE707 U703:AE703 U663:AE666 U660:AE660 U656:AE658 U804:AE804 U798:AE798 U766:AE766 U761:AE761 U733:AE736 U828:AE835 U930:AE930 U915:AE917 U911:AE911 U875:AE875 U858:AE860 U989:AE1007 U987:AE987 Z1041:AE1048 U1037:AE1039 U1009:AE1009 U16:AF37 U1266:AF1266 Z1259:AF1259 Z1262:AF1263 Z1255:AF1255 U439:AF439 U309:AF309 P973:AB973 U41:AE57 U387:AF387 U587:AF590 D1164:AF1164 U1166:AF1166 U13:AE14 Z1260:AG1260 U1268:AE65403 I1139:AG1139 I1148:AG1148 I1156:AG1156 D15:AG15 D40:AG40 D58:AG58 D133:AG133 D310:AG310 D332:AG332 D354:AG354 D386:AG386 D440:AG440 D462:AG462 D568:AG568 D586:AG586 D591:AG591 D967:AG967 D974:AG974 D1049:AG1049 D1051:AG1051 D1092:AG1092 D1163:AG1163 D1167:AG1167 D1251:AG1251 D1177:AG1177 D1254:AG1254 D1165:AG1165 U100:AE101 U122:AE123 U1050:AF1050 R38:AF38 R1267:AE1267 X1248:AF1249 Z1174:AE1175 Z1176:AF1176">
    <cfRule type="cellIs" dxfId="192" priority="1130" stopIfTrue="1" operator="lessThan">
      <formula>0</formula>
    </cfRule>
  </conditionalFormatting>
  <conditionalFormatting sqref="AF41:AF57">
    <cfRule type="cellIs" dxfId="191" priority="1088" stopIfTrue="1" operator="lessThan">
      <formula>0</formula>
    </cfRule>
  </conditionalFormatting>
  <conditionalFormatting sqref="L1250 P1250 D1250:H1250 S1250 Y1250 AA1250 Y1178 S1178 AA1178 L1178 D1178:H1178 P1178">
    <cfRule type="cellIs" dxfId="190" priority="1086" stopIfTrue="1" operator="lessThan">
      <formula>0</formula>
    </cfRule>
  </conditionalFormatting>
  <conditionalFormatting sqref="AC973:AF973">
    <cfRule type="cellIs" dxfId="189" priority="1085" stopIfTrue="1" operator="lessThan">
      <formula>0</formula>
    </cfRule>
  </conditionalFormatting>
  <conditionalFormatting sqref="AF1247 J1247:K1247 R1247 N1247:O1247">
    <cfRule type="cellIs" dxfId="188" priority="1077" stopIfTrue="1" operator="lessThan">
      <formula>0</formula>
    </cfRule>
  </conditionalFormatting>
  <conditionalFormatting sqref="AB1247:AE1247 Z1247 U1247:X1247 U1248:W1249">
    <cfRule type="cellIs" dxfId="187" priority="1076" stopIfTrue="1" operator="lessThan">
      <formula>0</formula>
    </cfRule>
  </conditionalFormatting>
  <conditionalFormatting sqref="J1173:J1175">
    <cfRule type="cellIs" dxfId="186" priority="1067" stopIfTrue="1" operator="lessThan">
      <formula>0</formula>
    </cfRule>
  </conditionalFormatting>
  <conditionalFormatting sqref="K1172">
    <cfRule type="cellIs" dxfId="185" priority="1072" stopIfTrue="1" operator="lessThan">
      <formula>0</formula>
    </cfRule>
  </conditionalFormatting>
  <conditionalFormatting sqref="D1172:H1172">
    <cfRule type="cellIs" dxfId="184" priority="1071" stopIfTrue="1" operator="lessThan">
      <formula>0</formula>
    </cfRule>
  </conditionalFormatting>
  <conditionalFormatting sqref="K1173:K1175 I1173:I1175">
    <cfRule type="cellIs" dxfId="183" priority="1070" stopIfTrue="1" operator="lessThan">
      <formula>0</formula>
    </cfRule>
  </conditionalFormatting>
  <conditionalFormatting sqref="J95:K103 Z95:Z99 Z102:Z103 U95:X99 U102:X103 AB95:AE99 AB102:AE103 R95:R103 N95:O103 AF95:AF103">
    <cfRule type="cellIs" dxfId="182" priority="1061" stopIfTrue="1" operator="lessThan">
      <formula>0</formula>
    </cfRule>
  </conditionalFormatting>
  <conditionalFormatting sqref="J115:K116 Z115:Z116 U115:X116 R115:R116 N115:O116 AB115:AF116">
    <cfRule type="cellIs" dxfId="181" priority="1060" stopIfTrue="1" operator="lessThan">
      <formula>0</formula>
    </cfRule>
  </conditionalFormatting>
  <conditionalFormatting sqref="J122:K125 Z124:Z125 U124:X125 AB124:AE125 AF122:AF125 R122:R125 N122:O125">
    <cfRule type="cellIs" dxfId="180" priority="1059" stopIfTrue="1" operator="lessThan">
      <formula>0</formula>
    </cfRule>
  </conditionalFormatting>
  <conditionalFormatting sqref="R438 U438:X438 Z438 J438:K438 N438:O438 AB438:AF438">
    <cfRule type="cellIs" dxfId="179" priority="1057" stopIfTrue="1" operator="lessThan">
      <formula>0</formula>
    </cfRule>
  </conditionalFormatting>
  <conditionalFormatting sqref="R435:R437 U435:X437 Z435:Z437 J435:K437 N435:O437 AB435:AF437">
    <cfRule type="cellIs" dxfId="178" priority="1056" stopIfTrue="1" operator="lessThan">
      <formula>0</formula>
    </cfRule>
  </conditionalFormatting>
  <conditionalFormatting sqref="R432:R434 U432:X434 Z432:Z434 J432:K434 N432:O434 AB432:AF434">
    <cfRule type="cellIs" dxfId="177" priority="1055" stopIfTrue="1" operator="lessThan">
      <formula>0</formula>
    </cfRule>
  </conditionalFormatting>
  <conditionalFormatting sqref="R429:R431 U429:X431 Z429:Z431 J429:K431 N429:O431 AB429:AF431">
    <cfRule type="cellIs" dxfId="176" priority="1054" stopIfTrue="1" operator="lessThan">
      <formula>0</formula>
    </cfRule>
  </conditionalFormatting>
  <conditionalFormatting sqref="R418:R420 U418:X420 Z418:Z420 J418:K420 N418:O420 AB418:AF420">
    <cfRule type="cellIs" dxfId="175" priority="1053" stopIfTrue="1" operator="lessThan">
      <formula>0</formula>
    </cfRule>
  </conditionalFormatting>
  <conditionalFormatting sqref="R415:R417 U415:X417 Z415:Z417 J415:K417 N415:O417 AB415:AF417">
    <cfRule type="cellIs" dxfId="174" priority="1052" stopIfTrue="1" operator="lessThan">
      <formula>0</formula>
    </cfRule>
  </conditionalFormatting>
  <conditionalFormatting sqref="R412:R414 U412:X414 Z412:Z414 J412:K414 N412:O414 AB412:AF414">
    <cfRule type="cellIs" dxfId="173" priority="1051" stopIfTrue="1" operator="lessThan">
      <formula>0</formula>
    </cfRule>
  </conditionalFormatting>
  <conditionalFormatting sqref="R409:R411 U409:X411 Z409:Z411 J409:K411 N409:O411 AB409:AF411">
    <cfRule type="cellIs" dxfId="172" priority="1050" stopIfTrue="1" operator="lessThan">
      <formula>0</formula>
    </cfRule>
  </conditionalFormatting>
  <conditionalFormatting sqref="R406:R408 U406:X408 Z406:Z408 J406:K408 N406:O408 AB406:AF408">
    <cfRule type="cellIs" dxfId="171" priority="1049" stopIfTrue="1" operator="lessThan">
      <formula>0</formula>
    </cfRule>
  </conditionalFormatting>
  <conditionalFormatting sqref="R403:R405 U403:X405 Z403:Z405 J403:K405 N403:O405 AB403:AF405">
    <cfRule type="cellIs" dxfId="170" priority="1048" stopIfTrue="1" operator="lessThan">
      <formula>0</formula>
    </cfRule>
  </conditionalFormatting>
  <conditionalFormatting sqref="R400:R402 U400:X402 Z400:Z402 J400:K402 N400:O402 AB400:AF402">
    <cfRule type="cellIs" dxfId="169" priority="1047" stopIfTrue="1" operator="lessThan">
      <formula>0</formula>
    </cfRule>
  </conditionalFormatting>
  <conditionalFormatting sqref="R397:R399 U397:X399 Z397:Z399 J397:K399 N397:O399 AB397:AF399">
    <cfRule type="cellIs" dxfId="168" priority="1046" stopIfTrue="1" operator="lessThan">
      <formula>0</formula>
    </cfRule>
  </conditionalFormatting>
  <conditionalFormatting sqref="R394:R396 U394:X396 Z394:Z396 J394:K396 N394:O396 AB394:AF396">
    <cfRule type="cellIs" dxfId="167" priority="1045" stopIfTrue="1" operator="lessThan">
      <formula>0</formula>
    </cfRule>
  </conditionalFormatting>
  <conditionalFormatting sqref="R391:R393 U391:X393 Z391:Z393 J391:K393 N391:O393 AB391:AF393">
    <cfRule type="cellIs" dxfId="166" priority="1044" stopIfTrue="1" operator="lessThan">
      <formula>0</formula>
    </cfRule>
  </conditionalFormatting>
  <conditionalFormatting sqref="U388:X390 Z388:Z390 J388:K390 I389:I390 N388:O390 M389:M390 R388:R390 Q389:Q390 I392 I396:I438 M392 M396:M438 Q392 Q396:Q438 AB388:AF390">
    <cfRule type="cellIs" dxfId="165" priority="1043" stopIfTrue="1" operator="lessThan">
      <formula>0</formula>
    </cfRule>
  </conditionalFormatting>
  <conditionalFormatting sqref="R427:R428 U427:X428 Z427:Z428 J427:K428 N427:O428 AB427:AF428">
    <cfRule type="cellIs" dxfId="164" priority="1042" stopIfTrue="1" operator="lessThan">
      <formula>0</formula>
    </cfRule>
  </conditionalFormatting>
  <conditionalFormatting sqref="R424:R426 U424:X426 Z424:Z426 J424:K426 N424:O426 AB424:AF426">
    <cfRule type="cellIs" dxfId="163" priority="1041" stopIfTrue="1" operator="lessThan">
      <formula>0</formula>
    </cfRule>
  </conditionalFormatting>
  <conditionalFormatting sqref="R421:R423 U421:X423 Z421:Z423 J421:K423 N421:O423 AB421:AF423">
    <cfRule type="cellIs" dxfId="162" priority="1040" stopIfTrue="1" operator="lessThan">
      <formula>0</formula>
    </cfRule>
  </conditionalFormatting>
  <conditionalFormatting sqref="H439:J439">
    <cfRule type="cellIs" dxfId="161" priority="1039" stopIfTrue="1" operator="lessThan">
      <formula>0</formula>
    </cfRule>
  </conditionalFormatting>
  <conditionalFormatting sqref="L439:N439">
    <cfRule type="cellIs" dxfId="160" priority="1038" stopIfTrue="1" operator="lessThan">
      <formula>0</formula>
    </cfRule>
  </conditionalFormatting>
  <conditionalFormatting sqref="P439:R439">
    <cfRule type="cellIs" dxfId="159" priority="1037" stopIfTrue="1" operator="lessThan">
      <formula>0</formula>
    </cfRule>
  </conditionalFormatting>
  <conditionalFormatting sqref="R300:R308 U300:X308 Z300:Z308 J300:K308 N300:O308 AB300:AF308">
    <cfRule type="cellIs" dxfId="158" priority="1035" stopIfTrue="1" operator="lessThan">
      <formula>0</formula>
    </cfRule>
  </conditionalFormatting>
  <conditionalFormatting sqref="R284:R292 U284:X292 Z284:Z292 J284:K292 N284:O292 AB284:AF292">
    <cfRule type="cellIs" dxfId="157" priority="1033" stopIfTrue="1" operator="lessThan">
      <formula>0</formula>
    </cfRule>
  </conditionalFormatting>
  <conditionalFormatting sqref="R276:R283 U276:X283 Z276:Z283 J276:K283 N276:O283 AB276:AF283">
    <cfRule type="cellIs" dxfId="156" priority="1032" stopIfTrue="1" operator="lessThan">
      <formula>0</formula>
    </cfRule>
  </conditionalFormatting>
  <conditionalFormatting sqref="R212:R215 U212:X215 Z212:Z215 J212:K215 N212:O215 N271:O275 J271:K275 Z271:Z275 U271:X275 R271:R275 AB271:AF275 AB212:AF215">
    <cfRule type="cellIs" dxfId="155" priority="1031" stopIfTrue="1" operator="lessThan">
      <formula>0</formula>
    </cfRule>
  </conditionalFormatting>
  <conditionalFormatting sqref="R204:R211 U204:X211 Z204:Z211 J204:K211 N204:O211 AB204:AF211">
    <cfRule type="cellIs" dxfId="154" priority="1030" stopIfTrue="1" operator="lessThan">
      <formula>0</formula>
    </cfRule>
  </conditionalFormatting>
  <conditionalFormatting sqref="R195:R203 U195:X203 Z195:Z203 J195:K203 N195:O203 AB195:AF203">
    <cfRule type="cellIs" dxfId="153" priority="1029" stopIfTrue="1" operator="lessThan">
      <formula>0</formula>
    </cfRule>
  </conditionalFormatting>
  <conditionalFormatting sqref="R187:R194 U187:X194 Z187:Z194 J187:K194 N187:O194 AB187:AF194">
    <cfRule type="cellIs" dxfId="152" priority="1028" stopIfTrue="1" operator="lessThan">
      <formula>0</formula>
    </cfRule>
  </conditionalFormatting>
  <conditionalFormatting sqref="R178:R186 U178:X186 Z178:Z186 J178:K186 N178:O186 AB178:AF186">
    <cfRule type="cellIs" dxfId="151" priority="1027" stopIfTrue="1" operator="lessThan">
      <formula>0</formula>
    </cfRule>
  </conditionalFormatting>
  <conditionalFormatting sqref="R170:R177 U170:X177 Z170:Z177 J170:K177 N170:O177 AB170:AF177">
    <cfRule type="cellIs" dxfId="150" priority="1026" stopIfTrue="1" operator="lessThan">
      <formula>0</formula>
    </cfRule>
  </conditionalFormatting>
  <conditionalFormatting sqref="R161:R169 U161:X169 Z161:Z169 J161:K169 N161:O169 AB161:AF169">
    <cfRule type="cellIs" dxfId="149" priority="1025" stopIfTrue="1" operator="lessThan">
      <formula>0</formula>
    </cfRule>
  </conditionalFormatting>
  <conditionalFormatting sqref="R153:R160 U153:X160 Z153:Z160 J153:K160 N153:O160 AB153:AF160">
    <cfRule type="cellIs" dxfId="148" priority="1024" stopIfTrue="1" operator="lessThan">
      <formula>0</formula>
    </cfRule>
  </conditionalFormatting>
  <conditionalFormatting sqref="R144:R152 U144:X152 Z144:Z152 J144:K152 N144:O152 AB144:AF152">
    <cfRule type="cellIs" dxfId="147" priority="1023" stopIfTrue="1" operator="lessThan">
      <formula>0</formula>
    </cfRule>
  </conditionalFormatting>
  <conditionalFormatting sqref="R136:R143 U136:X143 Z136:Z143 J136:K143 N136:O143 AB136:AF143">
    <cfRule type="cellIs" dxfId="146" priority="1022" stopIfTrue="1" operator="lessThan">
      <formula>0</formula>
    </cfRule>
  </conditionalFormatting>
  <conditionalFormatting sqref="R263:R270 U263:X270 Z263:Z270 J263:K270 N263:O270 AB263:AF270">
    <cfRule type="cellIs" dxfId="145" priority="1021" stopIfTrue="1" operator="lessThan">
      <formula>0</formula>
    </cfRule>
  </conditionalFormatting>
  <conditionalFormatting sqref="R255:R262 U255:X262 Z255:Z262 J255:K262 N255:O262 AB255:AF262">
    <cfRule type="cellIs" dxfId="144" priority="1020" stopIfTrue="1" operator="lessThan">
      <formula>0</formula>
    </cfRule>
  </conditionalFormatting>
  <conditionalFormatting sqref="R246:R254 U246:X254 Z246:Z254 J246:K254 N246:O254 AB246:AF254">
    <cfRule type="cellIs" dxfId="143" priority="1019" stopIfTrue="1" operator="lessThan">
      <formula>0</formula>
    </cfRule>
  </conditionalFormatting>
  <conditionalFormatting sqref="R238:R245 U238:X245 Z238:Z245 J238:K245 N238:O245 AB238:AF245">
    <cfRule type="cellIs" dxfId="142" priority="1018" stopIfTrue="1" operator="lessThan">
      <formula>0</formula>
    </cfRule>
  </conditionalFormatting>
  <conditionalFormatting sqref="R229:R237 U229:X237 Z229:Z237 J229:K237 N229:O237 AB229:AF237">
    <cfRule type="cellIs" dxfId="141" priority="1017" stopIfTrue="1" operator="lessThan">
      <formula>0</formula>
    </cfRule>
  </conditionalFormatting>
  <conditionalFormatting sqref="R221:R228 U221:X228 Z221:Z228 J221:K228 N221:O228 AB221:AF228">
    <cfRule type="cellIs" dxfId="140" priority="1016" stopIfTrue="1" operator="lessThan">
      <formula>0</formula>
    </cfRule>
  </conditionalFormatting>
  <conditionalFormatting sqref="N216:O220 J216:K220 Z216:Z220 U216:X220 R216:R220 AB216:AF220">
    <cfRule type="cellIs" dxfId="139" priority="1015" stopIfTrue="1" operator="lessThan">
      <formula>0</formula>
    </cfRule>
  </conditionalFormatting>
  <conditionalFormatting sqref="D1138:H1138 L1138 P1138 S1138 Y1138 D1093:H1093 L1093 S1093 Y1093 AA1093 AA1138:AF1138">
    <cfRule type="cellIs" dxfId="138" priority="1014" stopIfTrue="1" operator="lessThan">
      <formula>0</formula>
    </cfRule>
  </conditionalFormatting>
  <conditionalFormatting sqref="P1147:P1148 S1147:S1148 Y1147:Y1148 AA1147:AA1148 D1147:H1147 L1147:L1148 AA1140 Y1140 S1140 P1140 L1140 D1140:H1140 E1148:H1148">
    <cfRule type="cellIs" dxfId="137" priority="1013" stopIfTrue="1" operator="lessThan">
      <formula>0</formula>
    </cfRule>
  </conditionalFormatting>
  <conditionalFormatting sqref="P1155 S1155 Y1155 AA1155 D1155:H1155 L1155 AA1149 Y1149 S1149 P1149 L1149 D1149:H1149">
    <cfRule type="cellIs" dxfId="136" priority="1012" stopIfTrue="1" operator="lessThan">
      <formula>0</formula>
    </cfRule>
  </conditionalFormatting>
  <conditionalFormatting sqref="D1253">
    <cfRule type="cellIs" dxfId="135" priority="955" stopIfTrue="1" operator="lessThan">
      <formula>0</formula>
    </cfRule>
  </conditionalFormatting>
  <conditionalFormatting sqref="Z1172 U1172:X1172 Q1172:R1172 M1172:O1172 AB1172:AF1172">
    <cfRule type="cellIs" dxfId="134" priority="1009" stopIfTrue="1" operator="lessThan">
      <formula>0</formula>
    </cfRule>
  </conditionalFormatting>
  <conditionalFormatting sqref="I1172:J1172">
    <cfRule type="cellIs" dxfId="133" priority="1010" stopIfTrue="1" operator="lessThan">
      <formula>0</formula>
    </cfRule>
  </conditionalFormatting>
  <conditionalFormatting sqref="D1050:S1050">
    <cfRule type="cellIs" dxfId="132" priority="1007" stopIfTrue="1" operator="lessThan">
      <formula>0</formula>
    </cfRule>
  </conditionalFormatting>
  <conditionalFormatting sqref="D31:S31">
    <cfRule type="cellIs" dxfId="131" priority="1005" stopIfTrue="1" operator="lessThan">
      <formula>0</formula>
    </cfRule>
  </conditionalFormatting>
  <conditionalFormatting sqref="P39:R39">
    <cfRule type="cellIs" dxfId="130" priority="1000" stopIfTrue="1" operator="lessThan">
      <formula>0</formula>
    </cfRule>
  </conditionalFormatting>
  <conditionalFormatting sqref="H39:J39">
    <cfRule type="cellIs" dxfId="129" priority="1002" stopIfTrue="1" operator="lessThan">
      <formula>0</formula>
    </cfRule>
  </conditionalFormatting>
  <conditionalFormatting sqref="L39:N39">
    <cfRule type="cellIs" dxfId="128" priority="1001" stopIfTrue="1" operator="lessThan">
      <formula>0</formula>
    </cfRule>
  </conditionalFormatting>
  <conditionalFormatting sqref="AF39">
    <cfRule type="cellIs" dxfId="127" priority="999" stopIfTrue="1" operator="lessThan">
      <formula>0</formula>
    </cfRule>
  </conditionalFormatting>
  <conditionalFormatting sqref="S14 D14:G14 K14 O14">
    <cfRule type="cellIs" dxfId="126" priority="994" stopIfTrue="1" operator="lessThan">
      <formula>0</formula>
    </cfRule>
  </conditionalFormatting>
  <conditionalFormatting sqref="P14:R14">
    <cfRule type="cellIs" dxfId="125" priority="991" stopIfTrue="1" operator="lessThan">
      <formula>0</formula>
    </cfRule>
  </conditionalFormatting>
  <conditionalFormatting sqref="H14:J14">
    <cfRule type="cellIs" dxfId="124" priority="993" stopIfTrue="1" operator="lessThan">
      <formula>0</formula>
    </cfRule>
  </conditionalFormatting>
  <conditionalFormatting sqref="L14:N14">
    <cfRule type="cellIs" dxfId="123" priority="992" stopIfTrue="1" operator="lessThan">
      <formula>0</formula>
    </cfRule>
  </conditionalFormatting>
  <conditionalFormatting sqref="AF14">
    <cfRule type="cellIs" dxfId="122" priority="990" stopIfTrue="1" operator="lessThan">
      <formula>0</formula>
    </cfRule>
  </conditionalFormatting>
  <conditionalFormatting sqref="AA1169:AE1169">
    <cfRule type="cellIs" dxfId="121" priority="989" stopIfTrue="1" operator="lessThan">
      <formula>0</formula>
    </cfRule>
  </conditionalFormatting>
  <conditionalFormatting sqref="AC1256:AC1258">
    <cfRule type="cellIs" dxfId="120" priority="985" stopIfTrue="1" operator="lessThan">
      <formula>0</formula>
    </cfRule>
  </conditionalFormatting>
  <conditionalFormatting sqref="AC1261">
    <cfRule type="cellIs" dxfId="119" priority="984" stopIfTrue="1" operator="lessThan">
      <formula>0</formula>
    </cfRule>
  </conditionalFormatting>
  <conditionalFormatting sqref="AF1256:AF1258">
    <cfRule type="cellIs" dxfId="118" priority="983" stopIfTrue="1" operator="lessThan">
      <formula>0</formula>
    </cfRule>
  </conditionalFormatting>
  <conditionalFormatting sqref="AF1261">
    <cfRule type="cellIs" dxfId="117" priority="982" stopIfTrue="1" operator="lessThan">
      <formula>0</formula>
    </cfRule>
  </conditionalFormatting>
  <conditionalFormatting sqref="E1253:G1253 Y1253 S1253 O1253 K1253">
    <cfRule type="cellIs" dxfId="116" priority="975" stopIfTrue="1" operator="lessThan">
      <formula>0</formula>
    </cfRule>
  </conditionalFormatting>
  <conditionalFormatting sqref="AA1253:AE1253">
    <cfRule type="cellIs" dxfId="115" priority="974" stopIfTrue="1" operator="lessThan">
      <formula>0</formula>
    </cfRule>
  </conditionalFormatting>
  <conditionalFormatting sqref="R1265:S1265 U1265:Z1265">
    <cfRule type="cellIs" dxfId="114" priority="973" stopIfTrue="1" operator="lessThan">
      <formula>0</formula>
    </cfRule>
  </conditionalFormatting>
  <conditionalFormatting sqref="AA1265:AF1265">
    <cfRule type="cellIs" dxfId="113" priority="972" stopIfTrue="1" operator="lessThan">
      <formula>0</formula>
    </cfRule>
  </conditionalFormatting>
  <conditionalFormatting sqref="Z1253">
    <cfRule type="cellIs" dxfId="112" priority="961" stopIfTrue="1" operator="lessThan">
      <formula>0</formula>
    </cfRule>
  </conditionalFormatting>
  <conditionalFormatting sqref="U1253:X1253">
    <cfRule type="cellIs" dxfId="111" priority="960" stopIfTrue="1" operator="lessThan">
      <formula>0</formula>
    </cfRule>
  </conditionalFormatting>
  <conditionalFormatting sqref="P1253:R1253">
    <cfRule type="cellIs" dxfId="110" priority="959" stopIfTrue="1" operator="lessThan">
      <formula>0</formula>
    </cfRule>
  </conditionalFormatting>
  <conditionalFormatting sqref="N1253">
    <cfRule type="cellIs" dxfId="109" priority="958" stopIfTrue="1" operator="lessThan">
      <formula>0</formula>
    </cfRule>
  </conditionalFormatting>
  <conditionalFormatting sqref="L1253:M1253">
    <cfRule type="cellIs" dxfId="108" priority="957" stopIfTrue="1" operator="lessThan">
      <formula>0</formula>
    </cfRule>
  </conditionalFormatting>
  <conditionalFormatting sqref="H1253:J1253">
    <cfRule type="cellIs" dxfId="107" priority="956" stopIfTrue="1" operator="lessThan">
      <formula>0</formula>
    </cfRule>
  </conditionalFormatting>
  <conditionalFormatting sqref="AG117:AG121 AG293:AG299 AG32:AG37 AG1140:AG1155 AG1170:AG1171 AG1266 AG1259 AG1262:AG1263 AG1255 AG1250:AG1251 AG16:AG26 AG28:AG30 AG387 AG587:AG590 AG1093:AG1137 AG1157:AG1162 AG59:AG94 AG104:AG114 AG134:AG135 AG311:AG331 AG333:AG353 AG355:AG385 AG441:AG461 AG569:AG585 AG975:AG1048 AG1178:AG1246 AG126:AG132 AG463:AG567 AG592:AG972 AG1052:AG1091 AG309 AG439 AG1164 AG1166 AG5:AG13">
    <cfRule type="cellIs" dxfId="106" priority="879" stopIfTrue="1" operator="lessThan">
      <formula>0</formula>
    </cfRule>
  </conditionalFormatting>
  <conditionalFormatting sqref="AG41:AG57">
    <cfRule type="cellIs" dxfId="105" priority="878" stopIfTrue="1" operator="lessThan">
      <formula>0</formula>
    </cfRule>
  </conditionalFormatting>
  <conditionalFormatting sqref="AG973">
    <cfRule type="cellIs" dxfId="104" priority="877" stopIfTrue="1" operator="lessThan">
      <formula>0</formula>
    </cfRule>
  </conditionalFormatting>
  <conditionalFormatting sqref="AG1247:AG1249">
    <cfRule type="cellIs" dxfId="103" priority="876" stopIfTrue="1" operator="lessThan">
      <formula>0</formula>
    </cfRule>
  </conditionalFormatting>
  <conditionalFormatting sqref="AG95:AG103">
    <cfRule type="cellIs" dxfId="102" priority="873" stopIfTrue="1" operator="lessThan">
      <formula>0</formula>
    </cfRule>
  </conditionalFormatting>
  <conditionalFormatting sqref="AG432:AG434">
    <cfRule type="cellIs" dxfId="101" priority="868" stopIfTrue="1" operator="lessThan">
      <formula>0</formula>
    </cfRule>
  </conditionalFormatting>
  <conditionalFormatting sqref="AG115:AG116">
    <cfRule type="cellIs" dxfId="100" priority="872" stopIfTrue="1" operator="lessThan">
      <formula>0</formula>
    </cfRule>
  </conditionalFormatting>
  <conditionalFormatting sqref="AG122:AG125">
    <cfRule type="cellIs" dxfId="99" priority="871" stopIfTrue="1" operator="lessThan">
      <formula>0</formula>
    </cfRule>
  </conditionalFormatting>
  <conditionalFormatting sqref="AG438">
    <cfRule type="cellIs" dxfId="98" priority="870" stopIfTrue="1" operator="lessThan">
      <formula>0</formula>
    </cfRule>
  </conditionalFormatting>
  <conditionalFormatting sqref="AG435:AG437">
    <cfRule type="cellIs" dxfId="97" priority="869" stopIfTrue="1" operator="lessThan">
      <formula>0</formula>
    </cfRule>
  </conditionalFormatting>
  <conditionalFormatting sqref="AG429:AG431">
    <cfRule type="cellIs" dxfId="96" priority="867" stopIfTrue="1" operator="lessThan">
      <formula>0</formula>
    </cfRule>
  </conditionalFormatting>
  <conditionalFormatting sqref="AG418:AG420">
    <cfRule type="cellIs" dxfId="95" priority="866" stopIfTrue="1" operator="lessThan">
      <formula>0</formula>
    </cfRule>
  </conditionalFormatting>
  <conditionalFormatting sqref="AG415:AG417">
    <cfRule type="cellIs" dxfId="94" priority="865" stopIfTrue="1" operator="lessThan">
      <formula>0</formula>
    </cfRule>
  </conditionalFormatting>
  <conditionalFormatting sqref="AG412:AG414">
    <cfRule type="cellIs" dxfId="93" priority="864" stopIfTrue="1" operator="lessThan">
      <formula>0</formula>
    </cfRule>
  </conditionalFormatting>
  <conditionalFormatting sqref="AG409:AG411">
    <cfRule type="cellIs" dxfId="92" priority="863" stopIfTrue="1" operator="lessThan">
      <formula>0</formula>
    </cfRule>
  </conditionalFormatting>
  <conditionalFormatting sqref="AG406:AG408">
    <cfRule type="cellIs" dxfId="91" priority="862" stopIfTrue="1" operator="lessThan">
      <formula>0</formula>
    </cfRule>
  </conditionalFormatting>
  <conditionalFormatting sqref="AG403:AG405">
    <cfRule type="cellIs" dxfId="90" priority="861" stopIfTrue="1" operator="lessThan">
      <formula>0</formula>
    </cfRule>
  </conditionalFormatting>
  <conditionalFormatting sqref="AG400:AG402">
    <cfRule type="cellIs" dxfId="89" priority="860" stopIfTrue="1" operator="lessThan">
      <formula>0</formula>
    </cfRule>
  </conditionalFormatting>
  <conditionalFormatting sqref="AG397:AG399">
    <cfRule type="cellIs" dxfId="88" priority="859" stopIfTrue="1" operator="lessThan">
      <formula>0</formula>
    </cfRule>
  </conditionalFormatting>
  <conditionalFormatting sqref="AG394:AG396">
    <cfRule type="cellIs" dxfId="87" priority="858" stopIfTrue="1" operator="lessThan">
      <formula>0</formula>
    </cfRule>
  </conditionalFormatting>
  <conditionalFormatting sqref="AG391:AG393">
    <cfRule type="cellIs" dxfId="86" priority="857" stopIfTrue="1" operator="lessThan">
      <formula>0</formula>
    </cfRule>
  </conditionalFormatting>
  <conditionalFormatting sqref="AG388:AG390">
    <cfRule type="cellIs" dxfId="85" priority="856" stopIfTrue="1" operator="lessThan">
      <formula>0</formula>
    </cfRule>
  </conditionalFormatting>
  <conditionalFormatting sqref="AG427:AG428">
    <cfRule type="cellIs" dxfId="84" priority="855" stopIfTrue="1" operator="lessThan">
      <formula>0</formula>
    </cfRule>
  </conditionalFormatting>
  <conditionalFormatting sqref="AG424:AG426">
    <cfRule type="cellIs" dxfId="83" priority="854" stopIfTrue="1" operator="lessThan">
      <formula>0</formula>
    </cfRule>
  </conditionalFormatting>
  <conditionalFormatting sqref="AG421:AG423">
    <cfRule type="cellIs" dxfId="82" priority="853" stopIfTrue="1" operator="lessThan">
      <formula>0</formula>
    </cfRule>
  </conditionalFormatting>
  <conditionalFormatting sqref="AG300:AG308">
    <cfRule type="cellIs" dxfId="81" priority="852" stopIfTrue="1" operator="lessThan">
      <formula>0</formula>
    </cfRule>
  </conditionalFormatting>
  <conditionalFormatting sqref="AG284:AG292">
    <cfRule type="cellIs" dxfId="80" priority="851" stopIfTrue="1" operator="lessThan">
      <formula>0</formula>
    </cfRule>
  </conditionalFormatting>
  <conditionalFormatting sqref="AG276:AG283">
    <cfRule type="cellIs" dxfId="79" priority="850" stopIfTrue="1" operator="lessThan">
      <formula>0</formula>
    </cfRule>
  </conditionalFormatting>
  <conditionalFormatting sqref="AG212:AG215 AG271:AG275">
    <cfRule type="cellIs" dxfId="78" priority="849" stopIfTrue="1" operator="lessThan">
      <formula>0</formula>
    </cfRule>
  </conditionalFormatting>
  <conditionalFormatting sqref="AG204:AG211">
    <cfRule type="cellIs" dxfId="77" priority="848" stopIfTrue="1" operator="lessThan">
      <formula>0</formula>
    </cfRule>
  </conditionalFormatting>
  <conditionalFormatting sqref="AG195:AG203">
    <cfRule type="cellIs" dxfId="76" priority="847" stopIfTrue="1" operator="lessThan">
      <formula>0</formula>
    </cfRule>
  </conditionalFormatting>
  <conditionalFormatting sqref="AG187:AG194">
    <cfRule type="cellIs" dxfId="75" priority="846" stopIfTrue="1" operator="lessThan">
      <formula>0</formula>
    </cfRule>
  </conditionalFormatting>
  <conditionalFormatting sqref="AG178:AG186">
    <cfRule type="cellIs" dxfId="74" priority="845" stopIfTrue="1" operator="lessThan">
      <formula>0</formula>
    </cfRule>
  </conditionalFormatting>
  <conditionalFormatting sqref="AG170:AG177">
    <cfRule type="cellIs" dxfId="73" priority="844" stopIfTrue="1" operator="lessThan">
      <formula>0</formula>
    </cfRule>
  </conditionalFormatting>
  <conditionalFormatting sqref="AG161:AG169">
    <cfRule type="cellIs" dxfId="72" priority="843" stopIfTrue="1" operator="lessThan">
      <formula>0</formula>
    </cfRule>
  </conditionalFormatting>
  <conditionalFormatting sqref="AG153:AG160">
    <cfRule type="cellIs" dxfId="71" priority="842" stopIfTrue="1" operator="lessThan">
      <formula>0</formula>
    </cfRule>
  </conditionalFormatting>
  <conditionalFormatting sqref="AG144:AG152">
    <cfRule type="cellIs" dxfId="70" priority="841" stopIfTrue="1" operator="lessThan">
      <formula>0</formula>
    </cfRule>
  </conditionalFormatting>
  <conditionalFormatting sqref="AG136:AG143">
    <cfRule type="cellIs" dxfId="69" priority="840" stopIfTrue="1" operator="lessThan">
      <formula>0</formula>
    </cfRule>
  </conditionalFormatting>
  <conditionalFormatting sqref="AG263:AG270">
    <cfRule type="cellIs" dxfId="68" priority="839" stopIfTrue="1" operator="lessThan">
      <formula>0</formula>
    </cfRule>
  </conditionalFormatting>
  <conditionalFormatting sqref="AG255:AG262">
    <cfRule type="cellIs" dxfId="67" priority="838" stopIfTrue="1" operator="lessThan">
      <formula>0</formula>
    </cfRule>
  </conditionalFormatting>
  <conditionalFormatting sqref="AG246:AG254">
    <cfRule type="cellIs" dxfId="66" priority="837" stopIfTrue="1" operator="lessThan">
      <formula>0</formula>
    </cfRule>
  </conditionalFormatting>
  <conditionalFormatting sqref="AG238:AG245">
    <cfRule type="cellIs" dxfId="65" priority="836" stopIfTrue="1" operator="lessThan">
      <formula>0</formula>
    </cfRule>
  </conditionalFormatting>
  <conditionalFormatting sqref="AG229:AG237">
    <cfRule type="cellIs" dxfId="64" priority="835" stopIfTrue="1" operator="lessThan">
      <formula>0</formula>
    </cfRule>
  </conditionalFormatting>
  <conditionalFormatting sqref="AG221:AG228">
    <cfRule type="cellIs" dxfId="63" priority="834" stopIfTrue="1" operator="lessThan">
      <formula>0</formula>
    </cfRule>
  </conditionalFormatting>
  <conditionalFormatting sqref="AG216:AG220">
    <cfRule type="cellIs" dxfId="62" priority="833" stopIfTrue="1" operator="lessThan">
      <formula>0</formula>
    </cfRule>
  </conditionalFormatting>
  <conditionalFormatting sqref="AG1138">
    <cfRule type="cellIs" dxfId="61" priority="832" stopIfTrue="1" operator="lessThan">
      <formula>0</formula>
    </cfRule>
  </conditionalFormatting>
  <conditionalFormatting sqref="AG1172">
    <cfRule type="cellIs" dxfId="60" priority="830" stopIfTrue="1" operator="lessThan">
      <formula>0</formula>
    </cfRule>
  </conditionalFormatting>
  <conditionalFormatting sqref="AG1050">
    <cfRule type="cellIs" dxfId="59" priority="829" stopIfTrue="1" operator="lessThan">
      <formula>0</formula>
    </cfRule>
  </conditionalFormatting>
  <conditionalFormatting sqref="AG31">
    <cfRule type="cellIs" dxfId="58" priority="828" stopIfTrue="1" operator="lessThan">
      <formula>0</formula>
    </cfRule>
  </conditionalFormatting>
  <conditionalFormatting sqref="AG38">
    <cfRule type="cellIs" dxfId="57" priority="827" stopIfTrue="1" operator="lessThan">
      <formula>0</formula>
    </cfRule>
  </conditionalFormatting>
  <conditionalFormatting sqref="AG39">
    <cfRule type="cellIs" dxfId="56" priority="826" stopIfTrue="1" operator="lessThan">
      <formula>0</formula>
    </cfRule>
  </conditionalFormatting>
  <conditionalFormatting sqref="AG14">
    <cfRule type="cellIs" dxfId="55" priority="825" stopIfTrue="1" operator="lessThan">
      <formula>0</formula>
    </cfRule>
  </conditionalFormatting>
  <conditionalFormatting sqref="AG1256:AG1258">
    <cfRule type="cellIs" dxfId="54" priority="823" stopIfTrue="1" operator="lessThan">
      <formula>0</formula>
    </cfRule>
  </conditionalFormatting>
  <conditionalFormatting sqref="AG1261">
    <cfRule type="cellIs" dxfId="53" priority="822" stopIfTrue="1" operator="lessThan">
      <formula>0</formula>
    </cfRule>
  </conditionalFormatting>
  <conditionalFormatting sqref="AG1265">
    <cfRule type="cellIs" dxfId="52" priority="819" stopIfTrue="1" operator="lessThan">
      <formula>0</formula>
    </cfRule>
  </conditionalFormatting>
  <conditionalFormatting sqref="AG27">
    <cfRule type="cellIs" dxfId="51" priority="807" stopIfTrue="1" operator="lessThan">
      <formula>0</formula>
    </cfRule>
  </conditionalFormatting>
  <conditionalFormatting sqref="D27:T27">
    <cfRule type="cellIs" dxfId="50" priority="805" stopIfTrue="1" operator="lessThan">
      <formula>0</formula>
    </cfRule>
  </conditionalFormatting>
  <conditionalFormatting sqref="I1248">
    <cfRule type="cellIs" dxfId="49" priority="804" stopIfTrue="1" operator="lessThan">
      <formula>0</formula>
    </cfRule>
  </conditionalFormatting>
  <conditionalFormatting sqref="E1248:H1248 J1248 O1248:T1248">
    <cfRule type="cellIs" dxfId="48" priority="803" stopIfTrue="1" operator="lessThan">
      <formula>0</formula>
    </cfRule>
  </conditionalFormatting>
  <conditionalFormatting sqref="D1248">
    <cfRule type="cellIs" dxfId="47" priority="802" stopIfTrue="1" operator="lessThan">
      <formula>0</formula>
    </cfRule>
  </conditionalFormatting>
  <conditionalFormatting sqref="M1248">
    <cfRule type="cellIs" dxfId="46" priority="801" stopIfTrue="1" operator="lessThan">
      <formula>0</formula>
    </cfRule>
  </conditionalFormatting>
  <conditionalFormatting sqref="N1248 K1248:L1248">
    <cfRule type="cellIs" dxfId="45" priority="800" stopIfTrue="1" operator="lessThan">
      <formula>0</formula>
    </cfRule>
  </conditionalFormatting>
  <conditionalFormatting sqref="I1249 M1249">
    <cfRule type="cellIs" dxfId="44" priority="799" stopIfTrue="1" operator="lessThan">
      <formula>0</formula>
    </cfRule>
  </conditionalFormatting>
  <conditionalFormatting sqref="D1249:H1249 J1249:L1249 N1249:T1249">
    <cfRule type="cellIs" dxfId="43" priority="798" stopIfTrue="1" operator="lessThan">
      <formula>0</formula>
    </cfRule>
  </conditionalFormatting>
  <conditionalFormatting sqref="AD1264:AF1264">
    <cfRule type="cellIs" dxfId="42" priority="795" stopIfTrue="1" operator="lessThan">
      <formula>0</formula>
    </cfRule>
  </conditionalFormatting>
  <conditionalFormatting sqref="AA1264">
    <cfRule type="cellIs" dxfId="41" priority="796" stopIfTrue="1" operator="lessThan">
      <formula>0</formula>
    </cfRule>
  </conditionalFormatting>
  <conditionalFormatting sqref="R1264:Z1264">
    <cfRule type="cellIs" dxfId="40" priority="797" stopIfTrue="1" operator="lessThan">
      <formula>0</formula>
    </cfRule>
  </conditionalFormatting>
  <conditionalFormatting sqref="AG1264">
    <cfRule type="cellIs" dxfId="39" priority="794" stopIfTrue="1" operator="lessThan">
      <formula>0</formula>
    </cfRule>
  </conditionalFormatting>
  <conditionalFormatting sqref="AD1252:AF1252">
    <cfRule type="cellIs" dxfId="38" priority="791" stopIfTrue="1" operator="lessThan">
      <formula>0</formula>
    </cfRule>
  </conditionalFormatting>
  <conditionalFormatting sqref="AA1252">
    <cfRule type="cellIs" dxfId="37" priority="792" stopIfTrue="1" operator="lessThan">
      <formula>0</formula>
    </cfRule>
  </conditionalFormatting>
  <conditionalFormatting sqref="D1252:Z1252">
    <cfRule type="cellIs" dxfId="36" priority="793" stopIfTrue="1" operator="lessThan">
      <formula>0</formula>
    </cfRule>
  </conditionalFormatting>
  <conditionalFormatting sqref="AG1252">
    <cfRule type="cellIs" dxfId="35" priority="790" stopIfTrue="1" operator="lessThan">
      <formula>0</formula>
    </cfRule>
  </conditionalFormatting>
  <conditionalFormatting sqref="AD1168:AF1168">
    <cfRule type="cellIs" dxfId="34" priority="787" stopIfTrue="1" operator="lessThan">
      <formula>0</formula>
    </cfRule>
  </conditionalFormatting>
  <conditionalFormatting sqref="AA1168">
    <cfRule type="cellIs" dxfId="33" priority="788" stopIfTrue="1" operator="lessThan">
      <formula>0</formula>
    </cfRule>
  </conditionalFormatting>
  <conditionalFormatting sqref="D1168:Z1168">
    <cfRule type="cellIs" dxfId="32" priority="789" stopIfTrue="1" operator="lessThan">
      <formula>0</formula>
    </cfRule>
  </conditionalFormatting>
  <conditionalFormatting sqref="AG1168">
    <cfRule type="cellIs" dxfId="31" priority="786" stopIfTrue="1" operator="lessThan">
      <formula>0</formula>
    </cfRule>
  </conditionalFormatting>
  <conditionalFormatting sqref="AB1168:AC1168">
    <cfRule type="cellIs" dxfId="30" priority="785" stopIfTrue="1" operator="lessThan">
      <formula>0</formula>
    </cfRule>
  </conditionalFormatting>
  <conditionalFormatting sqref="AB1252:AC1252">
    <cfRule type="cellIs" dxfId="29" priority="784" stopIfTrue="1" operator="lessThan">
      <formula>0</formula>
    </cfRule>
  </conditionalFormatting>
  <conditionalFormatting sqref="AB1264:AC1264">
    <cfRule type="cellIs" dxfId="28" priority="783" stopIfTrue="1" operator="lessThan">
      <formula>0</formula>
    </cfRule>
  </conditionalFormatting>
  <conditionalFormatting sqref="G5:G12">
    <cfRule type="cellIs" dxfId="27" priority="782" stopIfTrue="1" operator="lessThan">
      <formula>0</formula>
    </cfRule>
  </conditionalFormatting>
  <conditionalFormatting sqref="D1139:H1139">
    <cfRule type="cellIs" dxfId="26" priority="177" stopIfTrue="1" operator="lessThan">
      <formula>0</formula>
    </cfRule>
  </conditionalFormatting>
  <conditionalFormatting sqref="D1148:H1148">
    <cfRule type="cellIs" dxfId="25" priority="176" stopIfTrue="1" operator="lessThan">
      <formula>0</formula>
    </cfRule>
  </conditionalFormatting>
  <conditionalFormatting sqref="U1156:X1156 Z1156 Q1156:R1156 I1156:K1156 M1156:O1156 AB1156:AF1156">
    <cfRule type="cellIs" dxfId="24" priority="175" stopIfTrue="1" operator="lessThan">
      <formula>0</formula>
    </cfRule>
  </conditionalFormatting>
  <conditionalFormatting sqref="P1156 S1156 Y1156 AA1156 L1156 E1156:H1156">
    <cfRule type="cellIs" dxfId="23" priority="174" stopIfTrue="1" operator="lessThan">
      <formula>0</formula>
    </cfRule>
  </conditionalFormatting>
  <conditionalFormatting sqref="AG1156">
    <cfRule type="cellIs" dxfId="22" priority="173" stopIfTrue="1" operator="lessThan">
      <formula>0</formula>
    </cfRule>
  </conditionalFormatting>
  <conditionalFormatting sqref="D1156:H1156">
    <cfRule type="cellIs" dxfId="21" priority="164" stopIfTrue="1" operator="lessThan">
      <formula>0</formula>
    </cfRule>
  </conditionalFormatting>
  <conditionalFormatting sqref="U1163:X1163 Z1163 Q1163:R1163 I1163:K1163 M1163:O1163 AB1163:AF1163">
    <cfRule type="cellIs" dxfId="20" priority="163" stopIfTrue="1" operator="lessThan">
      <formula>0</formula>
    </cfRule>
  </conditionalFormatting>
  <conditionalFormatting sqref="P1163 S1163 Y1163 AA1163 L1163 E1163:H1163">
    <cfRule type="cellIs" dxfId="19" priority="162" stopIfTrue="1" operator="lessThan">
      <formula>0</formula>
    </cfRule>
  </conditionalFormatting>
  <conditionalFormatting sqref="AG1163">
    <cfRule type="cellIs" dxfId="18" priority="161" stopIfTrue="1" operator="lessThan">
      <formula>0</formula>
    </cfRule>
  </conditionalFormatting>
  <conditionalFormatting sqref="U1167:X1167 Z1167 Q1167:R1167 I1167:K1167 M1167:O1167 AB1167:AF1167">
    <cfRule type="cellIs" dxfId="17" priority="151" stopIfTrue="1" operator="lessThan">
      <formula>0</formula>
    </cfRule>
  </conditionalFormatting>
  <conditionalFormatting sqref="P1167 S1167 Y1167 AA1167 L1167 E1167:H1167">
    <cfRule type="cellIs" dxfId="16" priority="150" stopIfTrue="1" operator="lessThan">
      <formula>0</formula>
    </cfRule>
  </conditionalFormatting>
  <conditionalFormatting sqref="AG1167">
    <cfRule type="cellIs" dxfId="15" priority="149" stopIfTrue="1" operator="lessThan">
      <formula>0</formula>
    </cfRule>
  </conditionalFormatting>
  <conditionalFormatting sqref="D1260">
    <cfRule type="cellIs" dxfId="14" priority="136" stopIfTrue="1" operator="lessThan">
      <formula>0</formula>
    </cfRule>
  </conditionalFormatting>
  <conditionalFormatting sqref="D1263">
    <cfRule type="cellIs" dxfId="13" priority="135" stopIfTrue="1" operator="lessThan">
      <formula>0</formula>
    </cfRule>
  </conditionalFormatting>
  <conditionalFormatting sqref="U1165:X1165 Z1165 Q1165:R1165 I1165:K1165 M1165:O1165 AB1165:AF1165">
    <cfRule type="cellIs" dxfId="12" priority="133" stopIfTrue="1" operator="lessThan">
      <formula>0</formula>
    </cfRule>
  </conditionalFormatting>
  <conditionalFormatting sqref="P1165 S1165 Y1165 AA1165 L1165 E1165:H1165">
    <cfRule type="cellIs" dxfId="11" priority="132" stopIfTrue="1" operator="lessThan">
      <formula>0</formula>
    </cfRule>
  </conditionalFormatting>
  <conditionalFormatting sqref="AG1165">
    <cfRule type="cellIs" dxfId="10" priority="131" stopIfTrue="1" operator="lessThan">
      <formula>0</formula>
    </cfRule>
  </conditionalFormatting>
  <conditionalFormatting sqref="K1">
    <cfRule type="cellIs" dxfId="9" priority="121" stopIfTrue="1" operator="lessThan">
      <formula>0</formula>
    </cfRule>
  </conditionalFormatting>
  <conditionalFormatting sqref="H1173:H1175">
    <cfRule type="cellIs" dxfId="8" priority="33" stopIfTrue="1" operator="lessThan">
      <formula>0</formula>
    </cfRule>
  </conditionalFormatting>
  <conditionalFormatting sqref="U1173:W1175">
    <cfRule type="cellIs" dxfId="7" priority="32" stopIfTrue="1" operator="lessThan">
      <formula>0</formula>
    </cfRule>
  </conditionalFormatting>
  <conditionalFormatting sqref="AG1173:AG1175">
    <cfRule type="cellIs" dxfId="6" priority="31" stopIfTrue="1" operator="lessThan">
      <formula>0</formula>
    </cfRule>
  </conditionalFormatting>
  <conditionalFormatting sqref="X1173:Y1175 AF1173:AF1175 O1173:T1175 Z1173 AB1173:AE1173">
    <cfRule type="cellIs" dxfId="5" priority="30" stopIfTrue="1" operator="lessThan">
      <formula>0</formula>
    </cfRule>
  </conditionalFormatting>
  <conditionalFormatting sqref="M1173:M1175">
    <cfRule type="cellIs" dxfId="4" priority="29" stopIfTrue="1" operator="lessThan">
      <formula>0</formula>
    </cfRule>
  </conditionalFormatting>
  <conditionalFormatting sqref="N1173:N1175 L1173:L1175">
    <cfRule type="cellIs" dxfId="3" priority="28" stopIfTrue="1" operator="lessThan">
      <formula>0</formula>
    </cfRule>
  </conditionalFormatting>
  <conditionalFormatting sqref="U1176:X1176 Q1176:R1176 I1176:K1176 M1176:O1176">
    <cfRule type="cellIs" dxfId="2" priority="14" stopIfTrue="1" operator="lessThan">
      <formula>0</formula>
    </cfRule>
  </conditionalFormatting>
  <conditionalFormatting sqref="L1176 P1176 D1176:H1176 S1176 Y1176">
    <cfRule type="cellIs" dxfId="1" priority="13" stopIfTrue="1" operator="lessThan">
      <formula>0</formula>
    </cfRule>
  </conditionalFormatting>
  <conditionalFormatting sqref="AG1176">
    <cfRule type="cellIs" dxfId="0" priority="12" stopIfTrue="1" operator="lessThan">
      <formula>0</formula>
    </cfRule>
  </conditionalFormatting>
  <printOptions horizontalCentered="1" verticalCentered="1" headings="1"/>
  <pageMargins left="0" right="0" top="0" bottom="0.5" header="0.17" footer="0.2"/>
  <pageSetup paperSize="17" scale="35" fitToHeight="15" orientation="landscape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A1:N505"/>
  <sheetViews>
    <sheetView zoomScaleNormal="100" workbookViewId="0">
      <selection activeCell="F25" sqref="F25"/>
    </sheetView>
  </sheetViews>
  <sheetFormatPr defaultRowHeight="12.75" x14ac:dyDescent="0.2"/>
  <cols>
    <col min="1" max="1" width="4.28515625" style="1" bestFit="1" customWidth="1"/>
    <col min="2" max="2" width="15.7109375" style="190" bestFit="1" customWidth="1"/>
    <col min="3" max="3" width="7.140625" style="190" customWidth="1"/>
    <col min="4" max="4" width="9.7109375" style="190" bestFit="1" customWidth="1"/>
    <col min="5" max="6" width="9.140625" style="190"/>
    <col min="7" max="7" width="12.85546875" style="190" bestFit="1" customWidth="1"/>
    <col min="8" max="9" width="12.7109375" style="190" bestFit="1" customWidth="1"/>
    <col min="10" max="11" width="9.140625" style="190"/>
    <col min="12" max="12" width="10.5703125" style="190" customWidth="1"/>
    <col min="13" max="16384" width="9.140625" style="190"/>
  </cols>
  <sheetData>
    <row r="1" spans="1:14" x14ac:dyDescent="0.2">
      <c r="A1" s="266" t="s">
        <v>1368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x14ac:dyDescent="0.2">
      <c r="B2" s="1" t="s">
        <v>16</v>
      </c>
      <c r="C2" s="6">
        <v>7.0000000000000007E-2</v>
      </c>
      <c r="D2" s="2">
        <v>2012</v>
      </c>
      <c r="E2" s="1">
        <v>4</v>
      </c>
      <c r="F2" s="1"/>
      <c r="G2" s="1"/>
      <c r="H2" s="1"/>
      <c r="I2" s="1"/>
      <c r="J2" s="2" t="s">
        <v>36</v>
      </c>
      <c r="K2" s="1">
        <v>10</v>
      </c>
      <c r="L2" s="2" t="s">
        <v>73</v>
      </c>
      <c r="M2" s="1">
        <v>12</v>
      </c>
    </row>
    <row r="3" spans="1:14" x14ac:dyDescent="0.2">
      <c r="B3" s="1" t="s">
        <v>17</v>
      </c>
      <c r="C3" s="6"/>
      <c r="D3" s="2" t="s">
        <v>18</v>
      </c>
      <c r="E3" s="1"/>
      <c r="F3" s="173"/>
      <c r="G3" s="1"/>
      <c r="H3" s="1"/>
      <c r="I3" s="1"/>
      <c r="J3" s="2" t="s">
        <v>32</v>
      </c>
      <c r="K3" s="1"/>
      <c r="L3" s="2" t="s">
        <v>74</v>
      </c>
      <c r="M3" s="1"/>
    </row>
    <row r="4" spans="1:14" x14ac:dyDescent="0.2">
      <c r="B4" s="1"/>
      <c r="C4" s="6"/>
      <c r="D4" s="2" t="s">
        <v>19</v>
      </c>
      <c r="E4" s="1"/>
      <c r="F4" s="174"/>
      <c r="G4" s="1"/>
      <c r="H4" s="2"/>
      <c r="I4" s="2"/>
      <c r="J4" s="2" t="s">
        <v>34</v>
      </c>
      <c r="K4" s="1"/>
      <c r="L4" s="2" t="s">
        <v>37</v>
      </c>
      <c r="M4" s="1"/>
    </row>
    <row r="5" spans="1:14" x14ac:dyDescent="0.2">
      <c r="B5" s="1" t="s">
        <v>20</v>
      </c>
      <c r="C5" s="175"/>
      <c r="D5" s="1"/>
      <c r="E5" s="2" t="s">
        <v>21</v>
      </c>
      <c r="F5" s="176"/>
      <c r="G5" s="1"/>
      <c r="H5" s="2"/>
      <c r="I5" s="2"/>
      <c r="J5" s="1"/>
      <c r="K5" s="2" t="s">
        <v>21</v>
      </c>
      <c r="L5" s="1"/>
      <c r="M5" s="2" t="s">
        <v>21</v>
      </c>
    </row>
    <row r="6" spans="1:14" hidden="1" x14ac:dyDescent="0.2">
      <c r="B6" s="1">
        <v>0</v>
      </c>
      <c r="C6" s="1">
        <v>2006</v>
      </c>
      <c r="D6" s="7"/>
      <c r="E6" s="177"/>
      <c r="F6" s="1"/>
      <c r="G6" s="178"/>
      <c r="H6" s="179"/>
      <c r="I6" s="179"/>
      <c r="J6" s="8"/>
      <c r="K6" s="177"/>
      <c r="L6" s="8"/>
      <c r="M6" s="8"/>
      <c r="N6" s="8"/>
    </row>
    <row r="7" spans="1:14" x14ac:dyDescent="0.2">
      <c r="A7" s="1" t="str">
        <f>+"w"&amp;B7</f>
        <v>w1</v>
      </c>
      <c r="B7" s="1">
        <v>1</v>
      </c>
      <c r="C7" s="1">
        <v>2012</v>
      </c>
      <c r="D7" s="7">
        <f>'Avoided Cost inputs_EGD'!D17/1000</f>
        <v>0.15732574543122949</v>
      </c>
      <c r="E7" s="180">
        <f>+D7</f>
        <v>0.15732574543122949</v>
      </c>
      <c r="F7" s="180">
        <f>+D7</f>
        <v>0.15732574543122949</v>
      </c>
      <c r="G7" s="181"/>
      <c r="H7" s="176"/>
      <c r="I7" s="176"/>
      <c r="J7" s="8">
        <f>'Avoided Cost inputs_EGD'!P7/100</f>
        <v>9.4E-2</v>
      </c>
      <c r="K7" s="177">
        <f>+J7</f>
        <v>9.4E-2</v>
      </c>
      <c r="L7" s="8">
        <f>'Avoided Cost inputs_EGD'!Q7/100</f>
        <v>2.2621000000000002</v>
      </c>
      <c r="M7" s="177">
        <f>+L7</f>
        <v>2.2621000000000002</v>
      </c>
      <c r="N7" s="182"/>
    </row>
    <row r="8" spans="1:14" x14ac:dyDescent="0.2">
      <c r="A8" s="1" t="str">
        <f t="shared" ref="A8:A36" si="0">+"w"&amp;B8</f>
        <v>w2</v>
      </c>
      <c r="B8" s="1">
        <v>2</v>
      </c>
      <c r="C8" s="1">
        <f t="shared" ref="C8:C36" si="1">+C7+1</f>
        <v>2013</v>
      </c>
      <c r="D8" s="7">
        <f>'Avoided Cost inputs_EGD'!D18/1000</f>
        <v>0.16969826547819733</v>
      </c>
      <c r="E8" s="177">
        <f>NPV($C$2,$D$8:D8)+D$7</f>
        <v>0.31592225522393724</v>
      </c>
      <c r="F8" s="183">
        <f>NPV($C$2,F7)</f>
        <v>0.14703340694507427</v>
      </c>
      <c r="G8" s="184"/>
      <c r="H8" s="176"/>
      <c r="I8" s="176"/>
      <c r="J8" s="8">
        <f>'Avoided Cost inputs_EGD'!P8/100</f>
        <v>9.59353925801959E-2</v>
      </c>
      <c r="K8" s="177">
        <f>NPV($C$2,$J$8:J8)+J$7</f>
        <v>0.18365924540205225</v>
      </c>
      <c r="L8" s="8">
        <f>'Avoided Cost inputs_EGD'!Q8/100</f>
        <v>2.3086750165495866</v>
      </c>
      <c r="M8" s="177">
        <f>NPV($C$2,$L$8:L8)+L$7</f>
        <v>4.4197402023827914</v>
      </c>
      <c r="N8" s="182"/>
    </row>
    <row r="9" spans="1:14" x14ac:dyDescent="0.2">
      <c r="A9" s="1" t="str">
        <f t="shared" si="0"/>
        <v>w3</v>
      </c>
      <c r="B9" s="1">
        <v>3</v>
      </c>
      <c r="C9" s="1">
        <f t="shared" si="1"/>
        <v>2014</v>
      </c>
      <c r="D9" s="7">
        <f>'Avoided Cost inputs_EGD'!D19/1000</f>
        <v>0.1819352643934285</v>
      </c>
      <c r="E9" s="177">
        <f>NPV($C$2,$D$8:D9)+D$7</f>
        <v>0.47483156118378389</v>
      </c>
      <c r="F9" s="183">
        <f t="shared" ref="F9:F36" si="2">NPV($C$2,F8)</f>
        <v>0.13741439901408811</v>
      </c>
      <c r="G9" s="184"/>
      <c r="H9" s="176"/>
      <c r="I9" s="176"/>
      <c r="J9" s="8">
        <f>'Avoided Cost inputs_EGD'!P9/100</f>
        <v>9.7799679831495678E-2</v>
      </c>
      <c r="K9" s="177">
        <f>NPV($C$2,$J$8:J9)+J$7</f>
        <v>0.26908127337960108</v>
      </c>
      <c r="L9" s="8">
        <f>'Avoided Cost inputs_EGD'!Q9/100</f>
        <v>2.353538890923685</v>
      </c>
      <c r="M9" s="177">
        <f>NPV($C$2,$L$8:L9)+L$7</f>
        <v>6.4754122182127194</v>
      </c>
      <c r="N9" s="182"/>
    </row>
    <row r="10" spans="1:14" x14ac:dyDescent="0.2">
      <c r="A10" s="1" t="str">
        <f t="shared" si="0"/>
        <v>w4</v>
      </c>
      <c r="B10" s="1">
        <v>4</v>
      </c>
      <c r="C10" s="1">
        <f t="shared" si="1"/>
        <v>2015</v>
      </c>
      <c r="D10" s="7">
        <f>'Avoided Cost inputs_EGD'!D20/1000</f>
        <v>0.19382249685138606</v>
      </c>
      <c r="E10" s="177">
        <f>NPV($C$2,$D$8:D10)+D$7</f>
        <v>0.63304845385725417</v>
      </c>
      <c r="F10" s="183">
        <f t="shared" si="2"/>
        <v>0.12842467197578328</v>
      </c>
      <c r="G10" s="184"/>
      <c r="H10" s="176"/>
      <c r="I10" s="176"/>
      <c r="J10" s="8">
        <f>'Avoided Cost inputs_EGD'!P10/100</f>
        <v>9.9648021086825855E-2</v>
      </c>
      <c r="K10" s="177">
        <f>NPV($C$2,$J$8:J10)+J$7</f>
        <v>0.35042374142915189</v>
      </c>
      <c r="L10" s="8">
        <f>'Avoided Cost inputs_EGD'!Q10/100</f>
        <v>2.398019026601157</v>
      </c>
      <c r="M10" s="177">
        <f>NPV($C$2,$L$8:L10)+L$7</f>
        <v>8.4329100583711103</v>
      </c>
      <c r="N10" s="182"/>
    </row>
    <row r="11" spans="1:14" x14ac:dyDescent="0.2">
      <c r="A11" s="1" t="str">
        <f t="shared" si="0"/>
        <v>w5</v>
      </c>
      <c r="B11" s="1">
        <v>5</v>
      </c>
      <c r="C11" s="1">
        <f t="shared" si="1"/>
        <v>2016</v>
      </c>
      <c r="D11" s="7">
        <f>'Avoided Cost inputs_EGD'!D21/1000</f>
        <v>0.21354393386633644</v>
      </c>
      <c r="E11" s="177">
        <f>NPV($C$2,$D$8:D11)+D$7</f>
        <v>0.79596009856567551</v>
      </c>
      <c r="F11" s="183">
        <f t="shared" si="2"/>
        <v>0.12002305792129278</v>
      </c>
      <c r="G11" s="184"/>
      <c r="H11" s="176"/>
      <c r="I11" s="176"/>
      <c r="J11" s="8">
        <f>'Avoided Cost inputs_EGD'!P11/100</f>
        <v>0.1015690108623253</v>
      </c>
      <c r="K11" s="177">
        <f>NPV($C$2,$J$8:J11)+J$7</f>
        <v>0.42791025350842293</v>
      </c>
      <c r="L11" s="8">
        <f>'Avoided Cost inputs_EGD'!Q11/100</f>
        <v>2.4442474411879367</v>
      </c>
      <c r="M11" s="177">
        <f>NPV($C$2,$L$8:L11)+L$7</f>
        <v>10.297614728312803</v>
      </c>
      <c r="N11" s="182"/>
    </row>
    <row r="12" spans="1:14" x14ac:dyDescent="0.2">
      <c r="A12" s="1" t="str">
        <f t="shared" si="0"/>
        <v>w6</v>
      </c>
      <c r="B12" s="1">
        <v>6</v>
      </c>
      <c r="C12" s="1">
        <f t="shared" si="1"/>
        <v>2017</v>
      </c>
      <c r="D12" s="7">
        <f>'Avoided Cost inputs_EGD'!D22/1000</f>
        <v>0.23084697728147782</v>
      </c>
      <c r="E12" s="177">
        <f>NPV($C$2,$D$8:D12)+D$7</f>
        <v>0.96055080294294959</v>
      </c>
      <c r="F12" s="183">
        <f t="shared" si="2"/>
        <v>0.1121710821694325</v>
      </c>
      <c r="G12" s="184"/>
      <c r="H12" s="176"/>
      <c r="I12" s="176"/>
      <c r="J12" s="8">
        <f>'Avoided Cost inputs_EGD'!P12/100</f>
        <v>0.10356870465445844</v>
      </c>
      <c r="K12" s="177">
        <f>NPV($C$2,$J$8:J12)+J$7</f>
        <v>0.50175330855407774</v>
      </c>
      <c r="L12" s="8">
        <f>'Avoided Cost inputs_EGD'!Q12/100</f>
        <v>2.4923698595622388</v>
      </c>
      <c r="M12" s="177">
        <f>NPV($C$2,$L$8:L12)+L$7</f>
        <v>12.074639992342329</v>
      </c>
      <c r="N12" s="182"/>
    </row>
    <row r="13" spans="1:14" x14ac:dyDescent="0.2">
      <c r="A13" s="1" t="str">
        <f t="shared" si="0"/>
        <v>w7</v>
      </c>
      <c r="B13" s="1">
        <v>7</v>
      </c>
      <c r="C13" s="1">
        <f t="shared" si="1"/>
        <v>2018</v>
      </c>
      <c r="D13" s="7">
        <f>'Avoided Cost inputs_EGD'!D23/1000</f>
        <v>0.24906292614177444</v>
      </c>
      <c r="E13" s="177">
        <f>NPV($C$2,$D$8:D13)+D$7</f>
        <v>1.1265119470185074</v>
      </c>
      <c r="F13" s="183">
        <f t="shared" si="2"/>
        <v>0.10483278707423598</v>
      </c>
      <c r="G13" s="184"/>
      <c r="H13" s="176"/>
      <c r="I13" s="176"/>
      <c r="J13" s="8">
        <f>'Avoided Cost inputs_EGD'!P13/100</f>
        <v>0.10560530606974874</v>
      </c>
      <c r="K13" s="177">
        <f>NPV($C$2,$J$8:J13)+J$7</f>
        <v>0.57212258304741748</v>
      </c>
      <c r="L13" s="8">
        <f>'Avoided Cost inputs_EGD'!Q13/100</f>
        <v>2.5413804559614745</v>
      </c>
      <c r="M13" s="177">
        <f>NPV($C$2,$L$8:L13)+L$7</f>
        <v>13.768069096931521</v>
      </c>
      <c r="N13" s="182"/>
    </row>
    <row r="14" spans="1:14" x14ac:dyDescent="0.2">
      <c r="A14" s="1" t="str">
        <f t="shared" si="0"/>
        <v>w8</v>
      </c>
      <c r="B14" s="1">
        <v>8</v>
      </c>
      <c r="C14" s="1">
        <f t="shared" si="1"/>
        <v>2019</v>
      </c>
      <c r="D14" s="7">
        <f>'Avoided Cost inputs_EGD'!D24/1000</f>
        <v>0.27289612689322695</v>
      </c>
      <c r="E14" s="177">
        <f>NPV($C$2,$D$8:D14)+D$7</f>
        <v>1.2964579396025693</v>
      </c>
      <c r="F14" s="183">
        <f t="shared" si="2"/>
        <v>9.7974567359099041E-2</v>
      </c>
      <c r="G14" s="184"/>
      <c r="H14" s="176"/>
      <c r="I14" s="176"/>
      <c r="J14" s="8">
        <f>'Avoided Cost inputs_EGD'!P14/100</f>
        <v>0.10773994587263878</v>
      </c>
      <c r="K14" s="177">
        <f>NPV($C$2,$J$8:J14)+J$7</f>
        <v>0.63921760653026305</v>
      </c>
      <c r="L14" s="8">
        <f>'Avoided Cost inputs_EGD'!Q14/100</f>
        <v>2.5927503357286832</v>
      </c>
      <c r="M14" s="177">
        <f>NPV($C$2,$L$8:L14)+L$7</f>
        <v>15.382703699277746</v>
      </c>
      <c r="N14" s="182"/>
    </row>
    <row r="15" spans="1:14" x14ac:dyDescent="0.2">
      <c r="A15" s="1" t="str">
        <f t="shared" si="0"/>
        <v>w9</v>
      </c>
      <c r="B15" s="1">
        <v>9</v>
      </c>
      <c r="C15" s="1">
        <f t="shared" si="1"/>
        <v>2020</v>
      </c>
      <c r="D15" s="7">
        <f>'Avoided Cost inputs_EGD'!D25/1000</f>
        <v>0.28335287561301931</v>
      </c>
      <c r="E15" s="177">
        <f>NPV($C$2,$D$8:D15)+D$7</f>
        <v>1.4613718930140314</v>
      </c>
      <c r="F15" s="183">
        <f t="shared" si="2"/>
        <v>9.1565016223457044E-2</v>
      </c>
      <c r="G15" s="184"/>
      <c r="H15" s="176"/>
      <c r="I15" s="176"/>
      <c r="J15" s="8">
        <f>'Avoided Cost inputs_EGD'!P15/100</f>
        <v>0.10996006012519934</v>
      </c>
      <c r="K15" s="177">
        <f>NPV($C$2,$J$8:J15)+J$7</f>
        <v>0.70321536266164808</v>
      </c>
      <c r="L15" s="8">
        <f>'Avoided Cost inputs_EGD'!Q15/100</f>
        <v>2.6461771490341852</v>
      </c>
      <c r="M15" s="177">
        <f>NPV($C$2,$L$8:L15)+L$7</f>
        <v>16.922802892307597</v>
      </c>
      <c r="N15" s="182"/>
    </row>
    <row r="16" spans="1:14" x14ac:dyDescent="0.2">
      <c r="A16" s="1" t="str">
        <f t="shared" si="0"/>
        <v>w10</v>
      </c>
      <c r="B16" s="1">
        <v>10</v>
      </c>
      <c r="C16" s="1">
        <f t="shared" si="1"/>
        <v>2021</v>
      </c>
      <c r="D16" s="7">
        <f>'Avoided Cost inputs_EGD'!D26/1000</f>
        <v>0.28349313542670879</v>
      </c>
      <c r="E16" s="177">
        <f>NPV($C$2,$D$8:D16)+D$7</f>
        <v>1.6155733751635957</v>
      </c>
      <c r="F16" s="183">
        <f t="shared" si="2"/>
        <v>8.5574781517249565E-2</v>
      </c>
      <c r="G16" s="184"/>
      <c r="H16" s="176"/>
      <c r="I16" s="176"/>
      <c r="J16" s="8">
        <f>'Avoided Cost inputs_EGD'!P16/100</f>
        <v>0.1121950422685309</v>
      </c>
      <c r="K16" s="177">
        <f>NPV($C$2,$J$8:J16)+J$7</f>
        <v>0.76424203190215678</v>
      </c>
      <c r="L16" s="8">
        <f>'Avoided Cost inputs_EGD'!Q16/100</f>
        <v>2.6999617565494014</v>
      </c>
      <c r="M16" s="177">
        <f>NPV($C$2,$L$8:L16)+L$7</f>
        <v>18.391403195381582</v>
      </c>
      <c r="N16" s="182"/>
    </row>
    <row r="17" spans="1:14" x14ac:dyDescent="0.2">
      <c r="A17" s="1" t="str">
        <f t="shared" si="0"/>
        <v>w11</v>
      </c>
      <c r="B17" s="1">
        <v>11</v>
      </c>
      <c r="C17" s="1">
        <f t="shared" si="1"/>
        <v>2022</v>
      </c>
      <c r="D17" s="8">
        <f>D16*(1+'Avoided Cost inputs_EGD'!$L$9)</f>
        <v>0.28916299813524299</v>
      </c>
      <c r="E17" s="177">
        <f>NPV($C$2,$D$8:D17)+D$7</f>
        <v>1.762569180577199</v>
      </c>
      <c r="F17" s="183">
        <f t="shared" si="2"/>
        <v>7.9976431324532304E-2</v>
      </c>
      <c r="G17" s="184"/>
      <c r="H17" s="176"/>
      <c r="I17" s="176"/>
      <c r="J17" s="8">
        <f>'Avoided Cost inputs_EGD'!P17/100</f>
        <v>0.11446646689405574</v>
      </c>
      <c r="K17" s="177">
        <f>NPV($C$2,$J$8:J17)+J$7</f>
        <v>0.82243097932091214</v>
      </c>
      <c r="L17" s="8">
        <f>'Avoided Cost inputs_EGD'!Q17/100</f>
        <v>2.7546233485217391</v>
      </c>
      <c r="M17" s="177">
        <f>NPV($C$2,$L$8:L17)+L$7</f>
        <v>19.791714024700372</v>
      </c>
      <c r="N17" s="182"/>
    </row>
    <row r="18" spans="1:14" x14ac:dyDescent="0.2">
      <c r="A18" s="1" t="str">
        <f t="shared" si="0"/>
        <v>w12</v>
      </c>
      <c r="B18" s="1">
        <v>12</v>
      </c>
      <c r="C18" s="1">
        <f t="shared" si="1"/>
        <v>2023</v>
      </c>
      <c r="D18" s="8">
        <f>D17*(1+'Avoided Cost inputs_EGD'!$L$9)</f>
        <v>0.29494625809794783</v>
      </c>
      <c r="E18" s="177">
        <f>NPV($C$2,$D$8:D18)+D$7</f>
        <v>1.9026960231210079</v>
      </c>
      <c r="F18" s="183">
        <f t="shared" si="2"/>
        <v>7.4744328340684396E-2</v>
      </c>
      <c r="G18" s="184"/>
      <c r="H18" s="176"/>
      <c r="I18" s="176"/>
      <c r="J18" s="8">
        <f>'Avoided Cost inputs_EGD'!P18/100</f>
        <v>0.11682077165333425</v>
      </c>
      <c r="K18" s="177">
        <f>NPV($C$2,$J$8:J18)+J$7</f>
        <v>0.87793168640185038</v>
      </c>
      <c r="L18" s="8">
        <f>'Avoided Cost inputs_EGD'!Q18/100</f>
        <v>2.8112794420958234</v>
      </c>
      <c r="M18" s="177">
        <f>NPV($C$2,$L$8:L18)+L$7</f>
        <v>21.127332636272612</v>
      </c>
      <c r="N18" s="182"/>
    </row>
    <row r="19" spans="1:14" x14ac:dyDescent="0.2">
      <c r="A19" s="1" t="str">
        <f t="shared" si="0"/>
        <v>w13</v>
      </c>
      <c r="B19" s="1">
        <v>13</v>
      </c>
      <c r="C19" s="1">
        <f t="shared" si="1"/>
        <v>2024</v>
      </c>
      <c r="D19" s="8">
        <f>D18*(1+'Avoided Cost inputs_EGD'!$L$9)</f>
        <v>0.30084518325990678</v>
      </c>
      <c r="E19" s="177">
        <f>NPV($C$2,$D$8:D19)+D$7</f>
        <v>2.0362748823683767</v>
      </c>
      <c r="F19" s="183">
        <f t="shared" si="2"/>
        <v>6.9854512467929342E-2</v>
      </c>
      <c r="G19" s="184"/>
      <c r="H19" s="176"/>
      <c r="I19" s="176"/>
      <c r="J19" s="8">
        <f>'Avoided Cost inputs_EGD'!P19/100</f>
        <v>0.1193204689527344</v>
      </c>
      <c r="K19" s="177">
        <f>NPV($C$2,$J$8:J19)+J$7</f>
        <v>0.93091140159907726</v>
      </c>
      <c r="L19" s="8">
        <f>'Avoided Cost inputs_EGD'!Q19/100</f>
        <v>2.8714343916806437</v>
      </c>
      <c r="M19" s="177">
        <f>NPV($C$2,$L$8:L19)+L$7</f>
        <v>22.402283846353964</v>
      </c>
      <c r="N19" s="182"/>
    </row>
    <row r="20" spans="1:14" x14ac:dyDescent="0.2">
      <c r="A20" s="1" t="str">
        <f t="shared" si="0"/>
        <v>w14</v>
      </c>
      <c r="B20" s="1">
        <v>14</v>
      </c>
      <c r="C20" s="1">
        <f t="shared" si="1"/>
        <v>2025</v>
      </c>
      <c r="D20" s="8">
        <f>D19*(1+'Avoided Cost inputs_EGD'!$L$9)</f>
        <v>0.30686208692510492</v>
      </c>
      <c r="E20" s="177">
        <f>NPV($C$2,$D$8:D20)+D$7</f>
        <v>2.1636117388471772</v>
      </c>
      <c r="F20" s="183">
        <f t="shared" si="2"/>
        <v>6.5284591091522751E-2</v>
      </c>
      <c r="G20" s="184"/>
      <c r="H20" s="176"/>
      <c r="I20" s="176"/>
      <c r="J20" s="8">
        <f>'Avoided Cost inputs_EGD'!P20/100</f>
        <v>0.12188177431114172</v>
      </c>
      <c r="K20" s="177">
        <f>NPV($C$2,$J$8:J20)+J$7</f>
        <v>0.98148800478377551</v>
      </c>
      <c r="L20" s="8">
        <f>'Avoided Cost inputs_EGD'!Q20/100</f>
        <v>2.9330719326514219</v>
      </c>
      <c r="M20" s="177">
        <f>NPV($C$2,$L$8:L20)+L$7</f>
        <v>23.619404421504026</v>
      </c>
      <c r="N20" s="182"/>
    </row>
    <row r="21" spans="1:14" x14ac:dyDescent="0.2">
      <c r="A21" s="1" t="str">
        <f t="shared" si="0"/>
        <v>w15</v>
      </c>
      <c r="B21" s="1">
        <v>15</v>
      </c>
      <c r="C21" s="1">
        <f t="shared" si="1"/>
        <v>2026</v>
      </c>
      <c r="D21" s="8">
        <f>D20*(1+'Avoided Cost inputs_EGD'!$L$9)</f>
        <v>0.31299932866360702</v>
      </c>
      <c r="E21" s="177">
        <f>NPV($C$2,$D$8:D21)+D$7</f>
        <v>2.2849982749297721</v>
      </c>
      <c r="F21" s="183">
        <f t="shared" si="2"/>
        <v>6.1013636534133407E-2</v>
      </c>
      <c r="G21" s="184"/>
      <c r="H21" s="176"/>
      <c r="I21" s="176"/>
      <c r="J21" s="8">
        <f>'Avoided Cost inputs_EGD'!P21/100</f>
        <v>0.1245313926301469</v>
      </c>
      <c r="K21" s="177">
        <f>NPV($C$2,$J$8:J21)+J$7</f>
        <v>1.0297834258936442</v>
      </c>
      <c r="L21" s="8">
        <f>'Avoided Cost inputs_EGD'!Q21/100</f>
        <v>2.9968347156239923</v>
      </c>
      <c r="M21" s="177">
        <f>NPV($C$2,$L$8:L21)+L$7</f>
        <v>24.781628592702262</v>
      </c>
      <c r="N21" s="182"/>
    </row>
    <row r="22" spans="1:14" x14ac:dyDescent="0.2">
      <c r="A22" s="1" t="str">
        <f t="shared" si="0"/>
        <v>w16</v>
      </c>
      <c r="B22" s="1">
        <v>16</v>
      </c>
      <c r="C22" s="1">
        <f t="shared" si="1"/>
        <v>2027</v>
      </c>
      <c r="D22" s="8">
        <f>D21*(1+'Avoided Cost inputs_EGD'!$L$9)</f>
        <v>0.31925931523687917</v>
      </c>
      <c r="E22" s="177">
        <f>NPV($C$2,$D$8:D22)+D$7</f>
        <v>2.400712542971124</v>
      </c>
      <c r="F22" s="183">
        <f t="shared" si="2"/>
        <v>5.7022090218816268E-2</v>
      </c>
      <c r="G22" s="184"/>
      <c r="H22" s="176"/>
      <c r="I22" s="176"/>
      <c r="J22" s="8">
        <f>'Avoided Cost inputs_EGD'!P22/100</f>
        <v>0.12723175994641134</v>
      </c>
      <c r="K22" s="177">
        <f>NPV($C$2,$J$8:J22)+J$7</f>
        <v>1.0758980708583132</v>
      </c>
      <c r="L22" s="8">
        <f>'Avoided Cost inputs_EGD'!Q22/100</f>
        <v>3.0618187678167779</v>
      </c>
      <c r="M22" s="177">
        <f>NPV($C$2,$L$8:L22)+L$7</f>
        <v>25.891372617963729</v>
      </c>
      <c r="N22" s="182"/>
    </row>
    <row r="23" spans="1:14" x14ac:dyDescent="0.2">
      <c r="A23" s="1" t="str">
        <f t="shared" si="0"/>
        <v>w17</v>
      </c>
      <c r="B23" s="1">
        <v>17</v>
      </c>
      <c r="C23" s="1">
        <f t="shared" si="1"/>
        <v>2028</v>
      </c>
      <c r="D23" s="8">
        <f>D22*(1+'Avoided Cost inputs_EGD'!$L$9)</f>
        <v>0.32564450154161678</v>
      </c>
      <c r="E23" s="177">
        <f>NPV($C$2,$D$8:D23)+D$7</f>
        <v>2.5110196022254971</v>
      </c>
      <c r="F23" s="183">
        <f t="shared" si="2"/>
        <v>5.3291673101697447E-2</v>
      </c>
      <c r="G23" s="184"/>
      <c r="H23" s="176"/>
      <c r="I23" s="176"/>
      <c r="J23" s="8">
        <f>'Avoided Cost inputs_EGD'!P23/100</f>
        <v>0.13002400520067733</v>
      </c>
      <c r="K23" s="177">
        <f>NPV($C$2,$J$8:J23)+J$7</f>
        <v>1.1199416999638674</v>
      </c>
      <c r="L23" s="8">
        <f>'Avoided Cost inputs_EGD'!Q23/100</f>
        <v>3.1290138528133213</v>
      </c>
      <c r="M23" s="177">
        <f>NPV($C$2,$L$8:L23)+L$7</f>
        <v>26.951277866896429</v>
      </c>
      <c r="N23" s="182"/>
    </row>
    <row r="24" spans="1:14" x14ac:dyDescent="0.2">
      <c r="A24" s="1" t="str">
        <f t="shared" si="0"/>
        <v>w18</v>
      </c>
      <c r="B24" s="1">
        <v>18</v>
      </c>
      <c r="C24" s="1">
        <f t="shared" si="1"/>
        <v>2029</v>
      </c>
      <c r="D24" s="8">
        <f>D23*(1+'Avoided Cost inputs_EGD'!$L$9)</f>
        <v>0.33215739157244911</v>
      </c>
      <c r="E24" s="177">
        <f>NPV($C$2,$D$8:D24)+D$7</f>
        <v>2.6161721260006936</v>
      </c>
      <c r="F24" s="183">
        <f t="shared" si="2"/>
        <v>4.980530196420322E-2</v>
      </c>
      <c r="G24" s="184"/>
      <c r="H24" s="176"/>
      <c r="I24" s="176"/>
      <c r="J24" s="8">
        <f>'Avoided Cost inputs_EGD'!P24/100</f>
        <v>0.13291231896731764</v>
      </c>
      <c r="K24" s="177">
        <f>NPV($C$2,$J$8:J24)+J$7</f>
        <v>1.1620183363261174</v>
      </c>
      <c r="L24" s="8">
        <f>'Avoided Cost inputs_EGD'!Q24/100</f>
        <v>3.1985208163400989</v>
      </c>
      <c r="M24" s="177">
        <f>NPV($C$2,$L$8:L24)+L$7</f>
        <v>27.963847644716065</v>
      </c>
      <c r="N24" s="182"/>
    </row>
    <row r="25" spans="1:14" x14ac:dyDescent="0.2">
      <c r="A25" s="1" t="str">
        <f t="shared" si="0"/>
        <v>w19</v>
      </c>
      <c r="B25" s="1">
        <v>19</v>
      </c>
      <c r="C25" s="1">
        <f t="shared" si="1"/>
        <v>2030</v>
      </c>
      <c r="D25" s="8">
        <f>D24*(1+'Avoided Cost inputs_EGD'!$L$9)</f>
        <v>0.33880053940389809</v>
      </c>
      <c r="E25" s="177">
        <f>NPV($C$2,$D$8:D25)+D$7</f>
        <v>2.7164109804406009</v>
      </c>
      <c r="F25" s="183">
        <f t="shared" si="2"/>
        <v>4.6547011181498336E-2</v>
      </c>
      <c r="G25" s="184"/>
      <c r="H25" s="176"/>
      <c r="I25" s="176"/>
      <c r="J25" s="8">
        <f>'Avoided Cost inputs_EGD'!P25/100</f>
        <v>0.13588830694602616</v>
      </c>
      <c r="K25" s="177">
        <f>NPV($C$2,$J$8:J25)+J$7</f>
        <v>1.20222278300148</v>
      </c>
      <c r="L25" s="8">
        <f>'Avoided Cost inputs_EGD'!Q25/100</f>
        <v>3.270137650453254</v>
      </c>
      <c r="M25" s="177">
        <f>NPV($C$2,$L$8:L25)+L$7</f>
        <v>28.931363376889873</v>
      </c>
      <c r="N25" s="182"/>
    </row>
    <row r="26" spans="1:14" x14ac:dyDescent="0.2">
      <c r="A26" s="1" t="str">
        <f t="shared" si="0"/>
        <v>w20</v>
      </c>
      <c r="B26" s="1">
        <v>20</v>
      </c>
      <c r="C26" s="1">
        <f t="shared" si="1"/>
        <v>2031</v>
      </c>
      <c r="D26" s="8">
        <f>D25*(1+'Avoided Cost inputs_EGD'!$L$9)</f>
        <v>0.34557655019197608</v>
      </c>
      <c r="E26" s="177">
        <f>NPV($C$2,$D$8:D26)+D$7</f>
        <v>2.8119657762618209</v>
      </c>
      <c r="F26" s="183">
        <f t="shared" si="2"/>
        <v>4.3501879608876949E-2</v>
      </c>
      <c r="G26" s="184"/>
      <c r="H26" s="176"/>
      <c r="I26" s="176"/>
      <c r="J26" s="8">
        <f>'Avoided Cost inputs_EGD'!P26/100</f>
        <v>0.13889429958357727</v>
      </c>
      <c r="K26" s="177">
        <f>NPV($C$2,$J$8:J26)+J$7</f>
        <v>1.240628214244043</v>
      </c>
      <c r="L26" s="8">
        <f>'Avoided Cost inputs_EGD'!Q26/100</f>
        <v>3.3424765434894703</v>
      </c>
      <c r="M26" s="177">
        <f>NPV($C$2,$L$8:L26)+L$7</f>
        <v>29.855585994057979</v>
      </c>
      <c r="N26" s="182"/>
    </row>
    <row r="27" spans="1:14" x14ac:dyDescent="0.2">
      <c r="A27" s="1" t="str">
        <f t="shared" si="0"/>
        <v>w21</v>
      </c>
      <c r="B27" s="1">
        <v>21</v>
      </c>
      <c r="C27" s="1">
        <f t="shared" si="1"/>
        <v>2032</v>
      </c>
      <c r="D27" s="8">
        <f>D26*(1+'Avoided Cost inputs_EGD'!$L$9)</f>
        <v>0.35248808119581559</v>
      </c>
      <c r="E27" s="177">
        <f>NPV($C$2,$D$8:D27)+D$7</f>
        <v>2.9030553947082174</v>
      </c>
      <c r="F27" s="183">
        <f t="shared" si="2"/>
        <v>4.0655962251286863E-2</v>
      </c>
      <c r="G27" s="184"/>
      <c r="H27" s="176"/>
      <c r="I27" s="176"/>
      <c r="J27" s="8">
        <f>'Avoided Cost inputs_EGD'!P27/100</f>
        <v>0.14198247075583986</v>
      </c>
      <c r="K27" s="177">
        <f>NPV($C$2,$J$8:J27)+J$7</f>
        <v>1.2773191827538162</v>
      </c>
      <c r="L27" s="8">
        <f>'Avoided Cost inputs_EGD'!Q27/100</f>
        <v>3.4167930542211211</v>
      </c>
      <c r="M27" s="177">
        <f>NPV($C$2,$L$8:L27)+L$7</f>
        <v>30.738550247951149</v>
      </c>
      <c r="N27" s="182"/>
    </row>
    <row r="28" spans="1:14" x14ac:dyDescent="0.2">
      <c r="A28" s="1" t="str">
        <f t="shared" si="0"/>
        <v>w22</v>
      </c>
      <c r="B28" s="1">
        <v>22</v>
      </c>
      <c r="C28" s="1">
        <f t="shared" si="1"/>
        <v>2033</v>
      </c>
      <c r="D28" s="8">
        <f>D27*(1+'Avoided Cost inputs_EGD'!$L$9)</f>
        <v>0.35953784281973189</v>
      </c>
      <c r="E28" s="177">
        <f>NPV($C$2,$D$8:D28)+D$7</f>
        <v>2.9898884889281465</v>
      </c>
      <c r="F28" s="183">
        <f t="shared" si="2"/>
        <v>3.7996226403071834E-2</v>
      </c>
      <c r="G28" s="184"/>
      <c r="H28" s="176"/>
      <c r="I28" s="176"/>
      <c r="J28" s="8">
        <f>'Avoided Cost inputs_EGD'!P28/100</f>
        <v>0.1450978389399728</v>
      </c>
      <c r="K28" s="177">
        <f>NPV($C$2,$J$8:J28)+J$7</f>
        <v>1.312362209715793</v>
      </c>
      <c r="L28" s="8">
        <f>'Avoided Cost inputs_EGD'!Q28/100</f>
        <v>3.4917640581501335</v>
      </c>
      <c r="M28" s="177">
        <f>NPV($C$2,$L$8:L28)+L$7</f>
        <v>31.581856963809528</v>
      </c>
      <c r="N28" s="182"/>
    </row>
    <row r="29" spans="1:14" x14ac:dyDescent="0.2">
      <c r="A29" s="1" t="str">
        <f t="shared" si="0"/>
        <v>w23</v>
      </c>
      <c r="B29" s="1">
        <v>23</v>
      </c>
      <c r="C29" s="1">
        <f t="shared" si="1"/>
        <v>2034</v>
      </c>
      <c r="D29" s="8">
        <f>D28*(1+'Avoided Cost inputs_EGD'!$L$9)</f>
        <v>0.36672859967612653</v>
      </c>
      <c r="E29" s="177">
        <f>NPV($C$2,$D$8:D29)+D$7</f>
        <v>3.0726639619228457</v>
      </c>
      <c r="F29" s="183">
        <f t="shared" si="2"/>
        <v>3.5510491965487695E-2</v>
      </c>
      <c r="G29" s="184"/>
      <c r="H29" s="176"/>
      <c r="I29" s="176"/>
      <c r="J29" s="8">
        <f>'Avoided Cost inputs_EGD'!P29/100</f>
        <v>0.14843265805420991</v>
      </c>
      <c r="K29" s="177">
        <f>NPV($C$2,$J$8:J29)+J$7</f>
        <v>1.3458654147811968</v>
      </c>
      <c r="L29" s="8">
        <f>'Avoided Cost inputs_EGD'!Q29/100</f>
        <v>3.5720161253662588</v>
      </c>
      <c r="M29" s="177">
        <f>NPV($C$2,$L$8:L29)+L$7</f>
        <v>32.388108029537719</v>
      </c>
      <c r="N29" s="182"/>
    </row>
    <row r="30" spans="1:14" x14ac:dyDescent="0.2">
      <c r="A30" s="1" t="str">
        <f t="shared" si="0"/>
        <v>w24</v>
      </c>
      <c r="B30" s="1">
        <v>24</v>
      </c>
      <c r="C30" s="1">
        <f t="shared" si="1"/>
        <v>2035</v>
      </c>
      <c r="D30" s="8">
        <f>D29*(1+'Avoided Cost inputs_EGD'!$L$9)</f>
        <v>0.37406317166964909</v>
      </c>
      <c r="E30" s="177">
        <f>NPV($C$2,$D$8:D30)+D$7</f>
        <v>3.1515714221607833</v>
      </c>
      <c r="F30" s="183">
        <f t="shared" si="2"/>
        <v>3.3187375668680089E-2</v>
      </c>
      <c r="G30" s="184"/>
      <c r="H30" s="176"/>
      <c r="I30" s="176"/>
      <c r="J30" s="8">
        <f>'Avoided Cost inputs_EGD'!P30/100</f>
        <v>0.15173916049511374</v>
      </c>
      <c r="K30" s="177">
        <f>NPV($C$2,$J$8:J30)+J$7</f>
        <v>1.37787431776906</v>
      </c>
      <c r="L30" s="8">
        <f>'Avoided Cost inputs_EGD'!Q30/100</f>
        <v>3.6515867548510306</v>
      </c>
      <c r="M30" s="177">
        <f>NPV($C$2,$L$8:L30)+L$7</f>
        <v>33.158398874738204</v>
      </c>
      <c r="N30" s="182"/>
    </row>
    <row r="31" spans="1:14" x14ac:dyDescent="0.2">
      <c r="A31" s="1" t="str">
        <f t="shared" si="0"/>
        <v>w25</v>
      </c>
      <c r="B31" s="1">
        <v>25</v>
      </c>
      <c r="C31" s="1">
        <f t="shared" si="1"/>
        <v>2036</v>
      </c>
      <c r="D31" s="8">
        <f>D30*(1+'Avoided Cost inputs_EGD'!$L$9)</f>
        <v>0.38154443510304209</v>
      </c>
      <c r="E31" s="177">
        <f>NPV($C$2,$D$8:D31)+D$7</f>
        <v>3.2267916179016209</v>
      </c>
      <c r="F31" s="183">
        <f t="shared" si="2"/>
        <v>3.1016238942691669E-2</v>
      </c>
      <c r="G31" s="184"/>
      <c r="H31" s="176"/>
      <c r="I31" s="176"/>
      <c r="J31" s="8">
        <f>'Avoided Cost inputs_EGD'!P31/100</f>
        <v>0.15477394370501604</v>
      </c>
      <c r="K31" s="177">
        <f>NPV($C$2,$J$8:J31)+J$7</f>
        <v>1.408387477626649</v>
      </c>
      <c r="L31" s="8">
        <f>'Avoided Cost inputs_EGD'!Q31/100</f>
        <v>3.724618489948051</v>
      </c>
      <c r="M31" s="177">
        <f>NPV($C$2,$L$8:L31)+L$7</f>
        <v>33.892694820630254</v>
      </c>
      <c r="N31" s="182"/>
    </row>
    <row r="32" spans="1:14" x14ac:dyDescent="0.2">
      <c r="A32" s="1" t="str">
        <f t="shared" si="0"/>
        <v>w26</v>
      </c>
      <c r="B32" s="1">
        <v>26</v>
      </c>
      <c r="C32" s="1">
        <f t="shared" si="1"/>
        <v>2037</v>
      </c>
      <c r="D32" s="8">
        <f>D31*(1+'Avoided Cost inputs_EGD'!$L$9)</f>
        <v>0.38917532380510295</v>
      </c>
      <c r="E32" s="177">
        <f>NPV($C$2,$D$8:D32)+D$7</f>
        <v>3.2984968512246624</v>
      </c>
      <c r="F32" s="183">
        <f t="shared" si="2"/>
        <v>2.8987139198777261E-2</v>
      </c>
      <c r="G32" s="184"/>
      <c r="H32" s="176"/>
      <c r="I32" s="176"/>
      <c r="J32" s="8">
        <f>'Avoided Cost inputs_EGD'!P32/100</f>
        <v>0.15786942257911635</v>
      </c>
      <c r="K32" s="177">
        <f>NPV($C$2,$J$8:J32)+J$7</f>
        <v>1.4374747888927621</v>
      </c>
      <c r="L32" s="8">
        <f>'Avoided Cost inputs_EGD'!Q32/100</f>
        <v>3.799110859747012</v>
      </c>
      <c r="M32" s="177">
        <f>NPV($C$2,$L$8:L32)+L$7</f>
        <v>34.592677871854448</v>
      </c>
      <c r="N32" s="182"/>
    </row>
    <row r="33" spans="1:14" x14ac:dyDescent="0.2">
      <c r="A33" s="1" t="str">
        <f t="shared" si="0"/>
        <v>w27</v>
      </c>
      <c r="B33" s="1">
        <v>27</v>
      </c>
      <c r="C33" s="1">
        <f t="shared" si="1"/>
        <v>2038</v>
      </c>
      <c r="D33" s="8">
        <f>D32*(1+'Avoided Cost inputs_EGD'!$L$9)</f>
        <v>0.39695883028120499</v>
      </c>
      <c r="E33" s="177">
        <f>NPV($C$2,$D$8:D33)+D$7</f>
        <v>3.3668513727101783</v>
      </c>
      <c r="F33" s="183">
        <f t="shared" si="2"/>
        <v>2.7090784297922672E-2</v>
      </c>
      <c r="G33" s="184"/>
      <c r="H33" s="176"/>
      <c r="I33" s="176"/>
      <c r="J33" s="8">
        <f>'Avoided Cost inputs_EGD'!P33/100</f>
        <v>0.16102681103069869</v>
      </c>
      <c r="K33" s="177">
        <f>NPV($C$2,$J$8:J33)+J$7</f>
        <v>1.4652028800062531</v>
      </c>
      <c r="L33" s="8">
        <f>'Avoided Cost inputs_EGD'!Q33/100</f>
        <v>3.8750930769419525</v>
      </c>
      <c r="M33" s="177">
        <f>NPV($C$2,$L$8:L33)+L$7</f>
        <v>35.25995143470368</v>
      </c>
      <c r="N33" s="182"/>
    </row>
    <row r="34" spans="1:14" x14ac:dyDescent="0.2">
      <c r="A34" s="1" t="str">
        <f t="shared" si="0"/>
        <v>w28</v>
      </c>
      <c r="B34" s="1">
        <v>28</v>
      </c>
      <c r="C34" s="1">
        <f t="shared" si="1"/>
        <v>2039</v>
      </c>
      <c r="D34" s="8">
        <f>D33*(1+'Avoided Cost inputs_EGD'!$L$9)</f>
        <v>0.40489800688682909</v>
      </c>
      <c r="E34" s="177">
        <f>NPV($C$2,$D$8:D34)+D$7</f>
        <v>3.4320117576776794</v>
      </c>
      <c r="F34" s="183">
        <f t="shared" si="2"/>
        <v>2.5318489998058569E-2</v>
      </c>
      <c r="G34" s="184"/>
      <c r="H34" s="176"/>
      <c r="I34" s="176"/>
      <c r="J34" s="8">
        <f>'Avoided Cost inputs_EGD'!P34/100</f>
        <v>0.16424734725131265</v>
      </c>
      <c r="K34" s="177">
        <f>NPV($C$2,$J$8:J34)+J$7</f>
        <v>1.4916352659275247</v>
      </c>
      <c r="L34" s="8">
        <f>'Avoided Cost inputs_EGD'!Q34/100</f>
        <v>3.9525949384807917</v>
      </c>
      <c r="M34" s="177">
        <f>NPV($C$2,$L$8:L34)+L$7</f>
        <v>35.896043989943124</v>
      </c>
      <c r="N34" s="182"/>
    </row>
    <row r="35" spans="1:14" x14ac:dyDescent="0.2">
      <c r="A35" s="1" t="str">
        <f t="shared" si="0"/>
        <v>w29</v>
      </c>
      <c r="B35" s="1">
        <v>29</v>
      </c>
      <c r="C35" s="1">
        <f t="shared" si="1"/>
        <v>2040</v>
      </c>
      <c r="D35" s="8">
        <f>D34*(1+'Avoided Cost inputs_EGD'!$L$9)</f>
        <v>0.4129959670245657</v>
      </c>
      <c r="E35" s="177">
        <f>NPV($C$2,$D$8:D35)+D$7</f>
        <v>3.4941272648429611</v>
      </c>
      <c r="F35" s="183">
        <f t="shared" si="2"/>
        <v>2.3662140185101467E-2</v>
      </c>
      <c r="G35" s="184"/>
      <c r="H35" s="176"/>
      <c r="I35" s="176"/>
      <c r="J35" s="8">
        <f>'Avoided Cost inputs_EGD'!P35/100</f>
        <v>0.16753229419633894</v>
      </c>
      <c r="K35" s="177">
        <f>NPV($C$2,$J$8:J35)+J$7</f>
        <v>1.5168324936281761</v>
      </c>
      <c r="L35" s="8">
        <f>'Avoided Cost inputs_EGD'!Q35/100</f>
        <v>4.0316468372504071</v>
      </c>
      <c r="M35" s="177">
        <f>NPV($C$2,$L$8:L35)+L$7</f>
        <v>36.502412594003175</v>
      </c>
      <c r="N35" s="182"/>
    </row>
    <row r="36" spans="1:14" x14ac:dyDescent="0.2">
      <c r="A36" s="1" t="str">
        <f t="shared" si="0"/>
        <v>w30</v>
      </c>
      <c r="B36" s="1">
        <v>30</v>
      </c>
      <c r="C36" s="1">
        <f t="shared" si="1"/>
        <v>2041</v>
      </c>
      <c r="D36" s="8">
        <f>D35*(1+'Avoided Cost inputs_EGD'!$L$9)</f>
        <v>0.42125588636505701</v>
      </c>
      <c r="E36" s="177">
        <f>NPV($C$2,$D$8:D36)+D$7</f>
        <v>3.5533401782154725</v>
      </c>
      <c r="F36" s="183">
        <f t="shared" si="2"/>
        <v>2.2114149705702305E-2</v>
      </c>
      <c r="G36" s="184"/>
      <c r="H36" s="176"/>
      <c r="I36" s="176"/>
      <c r="J36" s="8">
        <f>'Avoided Cost inputs_EGD'!P36/100</f>
        <v>0.17088294008026572</v>
      </c>
      <c r="K36" s="177">
        <f>NPV($C$2,$J$8:J36)+J$7</f>
        <v>1.5408522807820682</v>
      </c>
      <c r="L36" s="8">
        <f>'Avoided Cost inputs_EGD'!Q36/100</f>
        <v>4.1122797739954153</v>
      </c>
      <c r="M36" s="177">
        <f>NPV($C$2,$L$8:L36)+L$7</f>
        <v>37.080446216565079</v>
      </c>
      <c r="N36" s="182"/>
    </row>
    <row r="37" spans="1:14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85"/>
      <c r="M37" s="1"/>
      <c r="N37" s="182"/>
    </row>
    <row r="38" spans="1:14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x14ac:dyDescent="0.2">
      <c r="B39" s="1"/>
      <c r="C39" s="1"/>
      <c r="D39" s="1"/>
      <c r="E39" s="1">
        <v>4</v>
      </c>
      <c r="F39" s="1"/>
      <c r="G39" s="1"/>
      <c r="H39" s="1"/>
      <c r="I39" s="1"/>
      <c r="J39" s="1"/>
      <c r="K39" s="1">
        <v>10</v>
      </c>
      <c r="L39" s="1"/>
      <c r="M39" s="1">
        <v>12</v>
      </c>
    </row>
    <row r="40" spans="1:14" x14ac:dyDescent="0.2">
      <c r="B40" s="1" t="s">
        <v>22</v>
      </c>
      <c r="C40" s="6"/>
      <c r="D40" s="1" t="s">
        <v>18</v>
      </c>
      <c r="E40" s="1"/>
      <c r="F40" s="1"/>
      <c r="G40" s="1"/>
      <c r="H40" s="1"/>
      <c r="I40" s="1"/>
      <c r="J40" s="1"/>
      <c r="K40" s="1"/>
      <c r="L40" s="1"/>
      <c r="M40" s="1"/>
    </row>
    <row r="41" spans="1:14" x14ac:dyDescent="0.2">
      <c r="B41" s="1"/>
      <c r="C41" s="6"/>
      <c r="D41" s="1" t="s">
        <v>19</v>
      </c>
      <c r="E41" s="1"/>
      <c r="F41" s="1"/>
      <c r="G41" s="1"/>
      <c r="H41" s="1"/>
      <c r="I41" s="1"/>
      <c r="J41" s="1"/>
      <c r="K41" s="1"/>
      <c r="L41" s="1"/>
      <c r="M41" s="1"/>
    </row>
    <row r="42" spans="1:14" x14ac:dyDescent="0.2">
      <c r="B42" s="1" t="s">
        <v>20</v>
      </c>
      <c r="C42" s="6"/>
      <c r="D42" s="1"/>
      <c r="E42" s="2" t="s">
        <v>21</v>
      </c>
      <c r="F42" s="2"/>
      <c r="G42" s="2"/>
      <c r="H42" s="1"/>
      <c r="I42" s="2"/>
      <c r="J42" s="1"/>
      <c r="K42" s="2" t="s">
        <v>21</v>
      </c>
      <c r="L42" s="1"/>
      <c r="M42" s="2" t="s">
        <v>21</v>
      </c>
    </row>
    <row r="43" spans="1:14" hidden="1" x14ac:dyDescent="0.2">
      <c r="B43" s="1">
        <v>0</v>
      </c>
      <c r="C43" s="1">
        <v>2006</v>
      </c>
      <c r="D43" s="7">
        <v>0</v>
      </c>
      <c r="E43" s="177"/>
      <c r="F43" s="176"/>
      <c r="G43" s="176"/>
      <c r="H43" s="184"/>
      <c r="I43" s="177"/>
      <c r="J43" s="8">
        <f t="shared" ref="J43:J73" si="3">J6</f>
        <v>0</v>
      </c>
      <c r="K43" s="177"/>
      <c r="L43" s="8"/>
      <c r="M43" s="177"/>
    </row>
    <row r="44" spans="1:14" x14ac:dyDescent="0.2">
      <c r="A44" s="1" t="str">
        <f>+"s"&amp;B44</f>
        <v>s1</v>
      </c>
      <c r="B44" s="1">
        <v>1</v>
      </c>
      <c r="C44" s="1">
        <v>2012</v>
      </c>
      <c r="D44" s="7">
        <f>'Avoided Cost inputs_EGD'!D78/1000</f>
        <v>0.16337806318275785</v>
      </c>
      <c r="E44" s="177">
        <f>+D44</f>
        <v>0.16337806318275785</v>
      </c>
      <c r="F44" s="176">
        <f>E44</f>
        <v>0.16337806318275785</v>
      </c>
      <c r="G44" s="3"/>
      <c r="H44" s="184"/>
      <c r="I44" s="180"/>
      <c r="J44" s="8">
        <f t="shared" si="3"/>
        <v>9.4E-2</v>
      </c>
      <c r="K44" s="186">
        <f>+J44</f>
        <v>9.4E-2</v>
      </c>
      <c r="L44" s="8">
        <f t="shared" ref="L44:L73" si="4">+L7</f>
        <v>2.2621000000000002</v>
      </c>
      <c r="M44" s="180">
        <f>+L44</f>
        <v>2.2621000000000002</v>
      </c>
    </row>
    <row r="45" spans="1:14" x14ac:dyDescent="0.2">
      <c r="A45" s="1" t="str">
        <f t="shared" ref="A45:A73" si="5">+"s"&amp;B45</f>
        <v>s2</v>
      </c>
      <c r="B45" s="1">
        <v>2</v>
      </c>
      <c r="C45" s="1">
        <f t="shared" ref="C45:C72" si="6">+C44+1</f>
        <v>2013</v>
      </c>
      <c r="D45" s="7">
        <f>'Avoided Cost inputs_EGD'!D79/1000</f>
        <v>0.17618215393706499</v>
      </c>
      <c r="E45" s="177">
        <f>NPV($C$2,$D$45:D45)+D$44</f>
        <v>0.32803428181552885</v>
      </c>
      <c r="F45" s="176">
        <f>NPV($C$2,D45)</f>
        <v>0.164656218632771</v>
      </c>
      <c r="G45" s="3"/>
      <c r="H45" s="184"/>
      <c r="I45" s="180"/>
      <c r="J45" s="8">
        <f t="shared" si="3"/>
        <v>9.59353925801959E-2</v>
      </c>
      <c r="K45" s="177">
        <f>NPV($C$2,J$45:J45)+J$44</f>
        <v>0.18365924540205225</v>
      </c>
      <c r="L45" s="8">
        <f t="shared" si="4"/>
        <v>2.3086750165495866</v>
      </c>
      <c r="M45" s="177">
        <f>NPV($C$2,L$45:L45)+L$44</f>
        <v>4.4197402023827914</v>
      </c>
    </row>
    <row r="46" spans="1:14" x14ac:dyDescent="0.2">
      <c r="A46" s="1" t="str">
        <f t="shared" si="5"/>
        <v>s3</v>
      </c>
      <c r="B46" s="1">
        <v>3</v>
      </c>
      <c r="C46" s="1">
        <f t="shared" si="6"/>
        <v>2014</v>
      </c>
      <c r="D46" s="7">
        <f>'Avoided Cost inputs_EGD'!D80/1000</f>
        <v>0.1910851531584358</v>
      </c>
      <c r="E46" s="177">
        <f>NPV($C$2,$D$45:D46)+D$44</f>
        <v>0.49493545498212488</v>
      </c>
      <c r="F46" s="176">
        <f t="shared" ref="F46:F73" si="7">NPV($C$2,D46)</f>
        <v>0.17858425528825775</v>
      </c>
      <c r="G46" s="3"/>
      <c r="H46" s="184"/>
      <c r="I46" s="180"/>
      <c r="J46" s="8">
        <f t="shared" si="3"/>
        <v>9.7799679831495678E-2</v>
      </c>
      <c r="K46" s="177">
        <f>NPV($C$2,J$45:J46)+J$44</f>
        <v>0.26908127337960108</v>
      </c>
      <c r="L46" s="8">
        <f t="shared" si="4"/>
        <v>2.353538890923685</v>
      </c>
      <c r="M46" s="177">
        <f>NPV($C$2,L$45:L46)+L$44</f>
        <v>6.4754122182127194</v>
      </c>
    </row>
    <row r="47" spans="1:14" x14ac:dyDescent="0.2">
      <c r="A47" s="1" t="str">
        <f t="shared" si="5"/>
        <v>s4</v>
      </c>
      <c r="B47" s="1">
        <v>4</v>
      </c>
      <c r="C47" s="1">
        <f t="shared" si="6"/>
        <v>2015</v>
      </c>
      <c r="D47" s="7">
        <f>'Avoided Cost inputs_EGD'!D81/1000</f>
        <v>0.20530143540670237</v>
      </c>
      <c r="E47" s="177">
        <f>NPV($C$2,$D$45:D47)+D$44</f>
        <v>0.66252258082726045</v>
      </c>
      <c r="F47" s="176">
        <f t="shared" si="7"/>
        <v>0.19187050038009565</v>
      </c>
      <c r="G47" s="3"/>
      <c r="H47" s="184"/>
      <c r="I47" s="180"/>
      <c r="J47" s="8">
        <f t="shared" si="3"/>
        <v>9.9648021086825855E-2</v>
      </c>
      <c r="K47" s="177">
        <f>NPV($C$2,J$45:J47)+J$44</f>
        <v>0.35042374142915189</v>
      </c>
      <c r="L47" s="8">
        <f t="shared" si="4"/>
        <v>2.398019026601157</v>
      </c>
      <c r="M47" s="177">
        <f>NPV($C$2,L$45:L47)+L$44</f>
        <v>8.4329100583711103</v>
      </c>
    </row>
    <row r="48" spans="1:14" x14ac:dyDescent="0.2">
      <c r="A48" s="1" t="str">
        <f t="shared" si="5"/>
        <v>s5</v>
      </c>
      <c r="B48" s="1">
        <v>5</v>
      </c>
      <c r="C48" s="1">
        <f t="shared" si="6"/>
        <v>2016</v>
      </c>
      <c r="D48" s="7">
        <f>'Avoided Cost inputs_EGD'!D82/1000</f>
        <v>0.22418504218504473</v>
      </c>
      <c r="E48" s="177">
        <f>NPV($C$2,$D$45:D48)+D$44</f>
        <v>0.8335522761229035</v>
      </c>
      <c r="F48" s="176">
        <f t="shared" si="7"/>
        <v>0.20951873101406049</v>
      </c>
      <c r="G48" s="3"/>
      <c r="H48" s="184"/>
      <c r="I48" s="180"/>
      <c r="J48" s="8">
        <f t="shared" si="3"/>
        <v>0.1015690108623253</v>
      </c>
      <c r="K48" s="177">
        <f>NPV($C$2,J$45:J48)+J$44</f>
        <v>0.42791025350842293</v>
      </c>
      <c r="L48" s="8">
        <f t="shared" si="4"/>
        <v>2.4442474411879367</v>
      </c>
      <c r="M48" s="177">
        <f>NPV($C$2,L$45:L48)+L$44</f>
        <v>10.297614728312803</v>
      </c>
    </row>
    <row r="49" spans="1:13" x14ac:dyDescent="0.2">
      <c r="A49" s="1" t="str">
        <f t="shared" si="5"/>
        <v>s6</v>
      </c>
      <c r="B49" s="1">
        <v>6</v>
      </c>
      <c r="C49" s="1">
        <f t="shared" si="6"/>
        <v>2017</v>
      </c>
      <c r="D49" s="7">
        <f>'Avoided Cost inputs_EGD'!D83/1000</f>
        <v>0.24229422613136486</v>
      </c>
      <c r="E49" s="177">
        <f>NPV($C$2,$D$45:D49)+D$44</f>
        <v>1.0063047107232574</v>
      </c>
      <c r="F49" s="176">
        <f t="shared" si="7"/>
        <v>0.22644320199192977</v>
      </c>
      <c r="G49" s="3"/>
      <c r="H49" s="184"/>
      <c r="I49" s="180"/>
      <c r="J49" s="8">
        <f t="shared" si="3"/>
        <v>0.10356870465445844</v>
      </c>
      <c r="K49" s="177">
        <f>NPV($C$2,J$45:J49)+J$44</f>
        <v>0.50175330855407774</v>
      </c>
      <c r="L49" s="8">
        <f t="shared" si="4"/>
        <v>2.4923698595622388</v>
      </c>
      <c r="M49" s="177">
        <f>NPV($C$2,L$45:L49)+L$44</f>
        <v>12.074639992342329</v>
      </c>
    </row>
    <row r="50" spans="1:13" x14ac:dyDescent="0.2">
      <c r="A50" s="1" t="str">
        <f t="shared" si="5"/>
        <v>s7</v>
      </c>
      <c r="B50" s="1">
        <v>7</v>
      </c>
      <c r="C50" s="1">
        <f t="shared" si="6"/>
        <v>2018</v>
      </c>
      <c r="D50" s="7">
        <f>'Avoided Cost inputs_EGD'!D84/1000</f>
        <v>0.26201768172888451</v>
      </c>
      <c r="E50" s="177">
        <f>NPV($C$2,$D$45:D50)+D$44</f>
        <v>1.1808981554457296</v>
      </c>
      <c r="F50" s="176">
        <f t="shared" si="7"/>
        <v>0.24487633806437803</v>
      </c>
      <c r="G50" s="3"/>
      <c r="H50" s="184"/>
      <c r="I50" s="180"/>
      <c r="J50" s="8">
        <f t="shared" si="3"/>
        <v>0.10560530606974874</v>
      </c>
      <c r="K50" s="177">
        <f>NPV($C$2,J$45:J50)+J$44</f>
        <v>0.57212258304741748</v>
      </c>
      <c r="L50" s="8">
        <f t="shared" si="4"/>
        <v>2.5413804559614745</v>
      </c>
      <c r="M50" s="177">
        <f>NPV($C$2,L$45:L50)+L$44</f>
        <v>13.768069096931521</v>
      </c>
    </row>
    <row r="51" spans="1:13" x14ac:dyDescent="0.2">
      <c r="A51" s="1" t="str">
        <f t="shared" si="5"/>
        <v>s8</v>
      </c>
      <c r="B51" s="1">
        <v>8</v>
      </c>
      <c r="C51" s="1">
        <f t="shared" si="6"/>
        <v>2019</v>
      </c>
      <c r="D51" s="7">
        <f>'Avoided Cost inputs_EGD'!D85/1000</f>
        <v>0.3132484385843235</v>
      </c>
      <c r="E51" s="177">
        <f>NPV($C$2,$D$45:D51)+D$44</f>
        <v>1.3759735397198682</v>
      </c>
      <c r="F51" s="176">
        <f t="shared" si="7"/>
        <v>0.29275555007880699</v>
      </c>
      <c r="G51" s="3"/>
      <c r="H51" s="184"/>
      <c r="I51" s="180"/>
      <c r="J51" s="8">
        <f t="shared" si="3"/>
        <v>0.10773994587263878</v>
      </c>
      <c r="K51" s="177">
        <f>NPV($C$2,J$45:J51)+J$44</f>
        <v>0.63921760653026305</v>
      </c>
      <c r="L51" s="8">
        <f t="shared" si="4"/>
        <v>2.5927503357286832</v>
      </c>
      <c r="M51" s="177">
        <f>NPV($C$2,L$45:L51)+L$44</f>
        <v>15.382703699277746</v>
      </c>
    </row>
    <row r="52" spans="1:13" x14ac:dyDescent="0.2">
      <c r="A52" s="1" t="str">
        <f t="shared" si="5"/>
        <v>s9</v>
      </c>
      <c r="B52" s="1">
        <v>9</v>
      </c>
      <c r="C52" s="1">
        <f t="shared" si="6"/>
        <v>2020</v>
      </c>
      <c r="D52" s="7">
        <f>'Avoided Cost inputs_EGD'!D86/1000</f>
        <v>0.30209611171960338</v>
      </c>
      <c r="E52" s="177">
        <f>NPV($C$2,$D$45:D52)+D$44</f>
        <v>1.5517962271943744</v>
      </c>
      <c r="F52" s="176">
        <f t="shared" si="7"/>
        <v>0.28233281469121807</v>
      </c>
      <c r="G52" s="187"/>
      <c r="H52" s="184"/>
      <c r="I52" s="180"/>
      <c r="J52" s="8">
        <f t="shared" si="3"/>
        <v>0.10996006012519934</v>
      </c>
      <c r="K52" s="177">
        <f>NPV($C$2,J$45:J52)+J$44</f>
        <v>0.70321536266164808</v>
      </c>
      <c r="L52" s="8">
        <f t="shared" si="4"/>
        <v>2.6461771490341852</v>
      </c>
      <c r="M52" s="177">
        <f>NPV($C$2,L$45:L52)+L$44</f>
        <v>16.922802892307597</v>
      </c>
    </row>
    <row r="53" spans="1:13" x14ac:dyDescent="0.2">
      <c r="A53" s="1" t="str">
        <f t="shared" si="5"/>
        <v>s10</v>
      </c>
      <c r="B53" s="1">
        <v>10</v>
      </c>
      <c r="C53" s="1">
        <f t="shared" si="6"/>
        <v>2021</v>
      </c>
      <c r="D53" s="7">
        <f>'Avoided Cost inputs_EGD'!D87/1000</f>
        <v>0.30224564944444393</v>
      </c>
      <c r="E53" s="177">
        <f>NPV($C$2,$D$45:D53)+D$44</f>
        <v>1.716197834476467</v>
      </c>
      <c r="F53" s="176">
        <f t="shared" si="7"/>
        <v>0.28247256957424666</v>
      </c>
      <c r="G53" s="176"/>
      <c r="H53" s="184"/>
      <c r="I53" s="180"/>
      <c r="J53" s="8">
        <f t="shared" si="3"/>
        <v>0.1121950422685309</v>
      </c>
      <c r="K53" s="177">
        <f>NPV($C$2,J$45:J53)+J$44</f>
        <v>0.76424203190215678</v>
      </c>
      <c r="L53" s="8">
        <f t="shared" si="4"/>
        <v>2.6999617565494014</v>
      </c>
      <c r="M53" s="177">
        <f>NPV($C$2,L$45:L53)+L$44</f>
        <v>18.391403195381582</v>
      </c>
    </row>
    <row r="54" spans="1:13" x14ac:dyDescent="0.2">
      <c r="A54" s="1" t="str">
        <f t="shared" si="5"/>
        <v>s11</v>
      </c>
      <c r="B54" s="1">
        <v>11</v>
      </c>
      <c r="C54" s="1">
        <f t="shared" si="6"/>
        <v>2022</v>
      </c>
      <c r="D54" s="8">
        <f>D53*(1+'Avoided Cost inputs_EGD'!$L$70)</f>
        <v>0.3082905624333328</v>
      </c>
      <c r="E54" s="177">
        <f>NPV($C$2,$D$45:D54)+D$44</f>
        <v>1.8729171236612656</v>
      </c>
      <c r="F54" s="176">
        <f t="shared" si="7"/>
        <v>0.28812202096573158</v>
      </c>
      <c r="G54" s="176"/>
      <c r="H54" s="184"/>
      <c r="I54" s="180"/>
      <c r="J54" s="8">
        <f t="shared" si="3"/>
        <v>0.11446646689405574</v>
      </c>
      <c r="K54" s="177">
        <f>NPV($C$2,J$45:J54)+J$44</f>
        <v>0.82243097932091214</v>
      </c>
      <c r="L54" s="8">
        <f t="shared" si="4"/>
        <v>2.7546233485217391</v>
      </c>
      <c r="M54" s="177">
        <f>NPV($C$2,L$45:L54)+L$44</f>
        <v>19.791714024700372</v>
      </c>
    </row>
    <row r="55" spans="1:13" x14ac:dyDescent="0.2">
      <c r="A55" s="1" t="str">
        <f t="shared" si="5"/>
        <v>s12</v>
      </c>
      <c r="B55" s="1">
        <v>12</v>
      </c>
      <c r="C55" s="1">
        <f t="shared" si="6"/>
        <v>2023</v>
      </c>
      <c r="D55" s="8">
        <f>D54*(1+'Avoided Cost inputs_EGD'!$L$70)</f>
        <v>0.31445637368199947</v>
      </c>
      <c r="E55" s="177">
        <f>NPV($C$2,$D$45:D55)+D$44</f>
        <v>2.0223130815757466</v>
      </c>
      <c r="F55" s="176">
        <f t="shared" si="7"/>
        <v>0.2938844613850462</v>
      </c>
      <c r="G55" s="176"/>
      <c r="H55" s="184"/>
      <c r="I55" s="180"/>
      <c r="J55" s="8">
        <f t="shared" si="3"/>
        <v>0.11682077165333425</v>
      </c>
      <c r="K55" s="177">
        <f>NPV($C$2,J$45:J55)+J$44</f>
        <v>0.87793168640185038</v>
      </c>
      <c r="L55" s="8">
        <f t="shared" si="4"/>
        <v>2.8112794420958234</v>
      </c>
      <c r="M55" s="177">
        <f>NPV($C$2,L$45:L55)+L$44</f>
        <v>21.127332636272612</v>
      </c>
    </row>
    <row r="56" spans="1:13" x14ac:dyDescent="0.2">
      <c r="A56" s="1" t="str">
        <f t="shared" si="5"/>
        <v>s13</v>
      </c>
      <c r="B56" s="1">
        <v>13</v>
      </c>
      <c r="C56" s="1">
        <f t="shared" si="6"/>
        <v>2024</v>
      </c>
      <c r="D56" s="8">
        <f>D55*(1+'Avoided Cost inputs_EGD'!$L$70)</f>
        <v>0.32074550115563949</v>
      </c>
      <c r="E56" s="177">
        <f>NPV($C$2,$D$45:D56)+D$44</f>
        <v>2.1647279199615137</v>
      </c>
      <c r="F56" s="176">
        <f t="shared" si="7"/>
        <v>0.29976215061274719</v>
      </c>
      <c r="G56" s="176"/>
      <c r="H56" s="184"/>
      <c r="I56" s="180"/>
      <c r="J56" s="8">
        <f t="shared" si="3"/>
        <v>0.1193204689527344</v>
      </c>
      <c r="K56" s="177">
        <f>NPV($C$2,J$45:J56)+J$44</f>
        <v>0.93091140159907726</v>
      </c>
      <c r="L56" s="8">
        <f t="shared" si="4"/>
        <v>2.8714343916806437</v>
      </c>
      <c r="M56" s="177">
        <f>NPV($C$2,L$45:L56)+L$44</f>
        <v>22.402283846353964</v>
      </c>
    </row>
    <row r="57" spans="1:13" x14ac:dyDescent="0.2">
      <c r="A57" s="1" t="str">
        <f t="shared" si="5"/>
        <v>s14</v>
      </c>
      <c r="B57" s="1">
        <v>14</v>
      </c>
      <c r="C57" s="1">
        <f t="shared" si="6"/>
        <v>2025</v>
      </c>
      <c r="D57" s="8">
        <f>D56*(1+'Avoided Cost inputs_EGD'!$L$70)</f>
        <v>0.32716041117875228</v>
      </c>
      <c r="E57" s="177">
        <f>NPV($C$2,$D$45:D57)+D$44</f>
        <v>2.3004878593572911</v>
      </c>
      <c r="F57" s="176">
        <f t="shared" si="7"/>
        <v>0.30575739362500209</v>
      </c>
      <c r="G57" s="176"/>
      <c r="H57" s="184"/>
      <c r="I57" s="180"/>
      <c r="J57" s="8">
        <f t="shared" si="3"/>
        <v>0.12188177431114172</v>
      </c>
      <c r="K57" s="177">
        <f>NPV($C$2,J$45:J57)+J$44</f>
        <v>0.98148800478377551</v>
      </c>
      <c r="L57" s="8">
        <f t="shared" si="4"/>
        <v>2.9330719326514219</v>
      </c>
      <c r="M57" s="177">
        <f>NPV($C$2,L$45:L57)+L$44</f>
        <v>23.619404421504026</v>
      </c>
    </row>
    <row r="58" spans="1:13" x14ac:dyDescent="0.2">
      <c r="A58" s="1" t="str">
        <f t="shared" si="5"/>
        <v>s15</v>
      </c>
      <c r="B58" s="1">
        <v>15</v>
      </c>
      <c r="C58" s="1">
        <f t="shared" si="6"/>
        <v>2026</v>
      </c>
      <c r="D58" s="8">
        <f>D57*(1+'Avoided Cost inputs_EGD'!$L$70)</f>
        <v>0.33370361940232734</v>
      </c>
      <c r="E58" s="177">
        <f>NPV($C$2,$D$45:D58)+D$44</f>
        <v>2.4299038763513972</v>
      </c>
      <c r="F58" s="176">
        <f t="shared" si="7"/>
        <v>0.31187254149750215</v>
      </c>
      <c r="G58" s="176"/>
      <c r="H58" s="184"/>
      <c r="I58" s="180"/>
      <c r="J58" s="8">
        <f t="shared" si="3"/>
        <v>0.1245313926301469</v>
      </c>
      <c r="K58" s="177">
        <f>NPV($C$2,J$45:J58)+J$44</f>
        <v>1.0297834258936442</v>
      </c>
      <c r="L58" s="8">
        <f t="shared" si="4"/>
        <v>2.9968347156239923</v>
      </c>
      <c r="M58" s="177">
        <f>NPV($C$2,L$45:L58)+L$44</f>
        <v>24.781628592702262</v>
      </c>
    </row>
    <row r="59" spans="1:13" x14ac:dyDescent="0.2">
      <c r="A59" s="1" t="str">
        <f t="shared" si="5"/>
        <v>s16</v>
      </c>
      <c r="B59" s="1">
        <v>16</v>
      </c>
      <c r="C59" s="1">
        <f t="shared" si="6"/>
        <v>2027</v>
      </c>
      <c r="D59" s="8">
        <f>D58*(1+'Avoided Cost inputs_EGD'!$L$70)</f>
        <v>0.34037769179037392</v>
      </c>
      <c r="E59" s="177">
        <f>NPV($C$2,$D$45:D59)+D$44</f>
        <v>2.5532724159158722</v>
      </c>
      <c r="F59" s="176">
        <f t="shared" si="7"/>
        <v>0.31810999232745224</v>
      </c>
      <c r="G59" s="176"/>
      <c r="H59" s="184"/>
      <c r="I59" s="180"/>
      <c r="J59" s="8">
        <f t="shared" si="3"/>
        <v>0.12723175994641134</v>
      </c>
      <c r="K59" s="177">
        <f>NPV($C$2,J$45:J59)+J$44</f>
        <v>1.0758980708583132</v>
      </c>
      <c r="L59" s="8">
        <f t="shared" si="4"/>
        <v>3.0618187678167779</v>
      </c>
      <c r="M59" s="177">
        <f>NPV($C$2,L$45:L59)+L$44</f>
        <v>25.891372617963729</v>
      </c>
    </row>
    <row r="60" spans="1:13" x14ac:dyDescent="0.2">
      <c r="A60" s="1" t="str">
        <f t="shared" si="5"/>
        <v>s17</v>
      </c>
      <c r="B60" s="1">
        <v>17</v>
      </c>
      <c r="C60" s="1">
        <f t="shared" si="6"/>
        <v>2028</v>
      </c>
      <c r="D60" s="8">
        <f>D59*(1+'Avoided Cost inputs_EGD'!$L$70)</f>
        <v>0.34718524562618142</v>
      </c>
      <c r="E60" s="177">
        <f>NPV($C$2,$D$45:D60)+D$44</f>
        <v>2.6708760704539696</v>
      </c>
      <c r="F60" s="176">
        <f t="shared" si="7"/>
        <v>0.32447219217400131</v>
      </c>
      <c r="G60" s="176"/>
      <c r="H60" s="184"/>
      <c r="I60" s="180"/>
      <c r="J60" s="8">
        <f t="shared" si="3"/>
        <v>0.13002400520067733</v>
      </c>
      <c r="K60" s="177">
        <f>NPV($C$2,J$45:J60)+J$44</f>
        <v>1.1199416999638674</v>
      </c>
      <c r="L60" s="8">
        <f t="shared" si="4"/>
        <v>3.1290138528133213</v>
      </c>
      <c r="M60" s="177">
        <f>NPV($C$2,L$45:L60)+L$44</f>
        <v>26.951277866896429</v>
      </c>
    </row>
    <row r="61" spans="1:13" x14ac:dyDescent="0.2">
      <c r="A61" s="1" t="str">
        <f t="shared" si="5"/>
        <v>s18</v>
      </c>
      <c r="B61" s="1">
        <v>18</v>
      </c>
      <c r="C61" s="1">
        <f t="shared" si="6"/>
        <v>2029</v>
      </c>
      <c r="D61" s="8">
        <f>D60*(1+'Avoided Cost inputs_EGD'!$L$70)</f>
        <v>0.35412895053870502</v>
      </c>
      <c r="E61" s="177">
        <f>NPV($C$2,$D$45:D61)+D$44</f>
        <v>2.7829842271164553</v>
      </c>
      <c r="F61" s="176">
        <f t="shared" si="7"/>
        <v>0.3309616360174813</v>
      </c>
      <c r="G61" s="176"/>
      <c r="H61" s="184"/>
      <c r="I61" s="180"/>
      <c r="J61" s="8">
        <f t="shared" si="3"/>
        <v>0.13291231896731764</v>
      </c>
      <c r="K61" s="177">
        <f>NPV($C$2,J$45:J61)+J$44</f>
        <v>1.1620183363261174</v>
      </c>
      <c r="L61" s="8">
        <f t="shared" si="4"/>
        <v>3.1985208163400989</v>
      </c>
      <c r="M61" s="177">
        <f>NPV($C$2,L$45:L61)+L$44</f>
        <v>27.963847644716065</v>
      </c>
    </row>
    <row r="62" spans="1:13" x14ac:dyDescent="0.2">
      <c r="A62" s="1" t="str">
        <f t="shared" si="5"/>
        <v>s19</v>
      </c>
      <c r="B62" s="1">
        <v>19</v>
      </c>
      <c r="C62" s="1">
        <f t="shared" si="6"/>
        <v>2030</v>
      </c>
      <c r="D62" s="8">
        <f>D61*(1+'Avoided Cost inputs_EGD'!$L$70)</f>
        <v>0.3612115295494791</v>
      </c>
      <c r="E62" s="177">
        <f>NPV($C$2,$D$45:D62)+D$44</f>
        <v>2.8898536848694789</v>
      </c>
      <c r="F62" s="176">
        <f t="shared" si="7"/>
        <v>0.33758086873783094</v>
      </c>
      <c r="G62" s="176"/>
      <c r="H62" s="184"/>
      <c r="I62" s="180"/>
      <c r="J62" s="8">
        <f t="shared" si="3"/>
        <v>0.13588830694602616</v>
      </c>
      <c r="K62" s="177">
        <f>NPV($C$2,J$45:J62)+J$44</f>
        <v>1.20222278300148</v>
      </c>
      <c r="L62" s="8">
        <f t="shared" si="4"/>
        <v>3.270137650453254</v>
      </c>
      <c r="M62" s="177">
        <f>NPV($C$2,L$45:L62)+L$44</f>
        <v>28.931363376889873</v>
      </c>
    </row>
    <row r="63" spans="1:13" x14ac:dyDescent="0.2">
      <c r="A63" s="1" t="str">
        <f t="shared" si="5"/>
        <v>s20</v>
      </c>
      <c r="B63" s="1">
        <v>20</v>
      </c>
      <c r="C63" s="1">
        <f t="shared" si="6"/>
        <v>2031</v>
      </c>
      <c r="D63" s="8">
        <f>D62*(1+'Avoided Cost inputs_EGD'!$L$70)</f>
        <v>0.36843576014046869</v>
      </c>
      <c r="E63" s="177">
        <f>NPV($C$2,$D$45:D63)+D$44</f>
        <v>2.9917292427275011</v>
      </c>
      <c r="F63" s="176">
        <f t="shared" si="7"/>
        <v>0.34433248611258754</v>
      </c>
      <c r="G63" s="176"/>
      <c r="H63" s="184"/>
      <c r="I63" s="180"/>
      <c r="J63" s="8">
        <f t="shared" si="3"/>
        <v>0.13889429958357727</v>
      </c>
      <c r="K63" s="177">
        <f>NPV($C$2,J$45:J63)+J$44</f>
        <v>1.240628214244043</v>
      </c>
      <c r="L63" s="8">
        <f t="shared" si="4"/>
        <v>3.3424765434894703</v>
      </c>
      <c r="M63" s="177">
        <f>NPV($C$2,L$45:L63)+L$44</f>
        <v>29.855585994057979</v>
      </c>
    </row>
    <row r="64" spans="1:13" x14ac:dyDescent="0.2">
      <c r="A64" s="1" t="str">
        <f t="shared" si="5"/>
        <v>s21</v>
      </c>
      <c r="B64" s="1">
        <v>21</v>
      </c>
      <c r="C64" s="1">
        <f t="shared" si="6"/>
        <v>2032</v>
      </c>
      <c r="D64" s="8">
        <f>D63*(1+'Avoided Cost inputs_EGD'!$L$70)</f>
        <v>0.3758044753432781</v>
      </c>
      <c r="E64" s="177">
        <f>NPV($C$2,$D$45:D64)+D$44</f>
        <v>3.0888442604987003</v>
      </c>
      <c r="F64" s="176">
        <f t="shared" si="7"/>
        <v>0.35121913583483932</v>
      </c>
      <c r="G64" s="176"/>
      <c r="H64" s="184"/>
      <c r="I64" s="180"/>
      <c r="J64" s="8">
        <f t="shared" si="3"/>
        <v>0.14198247075583986</v>
      </c>
      <c r="K64" s="177">
        <f>NPV($C$2,J$45:J64)+J$44</f>
        <v>1.2773191827538162</v>
      </c>
      <c r="L64" s="8">
        <f t="shared" si="4"/>
        <v>3.4167930542211211</v>
      </c>
      <c r="M64" s="177">
        <f>NPV($C$2,L$45:L64)+L$44</f>
        <v>30.738550247951149</v>
      </c>
    </row>
    <row r="65" spans="1:13" x14ac:dyDescent="0.2">
      <c r="A65" s="1" t="str">
        <f t="shared" si="5"/>
        <v>s22</v>
      </c>
      <c r="B65" s="1">
        <v>22</v>
      </c>
      <c r="C65" s="1">
        <f t="shared" si="6"/>
        <v>2033</v>
      </c>
      <c r="D65" s="8">
        <f>D64*(1+'Avoided Cost inputs_EGD'!$L$70)</f>
        <v>0.38332056485014365</v>
      </c>
      <c r="E65" s="177">
        <f>NPV($C$2,$D$45:D65)+D$44</f>
        <v>3.1814211933273198</v>
      </c>
      <c r="F65" s="176">
        <f t="shared" si="7"/>
        <v>0.35824351855153608</v>
      </c>
      <c r="G65" s="176"/>
      <c r="H65" s="184"/>
      <c r="I65" s="180"/>
      <c r="J65" s="8">
        <f t="shared" si="3"/>
        <v>0.1450978389399728</v>
      </c>
      <c r="K65" s="177">
        <f>NPV($C$2,J$45:J65)+J$44</f>
        <v>1.312362209715793</v>
      </c>
      <c r="L65" s="8">
        <f t="shared" si="4"/>
        <v>3.4917640581501335</v>
      </c>
      <c r="M65" s="177">
        <f>NPV($C$2,L$45:L65)+L$44</f>
        <v>31.581856963809528</v>
      </c>
    </row>
    <row r="66" spans="1:13" x14ac:dyDescent="0.2">
      <c r="A66" s="1" t="str">
        <f t="shared" si="5"/>
        <v>s23</v>
      </c>
      <c r="B66" s="1">
        <v>23</v>
      </c>
      <c r="C66" s="1">
        <f t="shared" si="6"/>
        <v>2034</v>
      </c>
      <c r="D66" s="8">
        <f>D65*(1+'Avoided Cost inputs_EGD'!$L$70)</f>
        <v>0.39098697614714656</v>
      </c>
      <c r="E66" s="177">
        <f>NPV($C$2,$D$45:D66)+D$44</f>
        <v>3.2696721012574055</v>
      </c>
      <c r="F66" s="176">
        <f t="shared" si="7"/>
        <v>0.36540838892256683</v>
      </c>
      <c r="G66" s="176"/>
      <c r="H66" s="184"/>
      <c r="I66" s="180"/>
      <c r="J66" s="8">
        <f t="shared" si="3"/>
        <v>0.14843265805420991</v>
      </c>
      <c r="K66" s="177">
        <f>NPV($C$2,J$45:J66)+J$44</f>
        <v>1.3458654147811968</v>
      </c>
      <c r="L66" s="8">
        <f t="shared" si="4"/>
        <v>3.5720161253662588</v>
      </c>
      <c r="M66" s="177">
        <f>NPV($C$2,L$45:L66)+L$44</f>
        <v>32.388108029537719</v>
      </c>
    </row>
    <row r="67" spans="1:13" x14ac:dyDescent="0.2">
      <c r="A67" s="1" t="str">
        <f t="shared" si="5"/>
        <v>s24</v>
      </c>
      <c r="B67" s="1">
        <v>24</v>
      </c>
      <c r="C67" s="1">
        <f t="shared" si="6"/>
        <v>2035</v>
      </c>
      <c r="D67" s="8">
        <f>D66*(1+'Avoided Cost inputs_EGD'!$L$70)</f>
        <v>0.39880671567008952</v>
      </c>
      <c r="E67" s="177">
        <f>NPV($C$2,$D$45:D67)+D$44</f>
        <v>3.353799134985151</v>
      </c>
      <c r="F67" s="176">
        <f t="shared" si="7"/>
        <v>0.37271655670101822</v>
      </c>
      <c r="G67" s="176"/>
      <c r="H67" s="184"/>
      <c r="I67" s="180"/>
      <c r="J67" s="8">
        <f t="shared" si="3"/>
        <v>0.15173916049511374</v>
      </c>
      <c r="K67" s="177">
        <f>NPV($C$2,J$45:J67)+J$44</f>
        <v>1.37787431776906</v>
      </c>
      <c r="L67" s="8">
        <f t="shared" si="4"/>
        <v>3.6515867548510306</v>
      </c>
      <c r="M67" s="177">
        <f>NPV($C$2,L$45:L67)+L$44</f>
        <v>33.158398874738204</v>
      </c>
    </row>
    <row r="68" spans="1:13" x14ac:dyDescent="0.2">
      <c r="A68" s="1" t="str">
        <f t="shared" si="5"/>
        <v>s25</v>
      </c>
      <c r="B68" s="1">
        <v>25</v>
      </c>
      <c r="C68" s="1">
        <f t="shared" si="6"/>
        <v>2036</v>
      </c>
      <c r="D68" s="8">
        <f>D67*(1+'Avoided Cost inputs_EGD'!$L$70)</f>
        <v>0.40678284998349129</v>
      </c>
      <c r="E68" s="177">
        <f>NPV($C$2,$D$45:D68)+D$44</f>
        <v>3.4339949989125347</v>
      </c>
      <c r="F68" s="176">
        <f t="shared" si="7"/>
        <v>0.38017088783503855</v>
      </c>
      <c r="G68" s="176"/>
      <c r="H68" s="184"/>
      <c r="I68" s="180"/>
      <c r="J68" s="8">
        <f t="shared" si="3"/>
        <v>0.15477394370501604</v>
      </c>
      <c r="K68" s="177">
        <f>NPV($C$2,J$45:J68)+J$44</f>
        <v>1.408387477626649</v>
      </c>
      <c r="L68" s="8">
        <f t="shared" si="4"/>
        <v>3.724618489948051</v>
      </c>
      <c r="M68" s="177">
        <f>NPV($C$2,L$45:L68)+L$44</f>
        <v>33.892694820630254</v>
      </c>
    </row>
    <row r="69" spans="1:13" x14ac:dyDescent="0.2">
      <c r="A69" s="1" t="str">
        <f t="shared" si="5"/>
        <v>s26</v>
      </c>
      <c r="B69" s="1">
        <v>26</v>
      </c>
      <c r="C69" s="1">
        <f t="shared" si="6"/>
        <v>2037</v>
      </c>
      <c r="D69" s="8">
        <f>D68*(1+'Avoided Cost inputs_EGD'!$L$70)</f>
        <v>0.41491850698316113</v>
      </c>
      <c r="E69" s="177">
        <f>NPV($C$2,$D$45:D69)+D$44</f>
        <v>3.5104433925629377</v>
      </c>
      <c r="F69" s="176">
        <f t="shared" si="7"/>
        <v>0.38777430559173937</v>
      </c>
      <c r="G69" s="176"/>
      <c r="H69" s="184"/>
      <c r="I69" s="180"/>
      <c r="J69" s="8">
        <f t="shared" si="3"/>
        <v>0.15786942257911635</v>
      </c>
      <c r="K69" s="177">
        <f>NPV($C$2,J$45:J69)+J$44</f>
        <v>1.4374747888927621</v>
      </c>
      <c r="L69" s="8">
        <f t="shared" si="4"/>
        <v>3.799110859747012</v>
      </c>
      <c r="M69" s="177">
        <f>NPV($C$2,L$45:L69)+L$44</f>
        <v>34.592677871854448</v>
      </c>
    </row>
    <row r="70" spans="1:13" x14ac:dyDescent="0.2">
      <c r="A70" s="1" t="str">
        <f t="shared" si="5"/>
        <v>s27</v>
      </c>
      <c r="B70" s="1">
        <v>27</v>
      </c>
      <c r="C70" s="1">
        <f t="shared" si="6"/>
        <v>2038</v>
      </c>
      <c r="D70" s="8">
        <f>D69*(1+'Avoided Cost inputs_EGD'!$L$70)</f>
        <v>0.42321687712282435</v>
      </c>
      <c r="E70" s="177">
        <f>NPV($C$2,$D$45:D70)+D$44</f>
        <v>3.5833194313698638</v>
      </c>
      <c r="F70" s="176">
        <f t="shared" si="7"/>
        <v>0.39552979170357416</v>
      </c>
      <c r="G70" s="176"/>
      <c r="H70" s="184"/>
      <c r="I70" s="180"/>
      <c r="J70" s="8">
        <f t="shared" si="3"/>
        <v>0.16102681103069869</v>
      </c>
      <c r="K70" s="177">
        <f>NPV($C$2,J$45:J70)+J$44</f>
        <v>1.4652028800062531</v>
      </c>
      <c r="L70" s="8">
        <f t="shared" si="4"/>
        <v>3.8750930769419525</v>
      </c>
      <c r="M70" s="177">
        <f>NPV($C$2,L$45:L70)+L$44</f>
        <v>35.25995143470368</v>
      </c>
    </row>
    <row r="71" spans="1:13" x14ac:dyDescent="0.2">
      <c r="A71" s="1" t="str">
        <f t="shared" si="5"/>
        <v>s28</v>
      </c>
      <c r="B71" s="1">
        <v>28</v>
      </c>
      <c r="C71" s="1">
        <f t="shared" si="6"/>
        <v>2039</v>
      </c>
      <c r="D71" s="8">
        <f>D70*(1+'Avoided Cost inputs_EGD'!$L$70)</f>
        <v>0.43168121466528087</v>
      </c>
      <c r="E71" s="177">
        <f>NPV($C$2,$D$45:D71)+D$44</f>
        <v>3.6527900478026343</v>
      </c>
      <c r="F71" s="176">
        <f t="shared" si="7"/>
        <v>0.40344038753764566</v>
      </c>
      <c r="G71" s="176"/>
      <c r="H71" s="184"/>
      <c r="I71" s="180"/>
      <c r="J71" s="8">
        <f t="shared" si="3"/>
        <v>0.16424734725131265</v>
      </c>
      <c r="K71" s="177">
        <f>NPV($C$2,J$45:J71)+J$44</f>
        <v>1.4916352659275247</v>
      </c>
      <c r="L71" s="8">
        <f t="shared" si="4"/>
        <v>3.9525949384807917</v>
      </c>
      <c r="M71" s="177">
        <f>NPV($C$2,L$45:L71)+L$44</f>
        <v>35.896043989943124</v>
      </c>
    </row>
    <row r="72" spans="1:13" x14ac:dyDescent="0.2">
      <c r="A72" s="1" t="str">
        <f t="shared" si="5"/>
        <v>s29</v>
      </c>
      <c r="B72" s="1">
        <v>29</v>
      </c>
      <c r="C72" s="1">
        <f t="shared" si="6"/>
        <v>2040</v>
      </c>
      <c r="D72" s="8">
        <f>D71*(1+'Avoided Cost inputs_EGD'!$L$70)</f>
        <v>0.44031483895858647</v>
      </c>
      <c r="E72" s="177">
        <f>NPV($C$2,$D$45:D72)+D$44</f>
        <v>3.7190143737478922</v>
      </c>
      <c r="F72" s="176">
        <f t="shared" si="7"/>
        <v>0.41150919528839858</v>
      </c>
      <c r="G72" s="176"/>
      <c r="H72" s="184"/>
      <c r="I72" s="180"/>
      <c r="J72" s="8">
        <f t="shared" si="3"/>
        <v>0.16753229419633894</v>
      </c>
      <c r="K72" s="177">
        <f>NPV($C$2,J$45:J72)+J$44</f>
        <v>1.5168324936281761</v>
      </c>
      <c r="L72" s="8">
        <f t="shared" si="4"/>
        <v>4.0316468372504071</v>
      </c>
      <c r="M72" s="177">
        <f>NPV($C$2,L$45:L72)+L$44</f>
        <v>36.502412594003175</v>
      </c>
    </row>
    <row r="73" spans="1:13" x14ac:dyDescent="0.2">
      <c r="A73" s="1" t="str">
        <f t="shared" si="5"/>
        <v>s30</v>
      </c>
      <c r="B73" s="1">
        <v>30</v>
      </c>
      <c r="C73" s="1">
        <f>+C72+1</f>
        <v>2041</v>
      </c>
      <c r="D73" s="8">
        <f>D72*(1+'Avoided Cost inputs_EGD'!$L$70)</f>
        <v>0.44912113573775819</v>
      </c>
      <c r="E73" s="177">
        <f>NPV($C$2,$D$45:D73)+D$44</f>
        <v>3.7821441050228111</v>
      </c>
      <c r="F73" s="176">
        <f t="shared" si="7"/>
        <v>0.41973937919416648</v>
      </c>
      <c r="G73" s="176"/>
      <c r="H73" s="184"/>
      <c r="I73" s="180"/>
      <c r="J73" s="8">
        <f t="shared" si="3"/>
        <v>0.17088294008026572</v>
      </c>
      <c r="K73" s="177">
        <f>NPV($C$2,J$45:J73)+J$44</f>
        <v>1.5408522807820682</v>
      </c>
      <c r="L73" s="8">
        <f t="shared" si="4"/>
        <v>4.1122797739954153</v>
      </c>
      <c r="M73" s="177">
        <f>NPV($C$2,L$45:L73)+L$44</f>
        <v>37.080446216565079</v>
      </c>
    </row>
    <row r="74" spans="1:13" x14ac:dyDescent="0.2">
      <c r="B74" s="1"/>
      <c r="C74" s="1"/>
      <c r="D74" s="8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B75" s="1"/>
      <c r="C75" s="1"/>
      <c r="D75" s="8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B76" s="1"/>
      <c r="C76" s="1"/>
      <c r="D76" s="1"/>
      <c r="E76" s="1">
        <v>4</v>
      </c>
      <c r="F76" s="1"/>
      <c r="G76" s="1"/>
      <c r="H76" s="1"/>
      <c r="I76" s="1"/>
      <c r="J76" s="1"/>
      <c r="K76" s="1">
        <v>10</v>
      </c>
      <c r="L76" s="1"/>
      <c r="M76" s="1">
        <v>12</v>
      </c>
    </row>
    <row r="77" spans="1:13" x14ac:dyDescent="0.2">
      <c r="B77" s="1" t="s">
        <v>23</v>
      </c>
      <c r="C77" s="6"/>
      <c r="D77" s="1" t="s">
        <v>18</v>
      </c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B78" s="1" t="s">
        <v>24</v>
      </c>
      <c r="C78" s="6"/>
      <c r="D78" s="1" t="s">
        <v>19</v>
      </c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B79" s="1" t="s">
        <v>20</v>
      </c>
      <c r="C79" s="6"/>
      <c r="D79" s="1"/>
      <c r="E79" s="2" t="s">
        <v>21</v>
      </c>
      <c r="F79" s="2"/>
      <c r="G79" s="2"/>
      <c r="H79" s="1"/>
      <c r="I79" s="2"/>
      <c r="J79" s="1"/>
      <c r="K79" s="2" t="s">
        <v>21</v>
      </c>
      <c r="L79" s="1"/>
      <c r="M79" s="2" t="s">
        <v>21</v>
      </c>
    </row>
    <row r="80" spans="1:13" hidden="1" x14ac:dyDescent="0.2">
      <c r="B80" s="1">
        <v>0</v>
      </c>
      <c r="C80" s="1">
        <v>2006</v>
      </c>
      <c r="D80" s="7">
        <v>0</v>
      </c>
      <c r="E80" s="177"/>
      <c r="F80" s="176"/>
      <c r="G80" s="176"/>
      <c r="H80" s="184"/>
      <c r="I80" s="177"/>
      <c r="J80" s="8">
        <f t="shared" ref="J80:J110" si="8">J6</f>
        <v>0</v>
      </c>
      <c r="K80" s="177"/>
      <c r="L80" s="8"/>
      <c r="M80" s="177"/>
    </row>
    <row r="81" spans="1:14" x14ac:dyDescent="0.2">
      <c r="A81" s="1" t="str">
        <f>+"c"&amp;B81</f>
        <v>c1</v>
      </c>
      <c r="B81" s="1">
        <v>1</v>
      </c>
      <c r="C81" s="1">
        <v>2012</v>
      </c>
      <c r="D81" s="7">
        <f>'Avoided Cost inputs_EGD'!D38/1000</f>
        <v>0.16256190605484766</v>
      </c>
      <c r="E81" s="177">
        <f>+D81</f>
        <v>0.16256190605484766</v>
      </c>
      <c r="F81" s="176">
        <f>E81</f>
        <v>0.16256190605484766</v>
      </c>
      <c r="G81" s="3"/>
      <c r="H81" s="184"/>
      <c r="I81" s="180"/>
      <c r="J81" s="8">
        <f t="shared" si="8"/>
        <v>9.4E-2</v>
      </c>
      <c r="K81" s="177">
        <f>+J81</f>
        <v>9.4E-2</v>
      </c>
      <c r="L81" s="8">
        <f>+L44</f>
        <v>2.2621000000000002</v>
      </c>
      <c r="M81" s="177">
        <f>+L81</f>
        <v>2.2621000000000002</v>
      </c>
    </row>
    <row r="82" spans="1:14" x14ac:dyDescent="0.2">
      <c r="A82" s="1" t="str">
        <f t="shared" ref="A82:A110" si="9">+"c"&amp;B82</f>
        <v>c2</v>
      </c>
      <c r="B82" s="1">
        <v>2</v>
      </c>
      <c r="C82" s="1">
        <f t="shared" ref="C82:C109" si="10">+C81+1</f>
        <v>2013</v>
      </c>
      <c r="D82" s="7">
        <f>'Avoided Cost inputs_EGD'!D39/1000</f>
        <v>0.17556311998912788</v>
      </c>
      <c r="E82" s="177">
        <f>NPV($C$2,D$82:D82)+D$81</f>
        <v>0.32663958828767747</v>
      </c>
      <c r="F82" s="176">
        <f>NPV($C$2,D82)</f>
        <v>0.16407768223282979</v>
      </c>
      <c r="G82" s="3"/>
      <c r="H82" s="184"/>
      <c r="I82" s="180"/>
      <c r="J82" s="8">
        <f t="shared" si="8"/>
        <v>9.59353925801959E-2</v>
      </c>
      <c r="K82" s="177">
        <f>NPV($C$2,$J$82:J82)+J$81</f>
        <v>0.18365924540205225</v>
      </c>
      <c r="L82" s="8">
        <f t="shared" ref="L82:L110" si="11">+L45</f>
        <v>2.3086750165495866</v>
      </c>
      <c r="M82" s="177">
        <f>NPV($C$2,L$82:L82)+L$81</f>
        <v>4.4197402023827914</v>
      </c>
    </row>
    <row r="83" spans="1:14" x14ac:dyDescent="0.2">
      <c r="A83" s="1" t="str">
        <f t="shared" si="9"/>
        <v>c3</v>
      </c>
      <c r="B83" s="1">
        <v>3</v>
      </c>
      <c r="C83" s="1">
        <f t="shared" si="10"/>
        <v>2014</v>
      </c>
      <c r="D83" s="7">
        <f>'Avoided Cost inputs_EGD'!D40/1000</f>
        <v>0.18965736622186527</v>
      </c>
      <c r="E83" s="177">
        <f>NPV($C$2,D$82:D83)+D$81</f>
        <v>0.49229367704815014</v>
      </c>
      <c r="F83" s="176">
        <f t="shared" ref="F83:F110" si="12">NPV($C$2,D83)</f>
        <v>0.17724987497370584</v>
      </c>
      <c r="G83" s="3"/>
      <c r="H83" s="184"/>
      <c r="I83" s="180"/>
      <c r="J83" s="8">
        <f t="shared" si="8"/>
        <v>9.7799679831495678E-2</v>
      </c>
      <c r="K83" s="177">
        <f>NPV($C$2,$J$82:J83)+J$81</f>
        <v>0.26908127337960108</v>
      </c>
      <c r="L83" s="8">
        <f t="shared" si="11"/>
        <v>2.353538890923685</v>
      </c>
      <c r="M83" s="177">
        <f>NPV($C$2,L$82:L83)+L$81</f>
        <v>6.4754122182127194</v>
      </c>
      <c r="N83" s="191"/>
    </row>
    <row r="84" spans="1:14" x14ac:dyDescent="0.2">
      <c r="A84" s="1" t="str">
        <f t="shared" si="9"/>
        <v>c4</v>
      </c>
      <c r="B84" s="1">
        <v>4</v>
      </c>
      <c r="C84" s="1">
        <f t="shared" si="10"/>
        <v>2015</v>
      </c>
      <c r="D84" s="7">
        <f>'Avoided Cost inputs_EGD'!D41/1000</f>
        <v>0.20343306666666952</v>
      </c>
      <c r="E84" s="177">
        <f>NPV($C$2,D$82:D84)+D$81</f>
        <v>0.65835565745754765</v>
      </c>
      <c r="F84" s="176">
        <f t="shared" si="12"/>
        <v>0.19012436137071917</v>
      </c>
      <c r="G84" s="3"/>
      <c r="H84" s="184"/>
      <c r="I84" s="180"/>
      <c r="J84" s="8">
        <f t="shared" si="8"/>
        <v>9.9648021086825855E-2</v>
      </c>
      <c r="K84" s="177">
        <f>NPV($C$2,$J$82:J84)+J$81</f>
        <v>0.35042374142915189</v>
      </c>
      <c r="L84" s="8">
        <f t="shared" si="11"/>
        <v>2.398019026601157</v>
      </c>
      <c r="M84" s="177">
        <f>NPV($C$2,L$82:L84)+L$81</f>
        <v>8.4329100583711103</v>
      </c>
      <c r="N84" s="191"/>
    </row>
    <row r="85" spans="1:14" x14ac:dyDescent="0.2">
      <c r="A85" s="1" t="str">
        <f t="shared" si="9"/>
        <v>c5</v>
      </c>
      <c r="B85" s="1">
        <v>5</v>
      </c>
      <c r="C85" s="1">
        <f t="shared" si="10"/>
        <v>2016</v>
      </c>
      <c r="D85" s="7">
        <f>'Avoided Cost inputs_EGD'!D42/1000</f>
        <v>0.2222309007232125</v>
      </c>
      <c r="E85" s="177">
        <f>NPV($C$2,D$82:D85)+D$81</f>
        <v>0.82789454758829539</v>
      </c>
      <c r="F85" s="176">
        <f t="shared" si="12"/>
        <v>0.20769243058244158</v>
      </c>
      <c r="G85" s="3"/>
      <c r="H85" s="184"/>
      <c r="I85" s="180"/>
      <c r="J85" s="8">
        <f t="shared" si="8"/>
        <v>0.1015690108623253</v>
      </c>
      <c r="K85" s="177">
        <f>NPV($C$2,$J$82:J85)+J$81</f>
        <v>0.42791025350842293</v>
      </c>
      <c r="L85" s="8">
        <f t="shared" si="11"/>
        <v>2.4442474411879367</v>
      </c>
      <c r="M85" s="177">
        <f>NPV($C$2,L$82:L85)+L$81</f>
        <v>10.297614728312803</v>
      </c>
      <c r="N85" s="191"/>
    </row>
    <row r="86" spans="1:14" x14ac:dyDescent="0.2">
      <c r="A86" s="1" t="str">
        <f t="shared" si="9"/>
        <v>c6</v>
      </c>
      <c r="B86" s="1">
        <v>6</v>
      </c>
      <c r="C86" s="1">
        <f t="shared" si="10"/>
        <v>2017</v>
      </c>
      <c r="D86" s="7">
        <f>'Avoided Cost inputs_EGD'!D43/1000</f>
        <v>0.24017438372245173</v>
      </c>
      <c r="E86" s="177">
        <f>NPV($C$2,D$82:D86)+D$81</f>
        <v>0.99913556384841073</v>
      </c>
      <c r="F86" s="176">
        <f t="shared" si="12"/>
        <v>0.22446204086210442</v>
      </c>
      <c r="G86" s="3"/>
      <c r="H86" s="184"/>
      <c r="I86" s="180"/>
      <c r="J86" s="8">
        <f t="shared" si="8"/>
        <v>0.10356870465445844</v>
      </c>
      <c r="K86" s="177">
        <f>NPV($C$2,$J$82:J86)+J$81</f>
        <v>0.50175330855407774</v>
      </c>
      <c r="L86" s="8">
        <f t="shared" si="11"/>
        <v>2.4923698595622388</v>
      </c>
      <c r="M86" s="177">
        <f>NPV($C$2,L$82:L86)+L$81</f>
        <v>12.074639992342329</v>
      </c>
      <c r="N86" s="191"/>
    </row>
    <row r="87" spans="1:14" x14ac:dyDescent="0.2">
      <c r="A87" s="1" t="str">
        <f t="shared" si="9"/>
        <v>c7</v>
      </c>
      <c r="B87" s="1">
        <v>7</v>
      </c>
      <c r="C87" s="1">
        <f t="shared" si="10"/>
        <v>2018</v>
      </c>
      <c r="D87" s="7">
        <f>'Avoided Cost inputs_EGD'!D44/1000</f>
        <v>0.25949503161697779</v>
      </c>
      <c r="E87" s="177">
        <f>NPV($C$2,D$82:D87)+D$81</f>
        <v>1.172048060285404</v>
      </c>
      <c r="F87" s="176">
        <f t="shared" si="12"/>
        <v>0.24251872113736242</v>
      </c>
      <c r="G87" s="3"/>
      <c r="H87" s="184"/>
      <c r="I87" s="180"/>
      <c r="J87" s="8">
        <f t="shared" si="8"/>
        <v>0.10560530606974874</v>
      </c>
      <c r="K87" s="177">
        <f>NPV($C$2,$J$82:J87)+J$81</f>
        <v>0.57212258304741748</v>
      </c>
      <c r="L87" s="8">
        <f t="shared" si="11"/>
        <v>2.5413804559614745</v>
      </c>
      <c r="M87" s="177">
        <f>NPV($C$2,L$82:L87)+L$81</f>
        <v>13.768069096931521</v>
      </c>
      <c r="N87" s="191"/>
    </row>
    <row r="88" spans="1:14" x14ac:dyDescent="0.2">
      <c r="A88" s="1" t="str">
        <f t="shared" si="9"/>
        <v>c8</v>
      </c>
      <c r="B88" s="1">
        <v>8</v>
      </c>
      <c r="C88" s="1">
        <f t="shared" si="10"/>
        <v>2019</v>
      </c>
      <c r="D88" s="7">
        <f>'Avoided Cost inputs_EGD'!D45/1000</f>
        <v>0.30770342011231466</v>
      </c>
      <c r="E88" s="177">
        <f>NPV($C$2,D$82:D88)+D$81</f>
        <v>1.3636702857373537</v>
      </c>
      <c r="F88" s="176">
        <f t="shared" si="12"/>
        <v>0.28757328982459313</v>
      </c>
      <c r="G88" s="3"/>
      <c r="H88" s="184"/>
      <c r="I88" s="180"/>
      <c r="J88" s="8">
        <f t="shared" si="8"/>
        <v>0.10773994587263878</v>
      </c>
      <c r="K88" s="177">
        <f>NPV($C$2,$J$82:J88)+J$81</f>
        <v>0.63921760653026305</v>
      </c>
      <c r="L88" s="8">
        <f t="shared" si="11"/>
        <v>2.5927503357286832</v>
      </c>
      <c r="M88" s="177">
        <f>NPV($C$2,L$82:L88)+L$81</f>
        <v>15.382703699277746</v>
      </c>
      <c r="N88" s="191"/>
    </row>
    <row r="89" spans="1:14" x14ac:dyDescent="0.2">
      <c r="A89" s="1" t="str">
        <f t="shared" si="9"/>
        <v>c9</v>
      </c>
      <c r="B89" s="1">
        <v>9</v>
      </c>
      <c r="C89" s="1">
        <f t="shared" si="10"/>
        <v>2020</v>
      </c>
      <c r="D89" s="7">
        <f>'Avoided Cost inputs_EGD'!D46/1000</f>
        <v>0.29881201208764074</v>
      </c>
      <c r="E89" s="177">
        <f>NPV($C$2,D$82:D89)+D$81</f>
        <v>1.5375815973257589</v>
      </c>
      <c r="F89" s="176">
        <f t="shared" si="12"/>
        <v>0.27926356269872965</v>
      </c>
      <c r="G89" s="3"/>
      <c r="H89" s="184"/>
      <c r="I89" s="180"/>
      <c r="J89" s="8">
        <f t="shared" si="8"/>
        <v>0.10996006012519934</v>
      </c>
      <c r="K89" s="177">
        <f>NPV($C$2,$J$82:J89)+J$81</f>
        <v>0.70321536266164808</v>
      </c>
      <c r="L89" s="8">
        <f t="shared" si="11"/>
        <v>2.6461771490341852</v>
      </c>
      <c r="M89" s="177">
        <f>NPV($C$2,L$82:L89)+L$81</f>
        <v>16.922802892307597</v>
      </c>
      <c r="N89" s="191"/>
    </row>
    <row r="90" spans="1:14" x14ac:dyDescent="0.2">
      <c r="A90" s="1" t="str">
        <f t="shared" si="9"/>
        <v>c10</v>
      </c>
      <c r="B90" s="1">
        <v>10</v>
      </c>
      <c r="C90" s="1">
        <f t="shared" si="10"/>
        <v>2021</v>
      </c>
      <c r="D90" s="7">
        <f>'Avoided Cost inputs_EGD'!D47/1000</f>
        <v>0.29895992418153838</v>
      </c>
      <c r="E90" s="177">
        <f>NPV($C$2,D$82:D90)+D$81</f>
        <v>1.7001959877684962</v>
      </c>
      <c r="F90" s="176">
        <f t="shared" si="12"/>
        <v>0.27940179830050316</v>
      </c>
      <c r="G90" s="176"/>
      <c r="H90" s="184"/>
      <c r="I90" s="180"/>
      <c r="J90" s="8">
        <f t="shared" si="8"/>
        <v>0.1121950422685309</v>
      </c>
      <c r="K90" s="177">
        <f>NPV($C$2,$J$82:J90)+J$81</f>
        <v>0.76424203190215678</v>
      </c>
      <c r="L90" s="8">
        <f t="shared" si="11"/>
        <v>2.6999617565494014</v>
      </c>
      <c r="M90" s="177">
        <f>NPV($C$2,L$82:L90)+L$81</f>
        <v>18.391403195381582</v>
      </c>
      <c r="N90" s="191"/>
    </row>
    <row r="91" spans="1:14" x14ac:dyDescent="0.2">
      <c r="A91" s="1" t="str">
        <f t="shared" si="9"/>
        <v>c11</v>
      </c>
      <c r="B91" s="1">
        <v>11</v>
      </c>
      <c r="C91" s="1">
        <f t="shared" si="10"/>
        <v>2022</v>
      </c>
      <c r="D91" s="8">
        <f>D90*(1+'Avoided Cost inputs_EGD'!$L$30)</f>
        <v>0.30493912266516915</v>
      </c>
      <c r="E91" s="177">
        <f>NPV($C$2,D$82:D91)+D$81</f>
        <v>1.8552115749195166</v>
      </c>
      <c r="F91" s="176">
        <f t="shared" si="12"/>
        <v>0.2849898342665132</v>
      </c>
      <c r="G91" s="176"/>
      <c r="H91" s="184"/>
      <c r="I91" s="180"/>
      <c r="J91" s="8">
        <f t="shared" si="8"/>
        <v>0.11446646689405574</v>
      </c>
      <c r="K91" s="177">
        <f>NPV($C$2,$J$82:J91)+J$81</f>
        <v>0.82243097932091214</v>
      </c>
      <c r="L91" s="8">
        <f t="shared" si="11"/>
        <v>2.7546233485217391</v>
      </c>
      <c r="M91" s="177">
        <f>NPV($C$2,L$82:L91)+L$81</f>
        <v>19.791714024700372</v>
      </c>
      <c r="N91" s="191"/>
    </row>
    <row r="92" spans="1:14" x14ac:dyDescent="0.2">
      <c r="A92" s="1" t="str">
        <f t="shared" si="9"/>
        <v>c12</v>
      </c>
      <c r="B92" s="1">
        <v>12</v>
      </c>
      <c r="C92" s="1">
        <f t="shared" si="10"/>
        <v>2023</v>
      </c>
      <c r="D92" s="8">
        <f>D91*(1+'Avoided Cost inputs_EGD'!$L$30)</f>
        <v>0.31103790511847251</v>
      </c>
      <c r="E92" s="177">
        <f>NPV($C$2,D$82:D92)+D$81</f>
        <v>2.0029834430447888</v>
      </c>
      <c r="F92" s="176">
        <f t="shared" si="12"/>
        <v>0.29068963095184347</v>
      </c>
      <c r="G92" s="176"/>
      <c r="H92" s="184"/>
      <c r="I92" s="180"/>
      <c r="J92" s="8">
        <f t="shared" si="8"/>
        <v>0.11682077165333425</v>
      </c>
      <c r="K92" s="177">
        <f>NPV($C$2,$J$82:J92)+J$81</f>
        <v>0.87793168640185038</v>
      </c>
      <c r="L92" s="8">
        <f t="shared" si="11"/>
        <v>2.8112794420958234</v>
      </c>
      <c r="M92" s="177">
        <f>NPV($C$2,L$82:L92)+L$81</f>
        <v>21.127332636272612</v>
      </c>
      <c r="N92" s="191"/>
    </row>
    <row r="93" spans="1:14" x14ac:dyDescent="0.2">
      <c r="A93" s="1" t="str">
        <f t="shared" si="9"/>
        <v>c13</v>
      </c>
      <c r="B93" s="1">
        <v>13</v>
      </c>
      <c r="C93" s="1">
        <f t="shared" si="10"/>
        <v>2024</v>
      </c>
      <c r="D93" s="8">
        <f>D92*(1+'Avoided Cost inputs_EGD'!$L$30)</f>
        <v>0.31725866322084195</v>
      </c>
      <c r="E93" s="177">
        <f>NPV($C$2,D$82:D93)+D$81</f>
        <v>2.1438500836875711</v>
      </c>
      <c r="F93" s="176">
        <f t="shared" si="12"/>
        <v>0.29650342357088033</v>
      </c>
      <c r="G93" s="176"/>
      <c r="H93" s="184"/>
      <c r="I93" s="180"/>
      <c r="J93" s="8">
        <f t="shared" si="8"/>
        <v>0.1193204689527344</v>
      </c>
      <c r="K93" s="177">
        <f>NPV($C$2,$J$82:J93)+J$81</f>
        <v>0.93091140159907726</v>
      </c>
      <c r="L93" s="8">
        <f t="shared" si="11"/>
        <v>2.8714343916806437</v>
      </c>
      <c r="M93" s="177">
        <f>NPV($C$2,L$82:L93)+L$81</f>
        <v>22.402283846353964</v>
      </c>
      <c r="N93" s="191"/>
    </row>
    <row r="94" spans="1:14" x14ac:dyDescent="0.2">
      <c r="A94" s="1" t="str">
        <f t="shared" si="9"/>
        <v>c14</v>
      </c>
      <c r="B94" s="1">
        <v>14</v>
      </c>
      <c r="C94" s="1">
        <f t="shared" si="10"/>
        <v>2025</v>
      </c>
      <c r="D94" s="8">
        <f>D93*(1+'Avoided Cost inputs_EGD'!$L$30)</f>
        <v>0.32360383648525881</v>
      </c>
      <c r="E94" s="177">
        <f>NPV($C$2,D$82:D94)+D$81</f>
        <v>2.2781341710292891</v>
      </c>
      <c r="F94" s="176">
        <f t="shared" si="12"/>
        <v>0.30243349204229791</v>
      </c>
      <c r="G94" s="176"/>
      <c r="H94" s="184"/>
      <c r="I94" s="180"/>
      <c r="J94" s="8">
        <f t="shared" si="8"/>
        <v>0.12188177431114172</v>
      </c>
      <c r="K94" s="177">
        <f>NPV($C$2,$J$82:J94)+J$81</f>
        <v>0.98148800478377551</v>
      </c>
      <c r="L94" s="8">
        <f t="shared" si="11"/>
        <v>2.9330719326514219</v>
      </c>
      <c r="M94" s="177">
        <f>NPV($C$2,L$82:L94)+L$81</f>
        <v>23.619404421504026</v>
      </c>
      <c r="N94" s="191"/>
    </row>
    <row r="95" spans="1:14" x14ac:dyDescent="0.2">
      <c r="A95" s="1" t="str">
        <f t="shared" si="9"/>
        <v>c15</v>
      </c>
      <c r="B95" s="1">
        <v>15</v>
      </c>
      <c r="C95" s="1">
        <f t="shared" si="10"/>
        <v>2026</v>
      </c>
      <c r="D95" s="8">
        <f>D94*(1+'Avoided Cost inputs_EGD'!$L$30)</f>
        <v>0.33007591321496399</v>
      </c>
      <c r="E95" s="177">
        <f>NPV($C$2,D$82:D95)+D$81</f>
        <v>2.4061433010185906</v>
      </c>
      <c r="F95" s="176">
        <f t="shared" si="12"/>
        <v>0.30848216188314392</v>
      </c>
      <c r="G95" s="176"/>
      <c r="H95" s="184"/>
      <c r="I95" s="180"/>
      <c r="J95" s="8">
        <f t="shared" si="8"/>
        <v>0.1245313926301469</v>
      </c>
      <c r="K95" s="177">
        <f>NPV($C$2,$J$82:J95)+J$81</f>
        <v>1.0297834258936442</v>
      </c>
      <c r="L95" s="8">
        <f t="shared" si="11"/>
        <v>2.9968347156239923</v>
      </c>
      <c r="M95" s="177">
        <f>NPV($C$2,L$82:L95)+L$81</f>
        <v>24.781628592702262</v>
      </c>
      <c r="N95" s="191"/>
    </row>
    <row r="96" spans="1:14" x14ac:dyDescent="0.2">
      <c r="A96" s="1" t="str">
        <f t="shared" si="9"/>
        <v>c16</v>
      </c>
      <c r="B96" s="1">
        <v>16</v>
      </c>
      <c r="C96" s="1">
        <f t="shared" si="10"/>
        <v>2027</v>
      </c>
      <c r="D96" s="8">
        <f>D95*(1+'Avoided Cost inputs_EGD'!$L$30)</f>
        <v>0.33667743147926327</v>
      </c>
      <c r="E96" s="177">
        <f>NPV($C$2,D$82:D96)+D$81</f>
        <v>2.5281706959616628</v>
      </c>
      <c r="F96" s="176">
        <f t="shared" si="12"/>
        <v>0.31465180512080676</v>
      </c>
      <c r="G96" s="176"/>
      <c r="H96" s="184"/>
      <c r="I96" s="180"/>
      <c r="J96" s="8">
        <f t="shared" si="8"/>
        <v>0.12723175994641134</v>
      </c>
      <c r="K96" s="177">
        <f>NPV($C$2,$J$82:J96)+J$81</f>
        <v>1.0758980708583132</v>
      </c>
      <c r="L96" s="8">
        <f t="shared" si="11"/>
        <v>3.0618187678167779</v>
      </c>
      <c r="M96" s="177">
        <f>NPV($C$2,L$82:L96)+L$81</f>
        <v>25.891372617963729</v>
      </c>
      <c r="N96" s="191"/>
    </row>
    <row r="97" spans="1:14" x14ac:dyDescent="0.2">
      <c r="A97" s="1" t="str">
        <f t="shared" si="9"/>
        <v>c17</v>
      </c>
      <c r="B97" s="1">
        <v>17</v>
      </c>
      <c r="C97" s="1">
        <f t="shared" si="10"/>
        <v>2028</v>
      </c>
      <c r="D97" s="8">
        <f>D96*(1+'Avoided Cost inputs_EGD'!$L$30)</f>
        <v>0.34341098010884852</v>
      </c>
      <c r="E97" s="177">
        <f>NPV($C$2,D$82:D97)+D$81</f>
        <v>2.644495876187769</v>
      </c>
      <c r="F97" s="176">
        <f t="shared" si="12"/>
        <v>0.32094484122322292</v>
      </c>
      <c r="G97" s="176"/>
      <c r="H97" s="184"/>
      <c r="I97" s="180"/>
      <c r="J97" s="8">
        <f t="shared" si="8"/>
        <v>0.13002400520067733</v>
      </c>
      <c r="K97" s="177">
        <f>NPV($C$2,$J$82:J97)+J$81</f>
        <v>1.1199416999638674</v>
      </c>
      <c r="L97" s="8">
        <f t="shared" si="11"/>
        <v>3.1290138528133213</v>
      </c>
      <c r="M97" s="177">
        <f>NPV($C$2,L$82:L97)+L$81</f>
        <v>26.951277866896429</v>
      </c>
      <c r="N97" s="191"/>
    </row>
    <row r="98" spans="1:14" x14ac:dyDescent="0.2">
      <c r="A98" s="1" t="str">
        <f t="shared" si="9"/>
        <v>c18</v>
      </c>
      <c r="B98" s="1">
        <v>18</v>
      </c>
      <c r="C98" s="1">
        <f t="shared" si="10"/>
        <v>2029</v>
      </c>
      <c r="D98" s="8">
        <f>D97*(1+'Avoided Cost inputs_EGD'!$L$30)</f>
        <v>0.3502791997110255</v>
      </c>
      <c r="E98" s="177">
        <f>NPV($C$2,D$82:D98)+D$81</f>
        <v>2.7553853003285429</v>
      </c>
      <c r="F98" s="176">
        <f t="shared" si="12"/>
        <v>0.32736373804768737</v>
      </c>
      <c r="G98" s="176"/>
      <c r="H98" s="184"/>
      <c r="I98" s="180"/>
      <c r="J98" s="8">
        <f t="shared" si="8"/>
        <v>0.13291231896731764</v>
      </c>
      <c r="K98" s="177">
        <f>NPV($C$2,$J$82:J98)+J$81</f>
        <v>1.1620183363261174</v>
      </c>
      <c r="L98" s="8">
        <f t="shared" si="11"/>
        <v>3.1985208163400989</v>
      </c>
      <c r="M98" s="177">
        <f>NPV($C$2,L$82:L98)+L$81</f>
        <v>27.963847644716065</v>
      </c>
      <c r="N98" s="191"/>
    </row>
    <row r="99" spans="1:14" x14ac:dyDescent="0.2">
      <c r="A99" s="1" t="str">
        <f t="shared" si="9"/>
        <v>c19</v>
      </c>
      <c r="B99" s="1">
        <v>19</v>
      </c>
      <c r="C99" s="1">
        <f t="shared" si="10"/>
        <v>2030</v>
      </c>
      <c r="D99" s="8">
        <f>D98*(1+'Avoided Cost inputs_EGD'!$L$30)</f>
        <v>0.35728478370524602</v>
      </c>
      <c r="E99" s="177">
        <f>NPV($C$2,D$82:D99)+D$81</f>
        <v>2.8610929756776922</v>
      </c>
      <c r="F99" s="176">
        <f t="shared" si="12"/>
        <v>0.33391101280864111</v>
      </c>
      <c r="G99" s="176"/>
      <c r="H99" s="184"/>
      <c r="I99" s="180"/>
      <c r="J99" s="8">
        <f t="shared" si="8"/>
        <v>0.13588830694602616</v>
      </c>
      <c r="K99" s="177">
        <f>NPV($C$2,$J$82:J99)+J$81</f>
        <v>1.20222278300148</v>
      </c>
      <c r="L99" s="8">
        <f t="shared" si="11"/>
        <v>3.270137650453254</v>
      </c>
      <c r="M99" s="177">
        <f>NPV($C$2,L$82:L99)+L$81</f>
        <v>28.931363376889873</v>
      </c>
      <c r="N99" s="191"/>
    </row>
    <row r="100" spans="1:14" x14ac:dyDescent="0.2">
      <c r="A100" s="1" t="str">
        <f t="shared" si="9"/>
        <v>c20</v>
      </c>
      <c r="B100" s="1">
        <v>20</v>
      </c>
      <c r="C100" s="1">
        <f t="shared" si="10"/>
        <v>2031</v>
      </c>
      <c r="D100" s="8">
        <f>D99*(1+'Avoided Cost inputs_EGD'!$L$30)</f>
        <v>0.36443047937935097</v>
      </c>
      <c r="E100" s="177">
        <f>NPV($C$2,D$82:D100)+D$81</f>
        <v>2.9618610400292176</v>
      </c>
      <c r="F100" s="176">
        <f t="shared" si="12"/>
        <v>0.34058923306481398</v>
      </c>
      <c r="G100" s="176"/>
      <c r="H100" s="184"/>
      <c r="I100" s="180"/>
      <c r="J100" s="8">
        <f t="shared" si="8"/>
        <v>0.13889429958357727</v>
      </c>
      <c r="K100" s="177">
        <f>NPV($C$2,$J$82:J100)+J$81</f>
        <v>1.240628214244043</v>
      </c>
      <c r="L100" s="8">
        <f t="shared" si="11"/>
        <v>3.3424765434894703</v>
      </c>
      <c r="M100" s="177">
        <f>NPV($C$2,L$82:L100)+L$81</f>
        <v>29.855585994057979</v>
      </c>
      <c r="N100" s="191"/>
    </row>
    <row r="101" spans="1:14" x14ac:dyDescent="0.2">
      <c r="A101" s="1" t="str">
        <f t="shared" si="9"/>
        <v>c21</v>
      </c>
      <c r="B101" s="1">
        <v>21</v>
      </c>
      <c r="C101" s="1">
        <f t="shared" si="10"/>
        <v>2032</v>
      </c>
      <c r="D101" s="8">
        <f>D100*(1+'Avoided Cost inputs_EGD'!$L$30)</f>
        <v>0.371719088966938</v>
      </c>
      <c r="E101" s="177">
        <f>NPV($C$2,D$82:D101)+D$81</f>
        <v>3.0579203163269337</v>
      </c>
      <c r="F101" s="176">
        <f t="shared" si="12"/>
        <v>0.34740101772611026</v>
      </c>
      <c r="G101" s="176"/>
      <c r="H101" s="184"/>
      <c r="I101" s="180"/>
      <c r="J101" s="8">
        <f t="shared" si="8"/>
        <v>0.14198247075583986</v>
      </c>
      <c r="K101" s="177">
        <f>NPV($C$2,$J$82:J101)+J$81</f>
        <v>1.2773191827538162</v>
      </c>
      <c r="L101" s="8">
        <f t="shared" si="11"/>
        <v>3.4167930542211211</v>
      </c>
      <c r="M101" s="177">
        <f>NPV($C$2,L$82:L101)+L$81</f>
        <v>30.738550247951149</v>
      </c>
      <c r="N101" s="191"/>
    </row>
    <row r="102" spans="1:14" x14ac:dyDescent="0.2">
      <c r="A102" s="1" t="str">
        <f t="shared" si="9"/>
        <v>c22</v>
      </c>
      <c r="B102" s="1">
        <v>22</v>
      </c>
      <c r="C102" s="1">
        <f t="shared" si="10"/>
        <v>2033</v>
      </c>
      <c r="D102" s="8">
        <f>D101*(1+'Avoided Cost inputs_EGD'!$L$30)</f>
        <v>0.37915347074627676</v>
      </c>
      <c r="E102" s="177">
        <f>NPV($C$2,D$82:D102)+D$81</f>
        <v>3.1494908413957843</v>
      </c>
      <c r="F102" s="176">
        <f t="shared" si="12"/>
        <v>0.35434903808063245</v>
      </c>
      <c r="G102" s="176"/>
      <c r="H102" s="184"/>
      <c r="I102" s="180"/>
      <c r="J102" s="8">
        <f t="shared" si="8"/>
        <v>0.1450978389399728</v>
      </c>
      <c r="K102" s="177">
        <f>NPV($C$2,$J$82:J102)+J$81</f>
        <v>1.312362209715793</v>
      </c>
      <c r="L102" s="8">
        <f t="shared" si="11"/>
        <v>3.4917640581501335</v>
      </c>
      <c r="M102" s="177">
        <f>NPV($C$2,L$82:L102)+L$81</f>
        <v>31.581856963809528</v>
      </c>
      <c r="N102" s="191"/>
    </row>
    <row r="103" spans="1:14" x14ac:dyDescent="0.2">
      <c r="A103" s="1" t="str">
        <f t="shared" si="9"/>
        <v>c23</v>
      </c>
      <c r="B103" s="1">
        <v>23</v>
      </c>
      <c r="C103" s="1">
        <f t="shared" si="10"/>
        <v>2034</v>
      </c>
      <c r="D103" s="8">
        <f>D102*(1+'Avoided Cost inputs_EGD'!$L$30)</f>
        <v>0.38673654016120229</v>
      </c>
      <c r="E103" s="177">
        <f>NPV($C$2,D$82:D103)+D$81</f>
        <v>3.2367823699660905</v>
      </c>
      <c r="F103" s="176">
        <f t="shared" si="12"/>
        <v>0.36143601884224513</v>
      </c>
      <c r="G103" s="176"/>
      <c r="H103" s="184"/>
      <c r="I103" s="180"/>
      <c r="J103" s="8">
        <f t="shared" si="8"/>
        <v>0.14843265805420991</v>
      </c>
      <c r="K103" s="177">
        <f>NPV($C$2,$J$82:J103)+J$81</f>
        <v>1.3458654147811968</v>
      </c>
      <c r="L103" s="8">
        <f t="shared" si="11"/>
        <v>3.5720161253662588</v>
      </c>
      <c r="M103" s="177">
        <f>NPV($C$2,L$82:L103)+L$81</f>
        <v>32.388108029537719</v>
      </c>
      <c r="N103" s="191"/>
    </row>
    <row r="104" spans="1:14" x14ac:dyDescent="0.2">
      <c r="A104" s="1" t="str">
        <f t="shared" si="9"/>
        <v>c24</v>
      </c>
      <c r="B104" s="1">
        <v>24</v>
      </c>
      <c r="C104" s="1">
        <f t="shared" si="10"/>
        <v>2035</v>
      </c>
      <c r="D104" s="8">
        <f>D103*(1+'Avoided Cost inputs_EGD'!$L$30)</f>
        <v>0.39447127096442636</v>
      </c>
      <c r="E104" s="177">
        <f>NPV($C$2,D$82:D104)+D$81</f>
        <v>3.3199948551452607</v>
      </c>
      <c r="F104" s="176">
        <f t="shared" si="12"/>
        <v>0.36866473921909004</v>
      </c>
      <c r="G104" s="176"/>
      <c r="H104" s="184"/>
      <c r="I104" s="180"/>
      <c r="J104" s="8">
        <f t="shared" si="8"/>
        <v>0.15173916049511374</v>
      </c>
      <c r="K104" s="177">
        <f>NPV($C$2,$J$82:J104)+J$81</f>
        <v>1.37787431776906</v>
      </c>
      <c r="L104" s="8">
        <f t="shared" si="11"/>
        <v>3.6515867548510306</v>
      </c>
      <c r="M104" s="177">
        <f>NPV($C$2,L$82:L104)+L$81</f>
        <v>33.158398874738204</v>
      </c>
      <c r="N104" s="191"/>
    </row>
    <row r="105" spans="1:14" x14ac:dyDescent="0.2">
      <c r="A105" s="1" t="str">
        <f t="shared" si="9"/>
        <v>c25</v>
      </c>
      <c r="B105" s="1">
        <v>25</v>
      </c>
      <c r="C105" s="1">
        <f t="shared" si="10"/>
        <v>2036</v>
      </c>
      <c r="D105" s="8">
        <f>D104*(1+'Avoided Cost inputs_EGD'!$L$30)</f>
        <v>0.40236069638371491</v>
      </c>
      <c r="E105" s="177">
        <f>NPV($C$2,D$82:D105)+D$81</f>
        <v>3.399318906437554</v>
      </c>
      <c r="F105" s="176">
        <f t="shared" si="12"/>
        <v>0.37603803400347185</v>
      </c>
      <c r="G105" s="176"/>
      <c r="H105" s="184"/>
      <c r="I105" s="180"/>
      <c r="J105" s="8">
        <f t="shared" si="8"/>
        <v>0.15477394370501604</v>
      </c>
      <c r="K105" s="177">
        <f>NPV($C$2,$J$82:J105)+J$81</f>
        <v>1.408387477626649</v>
      </c>
      <c r="L105" s="8">
        <f t="shared" si="11"/>
        <v>3.724618489948051</v>
      </c>
      <c r="M105" s="177">
        <f>NPV($C$2,L$82:L105)+L$81</f>
        <v>33.892694820630254</v>
      </c>
      <c r="N105" s="191"/>
    </row>
    <row r="106" spans="1:14" x14ac:dyDescent="0.2">
      <c r="A106" s="1" t="str">
        <f t="shared" si="9"/>
        <v>c26</v>
      </c>
      <c r="B106" s="1">
        <v>26</v>
      </c>
      <c r="C106" s="1">
        <f t="shared" si="10"/>
        <v>2037</v>
      </c>
      <c r="D106" s="8">
        <f>D105*(1+'Avoided Cost inputs_EGD'!$L$30)</f>
        <v>0.41040791031138923</v>
      </c>
      <c r="E106" s="177">
        <f>NPV($C$2,D$82:D106)+D$81</f>
        <v>3.4749362263610482</v>
      </c>
      <c r="F106" s="176">
        <f t="shared" si="12"/>
        <v>0.38355879468354132</v>
      </c>
      <c r="G106" s="176"/>
      <c r="H106" s="184"/>
      <c r="I106" s="180"/>
      <c r="J106" s="8">
        <f t="shared" si="8"/>
        <v>0.15786942257911635</v>
      </c>
      <c r="K106" s="177">
        <f>NPV($C$2,$J$82:J106)+J$81</f>
        <v>1.4374747888927621</v>
      </c>
      <c r="L106" s="8">
        <f t="shared" si="11"/>
        <v>3.799110859747012</v>
      </c>
      <c r="M106" s="177">
        <f>NPV($C$2,L$82:L106)+L$81</f>
        <v>34.592677871854448</v>
      </c>
      <c r="N106" s="191"/>
    </row>
    <row r="107" spans="1:14" x14ac:dyDescent="0.2">
      <c r="A107" s="1" t="str">
        <f t="shared" si="9"/>
        <v>c27</v>
      </c>
      <c r="B107" s="1">
        <v>27</v>
      </c>
      <c r="C107" s="1">
        <f t="shared" si="10"/>
        <v>2038</v>
      </c>
      <c r="D107" s="8">
        <f>D106*(1+'Avoided Cost inputs_EGD'!$L$30)</f>
        <v>0.41861606851761701</v>
      </c>
      <c r="E107" s="177">
        <f>NPV($C$2,D$82:D107)+D$81</f>
        <v>3.5470200266619498</v>
      </c>
      <c r="F107" s="176">
        <f t="shared" si="12"/>
        <v>0.39122997057721215</v>
      </c>
      <c r="G107" s="176"/>
      <c r="H107" s="184"/>
      <c r="I107" s="180"/>
      <c r="J107" s="8">
        <f t="shared" si="8"/>
        <v>0.16102681103069869</v>
      </c>
      <c r="K107" s="177">
        <f>NPV($C$2,$J$82:J107)+J$81</f>
        <v>1.4652028800062531</v>
      </c>
      <c r="L107" s="8">
        <f t="shared" si="11"/>
        <v>3.8750930769419525</v>
      </c>
      <c r="M107" s="177">
        <f>NPV($C$2,L$82:L107)+L$81</f>
        <v>35.25995143470368</v>
      </c>
      <c r="N107" s="191"/>
    </row>
    <row r="108" spans="1:14" x14ac:dyDescent="0.2">
      <c r="A108" s="1" t="str">
        <f t="shared" si="9"/>
        <v>c28</v>
      </c>
      <c r="B108" s="1">
        <v>28</v>
      </c>
      <c r="C108" s="1">
        <f t="shared" si="10"/>
        <v>2039</v>
      </c>
      <c r="D108" s="8">
        <f>D107*(1+'Avoided Cost inputs_EGD'!$L$30)</f>
        <v>0.42698838988796933</v>
      </c>
      <c r="E108" s="177">
        <f>NPV($C$2,D$82:D108)+D$81</f>
        <v>3.6157354250796314</v>
      </c>
      <c r="F108" s="176">
        <f t="shared" si="12"/>
        <v>0.39905456998875638</v>
      </c>
      <c r="G108" s="176"/>
      <c r="H108" s="184"/>
      <c r="I108" s="180"/>
      <c r="J108" s="8">
        <f t="shared" si="8"/>
        <v>0.16424734725131265</v>
      </c>
      <c r="K108" s="177">
        <f>NPV($C$2,$J$82:J108)+J$81</f>
        <v>1.4916352659275247</v>
      </c>
      <c r="L108" s="8">
        <f t="shared" si="11"/>
        <v>3.9525949384807917</v>
      </c>
      <c r="M108" s="177">
        <f>NPV($C$2,L$82:L108)+L$81</f>
        <v>35.896043989943124</v>
      </c>
      <c r="N108" s="191"/>
    </row>
    <row r="109" spans="1:14" x14ac:dyDescent="0.2">
      <c r="A109" s="1" t="str">
        <f t="shared" si="9"/>
        <v>c29</v>
      </c>
      <c r="B109" s="1">
        <v>29</v>
      </c>
      <c r="C109" s="1">
        <f t="shared" si="10"/>
        <v>2040</v>
      </c>
      <c r="D109" s="8">
        <f>D108*(1+'Avoided Cost inputs_EGD'!$L$30)</f>
        <v>0.43552815768572872</v>
      </c>
      <c r="E109" s="177">
        <f>NPV($C$2,D$82:D109)+D$81</f>
        <v>3.6812398235712531</v>
      </c>
      <c r="F109" s="176">
        <f t="shared" si="12"/>
        <v>0.40703566138853148</v>
      </c>
      <c r="G109" s="176"/>
      <c r="H109" s="184"/>
      <c r="I109" s="180"/>
      <c r="J109" s="8">
        <f t="shared" si="8"/>
        <v>0.16753229419633894</v>
      </c>
      <c r="K109" s="177">
        <f>NPV($C$2,$J$82:J109)+J$81</f>
        <v>1.5168324936281761</v>
      </c>
      <c r="L109" s="8">
        <f t="shared" si="11"/>
        <v>4.0316468372504071</v>
      </c>
      <c r="M109" s="177">
        <f>NPV($C$2,L$82:L109)+L$81</f>
        <v>36.502412594003175</v>
      </c>
      <c r="N109" s="191"/>
    </row>
    <row r="110" spans="1:14" x14ac:dyDescent="0.2">
      <c r="A110" s="1" t="str">
        <f t="shared" si="9"/>
        <v>c30</v>
      </c>
      <c r="B110" s="1">
        <v>30</v>
      </c>
      <c r="C110" s="1">
        <f>+C109+1</f>
        <v>2041</v>
      </c>
      <c r="D110" s="8">
        <f>D109*(1+'Avoided Cost inputs_EGD'!$L$30)</f>
        <v>0.44423872083944332</v>
      </c>
      <c r="E110" s="177">
        <f>NPV($C$2,D$82:D110)+D$81</f>
        <v>3.7436832688623318</v>
      </c>
      <c r="F110" s="176">
        <f t="shared" si="12"/>
        <v>0.41517637461630214</v>
      </c>
      <c r="G110" s="176"/>
      <c r="H110" s="184"/>
      <c r="I110" s="180"/>
      <c r="J110" s="8">
        <f t="shared" si="8"/>
        <v>0.17088294008026572</v>
      </c>
      <c r="K110" s="177">
        <f>NPV($C$2,$J$82:J110)+J$81</f>
        <v>1.5408522807820682</v>
      </c>
      <c r="L110" s="8">
        <f t="shared" si="11"/>
        <v>4.1122797739954153</v>
      </c>
      <c r="M110" s="177">
        <f>NPV($C$2,L$82:L110)+L$81</f>
        <v>37.080446216565079</v>
      </c>
      <c r="N110" s="191"/>
    </row>
    <row r="111" spans="1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88"/>
      <c r="M111" s="1"/>
    </row>
    <row r="112" spans="1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">
      <c r="B113" s="1"/>
      <c r="C113" s="1"/>
      <c r="D113" s="1"/>
      <c r="E113" s="1">
        <v>4</v>
      </c>
      <c r="F113" s="1"/>
      <c r="G113" s="1"/>
      <c r="H113" s="1"/>
      <c r="I113" s="1"/>
      <c r="J113" s="1"/>
      <c r="K113" s="1">
        <v>10</v>
      </c>
      <c r="L113" s="1"/>
      <c r="M113" s="1">
        <v>12</v>
      </c>
    </row>
    <row r="114" spans="1:13" x14ac:dyDescent="0.2">
      <c r="B114" s="1"/>
      <c r="C114" s="6"/>
      <c r="D114" s="1" t="s">
        <v>18</v>
      </c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">
      <c r="B115" s="1" t="s">
        <v>25</v>
      </c>
      <c r="C115" s="6"/>
      <c r="D115" s="1" t="s">
        <v>19</v>
      </c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">
      <c r="B116" s="1" t="s">
        <v>20</v>
      </c>
      <c r="C116" s="6"/>
      <c r="D116" s="1"/>
      <c r="E116" s="2" t="s">
        <v>21</v>
      </c>
      <c r="F116" s="2"/>
      <c r="G116" s="2"/>
      <c r="H116" s="1"/>
      <c r="I116" s="2"/>
      <c r="J116" s="1"/>
      <c r="K116" s="2" t="s">
        <v>21</v>
      </c>
      <c r="L116" s="1"/>
      <c r="M116" s="2" t="s">
        <v>21</v>
      </c>
    </row>
    <row r="117" spans="1:13" hidden="1" x14ac:dyDescent="0.2">
      <c r="B117" s="1">
        <v>0</v>
      </c>
      <c r="C117" s="1">
        <v>2006</v>
      </c>
      <c r="D117" s="9">
        <v>0</v>
      </c>
      <c r="E117" s="177"/>
      <c r="F117" s="176"/>
      <c r="G117" s="176"/>
      <c r="H117" s="184"/>
      <c r="I117" s="177"/>
      <c r="J117" s="8">
        <f t="shared" ref="J117:J147" si="13">J6</f>
        <v>0</v>
      </c>
      <c r="K117" s="177"/>
      <c r="L117" s="8"/>
      <c r="M117" s="177"/>
    </row>
    <row r="118" spans="1:13" x14ac:dyDescent="0.2">
      <c r="A118" s="1" t="str">
        <f>+"I"&amp;B118</f>
        <v>I1</v>
      </c>
      <c r="B118" s="1">
        <v>1</v>
      </c>
      <c r="C118" s="1">
        <v>2012</v>
      </c>
      <c r="D118" s="189">
        <f>'Avoided Cost inputs_EGD'!D58/1000</f>
        <v>0.15726102724129196</v>
      </c>
      <c r="E118" s="177">
        <f>+D118</f>
        <v>0.15726102724129196</v>
      </c>
      <c r="F118" s="176">
        <f>E118</f>
        <v>0.15726102724129196</v>
      </c>
      <c r="G118" s="176"/>
      <c r="H118" s="184"/>
      <c r="I118" s="177"/>
      <c r="J118" s="8">
        <f t="shared" si="13"/>
        <v>9.4E-2</v>
      </c>
      <c r="K118" s="186">
        <f>+J118</f>
        <v>9.4E-2</v>
      </c>
      <c r="L118" s="8">
        <f>+L81</f>
        <v>2.2621000000000002</v>
      </c>
      <c r="M118" s="177">
        <f>+L118</f>
        <v>2.2621000000000002</v>
      </c>
    </row>
    <row r="119" spans="1:13" x14ac:dyDescent="0.2">
      <c r="A119" s="1" t="str">
        <f t="shared" ref="A119:A147" si="14">+"I"&amp;B119</f>
        <v>I2</v>
      </c>
      <c r="B119" s="1">
        <v>2</v>
      </c>
      <c r="C119" s="1">
        <f t="shared" ref="C119:C146" si="15">+C118+1</f>
        <v>2013</v>
      </c>
      <c r="D119" s="189">
        <f>'Avoided Cost inputs_EGD'!D59/1000</f>
        <v>0.16946231559369421</v>
      </c>
      <c r="E119" s="177">
        <f>NPV($C$2,D$119:D119)+D$118</f>
        <v>0.31563702312324915</v>
      </c>
      <c r="F119" s="176">
        <f>NPV($C$2,D119)</f>
        <v>0.15837599588195719</v>
      </c>
      <c r="G119" s="176"/>
      <c r="H119" s="184"/>
      <c r="I119" s="176"/>
      <c r="J119" s="8">
        <f t="shared" si="13"/>
        <v>9.59353925801959E-2</v>
      </c>
      <c r="K119" s="177">
        <f>NPV($C$2,J$119:J119)+J$118</f>
        <v>0.18365924540205225</v>
      </c>
      <c r="L119" s="8">
        <f t="shared" ref="L119:L147" si="16">+L82</f>
        <v>2.3086750165495866</v>
      </c>
      <c r="M119" s="177">
        <f>NPV($C$2,L$119:L119)+L$118</f>
        <v>4.4197402023827914</v>
      </c>
    </row>
    <row r="120" spans="1:13" x14ac:dyDescent="0.2">
      <c r="A120" s="1" t="str">
        <f t="shared" si="14"/>
        <v>I3</v>
      </c>
      <c r="B120" s="1">
        <v>3</v>
      </c>
      <c r="C120" s="1">
        <f t="shared" si="15"/>
        <v>2014</v>
      </c>
      <c r="D120" s="189">
        <f>'Avoided Cost inputs_EGD'!D60/1000</f>
        <v>0.18250268118977794</v>
      </c>
      <c r="E120" s="177">
        <f>NPV($C$2,D$119:D120)+D$118</f>
        <v>0.47504193288810015</v>
      </c>
      <c r="F120" s="176">
        <f t="shared" ref="F120:F147" si="17">NPV($C$2,D120)</f>
        <v>0.1705632534483906</v>
      </c>
      <c r="G120" s="176"/>
      <c r="H120" s="184"/>
      <c r="I120" s="176"/>
      <c r="J120" s="8">
        <f t="shared" si="13"/>
        <v>9.7799679831495678E-2</v>
      </c>
      <c r="K120" s="177">
        <f>NPV($C$2,J$119:J120)+J$118</f>
        <v>0.26908127337960108</v>
      </c>
      <c r="L120" s="8">
        <f t="shared" si="16"/>
        <v>2.353538890923685</v>
      </c>
      <c r="M120" s="177">
        <f>NPV($C$2,L$119:L120)+L$118</f>
        <v>6.4754122182127194</v>
      </c>
    </row>
    <row r="121" spans="1:13" x14ac:dyDescent="0.2">
      <c r="A121" s="1" t="str">
        <f t="shared" si="14"/>
        <v>I4</v>
      </c>
      <c r="B121" s="1">
        <v>4</v>
      </c>
      <c r="C121" s="1">
        <f t="shared" si="15"/>
        <v>2015</v>
      </c>
      <c r="D121" s="189">
        <f>'Avoided Cost inputs_EGD'!D61/1000</f>
        <v>0.19471870208445638</v>
      </c>
      <c r="E121" s="177">
        <f>NPV($C$2,D$119:D121)+D$118</f>
        <v>0.63399039599058427</v>
      </c>
      <c r="F121" s="176">
        <f t="shared" si="17"/>
        <v>0.18198009540603399</v>
      </c>
      <c r="G121" s="176"/>
      <c r="H121" s="184"/>
      <c r="I121" s="176"/>
      <c r="J121" s="8">
        <f t="shared" si="13"/>
        <v>9.9648021086825855E-2</v>
      </c>
      <c r="K121" s="177">
        <f>NPV($C$2,J$119:J121)+J$118</f>
        <v>0.35042374142915189</v>
      </c>
      <c r="L121" s="8">
        <f t="shared" si="16"/>
        <v>2.398019026601157</v>
      </c>
      <c r="M121" s="177">
        <f>NPV($C$2,L$119:L121)+L$118</f>
        <v>8.4329100583711103</v>
      </c>
    </row>
    <row r="122" spans="1:13" x14ac:dyDescent="0.2">
      <c r="A122" s="1" t="str">
        <f t="shared" si="14"/>
        <v>I5</v>
      </c>
      <c r="B122" s="1">
        <v>5</v>
      </c>
      <c r="C122" s="1">
        <f t="shared" si="15"/>
        <v>2016</v>
      </c>
      <c r="D122" s="189">
        <f>'Avoided Cost inputs_EGD'!D62/1000</f>
        <v>0.2148508066162978</v>
      </c>
      <c r="E122" s="177">
        <f>NPV($C$2,D$119:D122)+D$118</f>
        <v>0.79789904766270658</v>
      </c>
      <c r="F122" s="176">
        <f t="shared" si="17"/>
        <v>0.20079514637037177</v>
      </c>
      <c r="G122" s="176"/>
      <c r="H122" s="184"/>
      <c r="I122" s="176"/>
      <c r="J122" s="8">
        <f t="shared" si="13"/>
        <v>0.1015690108623253</v>
      </c>
      <c r="K122" s="177">
        <f>NPV($C$2,J$119:J122)+J$118</f>
        <v>0.42791025350842293</v>
      </c>
      <c r="L122" s="8">
        <f t="shared" si="16"/>
        <v>2.4442474411879367</v>
      </c>
      <c r="M122" s="177">
        <f>NPV($C$2,L$119:L122)+L$118</f>
        <v>10.297614728312803</v>
      </c>
    </row>
    <row r="123" spans="1:13" x14ac:dyDescent="0.2">
      <c r="A123" s="1" t="str">
        <f t="shared" si="14"/>
        <v>I6</v>
      </c>
      <c r="B123" s="1">
        <v>6</v>
      </c>
      <c r="C123" s="1">
        <f t="shared" si="15"/>
        <v>2017</v>
      </c>
      <c r="D123" s="189">
        <f>'Avoided Cost inputs_EGD'!D63/1000</f>
        <v>0.23243841226078324</v>
      </c>
      <c r="E123" s="177">
        <f>NPV($C$2,D$119:D123)+D$118</f>
        <v>0.96362442318577224</v>
      </c>
      <c r="F123" s="176">
        <f t="shared" si="17"/>
        <v>0.2172321609913862</v>
      </c>
      <c r="G123" s="176"/>
      <c r="H123" s="184"/>
      <c r="I123" s="176"/>
      <c r="J123" s="8">
        <f t="shared" si="13"/>
        <v>0.10356870465445844</v>
      </c>
      <c r="K123" s="177">
        <f>NPV($C$2,J$119:J123)+J$118</f>
        <v>0.50175330855407774</v>
      </c>
      <c r="L123" s="8">
        <f t="shared" si="16"/>
        <v>2.4923698595622388</v>
      </c>
      <c r="M123" s="177">
        <f>NPV($C$2,L$119:L123)+L$118</f>
        <v>12.074639992342329</v>
      </c>
    </row>
    <row r="124" spans="1:13" x14ac:dyDescent="0.2">
      <c r="A124" s="1" t="str">
        <f t="shared" si="14"/>
        <v>I7</v>
      </c>
      <c r="B124" s="1">
        <v>7</v>
      </c>
      <c r="C124" s="1">
        <f t="shared" si="15"/>
        <v>2018</v>
      </c>
      <c r="D124" s="189">
        <f>'Avoided Cost inputs_EGD'!D64/1000</f>
        <v>0.2505642444658327</v>
      </c>
      <c r="E124" s="177">
        <f>NPV($C$2,D$119:D124)+D$118</f>
        <v>1.1305859590520395</v>
      </c>
      <c r="F124" s="176">
        <f t="shared" si="17"/>
        <v>0.23417219108956325</v>
      </c>
      <c r="G124" s="176"/>
      <c r="H124" s="184"/>
      <c r="I124" s="176"/>
      <c r="J124" s="8">
        <f t="shared" si="13"/>
        <v>0.10560530606974874</v>
      </c>
      <c r="K124" s="177">
        <f>NPV($C$2,J$119:J124)+J$118</f>
        <v>0.57212258304741748</v>
      </c>
      <c r="L124" s="8">
        <f t="shared" si="16"/>
        <v>2.5413804559614745</v>
      </c>
      <c r="M124" s="177">
        <f>NPV($C$2,L$119:L124)+L$118</f>
        <v>13.768069096931521</v>
      </c>
    </row>
    <row r="125" spans="1:13" x14ac:dyDescent="0.2">
      <c r="A125" s="1" t="str">
        <f t="shared" si="14"/>
        <v>I8</v>
      </c>
      <c r="B125" s="1">
        <v>8</v>
      </c>
      <c r="C125" s="1">
        <f t="shared" si="15"/>
        <v>2019</v>
      </c>
      <c r="D125" s="189">
        <f>'Avoided Cost inputs_EGD'!D65/1000</f>
        <v>0.27528467153284775</v>
      </c>
      <c r="E125" s="177">
        <f>NPV($C$2,D$119:D125)+D$118</f>
        <v>1.3020194171939048</v>
      </c>
      <c r="F125" s="176">
        <f t="shared" si="17"/>
        <v>0.25727539395593246</v>
      </c>
      <c r="G125" s="176"/>
      <c r="H125" s="184"/>
      <c r="I125" s="176"/>
      <c r="J125" s="8">
        <f t="shared" si="13"/>
        <v>0.10773994587263878</v>
      </c>
      <c r="K125" s="177">
        <f>NPV($C$2,J$119:J125)+J$118</f>
        <v>0.63921760653026305</v>
      </c>
      <c r="L125" s="8">
        <f t="shared" si="16"/>
        <v>2.5927503357286832</v>
      </c>
      <c r="M125" s="177">
        <f>NPV($C$2,L$119:L125)+L$118</f>
        <v>15.382703699277746</v>
      </c>
    </row>
    <row r="126" spans="1:13" x14ac:dyDescent="0.2">
      <c r="A126" s="1" t="str">
        <f t="shared" si="14"/>
        <v>I9</v>
      </c>
      <c r="B126" s="1">
        <v>9</v>
      </c>
      <c r="C126" s="1">
        <f t="shared" si="15"/>
        <v>2020</v>
      </c>
      <c r="D126" s="189">
        <f>'Avoided Cost inputs_EGD'!D66/1000</f>
        <v>0.28537545450991064</v>
      </c>
      <c r="E126" s="177">
        <f>NPV($C$2,D$119:D126)+D$118</f>
        <v>1.4681105299380588</v>
      </c>
      <c r="F126" s="176">
        <f t="shared" si="17"/>
        <v>0.26670603225225292</v>
      </c>
      <c r="G126" s="176"/>
      <c r="H126" s="184"/>
      <c r="I126" s="176"/>
      <c r="J126" s="8">
        <f t="shared" si="13"/>
        <v>0.10996006012519934</v>
      </c>
      <c r="K126" s="177">
        <f>NPV($C$2,J$119:J126)+J$118</f>
        <v>0.70321536266164808</v>
      </c>
      <c r="L126" s="8">
        <f t="shared" si="16"/>
        <v>2.6461771490341852</v>
      </c>
      <c r="M126" s="177">
        <f>NPV($C$2,L$119:L126)+L$118</f>
        <v>16.922802892307597</v>
      </c>
    </row>
    <row r="127" spans="1:13" x14ac:dyDescent="0.2">
      <c r="A127" s="1" t="str">
        <f t="shared" si="14"/>
        <v>I10</v>
      </c>
      <c r="B127" s="1">
        <v>10</v>
      </c>
      <c r="C127" s="1">
        <f t="shared" si="15"/>
        <v>2021</v>
      </c>
      <c r="D127" s="189">
        <f>'Avoided Cost inputs_EGD'!D67/1000</f>
        <v>0.28551671550115498</v>
      </c>
      <c r="E127" s="177">
        <f>NPV($C$2,D$119:D127)+D$118</f>
        <v>1.6234127055709353</v>
      </c>
      <c r="F127" s="176">
        <f t="shared" si="17"/>
        <v>0.26683805187023829</v>
      </c>
      <c r="G127" s="176"/>
      <c r="H127" s="184"/>
      <c r="I127" s="176"/>
      <c r="J127" s="8">
        <f t="shared" si="13"/>
        <v>0.1121950422685309</v>
      </c>
      <c r="K127" s="177">
        <f>NPV($C$2,J$119:J127)+J$118</f>
        <v>0.76424203190215678</v>
      </c>
      <c r="L127" s="8">
        <f t="shared" si="16"/>
        <v>2.6999617565494014</v>
      </c>
      <c r="M127" s="177">
        <f>NPV($C$2,L$119:L127)+L$118</f>
        <v>18.391403195381582</v>
      </c>
    </row>
    <row r="128" spans="1:13" x14ac:dyDescent="0.2">
      <c r="A128" s="1" t="str">
        <f t="shared" si="14"/>
        <v>I11</v>
      </c>
      <c r="B128" s="1">
        <v>11</v>
      </c>
      <c r="C128" s="1">
        <f t="shared" si="15"/>
        <v>2022</v>
      </c>
      <c r="D128" s="8">
        <f>D127*(1+'Avoided Cost inputs_EGD'!$L$50)</f>
        <v>0.29122704981117808</v>
      </c>
      <c r="E128" s="177">
        <f>NPV($C$2,D$119:D128)+D$118</f>
        <v>1.7714577701929297</v>
      </c>
      <c r="F128" s="176">
        <f t="shared" si="17"/>
        <v>0.27217481290764306</v>
      </c>
      <c r="G128" s="176"/>
      <c r="H128" s="184"/>
      <c r="I128" s="176"/>
      <c r="J128" s="8">
        <f t="shared" si="13"/>
        <v>0.11446646689405574</v>
      </c>
      <c r="K128" s="177">
        <f>NPV($C$2,J$119:J128)+J$118</f>
        <v>0.82243097932091214</v>
      </c>
      <c r="L128" s="8">
        <f t="shared" si="16"/>
        <v>2.7546233485217391</v>
      </c>
      <c r="M128" s="177">
        <f>NPV($C$2,L$119:L128)+L$118</f>
        <v>19.791714024700372</v>
      </c>
    </row>
    <row r="129" spans="1:13" x14ac:dyDescent="0.2">
      <c r="A129" s="1" t="str">
        <f t="shared" si="14"/>
        <v>I12</v>
      </c>
      <c r="B129" s="1">
        <v>12</v>
      </c>
      <c r="C129" s="1">
        <f t="shared" si="15"/>
        <v>2023</v>
      </c>
      <c r="D129" s="8">
        <f>D128*(1+'Avoided Cost inputs_EGD'!$L$50)</f>
        <v>0.29705159080740168</v>
      </c>
      <c r="E129" s="177">
        <f>NPV($C$2,D$119:D129)+D$118</f>
        <v>1.9125848411409994</v>
      </c>
      <c r="F129" s="176">
        <f t="shared" si="17"/>
        <v>0.27761830916579594</v>
      </c>
      <c r="G129" s="176"/>
      <c r="H129" s="184"/>
      <c r="I129" s="176"/>
      <c r="J129" s="8">
        <f t="shared" si="13"/>
        <v>0.11682077165333425</v>
      </c>
      <c r="K129" s="177">
        <f>NPV($C$2,J$119:J129)+J$118</f>
        <v>0.87793168640185038</v>
      </c>
      <c r="L129" s="8">
        <f t="shared" si="16"/>
        <v>2.8112794420958234</v>
      </c>
      <c r="M129" s="177">
        <f>NPV($C$2,L$119:L129)+L$118</f>
        <v>21.127332636272612</v>
      </c>
    </row>
    <row r="130" spans="1:13" x14ac:dyDescent="0.2">
      <c r="A130" s="1" t="str">
        <f t="shared" si="14"/>
        <v>I13</v>
      </c>
      <c r="B130" s="1">
        <v>13</v>
      </c>
      <c r="C130" s="1">
        <f t="shared" si="15"/>
        <v>2024</v>
      </c>
      <c r="D130" s="8">
        <f>D129*(1+'Avoided Cost inputs_EGD'!$L$50)</f>
        <v>0.3029926226235497</v>
      </c>
      <c r="E130" s="177">
        <f>NPV($C$2,D$119:D130)+D$118</f>
        <v>2.0471171891475701</v>
      </c>
      <c r="F130" s="176">
        <f t="shared" si="17"/>
        <v>0.28317067534911183</v>
      </c>
      <c r="G130" s="176"/>
      <c r="H130" s="184"/>
      <c r="I130" s="176"/>
      <c r="J130" s="8">
        <f t="shared" si="13"/>
        <v>0.1193204689527344</v>
      </c>
      <c r="K130" s="177">
        <f>NPV($C$2,J$119:J130)+J$118</f>
        <v>0.93091140159907726</v>
      </c>
      <c r="L130" s="8">
        <f t="shared" si="16"/>
        <v>2.8714343916806437</v>
      </c>
      <c r="M130" s="177">
        <f>NPV($C$2,L$119:L130)+L$118</f>
        <v>22.402283846353964</v>
      </c>
    </row>
    <row r="131" spans="1:13" x14ac:dyDescent="0.2">
      <c r="A131" s="1" t="str">
        <f t="shared" si="14"/>
        <v>I14</v>
      </c>
      <c r="B131" s="1">
        <v>14</v>
      </c>
      <c r="C131" s="1">
        <f t="shared" si="15"/>
        <v>2025</v>
      </c>
      <c r="D131" s="8">
        <f>D130*(1+'Avoided Cost inputs_EGD'!$L$50)</f>
        <v>0.30905247507602068</v>
      </c>
      <c r="E131" s="177">
        <f>NPV($C$2,D$119:D131)+D$118</f>
        <v>2.1753629788360773</v>
      </c>
      <c r="F131" s="176">
        <f t="shared" si="17"/>
        <v>0.28883408885609407</v>
      </c>
      <c r="G131" s="176"/>
      <c r="H131" s="184"/>
      <c r="I131" s="176"/>
      <c r="J131" s="8">
        <f t="shared" si="13"/>
        <v>0.12188177431114172</v>
      </c>
      <c r="K131" s="177">
        <f>NPV($C$2,J$119:J131)+J$118</f>
        <v>0.98148800478377551</v>
      </c>
      <c r="L131" s="8">
        <f t="shared" si="16"/>
        <v>2.9330719326514219</v>
      </c>
      <c r="M131" s="177">
        <f>NPV($C$2,L$119:L131)+L$118</f>
        <v>23.619404421504026</v>
      </c>
    </row>
    <row r="132" spans="1:13" x14ac:dyDescent="0.2">
      <c r="A132" s="1" t="str">
        <f t="shared" si="14"/>
        <v>I15</v>
      </c>
      <c r="B132" s="1">
        <v>15</v>
      </c>
      <c r="C132" s="1">
        <f t="shared" si="15"/>
        <v>2026</v>
      </c>
      <c r="D132" s="8">
        <f>D131*(1+'Avoided Cost inputs_EGD'!$L$50)</f>
        <v>0.31523352457754111</v>
      </c>
      <c r="E132" s="177">
        <f>NPV($C$2,D$119:D132)+D$118</f>
        <v>2.297615974613906</v>
      </c>
      <c r="F132" s="176">
        <f t="shared" si="17"/>
        <v>0.294610770633216</v>
      </c>
      <c r="G132" s="176"/>
      <c r="H132" s="184"/>
      <c r="I132" s="176"/>
      <c r="J132" s="8">
        <f t="shared" si="13"/>
        <v>0.1245313926301469</v>
      </c>
      <c r="K132" s="177">
        <f>NPV($C$2,J$119:J132)+J$118</f>
        <v>1.0297834258936442</v>
      </c>
      <c r="L132" s="8">
        <f t="shared" si="16"/>
        <v>2.9968347156239923</v>
      </c>
      <c r="M132" s="177">
        <f>NPV($C$2,L$119:L132)+L$118</f>
        <v>24.781628592702262</v>
      </c>
    </row>
    <row r="133" spans="1:13" x14ac:dyDescent="0.2">
      <c r="A133" s="1" t="str">
        <f t="shared" si="14"/>
        <v>I16</v>
      </c>
      <c r="B133" s="1">
        <v>16</v>
      </c>
      <c r="C133" s="1">
        <f t="shared" si="15"/>
        <v>2027</v>
      </c>
      <c r="D133" s="8">
        <f>D132*(1+'Avoided Cost inputs_EGD'!$L$50)</f>
        <v>0.32153819506909193</v>
      </c>
      <c r="E133" s="177">
        <f>NPV($C$2,D$119:D133)+D$118</f>
        <v>2.414156213579687</v>
      </c>
      <c r="F133" s="176">
        <f t="shared" si="17"/>
        <v>0.30050298604588027</v>
      </c>
      <c r="G133" s="176"/>
      <c r="H133" s="184"/>
      <c r="I133" s="176"/>
      <c r="J133" s="8">
        <f t="shared" si="13"/>
        <v>0.12723175994641134</v>
      </c>
      <c r="K133" s="177">
        <f>NPV($C$2,J$119:J133)+J$118</f>
        <v>1.0758980708583132</v>
      </c>
      <c r="L133" s="8">
        <f t="shared" si="16"/>
        <v>3.0618187678167779</v>
      </c>
      <c r="M133" s="177">
        <f>NPV($C$2,L$119:L133)+L$118</f>
        <v>25.891372617963729</v>
      </c>
    </row>
    <row r="134" spans="1:13" x14ac:dyDescent="0.2">
      <c r="A134" s="1" t="str">
        <f t="shared" si="14"/>
        <v>I17</v>
      </c>
      <c r="B134" s="1">
        <v>17</v>
      </c>
      <c r="C134" s="1">
        <f t="shared" si="15"/>
        <v>2028</v>
      </c>
      <c r="D134" s="8">
        <f>D133*(1+'Avoided Cost inputs_EGD'!$L$50)</f>
        <v>0.32796895897047379</v>
      </c>
      <c r="E134" s="177">
        <f>NPV($C$2,D$119:D134)+D$118</f>
        <v>2.525250646986319</v>
      </c>
      <c r="F134" s="176">
        <f t="shared" si="17"/>
        <v>0.30651304576679794</v>
      </c>
      <c r="G134" s="176"/>
      <c r="H134" s="184"/>
      <c r="I134" s="176"/>
      <c r="J134" s="8">
        <f t="shared" si="13"/>
        <v>0.13002400520067733</v>
      </c>
      <c r="K134" s="177">
        <f>NPV($C$2,J$119:J134)+J$118</f>
        <v>1.1199416999638674</v>
      </c>
      <c r="L134" s="8">
        <f t="shared" si="16"/>
        <v>3.1290138528133213</v>
      </c>
      <c r="M134" s="177">
        <f>NPV($C$2,L$119:L134)+L$118</f>
        <v>26.951277866896429</v>
      </c>
    </row>
    <row r="135" spans="1:13" x14ac:dyDescent="0.2">
      <c r="A135" s="1" t="str">
        <f t="shared" si="14"/>
        <v>I18</v>
      </c>
      <c r="B135" s="1">
        <v>18</v>
      </c>
      <c r="C135" s="1">
        <f t="shared" si="15"/>
        <v>2029</v>
      </c>
      <c r="D135" s="8">
        <f>D134*(1+'Avoided Cost inputs_EGD'!$L$50)</f>
        <v>0.33452833814988325</v>
      </c>
      <c r="E135" s="177">
        <f>NPV($C$2,D$119:D135)+D$118</f>
        <v>2.6311537517290899</v>
      </c>
      <c r="F135" s="176">
        <f t="shared" si="17"/>
        <v>0.31264330668213386</v>
      </c>
      <c r="G135" s="176"/>
      <c r="H135" s="184"/>
      <c r="I135" s="176"/>
      <c r="J135" s="8">
        <f t="shared" si="13"/>
        <v>0.13291231896731764</v>
      </c>
      <c r="K135" s="177">
        <f>NPV($C$2,J$119:J135)+J$118</f>
        <v>1.1620183363261174</v>
      </c>
      <c r="L135" s="8">
        <f t="shared" si="16"/>
        <v>3.1985208163400989</v>
      </c>
      <c r="M135" s="177">
        <f>NPV($C$2,L$119:L135)+L$118</f>
        <v>27.963847644716065</v>
      </c>
    </row>
    <row r="136" spans="1:13" x14ac:dyDescent="0.2">
      <c r="A136" s="1" t="str">
        <f t="shared" si="14"/>
        <v>I19</v>
      </c>
      <c r="B136" s="1">
        <v>19</v>
      </c>
      <c r="C136" s="1">
        <f t="shared" si="15"/>
        <v>2030</v>
      </c>
      <c r="D136" s="8">
        <f>D135*(1+'Avoided Cost inputs_EGD'!$L$50)</f>
        <v>0.34121890491288093</v>
      </c>
      <c r="E136" s="177">
        <f>NPV($C$2,D$119:D136)+D$118</f>
        <v>2.7321081132595815</v>
      </c>
      <c r="F136" s="176">
        <f t="shared" si="17"/>
        <v>0.31889617281577654</v>
      </c>
      <c r="G136" s="176"/>
      <c r="H136" s="184"/>
      <c r="I136" s="176"/>
      <c r="J136" s="8">
        <f t="shared" si="13"/>
        <v>0.13588830694602616</v>
      </c>
      <c r="K136" s="177">
        <f>NPV($C$2,J$119:J136)+J$118</f>
        <v>1.20222278300148</v>
      </c>
      <c r="L136" s="8">
        <f t="shared" si="16"/>
        <v>3.270137650453254</v>
      </c>
      <c r="M136" s="177">
        <f>NPV($C$2,L$119:L136)+L$118</f>
        <v>28.931363376889873</v>
      </c>
    </row>
    <row r="137" spans="1:13" x14ac:dyDescent="0.2">
      <c r="A137" s="1" t="str">
        <f t="shared" si="14"/>
        <v>I20</v>
      </c>
      <c r="B137" s="1">
        <v>20</v>
      </c>
      <c r="C137" s="1">
        <f t="shared" si="15"/>
        <v>2031</v>
      </c>
      <c r="D137" s="8">
        <f>D136*(1+'Avoided Cost inputs_EGD'!$L$50)</f>
        <v>0.34804328301113857</v>
      </c>
      <c r="E137" s="177">
        <f>NPV($C$2,D$119:D137)+D$118</f>
        <v>2.8283449812606114</v>
      </c>
      <c r="F137" s="176">
        <f t="shared" si="17"/>
        <v>0.32527409627209208</v>
      </c>
      <c r="G137" s="176"/>
      <c r="H137" s="184"/>
      <c r="I137" s="176"/>
      <c r="J137" s="8">
        <f t="shared" si="13"/>
        <v>0.13889429958357727</v>
      </c>
      <c r="K137" s="177">
        <f>NPV($C$2,J$119:J137)+J$118</f>
        <v>1.240628214244043</v>
      </c>
      <c r="L137" s="8">
        <f t="shared" si="16"/>
        <v>3.3424765434894703</v>
      </c>
      <c r="M137" s="177">
        <f>NPV($C$2,L$119:L137)+L$118</f>
        <v>29.855585994057979</v>
      </c>
    </row>
    <row r="138" spans="1:13" x14ac:dyDescent="0.2">
      <c r="A138" s="1" t="str">
        <f t="shared" si="14"/>
        <v>I21</v>
      </c>
      <c r="B138" s="1">
        <v>21</v>
      </c>
      <c r="C138" s="1">
        <f t="shared" si="15"/>
        <v>2032</v>
      </c>
      <c r="D138" s="8">
        <f>D137*(1+'Avoided Cost inputs_EGD'!$L$50)</f>
        <v>0.35500414867136137</v>
      </c>
      <c r="E138" s="177">
        <f>NPV($C$2,D$119:D138)+D$118</f>
        <v>2.9200847993550507</v>
      </c>
      <c r="F138" s="176">
        <f t="shared" si="17"/>
        <v>0.33177957819753395</v>
      </c>
      <c r="G138" s="176"/>
      <c r="H138" s="184"/>
      <c r="I138" s="176"/>
      <c r="J138" s="8">
        <f t="shared" si="13"/>
        <v>0.14198247075583986</v>
      </c>
      <c r="K138" s="177">
        <f>NPV($C$2,J$119:J138)+J$118</f>
        <v>1.2773191827538162</v>
      </c>
      <c r="L138" s="8">
        <f t="shared" si="16"/>
        <v>3.4167930542211211</v>
      </c>
      <c r="M138" s="177">
        <f>NPV($C$2,L$119:L138)+L$118</f>
        <v>30.738550247951149</v>
      </c>
    </row>
    <row r="139" spans="1:13" x14ac:dyDescent="0.2">
      <c r="A139" s="1" t="str">
        <f t="shared" si="14"/>
        <v>I22</v>
      </c>
      <c r="B139" s="1">
        <v>22</v>
      </c>
      <c r="C139" s="1">
        <f t="shared" si="15"/>
        <v>2033</v>
      </c>
      <c r="D139" s="8">
        <f>D138*(1+'Avoided Cost inputs_EGD'!$L$50)</f>
        <v>0.36210423164478861</v>
      </c>
      <c r="E139" s="177">
        <f>NPV($C$2,D$119:D139)+D$118</f>
        <v>3.0075377100618996</v>
      </c>
      <c r="F139" s="176">
        <f t="shared" si="17"/>
        <v>0.33841516976148467</v>
      </c>
      <c r="G139" s="176"/>
      <c r="H139" s="184"/>
      <c r="I139" s="176"/>
      <c r="J139" s="8">
        <f t="shared" si="13"/>
        <v>0.1450978389399728</v>
      </c>
      <c r="K139" s="177">
        <f>NPV($C$2,J$119:J139)+J$118</f>
        <v>1.312362209715793</v>
      </c>
      <c r="L139" s="8">
        <f t="shared" si="16"/>
        <v>3.4917640581501335</v>
      </c>
      <c r="M139" s="177">
        <f>NPV($C$2,L$119:L139)+L$118</f>
        <v>31.581856963809528</v>
      </c>
    </row>
    <row r="140" spans="1:13" x14ac:dyDescent="0.2">
      <c r="A140" s="1" t="str">
        <f t="shared" si="14"/>
        <v>I23</v>
      </c>
      <c r="B140" s="1">
        <v>23</v>
      </c>
      <c r="C140" s="1">
        <f t="shared" si="15"/>
        <v>2034</v>
      </c>
      <c r="D140" s="8">
        <f>D139*(1+'Avoided Cost inputs_EGD'!$L$50)</f>
        <v>0.36934631627768438</v>
      </c>
      <c r="E140" s="177">
        <f>NPV($C$2,D$119:D140)+D$118</f>
        <v>3.090904036156279</v>
      </c>
      <c r="F140" s="176">
        <f t="shared" si="17"/>
        <v>0.34518347315671438</v>
      </c>
      <c r="G140" s="176"/>
      <c r="H140" s="184"/>
      <c r="I140" s="176"/>
      <c r="J140" s="8">
        <f t="shared" si="13"/>
        <v>0.14843265805420991</v>
      </c>
      <c r="K140" s="177">
        <f>NPV($C$2,J$119:J140)+J$118</f>
        <v>1.3458654147811968</v>
      </c>
      <c r="L140" s="8">
        <f t="shared" si="16"/>
        <v>3.5720161253662588</v>
      </c>
      <c r="M140" s="177">
        <f>NPV($C$2,L$119:L140)+L$118</f>
        <v>32.388108029537719</v>
      </c>
    </row>
    <row r="141" spans="1:13" x14ac:dyDescent="0.2">
      <c r="A141" s="1" t="str">
        <f t="shared" si="14"/>
        <v>I24</v>
      </c>
      <c r="B141" s="1">
        <v>24</v>
      </c>
      <c r="C141" s="1">
        <f t="shared" si="15"/>
        <v>2035</v>
      </c>
      <c r="D141" s="8">
        <f>D140*(1+'Avoided Cost inputs_EGD'!$L$50)</f>
        <v>0.37673324260323809</v>
      </c>
      <c r="E141" s="177">
        <f>NPV($C$2,D$119:D141)+D$118</f>
        <v>3.1703747395359674</v>
      </c>
      <c r="F141" s="176">
        <f t="shared" si="17"/>
        <v>0.35208714261984869</v>
      </c>
      <c r="G141" s="176"/>
      <c r="H141" s="184"/>
      <c r="I141" s="176"/>
      <c r="J141" s="8">
        <f t="shared" si="13"/>
        <v>0.15173916049511374</v>
      </c>
      <c r="K141" s="177">
        <f>NPV($C$2,J$119:J141)+J$118</f>
        <v>1.37787431776906</v>
      </c>
      <c r="L141" s="8">
        <f t="shared" si="16"/>
        <v>3.6515867548510306</v>
      </c>
      <c r="M141" s="177">
        <f>NPV($C$2,L$119:L141)+L$118</f>
        <v>33.158398874738204</v>
      </c>
    </row>
    <row r="142" spans="1:13" x14ac:dyDescent="0.2">
      <c r="A142" s="1" t="str">
        <f t="shared" si="14"/>
        <v>I25</v>
      </c>
      <c r="B142" s="1">
        <v>25</v>
      </c>
      <c r="C142" s="1">
        <f t="shared" si="15"/>
        <v>2036</v>
      </c>
      <c r="D142" s="8">
        <f>D141*(1+'Avoided Cost inputs_EGD'!$L$50)</f>
        <v>0.38426790745530287</v>
      </c>
      <c r="E142" s="177">
        <f>NPV($C$2,D$119:D142)+D$118</f>
        <v>3.2461318586455774</v>
      </c>
      <c r="F142" s="176">
        <f t="shared" si="17"/>
        <v>0.35912888547224564</v>
      </c>
      <c r="G142" s="176"/>
      <c r="H142" s="184"/>
      <c r="I142" s="176"/>
      <c r="J142" s="8">
        <f t="shared" si="13"/>
        <v>0.15477394370501604</v>
      </c>
      <c r="K142" s="177">
        <f>NPV($C$2,J$119:J142)+J$118</f>
        <v>1.408387477626649</v>
      </c>
      <c r="L142" s="8">
        <f t="shared" si="16"/>
        <v>3.724618489948051</v>
      </c>
      <c r="M142" s="177">
        <f>NPV($C$2,L$119:L142)+L$118</f>
        <v>33.892694820630254</v>
      </c>
    </row>
    <row r="143" spans="1:13" x14ac:dyDescent="0.2">
      <c r="A143" s="1" t="str">
        <f t="shared" si="14"/>
        <v>I26</v>
      </c>
      <c r="B143" s="1">
        <v>26</v>
      </c>
      <c r="C143" s="1">
        <f t="shared" si="15"/>
        <v>2037</v>
      </c>
      <c r="D143" s="8">
        <f>D142*(1+'Avoided Cost inputs_EGD'!$L$50)</f>
        <v>0.39195326560440896</v>
      </c>
      <c r="E143" s="177">
        <f>NPV($C$2,D$119:D143)+D$118</f>
        <v>3.3183489254603455</v>
      </c>
      <c r="F143" s="176">
        <f t="shared" si="17"/>
        <v>0.36631146318169061</v>
      </c>
      <c r="G143" s="176"/>
      <c r="H143" s="184"/>
      <c r="I143" s="176"/>
      <c r="J143" s="8">
        <f t="shared" si="13"/>
        <v>0.15786942257911635</v>
      </c>
      <c r="K143" s="177">
        <f>NPV($C$2,J$119:J143)+J$118</f>
        <v>1.4374747888927621</v>
      </c>
      <c r="L143" s="8">
        <f t="shared" si="16"/>
        <v>3.799110859747012</v>
      </c>
      <c r="M143" s="177">
        <f>NPV($C$2,L$119:L143)+L$118</f>
        <v>34.592677871854448</v>
      </c>
    </row>
    <row r="144" spans="1:13" x14ac:dyDescent="0.2">
      <c r="A144" s="1" t="str">
        <f t="shared" si="14"/>
        <v>I27</v>
      </c>
      <c r="B144" s="1">
        <v>27</v>
      </c>
      <c r="C144" s="1">
        <f t="shared" si="15"/>
        <v>2038</v>
      </c>
      <c r="D144" s="8">
        <f>D143*(1+'Avoided Cost inputs_EGD'!$L$50)</f>
        <v>0.39979233091649713</v>
      </c>
      <c r="E144" s="177">
        <f>NPV($C$2,D$119:D144)+D$118</f>
        <v>3.3871913629847037</v>
      </c>
      <c r="F144" s="176">
        <f t="shared" si="17"/>
        <v>0.37363769244532441</v>
      </c>
      <c r="G144" s="176"/>
      <c r="H144" s="184"/>
      <c r="I144" s="176"/>
      <c r="J144" s="8">
        <f t="shared" si="13"/>
        <v>0.16102681103069869</v>
      </c>
      <c r="K144" s="177">
        <f>NPV($C$2,J$119:J144)+J$118</f>
        <v>1.4652028800062531</v>
      </c>
      <c r="L144" s="8">
        <f t="shared" si="16"/>
        <v>3.8750930769419525</v>
      </c>
      <c r="M144" s="177">
        <f>NPV($C$2,L$119:L144)+L$118</f>
        <v>35.25995143470368</v>
      </c>
    </row>
    <row r="145" spans="1:13" x14ac:dyDescent="0.2">
      <c r="A145" s="1" t="str">
        <f t="shared" si="14"/>
        <v>I28</v>
      </c>
      <c r="B145" s="1">
        <v>28</v>
      </c>
      <c r="C145" s="1">
        <f t="shared" si="15"/>
        <v>2039</v>
      </c>
      <c r="D145" s="8">
        <f>D144*(1+'Avoided Cost inputs_EGD'!$L$50)</f>
        <v>0.4077881775348271</v>
      </c>
      <c r="E145" s="177">
        <f>NPV($C$2,D$119:D145)+D$118</f>
        <v>3.4528168641761483</v>
      </c>
      <c r="F145" s="176">
        <f t="shared" si="17"/>
        <v>0.38111044629423091</v>
      </c>
      <c r="G145" s="176"/>
      <c r="H145" s="184"/>
      <c r="I145" s="176"/>
      <c r="J145" s="8">
        <f t="shared" si="13"/>
        <v>0.16424734725131265</v>
      </c>
      <c r="K145" s="177">
        <f>NPV($C$2,J$119:J145)+J$118</f>
        <v>1.4916352659275247</v>
      </c>
      <c r="L145" s="8">
        <f t="shared" si="16"/>
        <v>3.9525949384807917</v>
      </c>
      <c r="M145" s="177">
        <f>NPV($C$2,L$119:L145)+L$118</f>
        <v>35.896043989943124</v>
      </c>
    </row>
    <row r="146" spans="1:13" x14ac:dyDescent="0.2">
      <c r="A146" s="1" t="str">
        <f t="shared" si="14"/>
        <v>I29</v>
      </c>
      <c r="B146" s="1">
        <v>29</v>
      </c>
      <c r="C146" s="1">
        <f t="shared" si="15"/>
        <v>2040</v>
      </c>
      <c r="D146" s="8">
        <f>D145*(1+'Avoided Cost inputs_EGD'!$L$50)</f>
        <v>0.41594394108552363</v>
      </c>
      <c r="E146" s="177">
        <f>NPV($C$2,D$119:D146)+D$118</f>
        <v>3.515375753162385</v>
      </c>
      <c r="F146" s="176">
        <f t="shared" si="17"/>
        <v>0.38873265522011552</v>
      </c>
      <c r="G146" s="176"/>
      <c r="H146" s="184"/>
      <c r="I146" s="176"/>
      <c r="J146" s="8">
        <f t="shared" si="13"/>
        <v>0.16753229419633894</v>
      </c>
      <c r="K146" s="177">
        <f>NPV($C$2,J$119:J146)+J$118</f>
        <v>1.5168324936281761</v>
      </c>
      <c r="L146" s="8">
        <f t="shared" si="16"/>
        <v>4.0316468372504071</v>
      </c>
      <c r="M146" s="177">
        <f>NPV($C$2,L$119:L146)+L$118</f>
        <v>36.502412594003175</v>
      </c>
    </row>
    <row r="147" spans="1:13" x14ac:dyDescent="0.2">
      <c r="A147" s="1" t="str">
        <f t="shared" si="14"/>
        <v>I30</v>
      </c>
      <c r="B147" s="1">
        <v>30</v>
      </c>
      <c r="C147" s="1">
        <f>+C146+1</f>
        <v>2041</v>
      </c>
      <c r="D147" s="8">
        <f>D146*(1+'Avoided Cost inputs_EGD'!$L$50)</f>
        <v>0.42426281990723413</v>
      </c>
      <c r="E147" s="177">
        <f>NPV($C$2,D$119:D147)+D$118</f>
        <v>3.5750113295791714</v>
      </c>
      <c r="F147" s="176">
        <f t="shared" si="17"/>
        <v>0.39650730832451786</v>
      </c>
      <c r="G147" s="176"/>
      <c r="H147" s="184"/>
      <c r="I147" s="176"/>
      <c r="J147" s="8">
        <f t="shared" si="13"/>
        <v>0.17088294008026572</v>
      </c>
      <c r="K147" s="177">
        <f>NPV($C$2,J$119:J147)+J$118</f>
        <v>1.5408522807820682</v>
      </c>
      <c r="L147" s="8">
        <f t="shared" si="16"/>
        <v>4.1122797739954153</v>
      </c>
      <c r="M147" s="177">
        <f>NPV($C$2,L$119:L147)+L$118</f>
        <v>37.080446216565079</v>
      </c>
    </row>
    <row r="148" spans="1:13" x14ac:dyDescent="0.2">
      <c r="D148" s="192"/>
      <c r="I148" s="193"/>
    </row>
    <row r="149" spans="1:13" x14ac:dyDescent="0.2">
      <c r="I149" s="193"/>
    </row>
    <row r="150" spans="1:13" x14ac:dyDescent="0.2">
      <c r="I150" s="193"/>
    </row>
    <row r="151" spans="1:13" x14ac:dyDescent="0.2">
      <c r="I151" s="193"/>
    </row>
    <row r="152" spans="1:13" x14ac:dyDescent="0.2">
      <c r="I152" s="193"/>
    </row>
    <row r="153" spans="1:13" x14ac:dyDescent="0.2">
      <c r="I153" s="193"/>
    </row>
    <row r="154" spans="1:13" x14ac:dyDescent="0.2">
      <c r="I154" s="193"/>
    </row>
    <row r="155" spans="1:13" x14ac:dyDescent="0.2">
      <c r="I155" s="193"/>
    </row>
    <row r="156" spans="1:13" x14ac:dyDescent="0.2">
      <c r="I156" s="193"/>
    </row>
    <row r="157" spans="1:13" x14ac:dyDescent="0.2">
      <c r="I157" s="193"/>
    </row>
    <row r="158" spans="1:13" x14ac:dyDescent="0.2">
      <c r="I158" s="193"/>
    </row>
    <row r="159" spans="1:13" x14ac:dyDescent="0.2">
      <c r="I159" s="193"/>
    </row>
    <row r="160" spans="1:13" x14ac:dyDescent="0.2">
      <c r="I160" s="193"/>
    </row>
    <row r="161" spans="9:9" x14ac:dyDescent="0.2">
      <c r="I161" s="193"/>
    </row>
    <row r="162" spans="9:9" x14ac:dyDescent="0.2">
      <c r="I162" s="193"/>
    </row>
    <row r="163" spans="9:9" x14ac:dyDescent="0.2">
      <c r="I163" s="193"/>
    </row>
    <row r="164" spans="9:9" x14ac:dyDescent="0.2">
      <c r="I164" s="193"/>
    </row>
    <row r="165" spans="9:9" x14ac:dyDescent="0.2">
      <c r="I165" s="193"/>
    </row>
    <row r="166" spans="9:9" x14ac:dyDescent="0.2">
      <c r="I166" s="193"/>
    </row>
    <row r="167" spans="9:9" x14ac:dyDescent="0.2">
      <c r="I167" s="193"/>
    </row>
    <row r="168" spans="9:9" x14ac:dyDescent="0.2">
      <c r="I168" s="193"/>
    </row>
    <row r="169" spans="9:9" x14ac:dyDescent="0.2">
      <c r="I169" s="193"/>
    </row>
    <row r="170" spans="9:9" x14ac:dyDescent="0.2">
      <c r="I170" s="193"/>
    </row>
    <row r="171" spans="9:9" x14ac:dyDescent="0.2">
      <c r="I171" s="193"/>
    </row>
    <row r="172" spans="9:9" x14ac:dyDescent="0.2">
      <c r="I172" s="193"/>
    </row>
    <row r="173" spans="9:9" x14ac:dyDescent="0.2">
      <c r="I173" s="193"/>
    </row>
    <row r="174" spans="9:9" x14ac:dyDescent="0.2">
      <c r="I174" s="193"/>
    </row>
    <row r="175" spans="9:9" x14ac:dyDescent="0.2">
      <c r="I175" s="193"/>
    </row>
    <row r="176" spans="9:9" x14ac:dyDescent="0.2">
      <c r="I176" s="193"/>
    </row>
    <row r="177" spans="9:9" x14ac:dyDescent="0.2">
      <c r="I177" s="193"/>
    </row>
    <row r="178" spans="9:9" x14ac:dyDescent="0.2">
      <c r="I178" s="193"/>
    </row>
    <row r="179" spans="9:9" x14ac:dyDescent="0.2">
      <c r="I179" s="193"/>
    </row>
    <row r="180" spans="9:9" x14ac:dyDescent="0.2">
      <c r="I180" s="193"/>
    </row>
    <row r="181" spans="9:9" x14ac:dyDescent="0.2">
      <c r="I181" s="193"/>
    </row>
    <row r="182" spans="9:9" x14ac:dyDescent="0.2">
      <c r="I182" s="193"/>
    </row>
    <row r="183" spans="9:9" x14ac:dyDescent="0.2">
      <c r="I183" s="193"/>
    </row>
    <row r="184" spans="9:9" x14ac:dyDescent="0.2">
      <c r="I184" s="193"/>
    </row>
    <row r="185" spans="9:9" x14ac:dyDescent="0.2">
      <c r="I185" s="193"/>
    </row>
    <row r="186" spans="9:9" x14ac:dyDescent="0.2">
      <c r="I186" s="193"/>
    </row>
    <row r="187" spans="9:9" x14ac:dyDescent="0.2">
      <c r="I187" s="193"/>
    </row>
    <row r="188" spans="9:9" x14ac:dyDescent="0.2">
      <c r="I188" s="193"/>
    </row>
    <row r="189" spans="9:9" x14ac:dyDescent="0.2">
      <c r="I189" s="193"/>
    </row>
    <row r="190" spans="9:9" x14ac:dyDescent="0.2">
      <c r="I190" s="193"/>
    </row>
    <row r="191" spans="9:9" x14ac:dyDescent="0.2">
      <c r="I191" s="193"/>
    </row>
    <row r="192" spans="9:9" x14ac:dyDescent="0.2">
      <c r="I192" s="193"/>
    </row>
    <row r="193" spans="9:9" x14ac:dyDescent="0.2">
      <c r="I193" s="193"/>
    </row>
    <row r="194" spans="9:9" x14ac:dyDescent="0.2">
      <c r="I194" s="193"/>
    </row>
    <row r="195" spans="9:9" x14ac:dyDescent="0.2">
      <c r="I195" s="193"/>
    </row>
    <row r="196" spans="9:9" x14ac:dyDescent="0.2">
      <c r="I196" s="193"/>
    </row>
    <row r="197" spans="9:9" x14ac:dyDescent="0.2">
      <c r="I197" s="193"/>
    </row>
    <row r="198" spans="9:9" x14ac:dyDescent="0.2">
      <c r="I198" s="193"/>
    </row>
    <row r="199" spans="9:9" x14ac:dyDescent="0.2">
      <c r="I199" s="193"/>
    </row>
    <row r="200" spans="9:9" x14ac:dyDescent="0.2">
      <c r="I200" s="193"/>
    </row>
    <row r="201" spans="9:9" x14ac:dyDescent="0.2">
      <c r="I201" s="193"/>
    </row>
    <row r="202" spans="9:9" x14ac:dyDescent="0.2">
      <c r="I202" s="193"/>
    </row>
    <row r="203" spans="9:9" x14ac:dyDescent="0.2">
      <c r="I203" s="193"/>
    </row>
    <row r="204" spans="9:9" x14ac:dyDescent="0.2">
      <c r="I204" s="193"/>
    </row>
    <row r="205" spans="9:9" x14ac:dyDescent="0.2">
      <c r="I205" s="193"/>
    </row>
    <row r="206" spans="9:9" x14ac:dyDescent="0.2">
      <c r="I206" s="193"/>
    </row>
    <row r="207" spans="9:9" x14ac:dyDescent="0.2">
      <c r="I207" s="193"/>
    </row>
    <row r="208" spans="9:9" x14ac:dyDescent="0.2">
      <c r="I208" s="193"/>
    </row>
    <row r="209" spans="9:9" x14ac:dyDescent="0.2">
      <c r="I209" s="193"/>
    </row>
    <row r="210" spans="9:9" x14ac:dyDescent="0.2">
      <c r="I210" s="193"/>
    </row>
    <row r="211" spans="9:9" x14ac:dyDescent="0.2">
      <c r="I211" s="193"/>
    </row>
    <row r="212" spans="9:9" x14ac:dyDescent="0.2">
      <c r="I212" s="193"/>
    </row>
    <row r="213" spans="9:9" x14ac:dyDescent="0.2">
      <c r="I213" s="193"/>
    </row>
    <row r="214" spans="9:9" x14ac:dyDescent="0.2">
      <c r="I214" s="193"/>
    </row>
    <row r="215" spans="9:9" x14ac:dyDescent="0.2">
      <c r="I215" s="193"/>
    </row>
    <row r="216" spans="9:9" x14ac:dyDescent="0.2">
      <c r="I216" s="193"/>
    </row>
    <row r="217" spans="9:9" x14ac:dyDescent="0.2">
      <c r="I217" s="193"/>
    </row>
    <row r="218" spans="9:9" x14ac:dyDescent="0.2">
      <c r="I218" s="193"/>
    </row>
    <row r="219" spans="9:9" x14ac:dyDescent="0.2">
      <c r="I219" s="193"/>
    </row>
    <row r="220" spans="9:9" x14ac:dyDescent="0.2">
      <c r="I220" s="193"/>
    </row>
    <row r="221" spans="9:9" x14ac:dyDescent="0.2">
      <c r="I221" s="193"/>
    </row>
    <row r="222" spans="9:9" x14ac:dyDescent="0.2">
      <c r="I222" s="193"/>
    </row>
    <row r="223" spans="9:9" x14ac:dyDescent="0.2">
      <c r="I223" s="193"/>
    </row>
    <row r="224" spans="9:9" x14ac:dyDescent="0.2">
      <c r="I224" s="193"/>
    </row>
    <row r="225" spans="9:9" x14ac:dyDescent="0.2">
      <c r="I225" s="193"/>
    </row>
    <row r="226" spans="9:9" x14ac:dyDescent="0.2">
      <c r="I226" s="193"/>
    </row>
    <row r="227" spans="9:9" x14ac:dyDescent="0.2">
      <c r="I227" s="193"/>
    </row>
    <row r="228" spans="9:9" x14ac:dyDescent="0.2">
      <c r="I228" s="193"/>
    </row>
    <row r="229" spans="9:9" x14ac:dyDescent="0.2">
      <c r="I229" s="193"/>
    </row>
    <row r="230" spans="9:9" x14ac:dyDescent="0.2">
      <c r="I230" s="193"/>
    </row>
    <row r="231" spans="9:9" x14ac:dyDescent="0.2">
      <c r="I231" s="193"/>
    </row>
    <row r="232" spans="9:9" x14ac:dyDescent="0.2">
      <c r="I232" s="193"/>
    </row>
    <row r="233" spans="9:9" x14ac:dyDescent="0.2">
      <c r="I233" s="193"/>
    </row>
    <row r="234" spans="9:9" x14ac:dyDescent="0.2">
      <c r="I234" s="193"/>
    </row>
    <row r="235" spans="9:9" x14ac:dyDescent="0.2">
      <c r="I235" s="193"/>
    </row>
    <row r="236" spans="9:9" x14ac:dyDescent="0.2">
      <c r="I236" s="193"/>
    </row>
    <row r="237" spans="9:9" x14ac:dyDescent="0.2">
      <c r="I237" s="193"/>
    </row>
    <row r="238" spans="9:9" x14ac:dyDescent="0.2">
      <c r="I238" s="193"/>
    </row>
    <row r="239" spans="9:9" x14ac:dyDescent="0.2">
      <c r="I239" s="193"/>
    </row>
    <row r="240" spans="9:9" x14ac:dyDescent="0.2">
      <c r="I240" s="193"/>
    </row>
    <row r="241" spans="9:9" x14ac:dyDescent="0.2">
      <c r="I241" s="193"/>
    </row>
    <row r="242" spans="9:9" x14ac:dyDescent="0.2">
      <c r="I242" s="193"/>
    </row>
    <row r="243" spans="9:9" x14ac:dyDescent="0.2">
      <c r="I243" s="193"/>
    </row>
    <row r="244" spans="9:9" x14ac:dyDescent="0.2">
      <c r="I244" s="193"/>
    </row>
    <row r="245" spans="9:9" x14ac:dyDescent="0.2">
      <c r="I245" s="193"/>
    </row>
    <row r="246" spans="9:9" x14ac:dyDescent="0.2">
      <c r="I246" s="193"/>
    </row>
    <row r="247" spans="9:9" x14ac:dyDescent="0.2">
      <c r="I247" s="193"/>
    </row>
    <row r="248" spans="9:9" x14ac:dyDescent="0.2">
      <c r="I248" s="193"/>
    </row>
    <row r="249" spans="9:9" x14ac:dyDescent="0.2">
      <c r="I249" s="193"/>
    </row>
    <row r="250" spans="9:9" x14ac:dyDescent="0.2">
      <c r="I250" s="193"/>
    </row>
    <row r="251" spans="9:9" x14ac:dyDescent="0.2">
      <c r="I251" s="193"/>
    </row>
    <row r="252" spans="9:9" x14ac:dyDescent="0.2">
      <c r="I252" s="193"/>
    </row>
    <row r="253" spans="9:9" x14ac:dyDescent="0.2">
      <c r="I253" s="193"/>
    </row>
    <row r="254" spans="9:9" x14ac:dyDescent="0.2">
      <c r="I254" s="193"/>
    </row>
    <row r="255" spans="9:9" x14ac:dyDescent="0.2">
      <c r="I255" s="193"/>
    </row>
    <row r="256" spans="9:9" x14ac:dyDescent="0.2">
      <c r="I256" s="193"/>
    </row>
    <row r="257" spans="9:9" x14ac:dyDescent="0.2">
      <c r="I257" s="193"/>
    </row>
    <row r="258" spans="9:9" x14ac:dyDescent="0.2">
      <c r="I258" s="193"/>
    </row>
    <row r="259" spans="9:9" x14ac:dyDescent="0.2">
      <c r="I259" s="193"/>
    </row>
    <row r="260" spans="9:9" x14ac:dyDescent="0.2">
      <c r="I260" s="193"/>
    </row>
    <row r="261" spans="9:9" x14ac:dyDescent="0.2">
      <c r="I261" s="193"/>
    </row>
    <row r="262" spans="9:9" x14ac:dyDescent="0.2">
      <c r="I262" s="193"/>
    </row>
    <row r="263" spans="9:9" x14ac:dyDescent="0.2">
      <c r="I263" s="193"/>
    </row>
    <row r="264" spans="9:9" x14ac:dyDescent="0.2">
      <c r="I264" s="193"/>
    </row>
    <row r="265" spans="9:9" x14ac:dyDescent="0.2">
      <c r="I265" s="193"/>
    </row>
    <row r="266" spans="9:9" x14ac:dyDescent="0.2">
      <c r="I266" s="193"/>
    </row>
    <row r="267" spans="9:9" x14ac:dyDescent="0.2">
      <c r="I267" s="193"/>
    </row>
    <row r="268" spans="9:9" x14ac:dyDescent="0.2">
      <c r="I268" s="193"/>
    </row>
    <row r="269" spans="9:9" x14ac:dyDescent="0.2">
      <c r="I269" s="193"/>
    </row>
    <row r="270" spans="9:9" x14ac:dyDescent="0.2">
      <c r="I270" s="193"/>
    </row>
    <row r="271" spans="9:9" x14ac:dyDescent="0.2">
      <c r="I271" s="193"/>
    </row>
    <row r="272" spans="9:9" x14ac:dyDescent="0.2">
      <c r="I272" s="193"/>
    </row>
    <row r="273" spans="9:9" x14ac:dyDescent="0.2">
      <c r="I273" s="193"/>
    </row>
    <row r="274" spans="9:9" x14ac:dyDescent="0.2">
      <c r="I274" s="193"/>
    </row>
    <row r="275" spans="9:9" x14ac:dyDescent="0.2">
      <c r="I275" s="193"/>
    </row>
    <row r="276" spans="9:9" x14ac:dyDescent="0.2">
      <c r="I276" s="193"/>
    </row>
    <row r="277" spans="9:9" x14ac:dyDescent="0.2">
      <c r="I277" s="193"/>
    </row>
    <row r="278" spans="9:9" x14ac:dyDescent="0.2">
      <c r="I278" s="193"/>
    </row>
    <row r="279" spans="9:9" x14ac:dyDescent="0.2">
      <c r="I279" s="193"/>
    </row>
    <row r="280" spans="9:9" x14ac:dyDescent="0.2">
      <c r="I280" s="193"/>
    </row>
    <row r="281" spans="9:9" x14ac:dyDescent="0.2">
      <c r="I281" s="193"/>
    </row>
    <row r="282" spans="9:9" x14ac:dyDescent="0.2">
      <c r="I282" s="193"/>
    </row>
    <row r="283" spans="9:9" x14ac:dyDescent="0.2">
      <c r="I283" s="193"/>
    </row>
    <row r="284" spans="9:9" x14ac:dyDescent="0.2">
      <c r="I284" s="193"/>
    </row>
    <row r="285" spans="9:9" x14ac:dyDescent="0.2">
      <c r="I285" s="193"/>
    </row>
    <row r="286" spans="9:9" x14ac:dyDescent="0.2">
      <c r="I286" s="193"/>
    </row>
    <row r="287" spans="9:9" x14ac:dyDescent="0.2">
      <c r="I287" s="193"/>
    </row>
    <row r="288" spans="9:9" x14ac:dyDescent="0.2">
      <c r="I288" s="193"/>
    </row>
    <row r="289" spans="9:9" x14ac:dyDescent="0.2">
      <c r="I289" s="193"/>
    </row>
    <row r="290" spans="9:9" x14ac:dyDescent="0.2">
      <c r="I290" s="193"/>
    </row>
    <row r="291" spans="9:9" x14ac:dyDescent="0.2">
      <c r="I291" s="193"/>
    </row>
    <row r="292" spans="9:9" x14ac:dyDescent="0.2">
      <c r="I292" s="193"/>
    </row>
    <row r="293" spans="9:9" x14ac:dyDescent="0.2">
      <c r="I293" s="193"/>
    </row>
    <row r="294" spans="9:9" x14ac:dyDescent="0.2">
      <c r="I294" s="193"/>
    </row>
    <row r="295" spans="9:9" x14ac:dyDescent="0.2">
      <c r="I295" s="193"/>
    </row>
    <row r="296" spans="9:9" x14ac:dyDescent="0.2">
      <c r="I296" s="193"/>
    </row>
    <row r="297" spans="9:9" x14ac:dyDescent="0.2">
      <c r="I297" s="193"/>
    </row>
    <row r="298" spans="9:9" x14ac:dyDescent="0.2">
      <c r="I298" s="193"/>
    </row>
    <row r="299" spans="9:9" x14ac:dyDescent="0.2">
      <c r="I299" s="193"/>
    </row>
    <row r="300" spans="9:9" x14ac:dyDescent="0.2">
      <c r="I300" s="193"/>
    </row>
    <row r="301" spans="9:9" x14ac:dyDescent="0.2">
      <c r="I301" s="193"/>
    </row>
    <row r="302" spans="9:9" x14ac:dyDescent="0.2">
      <c r="I302" s="193"/>
    </row>
    <row r="303" spans="9:9" x14ac:dyDescent="0.2">
      <c r="I303" s="193"/>
    </row>
    <row r="304" spans="9:9" x14ac:dyDescent="0.2">
      <c r="I304" s="193"/>
    </row>
    <row r="305" spans="9:9" x14ac:dyDescent="0.2">
      <c r="I305" s="193"/>
    </row>
    <row r="306" spans="9:9" x14ac:dyDescent="0.2">
      <c r="I306" s="193"/>
    </row>
    <row r="307" spans="9:9" x14ac:dyDescent="0.2">
      <c r="I307" s="193"/>
    </row>
    <row r="308" spans="9:9" x14ac:dyDescent="0.2">
      <c r="I308" s="193"/>
    </row>
    <row r="309" spans="9:9" x14ac:dyDescent="0.2">
      <c r="I309" s="193"/>
    </row>
    <row r="310" spans="9:9" x14ac:dyDescent="0.2">
      <c r="I310" s="193"/>
    </row>
    <row r="311" spans="9:9" x14ac:dyDescent="0.2">
      <c r="I311" s="193"/>
    </row>
    <row r="312" spans="9:9" x14ac:dyDescent="0.2">
      <c r="I312" s="193"/>
    </row>
    <row r="313" spans="9:9" x14ac:dyDescent="0.2">
      <c r="I313" s="193"/>
    </row>
    <row r="314" spans="9:9" x14ac:dyDescent="0.2">
      <c r="I314" s="193"/>
    </row>
    <row r="315" spans="9:9" x14ac:dyDescent="0.2">
      <c r="I315" s="193"/>
    </row>
    <row r="316" spans="9:9" x14ac:dyDescent="0.2">
      <c r="I316" s="193"/>
    </row>
    <row r="317" spans="9:9" x14ac:dyDescent="0.2">
      <c r="I317" s="193"/>
    </row>
    <row r="318" spans="9:9" x14ac:dyDescent="0.2">
      <c r="I318" s="193"/>
    </row>
    <row r="319" spans="9:9" x14ac:dyDescent="0.2">
      <c r="I319" s="193"/>
    </row>
    <row r="320" spans="9:9" x14ac:dyDescent="0.2">
      <c r="I320" s="193"/>
    </row>
    <row r="321" spans="9:9" x14ac:dyDescent="0.2">
      <c r="I321" s="193"/>
    </row>
    <row r="322" spans="9:9" x14ac:dyDescent="0.2">
      <c r="I322" s="193"/>
    </row>
    <row r="323" spans="9:9" x14ac:dyDescent="0.2">
      <c r="I323" s="193"/>
    </row>
    <row r="324" spans="9:9" x14ac:dyDescent="0.2">
      <c r="I324" s="193"/>
    </row>
    <row r="325" spans="9:9" x14ac:dyDescent="0.2">
      <c r="I325" s="193"/>
    </row>
    <row r="326" spans="9:9" x14ac:dyDescent="0.2">
      <c r="I326" s="193"/>
    </row>
    <row r="327" spans="9:9" x14ac:dyDescent="0.2">
      <c r="I327" s="193"/>
    </row>
    <row r="328" spans="9:9" x14ac:dyDescent="0.2">
      <c r="I328" s="193"/>
    </row>
    <row r="329" spans="9:9" x14ac:dyDescent="0.2">
      <c r="I329" s="193"/>
    </row>
    <row r="330" spans="9:9" x14ac:dyDescent="0.2">
      <c r="I330" s="193"/>
    </row>
    <row r="331" spans="9:9" x14ac:dyDescent="0.2">
      <c r="I331" s="193"/>
    </row>
    <row r="332" spans="9:9" x14ac:dyDescent="0.2">
      <c r="I332" s="193"/>
    </row>
    <row r="333" spans="9:9" x14ac:dyDescent="0.2">
      <c r="I333" s="193"/>
    </row>
    <row r="334" spans="9:9" x14ac:dyDescent="0.2">
      <c r="I334" s="193"/>
    </row>
    <row r="335" spans="9:9" x14ac:dyDescent="0.2">
      <c r="I335" s="193"/>
    </row>
    <row r="336" spans="9:9" x14ac:dyDescent="0.2">
      <c r="I336" s="193"/>
    </row>
    <row r="337" spans="9:9" x14ac:dyDescent="0.2">
      <c r="I337" s="193"/>
    </row>
    <row r="338" spans="9:9" x14ac:dyDescent="0.2">
      <c r="I338" s="193"/>
    </row>
    <row r="339" spans="9:9" x14ac:dyDescent="0.2">
      <c r="I339" s="193"/>
    </row>
    <row r="340" spans="9:9" x14ac:dyDescent="0.2">
      <c r="I340" s="193"/>
    </row>
    <row r="341" spans="9:9" x14ac:dyDescent="0.2">
      <c r="I341" s="193"/>
    </row>
    <row r="342" spans="9:9" x14ac:dyDescent="0.2">
      <c r="I342" s="193"/>
    </row>
    <row r="343" spans="9:9" x14ac:dyDescent="0.2">
      <c r="I343" s="193"/>
    </row>
    <row r="344" spans="9:9" x14ac:dyDescent="0.2">
      <c r="I344" s="193"/>
    </row>
    <row r="345" spans="9:9" x14ac:dyDescent="0.2">
      <c r="I345" s="193"/>
    </row>
    <row r="346" spans="9:9" x14ac:dyDescent="0.2">
      <c r="I346" s="193"/>
    </row>
    <row r="347" spans="9:9" x14ac:dyDescent="0.2">
      <c r="I347" s="193"/>
    </row>
    <row r="348" spans="9:9" x14ac:dyDescent="0.2">
      <c r="I348" s="193"/>
    </row>
    <row r="349" spans="9:9" x14ac:dyDescent="0.2">
      <c r="I349" s="193"/>
    </row>
    <row r="350" spans="9:9" x14ac:dyDescent="0.2">
      <c r="I350" s="193"/>
    </row>
    <row r="351" spans="9:9" x14ac:dyDescent="0.2">
      <c r="I351" s="193"/>
    </row>
    <row r="352" spans="9:9" x14ac:dyDescent="0.2">
      <c r="I352" s="193"/>
    </row>
    <row r="353" spans="9:9" x14ac:dyDescent="0.2">
      <c r="I353" s="193"/>
    </row>
    <row r="354" spans="9:9" x14ac:dyDescent="0.2">
      <c r="I354" s="193"/>
    </row>
    <row r="355" spans="9:9" x14ac:dyDescent="0.2">
      <c r="I355" s="193"/>
    </row>
    <row r="356" spans="9:9" x14ac:dyDescent="0.2">
      <c r="I356" s="193"/>
    </row>
    <row r="357" spans="9:9" x14ac:dyDescent="0.2">
      <c r="I357" s="193"/>
    </row>
    <row r="358" spans="9:9" x14ac:dyDescent="0.2">
      <c r="I358" s="193"/>
    </row>
    <row r="359" spans="9:9" x14ac:dyDescent="0.2">
      <c r="I359" s="193"/>
    </row>
    <row r="360" spans="9:9" x14ac:dyDescent="0.2">
      <c r="I360" s="193"/>
    </row>
    <row r="361" spans="9:9" x14ac:dyDescent="0.2">
      <c r="I361" s="193"/>
    </row>
    <row r="362" spans="9:9" x14ac:dyDescent="0.2">
      <c r="I362" s="193"/>
    </row>
    <row r="363" spans="9:9" x14ac:dyDescent="0.2">
      <c r="I363" s="193"/>
    </row>
    <row r="364" spans="9:9" x14ac:dyDescent="0.2">
      <c r="I364" s="193"/>
    </row>
    <row r="365" spans="9:9" x14ac:dyDescent="0.2">
      <c r="I365" s="193"/>
    </row>
    <row r="366" spans="9:9" x14ac:dyDescent="0.2">
      <c r="I366" s="193"/>
    </row>
    <row r="367" spans="9:9" x14ac:dyDescent="0.2">
      <c r="I367" s="193"/>
    </row>
    <row r="368" spans="9:9" x14ac:dyDescent="0.2">
      <c r="I368" s="193"/>
    </row>
    <row r="369" spans="9:9" x14ac:dyDescent="0.2">
      <c r="I369" s="193"/>
    </row>
    <row r="370" spans="9:9" x14ac:dyDescent="0.2">
      <c r="I370" s="193"/>
    </row>
    <row r="371" spans="9:9" x14ac:dyDescent="0.2">
      <c r="I371" s="193"/>
    </row>
    <row r="372" spans="9:9" x14ac:dyDescent="0.2">
      <c r="I372" s="193"/>
    </row>
    <row r="373" spans="9:9" x14ac:dyDescent="0.2">
      <c r="I373" s="193"/>
    </row>
    <row r="374" spans="9:9" x14ac:dyDescent="0.2">
      <c r="I374" s="193"/>
    </row>
    <row r="375" spans="9:9" x14ac:dyDescent="0.2">
      <c r="I375" s="193"/>
    </row>
    <row r="376" spans="9:9" x14ac:dyDescent="0.2">
      <c r="I376" s="193"/>
    </row>
    <row r="377" spans="9:9" x14ac:dyDescent="0.2">
      <c r="I377" s="193"/>
    </row>
    <row r="378" spans="9:9" x14ac:dyDescent="0.2">
      <c r="I378" s="193"/>
    </row>
    <row r="379" spans="9:9" x14ac:dyDescent="0.2">
      <c r="I379" s="193"/>
    </row>
    <row r="380" spans="9:9" x14ac:dyDescent="0.2">
      <c r="I380" s="193"/>
    </row>
    <row r="381" spans="9:9" x14ac:dyDescent="0.2">
      <c r="I381" s="193"/>
    </row>
    <row r="382" spans="9:9" x14ac:dyDescent="0.2">
      <c r="I382" s="193"/>
    </row>
    <row r="383" spans="9:9" x14ac:dyDescent="0.2">
      <c r="I383" s="193"/>
    </row>
    <row r="384" spans="9:9" x14ac:dyDescent="0.2">
      <c r="I384" s="193"/>
    </row>
    <row r="385" spans="9:9" x14ac:dyDescent="0.2">
      <c r="I385" s="193"/>
    </row>
    <row r="386" spans="9:9" x14ac:dyDescent="0.2">
      <c r="I386" s="193"/>
    </row>
    <row r="387" spans="9:9" x14ac:dyDescent="0.2">
      <c r="I387" s="193"/>
    </row>
    <row r="388" spans="9:9" x14ac:dyDescent="0.2">
      <c r="I388" s="193"/>
    </row>
    <row r="389" spans="9:9" x14ac:dyDescent="0.2">
      <c r="I389" s="193"/>
    </row>
    <row r="390" spans="9:9" x14ac:dyDescent="0.2">
      <c r="I390" s="193"/>
    </row>
    <row r="391" spans="9:9" x14ac:dyDescent="0.2">
      <c r="I391" s="193"/>
    </row>
    <row r="392" spans="9:9" x14ac:dyDescent="0.2">
      <c r="I392" s="193"/>
    </row>
    <row r="393" spans="9:9" x14ac:dyDescent="0.2">
      <c r="I393" s="193"/>
    </row>
    <row r="394" spans="9:9" x14ac:dyDescent="0.2">
      <c r="I394" s="193"/>
    </row>
    <row r="395" spans="9:9" x14ac:dyDescent="0.2">
      <c r="I395" s="193"/>
    </row>
    <row r="396" spans="9:9" x14ac:dyDescent="0.2">
      <c r="I396" s="193"/>
    </row>
    <row r="397" spans="9:9" x14ac:dyDescent="0.2">
      <c r="I397" s="193"/>
    </row>
    <row r="398" spans="9:9" x14ac:dyDescent="0.2">
      <c r="I398" s="193"/>
    </row>
    <row r="399" spans="9:9" x14ac:dyDescent="0.2">
      <c r="I399" s="193"/>
    </row>
    <row r="400" spans="9:9" x14ac:dyDescent="0.2">
      <c r="I400" s="193"/>
    </row>
    <row r="401" spans="9:9" x14ac:dyDescent="0.2">
      <c r="I401" s="193"/>
    </row>
    <row r="402" spans="9:9" x14ac:dyDescent="0.2">
      <c r="I402" s="193"/>
    </row>
    <row r="403" spans="9:9" x14ac:dyDescent="0.2">
      <c r="I403" s="193"/>
    </row>
    <row r="404" spans="9:9" x14ac:dyDescent="0.2">
      <c r="I404" s="193"/>
    </row>
    <row r="405" spans="9:9" x14ac:dyDescent="0.2">
      <c r="I405" s="193"/>
    </row>
    <row r="406" spans="9:9" x14ac:dyDescent="0.2">
      <c r="I406" s="193"/>
    </row>
    <row r="407" spans="9:9" x14ac:dyDescent="0.2">
      <c r="I407" s="193"/>
    </row>
    <row r="408" spans="9:9" x14ac:dyDescent="0.2">
      <c r="I408" s="193"/>
    </row>
    <row r="409" spans="9:9" x14ac:dyDescent="0.2">
      <c r="I409" s="193"/>
    </row>
    <row r="410" spans="9:9" x14ac:dyDescent="0.2">
      <c r="I410" s="193"/>
    </row>
    <row r="411" spans="9:9" x14ac:dyDescent="0.2">
      <c r="I411" s="193"/>
    </row>
    <row r="412" spans="9:9" x14ac:dyDescent="0.2">
      <c r="I412" s="193"/>
    </row>
    <row r="413" spans="9:9" x14ac:dyDescent="0.2">
      <c r="I413" s="193"/>
    </row>
    <row r="414" spans="9:9" x14ac:dyDescent="0.2">
      <c r="I414" s="193"/>
    </row>
    <row r="415" spans="9:9" x14ac:dyDescent="0.2">
      <c r="I415" s="193"/>
    </row>
    <row r="416" spans="9:9" x14ac:dyDescent="0.2">
      <c r="I416" s="193"/>
    </row>
    <row r="417" spans="9:9" x14ac:dyDescent="0.2">
      <c r="I417" s="193"/>
    </row>
    <row r="418" spans="9:9" x14ac:dyDescent="0.2">
      <c r="I418" s="193"/>
    </row>
    <row r="419" spans="9:9" x14ac:dyDescent="0.2">
      <c r="I419" s="193"/>
    </row>
    <row r="420" spans="9:9" x14ac:dyDescent="0.2">
      <c r="I420" s="193"/>
    </row>
    <row r="421" spans="9:9" x14ac:dyDescent="0.2">
      <c r="I421" s="193"/>
    </row>
    <row r="422" spans="9:9" x14ac:dyDescent="0.2">
      <c r="I422" s="193"/>
    </row>
    <row r="423" spans="9:9" x14ac:dyDescent="0.2">
      <c r="I423" s="193"/>
    </row>
    <row r="424" spans="9:9" x14ac:dyDescent="0.2">
      <c r="I424" s="193"/>
    </row>
    <row r="425" spans="9:9" x14ac:dyDescent="0.2">
      <c r="I425" s="193"/>
    </row>
    <row r="426" spans="9:9" x14ac:dyDescent="0.2">
      <c r="I426" s="193"/>
    </row>
    <row r="427" spans="9:9" x14ac:dyDescent="0.2">
      <c r="I427" s="193"/>
    </row>
    <row r="428" spans="9:9" x14ac:dyDescent="0.2">
      <c r="I428" s="193"/>
    </row>
    <row r="429" spans="9:9" x14ac:dyDescent="0.2">
      <c r="I429" s="193"/>
    </row>
    <row r="430" spans="9:9" x14ac:dyDescent="0.2">
      <c r="I430" s="193"/>
    </row>
    <row r="431" spans="9:9" x14ac:dyDescent="0.2">
      <c r="I431" s="193"/>
    </row>
    <row r="432" spans="9:9" x14ac:dyDescent="0.2">
      <c r="I432" s="193"/>
    </row>
    <row r="433" spans="9:9" x14ac:dyDescent="0.2">
      <c r="I433" s="193"/>
    </row>
    <row r="434" spans="9:9" x14ac:dyDescent="0.2">
      <c r="I434" s="193"/>
    </row>
    <row r="435" spans="9:9" x14ac:dyDescent="0.2">
      <c r="I435" s="193"/>
    </row>
    <row r="436" spans="9:9" x14ac:dyDescent="0.2">
      <c r="I436" s="193"/>
    </row>
    <row r="437" spans="9:9" x14ac:dyDescent="0.2">
      <c r="I437" s="193"/>
    </row>
    <row r="438" spans="9:9" x14ac:dyDescent="0.2">
      <c r="I438" s="193"/>
    </row>
    <row r="439" spans="9:9" x14ac:dyDescent="0.2">
      <c r="I439" s="193"/>
    </row>
    <row r="440" spans="9:9" x14ac:dyDescent="0.2">
      <c r="I440" s="193"/>
    </row>
    <row r="441" spans="9:9" x14ac:dyDescent="0.2">
      <c r="I441" s="193"/>
    </row>
    <row r="442" spans="9:9" x14ac:dyDescent="0.2">
      <c r="I442" s="193"/>
    </row>
    <row r="443" spans="9:9" x14ac:dyDescent="0.2">
      <c r="I443" s="193"/>
    </row>
    <row r="444" spans="9:9" x14ac:dyDescent="0.2">
      <c r="I444" s="193"/>
    </row>
    <row r="445" spans="9:9" x14ac:dyDescent="0.2">
      <c r="I445" s="193"/>
    </row>
    <row r="446" spans="9:9" x14ac:dyDescent="0.2">
      <c r="I446" s="193"/>
    </row>
    <row r="447" spans="9:9" x14ac:dyDescent="0.2">
      <c r="I447" s="193"/>
    </row>
    <row r="448" spans="9:9" x14ac:dyDescent="0.2">
      <c r="I448" s="193"/>
    </row>
    <row r="449" spans="9:9" x14ac:dyDescent="0.2">
      <c r="I449" s="193"/>
    </row>
    <row r="450" spans="9:9" x14ac:dyDescent="0.2">
      <c r="I450" s="193"/>
    </row>
    <row r="451" spans="9:9" x14ac:dyDescent="0.2">
      <c r="I451" s="193"/>
    </row>
    <row r="452" spans="9:9" x14ac:dyDescent="0.2">
      <c r="I452" s="193"/>
    </row>
    <row r="453" spans="9:9" x14ac:dyDescent="0.2">
      <c r="I453" s="193"/>
    </row>
    <row r="454" spans="9:9" x14ac:dyDescent="0.2">
      <c r="I454" s="193"/>
    </row>
    <row r="455" spans="9:9" x14ac:dyDescent="0.2">
      <c r="I455" s="193"/>
    </row>
    <row r="456" spans="9:9" x14ac:dyDescent="0.2">
      <c r="I456" s="193"/>
    </row>
    <row r="457" spans="9:9" x14ac:dyDescent="0.2">
      <c r="I457" s="193"/>
    </row>
    <row r="458" spans="9:9" x14ac:dyDescent="0.2">
      <c r="I458" s="193"/>
    </row>
    <row r="459" spans="9:9" x14ac:dyDescent="0.2">
      <c r="I459" s="193"/>
    </row>
    <row r="460" spans="9:9" x14ac:dyDescent="0.2">
      <c r="I460" s="193"/>
    </row>
    <row r="461" spans="9:9" x14ac:dyDescent="0.2">
      <c r="I461" s="193"/>
    </row>
    <row r="462" spans="9:9" x14ac:dyDescent="0.2">
      <c r="I462" s="193"/>
    </row>
    <row r="463" spans="9:9" x14ac:dyDescent="0.2">
      <c r="I463" s="193"/>
    </row>
    <row r="464" spans="9:9" x14ac:dyDescent="0.2">
      <c r="I464" s="193"/>
    </row>
    <row r="465" spans="9:9" x14ac:dyDescent="0.2">
      <c r="I465" s="193"/>
    </row>
    <row r="466" spans="9:9" x14ac:dyDescent="0.2">
      <c r="I466" s="193"/>
    </row>
    <row r="467" spans="9:9" x14ac:dyDescent="0.2">
      <c r="I467" s="193"/>
    </row>
    <row r="468" spans="9:9" x14ac:dyDescent="0.2">
      <c r="I468" s="193"/>
    </row>
    <row r="469" spans="9:9" x14ac:dyDescent="0.2">
      <c r="I469" s="193"/>
    </row>
    <row r="470" spans="9:9" x14ac:dyDescent="0.2">
      <c r="I470" s="193"/>
    </row>
    <row r="471" spans="9:9" x14ac:dyDescent="0.2">
      <c r="I471" s="193"/>
    </row>
    <row r="472" spans="9:9" x14ac:dyDescent="0.2">
      <c r="I472" s="193"/>
    </row>
    <row r="473" spans="9:9" x14ac:dyDescent="0.2">
      <c r="I473" s="193"/>
    </row>
    <row r="474" spans="9:9" x14ac:dyDescent="0.2">
      <c r="I474" s="193"/>
    </row>
    <row r="475" spans="9:9" x14ac:dyDescent="0.2">
      <c r="I475" s="193"/>
    </row>
    <row r="476" spans="9:9" x14ac:dyDescent="0.2">
      <c r="I476" s="193"/>
    </row>
    <row r="477" spans="9:9" x14ac:dyDescent="0.2">
      <c r="I477" s="193"/>
    </row>
    <row r="478" spans="9:9" x14ac:dyDescent="0.2">
      <c r="I478" s="193"/>
    </row>
    <row r="479" spans="9:9" x14ac:dyDescent="0.2">
      <c r="I479" s="193"/>
    </row>
    <row r="480" spans="9:9" x14ac:dyDescent="0.2">
      <c r="I480" s="193"/>
    </row>
    <row r="481" spans="9:9" x14ac:dyDescent="0.2">
      <c r="I481" s="193"/>
    </row>
    <row r="482" spans="9:9" x14ac:dyDescent="0.2">
      <c r="I482" s="193"/>
    </row>
    <row r="483" spans="9:9" x14ac:dyDescent="0.2">
      <c r="I483" s="193"/>
    </row>
    <row r="484" spans="9:9" x14ac:dyDescent="0.2">
      <c r="I484" s="193"/>
    </row>
    <row r="485" spans="9:9" x14ac:dyDescent="0.2">
      <c r="I485" s="193"/>
    </row>
    <row r="486" spans="9:9" x14ac:dyDescent="0.2">
      <c r="I486" s="193"/>
    </row>
    <row r="487" spans="9:9" x14ac:dyDescent="0.2">
      <c r="I487" s="193"/>
    </row>
    <row r="488" spans="9:9" x14ac:dyDescent="0.2">
      <c r="I488" s="193"/>
    </row>
    <row r="489" spans="9:9" x14ac:dyDescent="0.2">
      <c r="I489" s="193"/>
    </row>
    <row r="490" spans="9:9" x14ac:dyDescent="0.2">
      <c r="I490" s="193"/>
    </row>
    <row r="491" spans="9:9" x14ac:dyDescent="0.2">
      <c r="I491" s="193"/>
    </row>
    <row r="492" spans="9:9" x14ac:dyDescent="0.2">
      <c r="I492" s="193"/>
    </row>
    <row r="493" spans="9:9" x14ac:dyDescent="0.2">
      <c r="I493" s="193"/>
    </row>
    <row r="494" spans="9:9" x14ac:dyDescent="0.2">
      <c r="I494" s="193"/>
    </row>
    <row r="495" spans="9:9" x14ac:dyDescent="0.2">
      <c r="I495" s="193"/>
    </row>
    <row r="496" spans="9:9" x14ac:dyDescent="0.2">
      <c r="I496" s="193"/>
    </row>
    <row r="497" spans="9:9" x14ac:dyDescent="0.2">
      <c r="I497" s="193"/>
    </row>
    <row r="498" spans="9:9" x14ac:dyDescent="0.2">
      <c r="I498" s="193"/>
    </row>
    <row r="499" spans="9:9" x14ac:dyDescent="0.2">
      <c r="I499" s="193"/>
    </row>
    <row r="500" spans="9:9" x14ac:dyDescent="0.2">
      <c r="I500" s="193"/>
    </row>
    <row r="501" spans="9:9" x14ac:dyDescent="0.2">
      <c r="I501" s="193"/>
    </row>
    <row r="502" spans="9:9" x14ac:dyDescent="0.2">
      <c r="I502" s="193"/>
    </row>
    <row r="503" spans="9:9" x14ac:dyDescent="0.2">
      <c r="I503" s="193"/>
    </row>
    <row r="504" spans="9:9" x14ac:dyDescent="0.2">
      <c r="I504" s="193"/>
    </row>
    <row r="505" spans="9:9" x14ac:dyDescent="0.2">
      <c r="I505" s="193"/>
    </row>
  </sheetData>
  <customSheetViews>
    <customSheetView guid="{D3618886-EC92-4244-941D-CAF99D049731}" showRuler="0">
      <selection activeCell="B1" sqref="B1"/>
      <pageMargins left="0.33" right="0.28000000000000003" top="0.52" bottom="0.39" header="0.34" footer="0.16"/>
      <pageSetup scale="80" orientation="portrait" horizontalDpi="300" verticalDpi="300" r:id="rId1"/>
      <headerFooter alignWithMargins="0"/>
    </customSheetView>
  </customSheetViews>
  <mergeCells count="1">
    <mergeCell ref="A1:N1"/>
  </mergeCells>
  <phoneticPr fontId="20" type="noConversion"/>
  <pageMargins left="0.33" right="0.28000000000000003" top="0.52" bottom="0.39" header="0.34" footer="0.16"/>
  <pageSetup scale="8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A1:R160"/>
  <sheetViews>
    <sheetView workbookViewId="0">
      <selection activeCell="I5" sqref="I5"/>
    </sheetView>
  </sheetViews>
  <sheetFormatPr defaultColWidth="9.140625" defaultRowHeight="11.25" x14ac:dyDescent="0.2"/>
  <cols>
    <col min="1" max="10" width="9.140625" style="1"/>
    <col min="11" max="11" width="9.140625" style="5"/>
    <col min="12" max="12" width="9.140625" style="195"/>
    <col min="13" max="16384" width="9.140625" style="1"/>
  </cols>
  <sheetData>
    <row r="1" spans="1:18" ht="12.75" customHeight="1" x14ac:dyDescent="0.2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N1" s="194"/>
      <c r="O1" s="5"/>
      <c r="P1" s="195"/>
      <c r="Q1" s="196"/>
      <c r="R1" s="196"/>
    </row>
    <row r="2" spans="1:18" ht="12.75" customHeight="1" x14ac:dyDescent="0.25">
      <c r="A2" s="212" t="s">
        <v>1371</v>
      </c>
      <c r="B2" s="194"/>
      <c r="C2" s="194"/>
      <c r="D2" s="194"/>
      <c r="E2" s="194"/>
      <c r="F2" s="194"/>
      <c r="G2" s="194"/>
      <c r="H2" s="194"/>
      <c r="I2" s="213" t="s">
        <v>110</v>
      </c>
      <c r="J2" s="194"/>
      <c r="K2" s="194"/>
      <c r="L2" s="194"/>
      <c r="N2" s="194"/>
      <c r="O2" s="5"/>
      <c r="P2" s="195"/>
      <c r="Q2" s="196"/>
      <c r="R2" s="196"/>
    </row>
    <row r="3" spans="1:18" ht="12.75" customHeight="1" x14ac:dyDescent="0.2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O3" s="5"/>
      <c r="P3" s="195"/>
      <c r="Q3" s="2"/>
      <c r="R3" s="2"/>
    </row>
    <row r="4" spans="1:18" x14ac:dyDescent="0.2">
      <c r="A4" s="194" t="s">
        <v>60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O4" s="5"/>
      <c r="P4" s="195"/>
      <c r="Q4" s="196"/>
      <c r="R4" s="196"/>
    </row>
    <row r="5" spans="1:18" ht="56.25" x14ac:dyDescent="0.2">
      <c r="A5" s="194" t="s">
        <v>61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N5" s="214" t="s">
        <v>35</v>
      </c>
      <c r="O5" s="215" t="s">
        <v>111</v>
      </c>
      <c r="P5" s="216" t="s">
        <v>112</v>
      </c>
      <c r="Q5" s="214" t="s">
        <v>113</v>
      </c>
      <c r="R5" s="217"/>
    </row>
    <row r="6" spans="1:18" x14ac:dyDescent="0.2">
      <c r="K6" s="1"/>
      <c r="L6" s="1"/>
      <c r="O6" s="5"/>
      <c r="P6" s="195"/>
      <c r="R6" s="206"/>
    </row>
    <row r="7" spans="1:18" x14ac:dyDescent="0.2">
      <c r="B7" s="1" t="s">
        <v>114</v>
      </c>
      <c r="K7" s="1"/>
      <c r="L7" s="1"/>
      <c r="N7" s="1">
        <v>2012</v>
      </c>
      <c r="O7" s="183">
        <v>2.075003895448035</v>
      </c>
      <c r="P7" s="5">
        <v>9.4</v>
      </c>
      <c r="Q7" s="197">
        <v>226.21</v>
      </c>
      <c r="R7" s="206"/>
    </row>
    <row r="8" spans="1:18" x14ac:dyDescent="0.2">
      <c r="B8" s="1" t="s">
        <v>115</v>
      </c>
      <c r="K8" s="1"/>
      <c r="L8" s="1"/>
      <c r="N8" s="1">
        <f t="shared" ref="N8:N36" si="0">+N7+1</f>
        <v>2013</v>
      </c>
      <c r="O8" s="183">
        <v>2.058928276804143</v>
      </c>
      <c r="P8" s="5">
        <f>P7*(1+(O8/100))</f>
        <v>9.5935392580195895</v>
      </c>
      <c r="Q8" s="197">
        <f t="shared" ref="Q8:Q36" si="1">Q7*(1+(O8/100))</f>
        <v>230.86750165495866</v>
      </c>
      <c r="R8" s="206"/>
    </row>
    <row r="9" spans="1:18" x14ac:dyDescent="0.2">
      <c r="B9" s="1" t="s">
        <v>62</v>
      </c>
      <c r="I9" s="1" t="s">
        <v>77</v>
      </c>
      <c r="K9" s="1"/>
      <c r="L9" s="6">
        <v>0.02</v>
      </c>
      <c r="N9" s="1">
        <f t="shared" si="0"/>
        <v>2014</v>
      </c>
      <c r="O9" s="183">
        <v>1.9432736982249339</v>
      </c>
      <c r="P9" s="5">
        <f t="shared" ref="P9:P36" si="2">P8*(1+(O9/100))</f>
        <v>9.7799679831495681</v>
      </c>
      <c r="Q9" s="197">
        <f t="shared" si="1"/>
        <v>235.35388909236849</v>
      </c>
      <c r="R9" s="206"/>
    </row>
    <row r="10" spans="1:18" x14ac:dyDescent="0.2">
      <c r="K10" s="1"/>
      <c r="L10" s="1"/>
      <c r="N10" s="1">
        <f t="shared" si="0"/>
        <v>2015</v>
      </c>
      <c r="O10" s="183">
        <v>1.8899256710398045</v>
      </c>
      <c r="P10" s="5">
        <f t="shared" si="2"/>
        <v>9.9648021086825853</v>
      </c>
      <c r="Q10" s="197">
        <f t="shared" si="1"/>
        <v>239.8019026601157</v>
      </c>
      <c r="R10" s="206"/>
    </row>
    <row r="11" spans="1:18" x14ac:dyDescent="0.2">
      <c r="C11" s="198" t="s">
        <v>63</v>
      </c>
      <c r="D11" s="198">
        <v>2012</v>
      </c>
      <c r="E11" s="198">
        <v>2011</v>
      </c>
      <c r="F11" s="199" t="s">
        <v>85</v>
      </c>
      <c r="G11" s="199" t="s">
        <v>86</v>
      </c>
      <c r="H11" s="199" t="s">
        <v>87</v>
      </c>
      <c r="I11" s="200">
        <v>38324</v>
      </c>
      <c r="J11" s="200">
        <v>37744</v>
      </c>
      <c r="K11" s="201" t="s">
        <v>64</v>
      </c>
      <c r="L11" s="201" t="s">
        <v>65</v>
      </c>
      <c r="N11" s="1">
        <f t="shared" si="0"/>
        <v>2016</v>
      </c>
      <c r="O11" s="183">
        <v>1.9277751374767726</v>
      </c>
      <c r="P11" s="5">
        <f t="shared" si="2"/>
        <v>10.15690108623253</v>
      </c>
      <c r="Q11" s="197">
        <f t="shared" si="1"/>
        <v>244.42474411879365</v>
      </c>
      <c r="R11" s="206"/>
    </row>
    <row r="12" spans="1:18" x14ac:dyDescent="0.2">
      <c r="C12" s="2">
        <v>2006</v>
      </c>
      <c r="D12" s="2"/>
      <c r="E12" s="2"/>
      <c r="F12" s="2" t="s">
        <v>70</v>
      </c>
      <c r="G12" s="2"/>
      <c r="H12" s="2"/>
      <c r="I12" s="2">
        <v>261.26</v>
      </c>
      <c r="J12" s="3">
        <v>276.6237873316187</v>
      </c>
      <c r="K12" s="3">
        <v>248.33063061788908</v>
      </c>
      <c r="L12" s="3">
        <v>270.76291501857753</v>
      </c>
      <c r="M12" s="3" t="s">
        <v>53</v>
      </c>
      <c r="N12" s="1">
        <f t="shared" si="0"/>
        <v>2017</v>
      </c>
      <c r="O12" s="183">
        <v>1.9688030582907579</v>
      </c>
      <c r="P12" s="5">
        <f t="shared" si="2"/>
        <v>10.356870465445844</v>
      </c>
      <c r="Q12" s="197">
        <f t="shared" si="1"/>
        <v>249.23698595622386</v>
      </c>
      <c r="R12" s="206"/>
    </row>
    <row r="13" spans="1:18" x14ac:dyDescent="0.2">
      <c r="C13" s="207">
        <v>2008</v>
      </c>
      <c r="D13" s="207"/>
      <c r="E13" s="207"/>
      <c r="F13" s="2" t="s">
        <v>70</v>
      </c>
      <c r="G13" s="2"/>
      <c r="H13" s="3">
        <v>274.68854391704133</v>
      </c>
      <c r="I13" s="2">
        <v>252.58</v>
      </c>
      <c r="J13" s="3">
        <v>340.04890519862914</v>
      </c>
      <c r="K13" s="3">
        <v>235.76881412780105</v>
      </c>
      <c r="L13" s="3">
        <v>243.74611444980548</v>
      </c>
      <c r="N13" s="1">
        <f t="shared" si="0"/>
        <v>2018</v>
      </c>
      <c r="O13" s="183">
        <v>1.9664254970505946</v>
      </c>
      <c r="P13" s="5">
        <f t="shared" si="2"/>
        <v>10.560530606974874</v>
      </c>
      <c r="Q13" s="197">
        <f t="shared" si="1"/>
        <v>254.13804559614746</v>
      </c>
      <c r="R13" s="206"/>
    </row>
    <row r="14" spans="1:18" x14ac:dyDescent="0.2">
      <c r="C14" s="207">
        <f t="shared" ref="C14:C22" si="3">C13+1</f>
        <v>2009</v>
      </c>
      <c r="D14" s="207"/>
      <c r="E14" s="207"/>
      <c r="G14" s="4">
        <v>300.86169186139091</v>
      </c>
      <c r="H14" s="3">
        <v>296.55217241379307</v>
      </c>
      <c r="I14" s="2">
        <v>248.83</v>
      </c>
      <c r="J14" s="3">
        <v>281.57668220370408</v>
      </c>
      <c r="K14" s="3">
        <v>225.17888010802187</v>
      </c>
      <c r="L14" s="3">
        <v>215.14203881225052</v>
      </c>
      <c r="N14" s="1">
        <f t="shared" si="0"/>
        <v>2019</v>
      </c>
      <c r="O14" s="183">
        <v>2.0213376413872441</v>
      </c>
      <c r="P14" s="5">
        <f t="shared" si="2"/>
        <v>10.773994587263878</v>
      </c>
      <c r="Q14" s="197">
        <f t="shared" si="1"/>
        <v>259.27503357286832</v>
      </c>
      <c r="R14" s="206"/>
    </row>
    <row r="15" spans="1:18" x14ac:dyDescent="0.2">
      <c r="C15" s="207">
        <f t="shared" si="3"/>
        <v>2010</v>
      </c>
      <c r="D15" s="207"/>
      <c r="E15" s="207"/>
      <c r="F15" s="4">
        <v>278.282712099501</v>
      </c>
      <c r="G15" s="4">
        <v>313.5955840925692</v>
      </c>
      <c r="H15" s="3">
        <v>290.70809327846428</v>
      </c>
      <c r="I15" s="2">
        <v>252.06</v>
      </c>
      <c r="J15" s="3">
        <v>260.77608827360484</v>
      </c>
      <c r="K15" s="3">
        <v>220.10421240977786</v>
      </c>
      <c r="L15" s="3">
        <v>229.7065449714047</v>
      </c>
      <c r="N15" s="1">
        <f t="shared" si="0"/>
        <v>2020</v>
      </c>
      <c r="O15" s="183">
        <v>2.0606231371092187</v>
      </c>
      <c r="P15" s="5">
        <f t="shared" si="2"/>
        <v>10.996006012519933</v>
      </c>
      <c r="Q15" s="197">
        <f t="shared" si="1"/>
        <v>264.61771490341852</v>
      </c>
      <c r="R15" s="206"/>
    </row>
    <row r="16" spans="1:18" x14ac:dyDescent="0.2">
      <c r="C16" s="207">
        <f t="shared" si="3"/>
        <v>2011</v>
      </c>
      <c r="D16" s="207"/>
      <c r="E16" s="207">
        <v>176.21707139763311</v>
      </c>
      <c r="F16" s="4">
        <v>274.23596832877882</v>
      </c>
      <c r="G16" s="4">
        <v>335.3594241535842</v>
      </c>
      <c r="H16" s="3">
        <v>294.47593657101328</v>
      </c>
      <c r="I16" s="2">
        <v>255.03</v>
      </c>
      <c r="J16" s="3">
        <v>280.59535823844413</v>
      </c>
      <c r="K16" s="3">
        <v>210.51679350885061</v>
      </c>
      <c r="L16" s="3">
        <v>232.63347330533912</v>
      </c>
      <c r="M16" s="202"/>
      <c r="N16" s="1">
        <f t="shared" si="0"/>
        <v>2021</v>
      </c>
      <c r="O16" s="183">
        <v>2.0325399429454993</v>
      </c>
      <c r="P16" s="5">
        <f t="shared" si="2"/>
        <v>11.21950422685309</v>
      </c>
      <c r="Q16" s="197">
        <f t="shared" si="1"/>
        <v>269.99617565494015</v>
      </c>
      <c r="R16" s="206"/>
    </row>
    <row r="17" spans="2:18" x14ac:dyDescent="0.2">
      <c r="C17" s="207">
        <f t="shared" si="3"/>
        <v>2012</v>
      </c>
      <c r="D17" s="208">
        <v>157.32574543122948</v>
      </c>
      <c r="E17" s="207">
        <v>156.14865184092866</v>
      </c>
      <c r="F17" s="4">
        <v>267.70625052213461</v>
      </c>
      <c r="G17" s="4">
        <v>331.03151056471683</v>
      </c>
      <c r="H17" s="3">
        <v>280.6310402307476</v>
      </c>
      <c r="I17" s="2">
        <v>260.02999999999997</v>
      </c>
      <c r="J17" s="3">
        <v>270.52001577003898</v>
      </c>
      <c r="K17" s="1"/>
      <c r="L17" s="1"/>
      <c r="M17" s="202"/>
      <c r="N17" s="1">
        <f t="shared" si="0"/>
        <v>2022</v>
      </c>
      <c r="O17" s="183">
        <v>2.0245320823431223</v>
      </c>
      <c r="P17" s="5">
        <f t="shared" si="2"/>
        <v>11.446646689405574</v>
      </c>
      <c r="Q17" s="197">
        <f t="shared" si="1"/>
        <v>275.46233485217391</v>
      </c>
      <c r="R17" s="206"/>
    </row>
    <row r="18" spans="2:18" x14ac:dyDescent="0.2">
      <c r="C18" s="207">
        <f t="shared" si="3"/>
        <v>2013</v>
      </c>
      <c r="D18" s="208">
        <v>169.69826547819733</v>
      </c>
      <c r="E18" s="207">
        <v>205.60969940473791</v>
      </c>
      <c r="F18" s="4">
        <v>293.52272598394615</v>
      </c>
      <c r="G18" s="4">
        <v>355.19484838642973</v>
      </c>
      <c r="H18" s="3">
        <v>301.70432439510898</v>
      </c>
      <c r="I18" s="2">
        <v>259.74</v>
      </c>
      <c r="J18" s="3">
        <v>272.70516547428787</v>
      </c>
      <c r="K18" s="3"/>
      <c r="L18" s="3"/>
      <c r="M18" s="202"/>
      <c r="N18" s="1">
        <f t="shared" si="0"/>
        <v>2023</v>
      </c>
      <c r="O18" s="183">
        <v>2.0567637170609276</v>
      </c>
      <c r="P18" s="5">
        <f t="shared" si="2"/>
        <v>11.682077165333425</v>
      </c>
      <c r="Q18" s="197">
        <f t="shared" si="1"/>
        <v>281.12794420958232</v>
      </c>
      <c r="R18" s="206"/>
    </row>
    <row r="19" spans="2:18" x14ac:dyDescent="0.2">
      <c r="C19" s="207">
        <f t="shared" si="3"/>
        <v>2014</v>
      </c>
      <c r="D19" s="208">
        <v>181.9352643934285</v>
      </c>
      <c r="E19" s="207">
        <v>216.97116019719525</v>
      </c>
      <c r="F19" s="4">
        <v>313.08218213713832</v>
      </c>
      <c r="G19" s="4">
        <v>370.28377493735331</v>
      </c>
      <c r="H19" s="3">
        <v>314.95467700106121</v>
      </c>
      <c r="I19" s="2">
        <v>261.60000000000002</v>
      </c>
      <c r="J19" s="3">
        <v>292.15410874306605</v>
      </c>
      <c r="K19" s="2"/>
      <c r="L19" s="2"/>
      <c r="M19" s="202"/>
      <c r="N19" s="1">
        <f t="shared" si="0"/>
        <v>2024</v>
      </c>
      <c r="O19" s="183">
        <v>2.1397712615852549</v>
      </c>
      <c r="P19" s="5">
        <f t="shared" si="2"/>
        <v>11.932046895273441</v>
      </c>
      <c r="Q19" s="197">
        <f t="shared" si="1"/>
        <v>287.14343916806439</v>
      </c>
      <c r="R19" s="206"/>
    </row>
    <row r="20" spans="2:18" x14ac:dyDescent="0.2">
      <c r="C20" s="207">
        <f t="shared" si="3"/>
        <v>2015</v>
      </c>
      <c r="D20" s="208">
        <v>193.82249685138606</v>
      </c>
      <c r="E20" s="207">
        <v>228.59922366397171</v>
      </c>
      <c r="F20" s="4">
        <v>326.47904339115928</v>
      </c>
      <c r="G20" s="4">
        <v>382.87045284229907</v>
      </c>
      <c r="H20" s="3">
        <v>320.71209201541006</v>
      </c>
      <c r="I20" s="2">
        <v>266.43</v>
      </c>
      <c r="K20" s="2"/>
      <c r="L20" s="2"/>
      <c r="M20" s="202"/>
      <c r="N20" s="1">
        <f t="shared" si="0"/>
        <v>2025</v>
      </c>
      <c r="O20" s="183">
        <v>2.146576677822043</v>
      </c>
      <c r="P20" s="5">
        <f t="shared" si="2"/>
        <v>12.188177431114172</v>
      </c>
      <c r="Q20" s="197">
        <f t="shared" si="1"/>
        <v>293.30719326514219</v>
      </c>
      <c r="R20" s="206"/>
    </row>
    <row r="21" spans="2:18" x14ac:dyDescent="0.2">
      <c r="C21" s="207">
        <f t="shared" si="3"/>
        <v>2016</v>
      </c>
      <c r="D21" s="208">
        <v>213.54393386633643</v>
      </c>
      <c r="E21" s="207">
        <v>239.35690645507364</v>
      </c>
      <c r="F21" s="4">
        <v>333.90889557960304</v>
      </c>
      <c r="G21" s="4">
        <v>384.45834165438328</v>
      </c>
      <c r="H21" s="3">
        <v>306.63865000291952</v>
      </c>
      <c r="J21" s="2"/>
      <c r="K21" s="2"/>
      <c r="L21" s="2"/>
      <c r="M21" s="202"/>
      <c r="N21" s="1">
        <f t="shared" si="0"/>
        <v>2026</v>
      </c>
      <c r="O21" s="183">
        <v>2.1739249645654213</v>
      </c>
      <c r="P21" s="5">
        <f t="shared" si="2"/>
        <v>12.453139263014689</v>
      </c>
      <c r="Q21" s="197">
        <f t="shared" si="1"/>
        <v>299.68347156239923</v>
      </c>
      <c r="R21" s="206"/>
    </row>
    <row r="22" spans="2:18" x14ac:dyDescent="0.2">
      <c r="C22" s="207">
        <f t="shared" si="3"/>
        <v>2017</v>
      </c>
      <c r="D22" s="208">
        <v>230.84697728147782</v>
      </c>
      <c r="E22" s="207">
        <v>236.2738716801976</v>
      </c>
      <c r="F22" s="4">
        <v>332.91068913274574</v>
      </c>
      <c r="G22" s="4">
        <v>360.16638986472481</v>
      </c>
      <c r="H22" s="3"/>
      <c r="J22" s="2"/>
      <c r="K22" s="2"/>
      <c r="L22" s="2"/>
      <c r="M22" s="202"/>
      <c r="N22" s="1">
        <f t="shared" si="0"/>
        <v>2027</v>
      </c>
      <c r="O22" s="183">
        <v>2.1684229648699427</v>
      </c>
      <c r="P22" s="5">
        <f t="shared" si="2"/>
        <v>12.723175994641135</v>
      </c>
      <c r="Q22" s="197">
        <f t="shared" si="1"/>
        <v>306.18187678167777</v>
      </c>
      <c r="R22" s="206"/>
    </row>
    <row r="23" spans="2:18" x14ac:dyDescent="0.2">
      <c r="C23" s="207">
        <f>C22+1</f>
        <v>2018</v>
      </c>
      <c r="D23" s="208">
        <v>249.06292614177445</v>
      </c>
      <c r="E23" s="207">
        <v>224.07121625936156</v>
      </c>
      <c r="F23" s="4">
        <v>313.70074272223707</v>
      </c>
      <c r="K23" s="1"/>
      <c r="L23" s="1"/>
      <c r="M23" s="202"/>
      <c r="N23" s="1">
        <f t="shared" si="0"/>
        <v>2028</v>
      </c>
      <c r="O23" s="183">
        <v>2.1946134011209595</v>
      </c>
      <c r="P23" s="5">
        <f t="shared" si="2"/>
        <v>13.002400520067733</v>
      </c>
      <c r="Q23" s="197">
        <f t="shared" si="1"/>
        <v>312.90138528133213</v>
      </c>
      <c r="R23" s="206"/>
    </row>
    <row r="24" spans="2:18" x14ac:dyDescent="0.2">
      <c r="C24" s="207">
        <f>C23+1</f>
        <v>2019</v>
      </c>
      <c r="D24" s="208">
        <v>272.89612689322695</v>
      </c>
      <c r="E24" s="207">
        <v>214.116371201535</v>
      </c>
      <c r="F24" s="4"/>
      <c r="K24" s="1"/>
      <c r="L24" s="1"/>
      <c r="M24" s="202"/>
      <c r="N24" s="1">
        <f t="shared" si="0"/>
        <v>2029</v>
      </c>
      <c r="O24" s="183">
        <v>2.2213696326170984</v>
      </c>
      <c r="P24" s="5">
        <f t="shared" si="2"/>
        <v>13.291231896731764</v>
      </c>
      <c r="Q24" s="197">
        <f t="shared" si="1"/>
        <v>319.85208163400989</v>
      </c>
      <c r="R24" s="206"/>
    </row>
    <row r="25" spans="2:18" x14ac:dyDescent="0.2">
      <c r="C25" s="207">
        <f>C24+1</f>
        <v>2020</v>
      </c>
      <c r="D25" s="208">
        <v>283.35287561301931</v>
      </c>
      <c r="E25" s="207"/>
      <c r="F25" s="4"/>
      <c r="K25" s="1"/>
      <c r="L25" s="1"/>
      <c r="M25" s="202"/>
      <c r="N25" s="1">
        <f t="shared" si="0"/>
        <v>2030</v>
      </c>
      <c r="O25" s="183">
        <v>2.2390610605780625</v>
      </c>
      <c r="P25" s="5">
        <f t="shared" si="2"/>
        <v>13.588830694602617</v>
      </c>
      <c r="Q25" s="197">
        <f t="shared" si="1"/>
        <v>327.01376504532539</v>
      </c>
      <c r="R25" s="206"/>
    </row>
    <row r="26" spans="2:18" x14ac:dyDescent="0.2">
      <c r="C26" s="207">
        <f>C25+1</f>
        <v>2021</v>
      </c>
      <c r="D26" s="208">
        <v>283.49313542670876</v>
      </c>
      <c r="E26" s="207"/>
      <c r="F26" s="4"/>
      <c r="K26" s="1"/>
      <c r="L26" s="1"/>
      <c r="M26" s="202"/>
      <c r="N26" s="1">
        <f t="shared" si="0"/>
        <v>2031</v>
      </c>
      <c r="O26" s="183">
        <v>2.2121054453530409</v>
      </c>
      <c r="P26" s="5">
        <f t="shared" si="2"/>
        <v>13.889429958357727</v>
      </c>
      <c r="Q26" s="197">
        <f t="shared" si="1"/>
        <v>334.24765434894704</v>
      </c>
      <c r="R26" s="206"/>
    </row>
    <row r="27" spans="2:18" x14ac:dyDescent="0.2">
      <c r="C27" s="198"/>
      <c r="D27" s="203">
        <f>AVERAGE(D17:D26)</f>
        <v>223.59777473767849</v>
      </c>
      <c r="E27" s="203">
        <f>AVERAGE(E16:E24)</f>
        <v>210.81824134451492</v>
      </c>
      <c r="F27" s="203">
        <f>AVERAGE(F15:F23)</f>
        <v>303.7588010996937</v>
      </c>
      <c r="G27" s="203"/>
      <c r="H27" s="203"/>
      <c r="I27" s="203"/>
      <c r="J27" s="204" t="s">
        <v>53</v>
      </c>
      <c r="K27" s="204" t="s">
        <v>53</v>
      </c>
      <c r="L27" s="203" t="s">
        <v>53</v>
      </c>
      <c r="M27" s="205"/>
      <c r="N27" s="1">
        <f t="shared" si="0"/>
        <v>2032</v>
      </c>
      <c r="O27" s="183">
        <v>2.2233966271627548</v>
      </c>
      <c r="P27" s="5">
        <f t="shared" si="2"/>
        <v>14.198247075583986</v>
      </c>
      <c r="Q27" s="197">
        <f t="shared" si="1"/>
        <v>341.67930542211212</v>
      </c>
      <c r="R27" s="206"/>
    </row>
    <row r="28" spans="2:18" x14ac:dyDescent="0.2">
      <c r="K28" s="1"/>
      <c r="L28" s="1"/>
      <c r="M28" s="205"/>
      <c r="N28" s="1">
        <f t="shared" si="0"/>
        <v>2033</v>
      </c>
      <c r="O28" s="183">
        <v>2.1941921193146974</v>
      </c>
      <c r="P28" s="5">
        <f t="shared" si="2"/>
        <v>14.50978389399728</v>
      </c>
      <c r="Q28" s="197">
        <f t="shared" si="1"/>
        <v>349.17640581501337</v>
      </c>
      <c r="R28" s="206"/>
    </row>
    <row r="29" spans="2:18" x14ac:dyDescent="0.2">
      <c r="K29" s="1"/>
      <c r="L29" s="1"/>
      <c r="M29" s="205"/>
      <c r="N29" s="1">
        <f t="shared" si="0"/>
        <v>2034</v>
      </c>
      <c r="O29" s="183">
        <v>2.2983244537616576</v>
      </c>
      <c r="P29" s="5">
        <f t="shared" si="2"/>
        <v>14.843265805420991</v>
      </c>
      <c r="Q29" s="197">
        <f t="shared" si="1"/>
        <v>357.20161253662587</v>
      </c>
      <c r="R29" s="206"/>
    </row>
    <row r="30" spans="2:18" x14ac:dyDescent="0.2">
      <c r="B30" s="1" t="s">
        <v>33</v>
      </c>
      <c r="I30" s="1" t="s">
        <v>77</v>
      </c>
      <c r="K30" s="1"/>
      <c r="L30" s="6">
        <v>0.02</v>
      </c>
      <c r="M30" s="205"/>
      <c r="N30" s="1">
        <f t="shared" si="0"/>
        <v>2035</v>
      </c>
      <c r="O30" s="183">
        <v>2.2276111498968576</v>
      </c>
      <c r="P30" s="5">
        <f t="shared" si="2"/>
        <v>15.173916049511375</v>
      </c>
      <c r="Q30" s="197">
        <f t="shared" si="1"/>
        <v>365.15867548510306</v>
      </c>
      <c r="R30" s="206"/>
    </row>
    <row r="31" spans="2:18" x14ac:dyDescent="0.2">
      <c r="K31" s="1"/>
      <c r="L31" s="1"/>
      <c r="M31" s="205"/>
      <c r="N31" s="1">
        <f t="shared" si="0"/>
        <v>2036</v>
      </c>
      <c r="O31" s="183">
        <v>2</v>
      </c>
      <c r="P31" s="5">
        <f t="shared" si="2"/>
        <v>15.477394370501603</v>
      </c>
      <c r="Q31" s="197">
        <f t="shared" si="1"/>
        <v>372.46184899480511</v>
      </c>
      <c r="R31" s="209"/>
    </row>
    <row r="32" spans="2:18" x14ac:dyDescent="0.2">
      <c r="C32" s="198" t="s">
        <v>63</v>
      </c>
      <c r="D32" s="198">
        <v>2012</v>
      </c>
      <c r="E32" s="198">
        <v>2011</v>
      </c>
      <c r="F32" s="199" t="s">
        <v>85</v>
      </c>
      <c r="G32" s="199" t="s">
        <v>86</v>
      </c>
      <c r="H32" s="199" t="s">
        <v>87</v>
      </c>
      <c r="I32" s="200">
        <v>38324</v>
      </c>
      <c r="J32" s="200">
        <v>37744</v>
      </c>
      <c r="K32" s="201" t="s">
        <v>64</v>
      </c>
      <c r="L32" s="201" t="s">
        <v>65</v>
      </c>
      <c r="M32" s="205"/>
      <c r="N32" s="1">
        <f t="shared" si="0"/>
        <v>2037</v>
      </c>
      <c r="O32" s="183">
        <v>2</v>
      </c>
      <c r="P32" s="5">
        <f t="shared" si="2"/>
        <v>15.786942257911635</v>
      </c>
      <c r="Q32" s="197">
        <f t="shared" si="1"/>
        <v>379.91108597470122</v>
      </c>
      <c r="R32" s="209"/>
    </row>
    <row r="33" spans="3:18" x14ac:dyDescent="0.2">
      <c r="C33" s="2">
        <v>2006</v>
      </c>
      <c r="D33" s="2"/>
      <c r="E33" s="2"/>
      <c r="F33" s="2" t="s">
        <v>70</v>
      </c>
      <c r="G33" s="2"/>
      <c r="H33" s="2"/>
      <c r="I33" s="2">
        <v>283.72000000000003</v>
      </c>
      <c r="J33" s="3">
        <v>152.49200920225201</v>
      </c>
      <c r="K33" s="3">
        <v>263.43075629937579</v>
      </c>
      <c r="L33" s="3">
        <v>741.70553640234641</v>
      </c>
      <c r="N33" s="1">
        <f t="shared" si="0"/>
        <v>2038</v>
      </c>
      <c r="O33" s="183">
        <v>2</v>
      </c>
      <c r="P33" s="5">
        <f t="shared" si="2"/>
        <v>16.10268110306987</v>
      </c>
      <c r="Q33" s="197">
        <f t="shared" si="1"/>
        <v>387.50930769419523</v>
      </c>
      <c r="R33" s="209"/>
    </row>
    <row r="34" spans="3:18" x14ac:dyDescent="0.2">
      <c r="C34" s="207">
        <v>2008</v>
      </c>
      <c r="D34" s="207"/>
      <c r="E34" s="207"/>
      <c r="F34" s="2" t="s">
        <v>70</v>
      </c>
      <c r="G34" s="2"/>
      <c r="H34" s="3">
        <v>291.45907618651444</v>
      </c>
      <c r="I34" s="2">
        <v>333.63</v>
      </c>
      <c r="J34" s="3">
        <v>643.14409719825017</v>
      </c>
      <c r="K34" s="3">
        <v>259.18982499724592</v>
      </c>
      <c r="L34" s="3">
        <v>134.14145461831336</v>
      </c>
      <c r="N34" s="1">
        <f t="shared" si="0"/>
        <v>2039</v>
      </c>
      <c r="O34" s="183">
        <v>2</v>
      </c>
      <c r="P34" s="5">
        <f t="shared" si="2"/>
        <v>16.424734725131266</v>
      </c>
      <c r="Q34" s="197">
        <f t="shared" si="1"/>
        <v>395.25949384807916</v>
      </c>
      <c r="R34" s="209"/>
    </row>
    <row r="35" spans="3:18" x14ac:dyDescent="0.2">
      <c r="C35" s="207">
        <f t="shared" ref="C35:C47" si="4">+C34+1</f>
        <v>2009</v>
      </c>
      <c r="D35" s="207"/>
      <c r="E35" s="207"/>
      <c r="F35" s="218" t="s">
        <v>70</v>
      </c>
      <c r="G35" s="4">
        <v>322.05906818022396</v>
      </c>
      <c r="H35" s="3">
        <v>317.44591916477094</v>
      </c>
      <c r="I35" s="2">
        <v>313.74</v>
      </c>
      <c r="J35" s="3">
        <v>160.64529725959079</v>
      </c>
      <c r="K35" s="3">
        <v>152.8746329281656</v>
      </c>
      <c r="L35" s="3">
        <v>125.13104539610254</v>
      </c>
      <c r="N35" s="1">
        <f t="shared" si="0"/>
        <v>2040</v>
      </c>
      <c r="O35" s="183">
        <v>2</v>
      </c>
      <c r="P35" s="5">
        <f t="shared" si="2"/>
        <v>16.753229419633893</v>
      </c>
      <c r="Q35" s="197">
        <f t="shared" si="1"/>
        <v>403.16468372504073</v>
      </c>
      <c r="R35" s="209"/>
    </row>
    <row r="36" spans="3:18" x14ac:dyDescent="0.2">
      <c r="C36" s="207">
        <f t="shared" si="4"/>
        <v>2010</v>
      </c>
      <c r="D36" s="207"/>
      <c r="E36" s="207"/>
      <c r="F36" s="4">
        <v>298.32158350536179</v>
      </c>
      <c r="G36" s="4">
        <v>336.17730156853622</v>
      </c>
      <c r="H36" s="3">
        <v>311.64170447514982</v>
      </c>
      <c r="I36" s="2">
        <v>209.24</v>
      </c>
      <c r="J36" s="3">
        <v>308.03351221236534</v>
      </c>
      <c r="K36" s="3">
        <v>243.78051523621596</v>
      </c>
      <c r="L36" s="3">
        <v>253.20105561528814</v>
      </c>
      <c r="N36" s="1">
        <f t="shared" si="0"/>
        <v>2041</v>
      </c>
      <c r="O36" s="183">
        <v>2</v>
      </c>
      <c r="P36" s="5">
        <f t="shared" si="2"/>
        <v>17.088294008026573</v>
      </c>
      <c r="Q36" s="197">
        <f t="shared" si="1"/>
        <v>411.22797739954154</v>
      </c>
      <c r="R36" s="209"/>
    </row>
    <row r="37" spans="3:18" x14ac:dyDescent="0.2">
      <c r="C37" s="207">
        <f t="shared" si="4"/>
        <v>2011</v>
      </c>
      <c r="D37" s="207"/>
      <c r="E37" s="207">
        <v>191.21727839828722</v>
      </c>
      <c r="F37" s="4">
        <v>297.57988307739134</v>
      </c>
      <c r="G37" s="4">
        <v>363.90637900889851</v>
      </c>
      <c r="H37" s="3">
        <v>319.54274746647582</v>
      </c>
      <c r="I37" s="2">
        <v>370.59</v>
      </c>
      <c r="J37" s="3">
        <v>284.1619460911582</v>
      </c>
      <c r="K37" s="3">
        <v>234.47651417469044</v>
      </c>
      <c r="L37" s="3">
        <v>253.61800792193938</v>
      </c>
      <c r="R37" s="209"/>
    </row>
    <row r="38" spans="3:18" x14ac:dyDescent="0.2">
      <c r="C38" s="207">
        <f t="shared" si="4"/>
        <v>2012</v>
      </c>
      <c r="D38" s="208">
        <v>162.56190605484767</v>
      </c>
      <c r="E38" s="207">
        <v>167.92981822306868</v>
      </c>
      <c r="F38" s="4">
        <v>287.90425954595287</v>
      </c>
      <c r="G38" s="4">
        <v>356.00730931619768</v>
      </c>
      <c r="H38" s="3">
        <v>301.8042039947199</v>
      </c>
      <c r="I38" s="2">
        <v>238.72</v>
      </c>
      <c r="J38" s="3">
        <v>288.50230711244399</v>
      </c>
      <c r="K38" s="3"/>
      <c r="L38" s="3"/>
      <c r="R38" s="209"/>
    </row>
    <row r="39" spans="3:18" x14ac:dyDescent="0.2">
      <c r="C39" s="207">
        <f t="shared" si="4"/>
        <v>2013</v>
      </c>
      <c r="D39" s="208">
        <v>175.56311998912787</v>
      </c>
      <c r="E39" s="207">
        <v>220.61118887768691</v>
      </c>
      <c r="F39" s="4">
        <v>314.93843787238058</v>
      </c>
      <c r="G39" s="4">
        <v>381.11022005586551</v>
      </c>
      <c r="H39" s="3">
        <v>323.71697389296691</v>
      </c>
      <c r="I39" s="2">
        <v>285.27</v>
      </c>
      <c r="J39" s="3">
        <v>288.70337466591286</v>
      </c>
      <c r="K39" s="2"/>
      <c r="L39" s="2"/>
      <c r="O39" s="5"/>
      <c r="P39" s="195"/>
    </row>
    <row r="40" spans="3:18" x14ac:dyDescent="0.2">
      <c r="C40" s="207">
        <f t="shared" si="4"/>
        <v>2014</v>
      </c>
      <c r="D40" s="208">
        <v>189.65736622186526</v>
      </c>
      <c r="E40" s="207">
        <v>235.41146201728532</v>
      </c>
      <c r="F40" s="4">
        <v>339.69092556577704</v>
      </c>
      <c r="G40" s="4">
        <v>401.75406141561751</v>
      </c>
      <c r="H40" s="3">
        <v>341.72256310292858</v>
      </c>
      <c r="I40" s="2">
        <v>288.8</v>
      </c>
      <c r="J40" s="3">
        <v>367.95095820607014</v>
      </c>
      <c r="K40" s="2"/>
      <c r="L40" s="2"/>
      <c r="O40" s="5"/>
      <c r="P40" s="5"/>
      <c r="Q40" s="197"/>
    </row>
    <row r="41" spans="3:18" x14ac:dyDescent="0.2">
      <c r="C41" s="207">
        <f t="shared" si="4"/>
        <v>2015</v>
      </c>
      <c r="D41" s="208">
        <v>203.43306666666953</v>
      </c>
      <c r="E41" s="207">
        <v>247.8108883278004</v>
      </c>
      <c r="F41" s="4">
        <v>353.91660770510606</v>
      </c>
      <c r="G41" s="4">
        <v>415.04719706653486</v>
      </c>
      <c r="H41" s="3">
        <v>347.66499704579621</v>
      </c>
      <c r="I41" s="2">
        <v>294.72000000000003</v>
      </c>
      <c r="K41" s="1"/>
      <c r="L41" s="1"/>
      <c r="O41" s="5"/>
      <c r="P41" s="5"/>
      <c r="Q41" s="197"/>
    </row>
    <row r="42" spans="3:18" x14ac:dyDescent="0.2">
      <c r="C42" s="207">
        <f t="shared" si="4"/>
        <v>2016</v>
      </c>
      <c r="D42" s="208">
        <v>222.2309007232125</v>
      </c>
      <c r="E42" s="207">
        <v>259.47265552929514</v>
      </c>
      <c r="F42" s="4">
        <v>361.97087071375461</v>
      </c>
      <c r="G42" s="4">
        <v>416.76853334572883</v>
      </c>
      <c r="H42" s="3">
        <v>332.40881152142373</v>
      </c>
      <c r="K42" s="1"/>
      <c r="L42" s="1"/>
      <c r="O42" s="5"/>
      <c r="P42" s="5"/>
      <c r="Q42" s="197"/>
    </row>
    <row r="43" spans="3:18" x14ac:dyDescent="0.2">
      <c r="C43" s="207">
        <f t="shared" si="4"/>
        <v>2017</v>
      </c>
      <c r="D43" s="208">
        <v>240.17438372245172</v>
      </c>
      <c r="E43" s="207">
        <v>256.1305200046769</v>
      </c>
      <c r="F43" s="4">
        <v>360.8887741853174</v>
      </c>
      <c r="G43" s="4">
        <v>390.43506617236619</v>
      </c>
      <c r="H43" s="3"/>
      <c r="K43" s="1"/>
      <c r="L43" s="1"/>
      <c r="M43" s="205"/>
      <c r="O43" s="5"/>
      <c r="P43" s="195"/>
    </row>
    <row r="44" spans="3:18" x14ac:dyDescent="0.2">
      <c r="C44" s="207">
        <f t="shared" si="4"/>
        <v>2018</v>
      </c>
      <c r="D44" s="208">
        <v>259.49503161697777</v>
      </c>
      <c r="E44" s="207">
        <v>242.90234349852881</v>
      </c>
      <c r="F44" s="4">
        <v>340.06440825608234</v>
      </c>
      <c r="K44" s="1"/>
      <c r="L44" s="1"/>
      <c r="M44" s="205"/>
      <c r="O44" s="5"/>
      <c r="P44" s="195"/>
    </row>
    <row r="45" spans="3:18" x14ac:dyDescent="0.2">
      <c r="C45" s="207">
        <f t="shared" si="4"/>
        <v>2019</v>
      </c>
      <c r="D45" s="208">
        <v>307.70342011231469</v>
      </c>
      <c r="E45" s="207">
        <v>232.11088516631747</v>
      </c>
      <c r="F45" s="4"/>
      <c r="K45" s="1"/>
      <c r="L45" s="1"/>
      <c r="M45" s="205"/>
      <c r="O45" s="5"/>
      <c r="P45" s="195"/>
    </row>
    <row r="46" spans="3:18" x14ac:dyDescent="0.2">
      <c r="C46" s="207">
        <f t="shared" si="4"/>
        <v>2020</v>
      </c>
      <c r="D46" s="208">
        <v>298.81201208764077</v>
      </c>
      <c r="E46" s="207"/>
      <c r="F46" s="4"/>
      <c r="K46" s="1"/>
      <c r="L46" s="1"/>
      <c r="M46" s="205"/>
      <c r="O46" s="5"/>
      <c r="P46" s="195"/>
    </row>
    <row r="47" spans="3:18" x14ac:dyDescent="0.2">
      <c r="C47" s="207">
        <f t="shared" si="4"/>
        <v>2021</v>
      </c>
      <c r="D47" s="208">
        <v>298.95992418153838</v>
      </c>
      <c r="E47" s="207"/>
      <c r="F47" s="4"/>
      <c r="K47" s="1"/>
      <c r="L47" s="1"/>
      <c r="M47" s="205"/>
      <c r="O47" s="5"/>
      <c r="P47" s="195"/>
    </row>
    <row r="48" spans="3:18" x14ac:dyDescent="0.2">
      <c r="C48" s="198"/>
      <c r="D48" s="203">
        <f>AVERAGE(D38:D47)</f>
        <v>235.85911313766465</v>
      </c>
      <c r="E48" s="203">
        <f>AVERAGE(E37:E45)</f>
        <v>228.17744889366077</v>
      </c>
      <c r="F48" s="203">
        <f>AVERAGE(F36:F44)</f>
        <v>328.36397226968046</v>
      </c>
      <c r="G48" s="203"/>
      <c r="H48" s="203"/>
      <c r="I48" s="203"/>
      <c r="J48" s="204" t="s">
        <v>53</v>
      </c>
      <c r="K48" s="204" t="s">
        <v>53</v>
      </c>
      <c r="L48" s="203" t="s">
        <v>53</v>
      </c>
      <c r="M48" s="205"/>
      <c r="O48" s="5"/>
      <c r="P48" s="195"/>
    </row>
    <row r="49" spans="2:16" ht="15" x14ac:dyDescent="0.25">
      <c r="K49" s="1"/>
      <c r="L49" s="1"/>
      <c r="M49" s="205"/>
      <c r="O49" s="210"/>
      <c r="P49" s="195"/>
    </row>
    <row r="50" spans="2:16" x14ac:dyDescent="0.2">
      <c r="B50" s="1" t="s">
        <v>66</v>
      </c>
      <c r="I50" s="1" t="s">
        <v>77</v>
      </c>
      <c r="K50" s="1"/>
      <c r="L50" s="6">
        <v>0.02</v>
      </c>
      <c r="M50" s="205"/>
      <c r="O50" s="5"/>
      <c r="P50" s="195"/>
    </row>
    <row r="51" spans="2:16" x14ac:dyDescent="0.2">
      <c r="K51" s="1"/>
      <c r="L51" s="1"/>
      <c r="M51" s="205"/>
      <c r="O51" s="5"/>
      <c r="P51" s="195"/>
    </row>
    <row r="52" spans="2:16" x14ac:dyDescent="0.2">
      <c r="C52" s="198" t="s">
        <v>63</v>
      </c>
      <c r="D52" s="198">
        <v>2012</v>
      </c>
      <c r="E52" s="198">
        <v>2011</v>
      </c>
      <c r="F52" s="199" t="s">
        <v>85</v>
      </c>
      <c r="G52" s="199" t="s">
        <v>86</v>
      </c>
      <c r="H52" s="199" t="s">
        <v>87</v>
      </c>
      <c r="I52" s="200">
        <v>38324</v>
      </c>
      <c r="J52" s="200">
        <v>37744</v>
      </c>
      <c r="K52" s="201" t="s">
        <v>64</v>
      </c>
      <c r="L52" s="201" t="s">
        <v>65</v>
      </c>
      <c r="O52" s="5"/>
      <c r="P52" s="195"/>
    </row>
    <row r="53" spans="2:16" x14ac:dyDescent="0.2">
      <c r="C53" s="207">
        <v>2006</v>
      </c>
      <c r="D53" s="207"/>
      <c r="E53" s="207"/>
      <c r="F53" s="2" t="s">
        <v>70</v>
      </c>
      <c r="G53" s="2"/>
      <c r="H53" s="2"/>
      <c r="I53" s="3">
        <v>262.60000000000002</v>
      </c>
      <c r="J53" s="3">
        <v>259.19562317383873</v>
      </c>
      <c r="K53" s="3">
        <v>257.57254637770336</v>
      </c>
      <c r="L53" s="3">
        <v>286.1541373544909</v>
      </c>
      <c r="O53" s="5"/>
      <c r="P53" s="195"/>
    </row>
    <row r="54" spans="2:16" x14ac:dyDescent="0.2">
      <c r="C54" s="207">
        <v>2008</v>
      </c>
      <c r="D54" s="207"/>
      <c r="E54" s="207"/>
      <c r="F54" s="2" t="s">
        <v>70</v>
      </c>
      <c r="G54" s="2"/>
      <c r="H54" s="3">
        <v>277.06118777803164</v>
      </c>
      <c r="I54" s="3">
        <v>275.87</v>
      </c>
      <c r="J54" s="3">
        <v>360.05390966621212</v>
      </c>
      <c r="K54" s="3">
        <v>237.91519785456464</v>
      </c>
      <c r="L54" s="3">
        <v>245.42309490416054</v>
      </c>
      <c r="O54" s="5"/>
      <c r="P54" s="195"/>
    </row>
    <row r="55" spans="2:16" x14ac:dyDescent="0.2">
      <c r="C55" s="207">
        <f t="shared" ref="C55:C67" si="5">C54+1</f>
        <v>2009</v>
      </c>
      <c r="D55" s="207"/>
      <c r="E55" s="207"/>
      <c r="F55" s="218" t="s">
        <v>70</v>
      </c>
      <c r="G55" s="4">
        <v>303.75404512044645</v>
      </c>
      <c r="H55" s="3">
        <v>299.40309582997929</v>
      </c>
      <c r="I55" s="3">
        <v>232.49</v>
      </c>
      <c r="J55" s="3">
        <v>285.37893702539594</v>
      </c>
      <c r="K55" s="3">
        <v>228.98929772091677</v>
      </c>
      <c r="L55" s="3">
        <v>213.68880957508986</v>
      </c>
      <c r="O55" s="5"/>
      <c r="P55" s="195"/>
    </row>
    <row r="56" spans="2:16" x14ac:dyDescent="0.2">
      <c r="C56" s="207">
        <f t="shared" si="5"/>
        <v>2010</v>
      </c>
      <c r="D56" s="207"/>
      <c r="E56" s="207"/>
      <c r="F56" s="4">
        <v>281.98262157699122</v>
      </c>
      <c r="G56" s="4">
        <v>317.76499607267209</v>
      </c>
      <c r="H56" s="3">
        <v>294.57320448637694</v>
      </c>
      <c r="I56" s="3">
        <v>254.97</v>
      </c>
      <c r="J56" s="3">
        <v>259.96847109573702</v>
      </c>
      <c r="K56" s="3">
        <v>222.3766588520071</v>
      </c>
      <c r="L56" s="3">
        <v>231.59095055646739</v>
      </c>
      <c r="O56" s="5"/>
      <c r="P56" s="195"/>
    </row>
    <row r="57" spans="2:16" x14ac:dyDescent="0.2">
      <c r="C57" s="207">
        <f t="shared" si="5"/>
        <v>2011</v>
      </c>
      <c r="D57" s="207"/>
      <c r="E57" s="207">
        <v>178.46852832962395</v>
      </c>
      <c r="F57" s="4">
        <v>277.73977455480457</v>
      </c>
      <c r="G57" s="4">
        <v>339.6441809835016</v>
      </c>
      <c r="H57" s="3">
        <v>298.23834099323437</v>
      </c>
      <c r="I57" s="3">
        <v>253.69</v>
      </c>
      <c r="J57" s="3">
        <v>276.60650461013682</v>
      </c>
      <c r="K57" s="3">
        <v>206.81984115525611</v>
      </c>
      <c r="L57" s="3">
        <v>234.56634187417268</v>
      </c>
      <c r="O57" s="5"/>
      <c r="P57" s="195"/>
    </row>
    <row r="58" spans="2:16" x14ac:dyDescent="0.2">
      <c r="C58" s="207">
        <f t="shared" si="5"/>
        <v>2012</v>
      </c>
      <c r="D58" s="208">
        <v>157.26102724129197</v>
      </c>
      <c r="E58" s="207">
        <v>158.06940490993983</v>
      </c>
      <c r="F58" s="4">
        <v>270.99925110985464</v>
      </c>
      <c r="G58" s="4">
        <v>335.10346240266369</v>
      </c>
      <c r="H58" s="3">
        <v>284.0830260495693</v>
      </c>
      <c r="I58" s="3">
        <v>265.5</v>
      </c>
      <c r="J58" s="3">
        <v>273.38743331922319</v>
      </c>
      <c r="K58" s="3"/>
      <c r="L58" s="3"/>
      <c r="O58" s="5"/>
      <c r="P58" s="195"/>
    </row>
    <row r="59" spans="2:16" x14ac:dyDescent="0.2">
      <c r="C59" s="207">
        <f t="shared" si="5"/>
        <v>2013</v>
      </c>
      <c r="D59" s="208">
        <v>169.4623155936942</v>
      </c>
      <c r="E59" s="207">
        <v>207.89810138090613</v>
      </c>
      <c r="F59" s="4">
        <v>296.78958541779866</v>
      </c>
      <c r="G59" s="4">
        <v>359.14810835094261</v>
      </c>
      <c r="H59" s="3">
        <v>305.06224366722068</v>
      </c>
      <c r="I59" s="3">
        <v>264.89999999999998</v>
      </c>
      <c r="J59" s="3">
        <v>275.79374016554095</v>
      </c>
      <c r="K59" s="3"/>
      <c r="L59" s="3"/>
      <c r="O59" s="5"/>
      <c r="P59" s="195"/>
    </row>
    <row r="60" spans="2:16" x14ac:dyDescent="0.2">
      <c r="C60" s="207">
        <f t="shared" si="5"/>
        <v>2014</v>
      </c>
      <c r="D60" s="208">
        <v>182.50268118977795</v>
      </c>
      <c r="E60" s="207">
        <v>219.46507585619565</v>
      </c>
      <c r="F60" s="4">
        <v>316.68081965134155</v>
      </c>
      <c r="G60" s="4">
        <v>374.53990051529075</v>
      </c>
      <c r="H60" s="3">
        <v>318.57483739534808</v>
      </c>
      <c r="I60" s="3">
        <v>267.10000000000002</v>
      </c>
      <c r="J60" s="1">
        <v>296.73129174685249</v>
      </c>
      <c r="K60" s="1"/>
      <c r="L60" s="1"/>
      <c r="O60" s="5"/>
      <c r="P60" s="195"/>
    </row>
    <row r="61" spans="2:16" x14ac:dyDescent="0.2">
      <c r="C61" s="207">
        <f t="shared" si="5"/>
        <v>2015</v>
      </c>
      <c r="D61" s="208">
        <v>194.71870208445637</v>
      </c>
      <c r="E61" s="207">
        <v>231.13767411101253</v>
      </c>
      <c r="F61" s="4">
        <v>330.10438760870557</v>
      </c>
      <c r="G61" s="4">
        <v>387.12198815636862</v>
      </c>
      <c r="H61" s="3">
        <v>324.27339786894441</v>
      </c>
      <c r="I61" s="3">
        <v>272.45999999999998</v>
      </c>
      <c r="K61" s="1"/>
      <c r="L61" s="1"/>
      <c r="O61" s="5"/>
      <c r="P61" s="195"/>
    </row>
    <row r="62" spans="2:16" x14ac:dyDescent="0.2">
      <c r="C62" s="207">
        <f t="shared" si="5"/>
        <v>2016</v>
      </c>
      <c r="D62" s="208">
        <v>214.8508066162978</v>
      </c>
      <c r="E62" s="207">
        <v>242.01481419620538</v>
      </c>
      <c r="F62" s="4">
        <v>337.61674362768247</v>
      </c>
      <c r="G62" s="4">
        <v>388.72750947393672</v>
      </c>
      <c r="H62" s="3">
        <v>310.04367914389366</v>
      </c>
      <c r="K62" s="1"/>
      <c r="L62" s="1"/>
      <c r="M62" s="205"/>
      <c r="O62" s="5"/>
      <c r="P62" s="195"/>
    </row>
    <row r="63" spans="2:16" x14ac:dyDescent="0.2">
      <c r="C63" s="207">
        <f t="shared" si="5"/>
        <v>2017</v>
      </c>
      <c r="D63" s="208">
        <v>232.43841226078325</v>
      </c>
      <c r="E63" s="207">
        <v>238.89754426130963</v>
      </c>
      <c r="F63" s="4">
        <v>336.60745272672847</v>
      </c>
      <c r="G63" s="4">
        <v>364.16581085447007</v>
      </c>
      <c r="H63" s="3"/>
      <c r="K63" s="1"/>
      <c r="L63" s="1"/>
      <c r="M63" s="205"/>
      <c r="O63" s="5"/>
      <c r="P63" s="195"/>
    </row>
    <row r="64" spans="2:16" x14ac:dyDescent="0.2">
      <c r="C64" s="207">
        <f t="shared" si="5"/>
        <v>2018</v>
      </c>
      <c r="D64" s="208">
        <v>250.56424446583267</v>
      </c>
      <c r="E64" s="207">
        <v>226.55938603512004</v>
      </c>
      <c r="F64" s="4">
        <v>317.18419195639035</v>
      </c>
      <c r="K64" s="1"/>
      <c r="L64" s="1"/>
      <c r="M64" s="205"/>
      <c r="O64" s="5"/>
      <c r="P64" s="195"/>
    </row>
    <row r="65" spans="2:16" x14ac:dyDescent="0.2">
      <c r="C65" s="207">
        <f t="shared" si="5"/>
        <v>2019</v>
      </c>
      <c r="D65" s="208">
        <v>275.28467153284777</v>
      </c>
      <c r="E65" s="211">
        <v>216.49399869074398</v>
      </c>
      <c r="F65" s="4"/>
      <c r="K65" s="1"/>
      <c r="L65" s="1"/>
      <c r="M65" s="205"/>
      <c r="O65" s="5"/>
      <c r="P65" s="195"/>
    </row>
    <row r="66" spans="2:16" x14ac:dyDescent="0.2">
      <c r="C66" s="207">
        <f t="shared" si="5"/>
        <v>2020</v>
      </c>
      <c r="D66" s="208">
        <v>285.37545450991064</v>
      </c>
      <c r="E66" s="207"/>
      <c r="F66" s="4"/>
      <c r="K66" s="1"/>
      <c r="L66" s="1"/>
      <c r="M66" s="205"/>
      <c r="O66" s="5"/>
      <c r="P66" s="195"/>
    </row>
    <row r="67" spans="2:16" x14ac:dyDescent="0.2">
      <c r="C67" s="207">
        <f t="shared" si="5"/>
        <v>2021</v>
      </c>
      <c r="D67" s="208">
        <v>285.51671550115498</v>
      </c>
      <c r="E67" s="207"/>
      <c r="F67" s="4"/>
      <c r="K67" s="1"/>
      <c r="L67" s="1"/>
      <c r="M67" s="205"/>
      <c r="O67" s="5"/>
      <c r="P67" s="195"/>
    </row>
    <row r="68" spans="2:16" x14ac:dyDescent="0.2">
      <c r="C68" s="198"/>
      <c r="D68" s="203">
        <f>AVERAGE(D58:D67)</f>
        <v>224.79750309960477</v>
      </c>
      <c r="E68" s="203">
        <f>AVERAGE(E57:E65)</f>
        <v>213.22272530789522</v>
      </c>
      <c r="F68" s="203">
        <f>AVERAGE(F56:F64)</f>
        <v>307.30053647003302</v>
      </c>
      <c r="G68" s="203"/>
      <c r="H68" s="203"/>
      <c r="I68" s="203"/>
      <c r="J68" s="204"/>
      <c r="K68" s="204"/>
      <c r="L68" s="203"/>
      <c r="M68" s="205"/>
      <c r="O68" s="5"/>
      <c r="P68" s="195"/>
    </row>
    <row r="69" spans="2:16" x14ac:dyDescent="0.2">
      <c r="K69" s="1"/>
      <c r="L69" s="1"/>
      <c r="M69" s="205"/>
      <c r="O69" s="5"/>
      <c r="P69" s="195"/>
    </row>
    <row r="70" spans="2:16" x14ac:dyDescent="0.2">
      <c r="B70" s="1" t="s">
        <v>67</v>
      </c>
      <c r="I70" s="1" t="s">
        <v>77</v>
      </c>
      <c r="K70" s="1"/>
      <c r="L70" s="6">
        <v>0.02</v>
      </c>
      <c r="M70" s="205"/>
      <c r="O70" s="5"/>
      <c r="P70" s="195"/>
    </row>
    <row r="71" spans="2:16" x14ac:dyDescent="0.2">
      <c r="K71" s="1"/>
      <c r="L71" s="1"/>
      <c r="O71" s="5"/>
      <c r="P71" s="195"/>
    </row>
    <row r="72" spans="2:16" x14ac:dyDescent="0.2">
      <c r="C72" s="198" t="s">
        <v>63</v>
      </c>
      <c r="D72" s="198">
        <v>2012</v>
      </c>
      <c r="E72" s="198">
        <v>2011</v>
      </c>
      <c r="F72" s="199" t="s">
        <v>85</v>
      </c>
      <c r="G72" s="199" t="s">
        <v>86</v>
      </c>
      <c r="H72" s="199" t="s">
        <v>87</v>
      </c>
      <c r="I72" s="200">
        <v>38324</v>
      </c>
      <c r="J72" s="200">
        <v>37744</v>
      </c>
      <c r="K72" s="201" t="s">
        <v>64</v>
      </c>
      <c r="L72" s="201" t="s">
        <v>65</v>
      </c>
      <c r="O72" s="5"/>
      <c r="P72" s="195"/>
    </row>
    <row r="73" spans="2:16" x14ac:dyDescent="0.2">
      <c r="C73" s="207">
        <v>2006</v>
      </c>
      <c r="D73" s="207"/>
      <c r="E73" s="207"/>
      <c r="F73" s="2" t="s">
        <v>70</v>
      </c>
      <c r="G73" s="2"/>
      <c r="H73" s="2"/>
      <c r="I73" s="2">
        <v>287.42</v>
      </c>
      <c r="J73" s="3">
        <v>133.69577551950238</v>
      </c>
      <c r="K73" s="3">
        <v>286.42402338375513</v>
      </c>
      <c r="L73" s="3">
        <v>787.73980154354388</v>
      </c>
      <c r="O73" s="5"/>
      <c r="P73" s="195"/>
    </row>
    <row r="74" spans="2:16" x14ac:dyDescent="0.2">
      <c r="C74" s="207">
        <v>2008</v>
      </c>
      <c r="D74" s="207"/>
      <c r="E74" s="207"/>
      <c r="F74" s="2" t="s">
        <v>70</v>
      </c>
      <c r="G74" s="2"/>
      <c r="H74" s="3">
        <v>294.77911261872549</v>
      </c>
      <c r="I74" s="2">
        <v>360.39</v>
      </c>
      <c r="J74" s="3">
        <v>698.44678333666377</v>
      </c>
      <c r="K74" s="3">
        <v>281.78894435913213</v>
      </c>
      <c r="L74" s="3">
        <v>126.70733035616854</v>
      </c>
      <c r="O74" s="5"/>
      <c r="P74" s="195"/>
    </row>
    <row r="75" spans="2:16" x14ac:dyDescent="0.2">
      <c r="C75" s="207">
        <f t="shared" ref="C75:C87" si="6">C74+1</f>
        <v>2009</v>
      </c>
      <c r="D75" s="207"/>
      <c r="E75" s="207"/>
      <c r="F75" s="219" t="s">
        <v>70</v>
      </c>
      <c r="G75" s="3">
        <v>326.72137023104676</v>
      </c>
      <c r="H75" s="3">
        <v>322.04143876404834</v>
      </c>
      <c r="I75" s="2">
        <v>312.14999999999998</v>
      </c>
      <c r="J75" s="3">
        <v>152.87971301035543</v>
      </c>
      <c r="K75" s="3">
        <v>166.21653863110967</v>
      </c>
      <c r="L75" s="3">
        <v>118.86224325196054</v>
      </c>
      <c r="O75" s="5"/>
      <c r="P75" s="195"/>
    </row>
    <row r="76" spans="2:16" x14ac:dyDescent="0.2">
      <c r="C76" s="207">
        <f t="shared" si="6"/>
        <v>2010</v>
      </c>
      <c r="D76" s="207"/>
      <c r="E76" s="207"/>
      <c r="F76" s="4">
        <v>303.17652563775005</v>
      </c>
      <c r="G76" s="3">
        <v>341.64831484943869</v>
      </c>
      <c r="H76" s="3">
        <v>316.71342078708244</v>
      </c>
      <c r="I76" s="2">
        <v>224.31</v>
      </c>
      <c r="J76" s="3">
        <v>312.49563663774444</v>
      </c>
      <c r="K76" s="3">
        <v>265.05551945085489</v>
      </c>
      <c r="L76" s="3">
        <v>257.44952178533373</v>
      </c>
      <c r="O76" s="5"/>
      <c r="P76" s="195"/>
    </row>
    <row r="77" spans="2:16" x14ac:dyDescent="0.2">
      <c r="C77" s="207">
        <f t="shared" si="6"/>
        <v>2011</v>
      </c>
      <c r="D77" s="207"/>
      <c r="E77" s="207">
        <v>194.49648056228477</v>
      </c>
      <c r="F77" s="4">
        <v>302.68310703666646</v>
      </c>
      <c r="G77" s="3">
        <v>370.14704196328341</v>
      </c>
      <c r="H77" s="3">
        <v>325.02261454626574</v>
      </c>
      <c r="I77" s="2">
        <v>361.18</v>
      </c>
      <c r="J77" s="3">
        <v>287.96700814148528</v>
      </c>
      <c r="K77" s="3">
        <v>255.00852190184014</v>
      </c>
      <c r="L77" s="3">
        <v>257.69351958827599</v>
      </c>
      <c r="O77" s="5"/>
      <c r="P77" s="195"/>
    </row>
    <row r="78" spans="2:16" x14ac:dyDescent="0.2">
      <c r="C78" s="207">
        <f t="shared" si="6"/>
        <v>2012</v>
      </c>
      <c r="D78" s="208">
        <v>163.37806318275784</v>
      </c>
      <c r="E78" s="207">
        <v>170.65021847734067</v>
      </c>
      <c r="F78" s="4">
        <v>292.56820088265113</v>
      </c>
      <c r="G78" s="3">
        <v>361.77449459058408</v>
      </c>
      <c r="H78" s="3">
        <v>306.69331923330714</v>
      </c>
      <c r="I78" s="2">
        <v>252.07</v>
      </c>
      <c r="J78" s="3">
        <v>288.38145535922575</v>
      </c>
      <c r="K78" s="3"/>
      <c r="L78" s="3"/>
      <c r="O78" s="5"/>
      <c r="P78" s="195"/>
    </row>
    <row r="79" spans="2:16" x14ac:dyDescent="0.2">
      <c r="C79" s="207">
        <f t="shared" si="6"/>
        <v>2013</v>
      </c>
      <c r="D79" s="208">
        <v>176.18215393706498</v>
      </c>
      <c r="E79" s="207">
        <v>224.04641540234897</v>
      </c>
      <c r="F79" s="4">
        <v>319.84247234551265</v>
      </c>
      <c r="G79" s="3">
        <v>387.04464225546457</v>
      </c>
      <c r="H79" s="3">
        <v>328.75770251991332</v>
      </c>
      <c r="I79" s="2">
        <v>289.01</v>
      </c>
      <c r="J79" s="3">
        <v>288.2119543102213</v>
      </c>
      <c r="K79" s="1"/>
      <c r="L79" s="1"/>
      <c r="O79" s="5"/>
      <c r="P79" s="195"/>
    </row>
    <row r="80" spans="2:16" x14ac:dyDescent="0.2">
      <c r="C80" s="207">
        <f t="shared" si="6"/>
        <v>2014</v>
      </c>
      <c r="D80" s="208">
        <v>191.08515315843579</v>
      </c>
      <c r="E80" s="207">
        <v>239.33368176345346</v>
      </c>
      <c r="F80" s="4">
        <v>345.35055846738317</v>
      </c>
      <c r="G80" s="3">
        <v>408.44773596860887</v>
      </c>
      <c r="H80" s="3">
        <v>347.41604537107361</v>
      </c>
      <c r="I80" s="2">
        <v>293.86</v>
      </c>
      <c r="J80" s="3">
        <v>376.27291137721738</v>
      </c>
      <c r="K80" s="1"/>
      <c r="L80" s="1"/>
      <c r="O80" s="5"/>
      <c r="P80" s="195"/>
    </row>
    <row r="81" spans="3:16" x14ac:dyDescent="0.2">
      <c r="C81" s="207">
        <f t="shared" si="6"/>
        <v>2015</v>
      </c>
      <c r="D81" s="208">
        <v>205.30143540670238</v>
      </c>
      <c r="E81" s="207">
        <v>252.01137679967866</v>
      </c>
      <c r="F81" s="4">
        <v>359.91562833209753</v>
      </c>
      <c r="G81" s="3">
        <v>422.08240435031337</v>
      </c>
      <c r="H81" s="3">
        <v>353.55805050289331</v>
      </c>
      <c r="I81" s="2">
        <v>299.68</v>
      </c>
      <c r="K81" s="1"/>
      <c r="L81" s="1"/>
      <c r="O81" s="5"/>
      <c r="P81" s="195"/>
    </row>
    <row r="82" spans="3:16" x14ac:dyDescent="0.2">
      <c r="C82" s="207">
        <f t="shared" si="6"/>
        <v>2016</v>
      </c>
      <c r="D82" s="208">
        <v>224.18504218504472</v>
      </c>
      <c r="E82" s="207">
        <v>263.87081537478468</v>
      </c>
      <c r="F82" s="4">
        <v>368.10641415112616</v>
      </c>
      <c r="G82" s="3">
        <v>423.83291793178716</v>
      </c>
      <c r="H82" s="3">
        <v>338.04326685213346</v>
      </c>
      <c r="K82" s="1"/>
      <c r="L82" s="1"/>
      <c r="O82" s="5"/>
      <c r="P82" s="195"/>
    </row>
    <row r="83" spans="3:16" x14ac:dyDescent="0.2">
      <c r="C83" s="207">
        <f t="shared" si="6"/>
        <v>2017</v>
      </c>
      <c r="D83" s="208">
        <v>242.29422613136487</v>
      </c>
      <c r="E83" s="207">
        <v>260.47202938643039</v>
      </c>
      <c r="F83" s="4">
        <v>367.00597567644184</v>
      </c>
      <c r="G83" s="3">
        <v>397.05308851004753</v>
      </c>
      <c r="H83" s="3"/>
      <c r="K83" s="1"/>
      <c r="L83" s="1"/>
      <c r="O83" s="5"/>
      <c r="P83" s="195"/>
    </row>
    <row r="84" spans="3:16" x14ac:dyDescent="0.2">
      <c r="C84" s="207">
        <f t="shared" si="6"/>
        <v>2018</v>
      </c>
      <c r="D84" s="208">
        <v>262.0176817288845</v>
      </c>
      <c r="E84" s="207">
        <v>247.01963027532344</v>
      </c>
      <c r="F84" s="4">
        <v>345.82862885274255</v>
      </c>
      <c r="G84" s="3"/>
      <c r="H84" s="3"/>
      <c r="K84" s="1"/>
      <c r="L84" s="1"/>
      <c r="O84" s="5"/>
      <c r="P84" s="195"/>
    </row>
    <row r="85" spans="3:16" x14ac:dyDescent="0.2">
      <c r="C85" s="207">
        <f t="shared" si="6"/>
        <v>2019</v>
      </c>
      <c r="D85" s="208">
        <v>313.24843858432348</v>
      </c>
      <c r="E85" s="207">
        <v>236.04525263466246</v>
      </c>
      <c r="F85" s="4"/>
      <c r="G85" s="3"/>
      <c r="H85" s="3"/>
      <c r="K85" s="1"/>
      <c r="L85" s="1"/>
      <c r="O85" s="5"/>
      <c r="P85" s="195"/>
    </row>
    <row r="86" spans="3:16" x14ac:dyDescent="0.2">
      <c r="C86" s="207">
        <f t="shared" si="6"/>
        <v>2020</v>
      </c>
      <c r="D86" s="208">
        <v>302.09611171960336</v>
      </c>
      <c r="E86" s="207"/>
      <c r="F86" s="4"/>
      <c r="G86" s="3"/>
      <c r="H86" s="3"/>
      <c r="K86" s="1"/>
      <c r="L86" s="1"/>
      <c r="O86" s="5"/>
      <c r="P86" s="195"/>
    </row>
    <row r="87" spans="3:16" x14ac:dyDescent="0.2">
      <c r="C87" s="207">
        <f t="shared" si="6"/>
        <v>2021</v>
      </c>
      <c r="D87" s="208">
        <v>302.24564944444393</v>
      </c>
      <c r="E87" s="207"/>
      <c r="F87" s="4"/>
      <c r="G87" s="3"/>
      <c r="H87" s="3"/>
      <c r="K87" s="1"/>
      <c r="L87" s="1"/>
      <c r="O87" s="5"/>
      <c r="P87" s="195"/>
    </row>
    <row r="88" spans="3:16" x14ac:dyDescent="0.2">
      <c r="C88" s="198"/>
      <c r="D88" s="203">
        <f>AVERAGE(D78:D87)</f>
        <v>238.20339554786261</v>
      </c>
      <c r="E88" s="203">
        <f>AVERAGE(E77:E85)</f>
        <v>231.99398896403414</v>
      </c>
      <c r="F88" s="203">
        <f>AVERAGE(F76:F84)</f>
        <v>333.83083459804124</v>
      </c>
      <c r="G88" s="203"/>
      <c r="H88" s="203"/>
      <c r="I88" s="203"/>
      <c r="J88" s="203"/>
      <c r="K88" s="203"/>
      <c r="L88" s="203"/>
      <c r="O88" s="5"/>
      <c r="P88" s="195"/>
    </row>
    <row r="89" spans="3:16" x14ac:dyDescent="0.2">
      <c r="K89" s="1"/>
      <c r="L89" s="1"/>
      <c r="O89" s="5"/>
      <c r="P89" s="195"/>
    </row>
    <row r="90" spans="3:16" x14ac:dyDescent="0.2">
      <c r="K90" s="1"/>
      <c r="L90" s="1"/>
      <c r="O90" s="5"/>
      <c r="P90" s="195"/>
    </row>
    <row r="91" spans="3:16" x14ac:dyDescent="0.2">
      <c r="K91" s="1"/>
      <c r="L91" s="1"/>
      <c r="O91" s="5"/>
      <c r="P91" s="195"/>
    </row>
    <row r="92" spans="3:16" x14ac:dyDescent="0.2">
      <c r="K92" s="1"/>
      <c r="L92" s="1"/>
      <c r="O92" s="5"/>
      <c r="P92" s="195"/>
    </row>
    <row r="93" spans="3:16" x14ac:dyDescent="0.2">
      <c r="K93" s="1"/>
      <c r="L93" s="1"/>
      <c r="O93" s="5"/>
      <c r="P93" s="195"/>
    </row>
    <row r="94" spans="3:16" x14ac:dyDescent="0.2">
      <c r="K94" s="1"/>
      <c r="L94" s="1"/>
      <c r="O94" s="5"/>
      <c r="P94" s="195"/>
    </row>
    <row r="95" spans="3:16" x14ac:dyDescent="0.2">
      <c r="K95" s="1"/>
      <c r="L95" s="1"/>
      <c r="O95" s="5"/>
      <c r="P95" s="195"/>
    </row>
    <row r="96" spans="3:16" x14ac:dyDescent="0.2">
      <c r="K96" s="1"/>
      <c r="L96" s="1"/>
      <c r="O96" s="5"/>
      <c r="P96" s="195"/>
    </row>
    <row r="97" spans="11:16" x14ac:dyDescent="0.2">
      <c r="K97" s="1"/>
      <c r="L97" s="1"/>
      <c r="O97" s="5"/>
      <c r="P97" s="195"/>
    </row>
    <row r="98" spans="11:16" x14ac:dyDescent="0.2">
      <c r="K98" s="1"/>
      <c r="L98" s="1"/>
      <c r="O98" s="5"/>
      <c r="P98" s="195"/>
    </row>
    <row r="99" spans="11:16" x14ac:dyDescent="0.2">
      <c r="K99" s="1"/>
      <c r="L99" s="1"/>
      <c r="O99" s="5"/>
      <c r="P99" s="195"/>
    </row>
    <row r="100" spans="11:16" x14ac:dyDescent="0.2">
      <c r="K100" s="1"/>
      <c r="L100" s="1"/>
      <c r="O100" s="5"/>
      <c r="P100" s="195"/>
    </row>
    <row r="101" spans="11:16" x14ac:dyDescent="0.2">
      <c r="K101" s="1"/>
      <c r="L101" s="1"/>
      <c r="O101" s="5"/>
      <c r="P101" s="195"/>
    </row>
    <row r="102" spans="11:16" x14ac:dyDescent="0.2">
      <c r="K102" s="1"/>
      <c r="L102" s="1"/>
      <c r="O102" s="5"/>
      <c r="P102" s="195"/>
    </row>
    <row r="103" spans="11:16" x14ac:dyDescent="0.2">
      <c r="K103" s="1"/>
      <c r="L103" s="1"/>
      <c r="O103" s="5"/>
      <c r="P103" s="195"/>
    </row>
    <row r="104" spans="11:16" x14ac:dyDescent="0.2">
      <c r="K104" s="1"/>
      <c r="L104" s="1"/>
      <c r="O104" s="5"/>
      <c r="P104" s="195"/>
    </row>
    <row r="105" spans="11:16" x14ac:dyDescent="0.2">
      <c r="K105" s="1"/>
      <c r="L105" s="1"/>
      <c r="O105" s="5"/>
      <c r="P105" s="195"/>
    </row>
    <row r="106" spans="11:16" x14ac:dyDescent="0.2">
      <c r="K106" s="1"/>
      <c r="L106" s="1"/>
      <c r="O106" s="5"/>
      <c r="P106" s="195"/>
    </row>
    <row r="107" spans="11:16" x14ac:dyDescent="0.2">
      <c r="K107" s="1"/>
      <c r="L107" s="1"/>
      <c r="O107" s="5"/>
      <c r="P107" s="195"/>
    </row>
    <row r="108" spans="11:16" x14ac:dyDescent="0.2">
      <c r="K108" s="1"/>
      <c r="L108" s="1"/>
      <c r="O108" s="5"/>
      <c r="P108" s="195"/>
    </row>
    <row r="109" spans="11:16" x14ac:dyDescent="0.2">
      <c r="K109" s="1"/>
      <c r="L109" s="1"/>
      <c r="O109" s="5"/>
      <c r="P109" s="195"/>
    </row>
    <row r="110" spans="11:16" x14ac:dyDescent="0.2">
      <c r="K110" s="1"/>
      <c r="L110" s="1"/>
      <c r="O110" s="5"/>
      <c r="P110" s="195"/>
    </row>
    <row r="111" spans="11:16" x14ac:dyDescent="0.2">
      <c r="K111" s="1"/>
      <c r="L111" s="1"/>
      <c r="O111" s="5"/>
      <c r="P111" s="195"/>
    </row>
    <row r="112" spans="11:16" x14ac:dyDescent="0.2">
      <c r="K112" s="1"/>
      <c r="L112" s="1"/>
      <c r="O112" s="5"/>
      <c r="P112" s="195"/>
    </row>
    <row r="113" spans="11:16" x14ac:dyDescent="0.2">
      <c r="K113" s="1"/>
      <c r="L113" s="1"/>
      <c r="O113" s="5"/>
      <c r="P113" s="195"/>
    </row>
    <row r="114" spans="11:16" x14ac:dyDescent="0.2">
      <c r="K114" s="1"/>
      <c r="L114" s="1"/>
      <c r="O114" s="5"/>
      <c r="P114" s="195"/>
    </row>
    <row r="115" spans="11:16" x14ac:dyDescent="0.2">
      <c r="K115" s="1"/>
      <c r="L115" s="1"/>
      <c r="O115" s="5"/>
      <c r="P115" s="195"/>
    </row>
    <row r="116" spans="11:16" x14ac:dyDescent="0.2">
      <c r="K116" s="1"/>
      <c r="L116" s="1"/>
      <c r="O116" s="5"/>
      <c r="P116" s="195"/>
    </row>
    <row r="117" spans="11:16" x14ac:dyDescent="0.2">
      <c r="K117" s="1"/>
      <c r="L117" s="1"/>
      <c r="O117" s="5"/>
      <c r="P117" s="195"/>
    </row>
    <row r="118" spans="11:16" x14ac:dyDescent="0.2">
      <c r="K118" s="1"/>
      <c r="L118" s="1"/>
      <c r="O118" s="5"/>
      <c r="P118" s="195"/>
    </row>
    <row r="119" spans="11:16" x14ac:dyDescent="0.2">
      <c r="K119" s="1"/>
      <c r="L119" s="1"/>
      <c r="O119" s="5"/>
      <c r="P119" s="195"/>
    </row>
    <row r="120" spans="11:16" x14ac:dyDescent="0.2">
      <c r="K120" s="1"/>
      <c r="L120" s="1"/>
      <c r="O120" s="5"/>
      <c r="P120" s="195"/>
    </row>
    <row r="121" spans="11:16" x14ac:dyDescent="0.2">
      <c r="K121" s="1"/>
      <c r="L121" s="1"/>
      <c r="O121" s="5"/>
      <c r="P121" s="195"/>
    </row>
    <row r="122" spans="11:16" x14ac:dyDescent="0.2">
      <c r="K122" s="1"/>
      <c r="L122" s="1"/>
      <c r="O122" s="5"/>
      <c r="P122" s="195"/>
    </row>
    <row r="123" spans="11:16" x14ac:dyDescent="0.2">
      <c r="K123" s="1"/>
      <c r="L123" s="1"/>
      <c r="O123" s="5"/>
      <c r="P123" s="195"/>
    </row>
    <row r="124" spans="11:16" x14ac:dyDescent="0.2">
      <c r="K124" s="1"/>
      <c r="L124" s="1"/>
      <c r="O124" s="5"/>
      <c r="P124" s="195"/>
    </row>
    <row r="125" spans="11:16" x14ac:dyDescent="0.2">
      <c r="K125" s="1"/>
      <c r="L125" s="1"/>
      <c r="O125" s="5"/>
      <c r="P125" s="195"/>
    </row>
    <row r="126" spans="11:16" x14ac:dyDescent="0.2">
      <c r="K126" s="1"/>
      <c r="L126" s="1"/>
      <c r="O126" s="5"/>
      <c r="P126" s="195"/>
    </row>
    <row r="127" spans="11:16" x14ac:dyDescent="0.2">
      <c r="K127" s="1"/>
      <c r="L127" s="1"/>
      <c r="O127" s="5"/>
      <c r="P127" s="195"/>
    </row>
    <row r="128" spans="11:16" x14ac:dyDescent="0.2">
      <c r="K128" s="1"/>
      <c r="L128" s="1"/>
      <c r="O128" s="5"/>
      <c r="P128" s="195"/>
    </row>
    <row r="129" spans="11:16" x14ac:dyDescent="0.2">
      <c r="K129" s="1"/>
      <c r="L129" s="1"/>
      <c r="O129" s="5"/>
      <c r="P129" s="195"/>
    </row>
    <row r="130" spans="11:16" x14ac:dyDescent="0.2">
      <c r="K130" s="1"/>
      <c r="L130" s="1"/>
      <c r="O130" s="5"/>
      <c r="P130" s="195"/>
    </row>
    <row r="131" spans="11:16" x14ac:dyDescent="0.2">
      <c r="K131" s="1"/>
      <c r="L131" s="1"/>
      <c r="O131" s="5"/>
      <c r="P131" s="195"/>
    </row>
    <row r="132" spans="11:16" x14ac:dyDescent="0.2">
      <c r="K132" s="1"/>
      <c r="L132" s="1"/>
      <c r="O132" s="5"/>
      <c r="P132" s="195"/>
    </row>
    <row r="133" spans="11:16" x14ac:dyDescent="0.2">
      <c r="K133" s="1"/>
      <c r="L133" s="1"/>
      <c r="O133" s="5"/>
      <c r="P133" s="195"/>
    </row>
    <row r="134" spans="11:16" x14ac:dyDescent="0.2">
      <c r="K134" s="1"/>
      <c r="L134" s="1"/>
      <c r="O134" s="5"/>
      <c r="P134" s="195"/>
    </row>
    <row r="135" spans="11:16" x14ac:dyDescent="0.2">
      <c r="K135" s="1"/>
      <c r="L135" s="1"/>
      <c r="O135" s="5"/>
      <c r="P135" s="195"/>
    </row>
    <row r="136" spans="11:16" x14ac:dyDescent="0.2">
      <c r="K136" s="1"/>
      <c r="L136" s="1"/>
      <c r="O136" s="5"/>
      <c r="P136" s="195"/>
    </row>
    <row r="137" spans="11:16" x14ac:dyDescent="0.2">
      <c r="K137" s="1"/>
      <c r="L137" s="1"/>
      <c r="O137" s="5"/>
      <c r="P137" s="195"/>
    </row>
    <row r="138" spans="11:16" x14ac:dyDescent="0.2">
      <c r="K138" s="1"/>
      <c r="L138" s="1"/>
      <c r="O138" s="5"/>
      <c r="P138" s="195"/>
    </row>
    <row r="139" spans="11:16" x14ac:dyDescent="0.2">
      <c r="K139" s="1"/>
      <c r="L139" s="1"/>
      <c r="O139" s="5"/>
      <c r="P139" s="195"/>
    </row>
    <row r="140" spans="11:16" x14ac:dyDescent="0.2">
      <c r="K140" s="1"/>
      <c r="L140" s="1"/>
      <c r="O140" s="5"/>
      <c r="P140" s="195"/>
    </row>
    <row r="141" spans="11:16" x14ac:dyDescent="0.2">
      <c r="K141" s="1"/>
      <c r="L141" s="1"/>
      <c r="O141" s="5"/>
      <c r="P141" s="195"/>
    </row>
    <row r="142" spans="11:16" x14ac:dyDescent="0.2">
      <c r="K142" s="1"/>
      <c r="L142" s="1"/>
      <c r="O142" s="5"/>
      <c r="P142" s="195"/>
    </row>
    <row r="143" spans="11:16" x14ac:dyDescent="0.2">
      <c r="K143" s="1"/>
      <c r="L143" s="1"/>
      <c r="O143" s="5"/>
      <c r="P143" s="195"/>
    </row>
    <row r="144" spans="11:16" x14ac:dyDescent="0.2">
      <c r="K144" s="1"/>
      <c r="L144" s="1"/>
      <c r="O144" s="5"/>
      <c r="P144" s="195"/>
    </row>
    <row r="145" spans="11:16" x14ac:dyDescent="0.2">
      <c r="K145" s="1"/>
      <c r="L145" s="1"/>
      <c r="O145" s="5"/>
      <c r="P145" s="195"/>
    </row>
    <row r="146" spans="11:16" x14ac:dyDescent="0.2">
      <c r="K146" s="1"/>
      <c r="L146" s="1"/>
      <c r="O146" s="5"/>
      <c r="P146" s="195"/>
    </row>
    <row r="147" spans="11:16" x14ac:dyDescent="0.2">
      <c r="K147" s="1"/>
      <c r="L147" s="1"/>
      <c r="O147" s="5"/>
      <c r="P147" s="195"/>
    </row>
    <row r="148" spans="11:16" x14ac:dyDescent="0.2">
      <c r="K148" s="1"/>
      <c r="L148" s="1"/>
      <c r="O148" s="5"/>
      <c r="P148" s="195"/>
    </row>
    <row r="149" spans="11:16" x14ac:dyDescent="0.2">
      <c r="K149" s="1"/>
      <c r="L149" s="1"/>
      <c r="O149" s="5"/>
      <c r="P149" s="195"/>
    </row>
    <row r="150" spans="11:16" x14ac:dyDescent="0.2">
      <c r="K150" s="1"/>
      <c r="L150" s="1"/>
      <c r="O150" s="5"/>
      <c r="P150" s="195"/>
    </row>
    <row r="151" spans="11:16" x14ac:dyDescent="0.2">
      <c r="K151" s="1"/>
      <c r="L151" s="1"/>
      <c r="O151" s="5"/>
      <c r="P151" s="195"/>
    </row>
    <row r="152" spans="11:16" x14ac:dyDescent="0.2">
      <c r="K152" s="1"/>
      <c r="L152" s="1"/>
      <c r="O152" s="5"/>
      <c r="P152" s="195"/>
    </row>
    <row r="153" spans="11:16" x14ac:dyDescent="0.2">
      <c r="K153" s="1"/>
      <c r="L153" s="1"/>
      <c r="O153" s="5"/>
      <c r="P153" s="195"/>
    </row>
    <row r="154" spans="11:16" x14ac:dyDescent="0.2">
      <c r="K154" s="1"/>
      <c r="L154" s="1"/>
      <c r="O154" s="5"/>
      <c r="P154" s="195"/>
    </row>
    <row r="155" spans="11:16" x14ac:dyDescent="0.2">
      <c r="K155" s="1"/>
      <c r="L155" s="1"/>
      <c r="O155" s="5"/>
      <c r="P155" s="195"/>
    </row>
    <row r="156" spans="11:16" x14ac:dyDescent="0.2">
      <c r="K156" s="1"/>
      <c r="L156" s="1"/>
      <c r="O156" s="5"/>
      <c r="P156" s="195"/>
    </row>
    <row r="157" spans="11:16" x14ac:dyDescent="0.2">
      <c r="K157" s="1"/>
      <c r="L157" s="1"/>
      <c r="O157" s="5"/>
      <c r="P157" s="195"/>
    </row>
    <row r="158" spans="11:16" x14ac:dyDescent="0.2">
      <c r="K158" s="1"/>
      <c r="L158" s="1"/>
      <c r="O158" s="5"/>
      <c r="P158" s="195"/>
    </row>
    <row r="159" spans="11:16" x14ac:dyDescent="0.2">
      <c r="K159" s="1"/>
      <c r="L159" s="1"/>
      <c r="O159" s="5"/>
      <c r="P159" s="195"/>
    </row>
    <row r="160" spans="11:16" x14ac:dyDescent="0.2">
      <c r="K160" s="1"/>
      <c r="L160" s="1"/>
      <c r="O160" s="5"/>
      <c r="P160" s="195"/>
    </row>
  </sheetData>
  <customSheetViews>
    <customSheetView guid="{D3618886-EC92-4244-941D-CAF99D049731}" showRuler="0">
      <selection activeCell="G29" sqref="G29"/>
      <pageMargins left="0.26" right="0.22" top="0.5" bottom="0.48" header="0.32" footer="0.28999999999999998"/>
      <pageSetup scale="65" orientation="landscape" r:id="rId1"/>
      <headerFooter alignWithMargins="0">
        <oddFooter>&amp;R&amp;Z&amp;F&amp;A</oddFooter>
      </headerFooter>
    </customSheetView>
  </customSheetViews>
  <phoneticPr fontId="20" type="noConversion"/>
  <pageMargins left="0.26" right="0.22" top="0.5" bottom="0.48" header="0.32" footer="0.28999999999999998"/>
  <pageSetup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2012 Actuals_Auditor</vt:lpstr>
      <vt:lpstr>Avoided Costs 2012-2020_EGD</vt:lpstr>
      <vt:lpstr>Avoided Cost inputs_EGD</vt:lpstr>
      <vt:lpstr>'Avoided Costs 2012-2020_EGD'!combo_space_water_heat</vt:lpstr>
      <vt:lpstr>hampton_j_1</vt:lpstr>
      <vt:lpstr>hampton_j_2</vt:lpstr>
      <vt:lpstr>hampton_j_3</vt:lpstr>
      <vt:lpstr>hampton_j_4</vt:lpstr>
      <vt:lpstr>hampton_t_1</vt:lpstr>
      <vt:lpstr>hampton_t_2</vt:lpstr>
      <vt:lpstr>hampton_t_3</vt:lpstr>
      <vt:lpstr>hampton_t_4</vt:lpstr>
      <vt:lpstr>'Avoided Costs 2012-2020_EGD'!industrial</vt:lpstr>
      <vt:lpstr>'2012 Actuals_Auditor'!Print_Area</vt:lpstr>
      <vt:lpstr>'2012 Actuals_Auditor'!Print_Titles</vt:lpstr>
      <vt:lpstr>'Avoided Costs 2012-2020_EGD'!res_comm_space_heat</vt:lpstr>
      <vt:lpstr>'Avoided Costs 2012-2020_EGD'!res_comm_water_heat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2015-06-23T15:44:50Z</dcterms:created>
  <dcterms:modified xsi:type="dcterms:W3CDTF">2015-06-25T14:13:57Z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-913195851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