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codeName="ThisWorkbook" hidePivotFieldList="1"/>
  <bookViews>
    <workbookView xWindow="0" yWindow="705" windowWidth="9630" windowHeight="5550" tabRatio="936" activeTab="2"/>
  </bookViews>
  <sheets>
    <sheet name="Avoided Costs 2013-2021" sheetId="4608" r:id="rId1"/>
    <sheet name="Avoided Cost inputs" sheetId="3079" r:id="rId2"/>
    <sheet name="2013 Actuals" sheetId="3315" r:id="rId3"/>
  </sheets>
  <externalReferences>
    <externalReference r:id="rId4"/>
    <externalReference r:id="rId5"/>
  </externalReferences>
  <definedNames>
    <definedName name="\a">#REF!</definedName>
    <definedName name="\b">#REF!</definedName>
    <definedName name="\c">#REF!</definedName>
    <definedName name="\d">#REF!</definedName>
    <definedName name="\p">#REF!</definedName>
    <definedName name="_cpi8">#REF!</definedName>
    <definedName name="_cpi9">#REF!</definedName>
    <definedName name="_xlnm._FilterDatabase" localSheetId="2" hidden="1">'2013 Actuals'!$A$4:$AG$1117</definedName>
    <definedName name="Actual_Units">#REF!</definedName>
    <definedName name="combo_space_water_heat" localSheetId="0">'Avoided Costs 2013-2021'!$B$77:$M$106</definedName>
    <definedName name="combo_space_water_heat">#REF!</definedName>
    <definedName name="fac">[1]Prescriptive!$B$21</definedName>
    <definedName name="fifty">#REF!</definedName>
    <definedName name="grosstarget">#REF!</definedName>
    <definedName name="hampton_1">'[2]Full Summary'!$C$15:$M$23</definedName>
    <definedName name="hampton_2">'[2]Full Summary'!$C$30:$M$38</definedName>
    <definedName name="hampton_3">'[2]Full Summary'!$C$45:$M$53</definedName>
    <definedName name="hampton_4">'[2]Full Summary'!$C$60:$M$68</definedName>
    <definedName name="hampton_j_1">'Avoided Cost inputs'!#REF!</definedName>
    <definedName name="hampton_j_2">'Avoided Cost inputs'!#REF!</definedName>
    <definedName name="hampton_j_3">'Avoided Cost inputs'!#REF!</definedName>
    <definedName name="hampton_j_4">'Avoided Cost inputs'!#REF!</definedName>
    <definedName name="hampton_t_1">'Avoided Cost inputs'!$K$12:$L$20</definedName>
    <definedName name="hampton_t_2">'Avoided Cost inputs'!$K$26:$L$34</definedName>
    <definedName name="hampton_t_3">'Avoided Cost inputs'!$K$40:$L$48</definedName>
    <definedName name="hampton_t_4">'Avoided Cost inputs'!$K$54:$L$62</definedName>
    <definedName name="Housing_Starts">#REF!</definedName>
    <definedName name="industrial" localSheetId="0">'Avoided Costs 2013-2021'!$B$113:$M$142</definedName>
    <definedName name="industrial">#REF!</definedName>
    <definedName name="input">#REF!</definedName>
    <definedName name="Low_Income_Section">#REF!</definedName>
    <definedName name="MACROS">#REF!</definedName>
    <definedName name="mil">#REF!</definedName>
    <definedName name="OM_Variable">#REF!</definedName>
    <definedName name="OM_Variance">#REF!</definedName>
    <definedName name="PAGE1">#REF!</definedName>
    <definedName name="PAGE2">#REF!</definedName>
    <definedName name="PAGE3">#REF!</definedName>
    <definedName name="_xlnm.Print_Area" localSheetId="2">'2013 Actuals'!$A$1:$AE$1113</definedName>
    <definedName name="Print_Area_MI">#REF!</definedName>
    <definedName name="_xlnm.Print_Titles" localSheetId="2">'2013 Actuals'!$B:$B,'2013 Actuals'!$2:$4</definedName>
    <definedName name="res_comm_space_heat" localSheetId="0">'Avoided Costs 2013-2021'!$B$41:$M$70</definedName>
    <definedName name="res_comm_space_heat">#REF!</definedName>
    <definedName name="res_comm_water_heat" localSheetId="0">'Avoided Costs 2013-2021'!$B$5:$P$34</definedName>
    <definedName name="res_comm_water_heat">#REF!</definedName>
    <definedName name="seventyfive">#REF!</definedName>
    <definedName name="SSM">#REF!</definedName>
    <definedName name="SSM_Builders">#REF!</definedName>
    <definedName name="SSM_Units_Installed">#REF!</definedName>
    <definedName name="ssmtarget">#REF!</definedName>
    <definedName name="target">#REF!</definedName>
    <definedName name="Target100">#REF!</definedName>
    <definedName name="Target150">#REF!</definedName>
    <definedName name="Target50">#REF!</definedName>
    <definedName name="Total_YTD_SSM">#REF!</definedName>
    <definedName name="YTDTRC">#REF!</definedName>
    <definedName name="Z_D3618886_EC92_4244_941D_CAF99D049731_.wvu.FilterData" localSheetId="2" hidden="1">'2013 Actuals'!$A$1:$AG$1111</definedName>
    <definedName name="Z_D3618886_EC92_4244_941D_CAF99D049731_.wvu.PrintArea" localSheetId="2" hidden="1">'2013 Actuals'!$A$1:$AE$1113</definedName>
    <definedName name="Z_D3618886_EC92_4244_941D_CAF99D049731_.wvu.PrintTitles" localSheetId="2" hidden="1">'2013 Actuals'!$B:$B,'2013 Actuals'!$2:$4</definedName>
  </definedNames>
  <calcPr calcId="145621"/>
  <customWorkbookViews>
    <customWorkbookView name="Program Level" guid="{D3618886-EC92-4244-941D-CAF99D049731}" maximized="1" windowWidth="1020" windowHeight="539" tabRatio="537" activeSheetId="4631"/>
  </customWorkbookViews>
</workbook>
</file>

<file path=xl/calcChain.xml><?xml version="1.0" encoding="utf-8"?>
<calcChain xmlns="http://schemas.openxmlformats.org/spreadsheetml/2006/main">
  <c r="I487" i="3315" l="1"/>
  <c r="J487" i="3315" s="1"/>
  <c r="I1031" i="3315" l="1"/>
  <c r="I1030" i="3315"/>
  <c r="I15" i="3315" l="1"/>
  <c r="D1044" i="3315" l="1"/>
  <c r="D865" i="3315" l="1"/>
  <c r="J865" i="3315" s="1"/>
  <c r="I876" i="3315"/>
  <c r="I1093" i="3315" l="1"/>
  <c r="Z1031" i="3315" l="1"/>
  <c r="AD1031" i="3315" s="1"/>
  <c r="Q1031" i="3315"/>
  <c r="R1031" i="3315" s="1"/>
  <c r="M1031" i="3315"/>
  <c r="J1031" i="3315"/>
  <c r="Z1030" i="3315"/>
  <c r="AD1030" i="3315" s="1"/>
  <c r="Q1030" i="3315"/>
  <c r="R1030" i="3315" s="1"/>
  <c r="M1030" i="3315"/>
  <c r="N1030" i="3315" s="1"/>
  <c r="J1030" i="3315"/>
  <c r="N1031" i="3315" l="1"/>
  <c r="AG1030" i="3315"/>
  <c r="AG1031" i="3315"/>
  <c r="AF1030" i="3315"/>
  <c r="AF1031" i="3315"/>
  <c r="AF1032" i="3315" l="1"/>
  <c r="I1060" i="3315" l="1"/>
  <c r="I1054" i="3315"/>
  <c r="AA1034" i="3315" l="1"/>
  <c r="D898" i="3315" l="1"/>
  <c r="D904" i="3315"/>
  <c r="D976" i="3315"/>
  <c r="D1027" i="3315"/>
  <c r="D1032" i="3315"/>
  <c r="D481" i="3315" l="1"/>
  <c r="D415" i="3315"/>
  <c r="D351" i="3315"/>
  <c r="D267" i="3315"/>
  <c r="D233" i="3315"/>
  <c r="D209" i="3315"/>
  <c r="D135" i="3315"/>
  <c r="D56" i="3315"/>
  <c r="D341" i="3315"/>
  <c r="D464" i="3315"/>
  <c r="D1096" i="3315" l="1"/>
  <c r="D1107" i="3315" l="1"/>
  <c r="D1113" i="3315" s="1"/>
  <c r="E7" i="3315" l="1"/>
  <c r="J7" i="3315" s="1"/>
  <c r="AF7" i="3315" s="1"/>
  <c r="K7" i="3315" l="1"/>
  <c r="M7" i="3315"/>
  <c r="I460" i="3315" l="1"/>
  <c r="I461" i="3315"/>
  <c r="I462" i="3315"/>
  <c r="I443" i="3315"/>
  <c r="I444" i="3315"/>
  <c r="I445" i="3315"/>
  <c r="I446" i="3315"/>
  <c r="I447" i="3315"/>
  <c r="I448" i="3315"/>
  <c r="I449" i="3315"/>
  <c r="I450" i="3315"/>
  <c r="I451" i="3315"/>
  <c r="I452" i="3315"/>
  <c r="I453" i="3315"/>
  <c r="I454" i="3315"/>
  <c r="I455" i="3315"/>
  <c r="I456" i="3315"/>
  <c r="I457" i="3315"/>
  <c r="I458" i="3315"/>
  <c r="I459" i="3315"/>
  <c r="I442" i="3315"/>
  <c r="I433" i="3315"/>
  <c r="I432" i="3315"/>
  <c r="I431" i="3315"/>
  <c r="I421" i="3315"/>
  <c r="I422" i="3315"/>
  <c r="I423" i="3315"/>
  <c r="I424" i="3315"/>
  <c r="I425" i="3315"/>
  <c r="I426" i="3315"/>
  <c r="I427" i="3315"/>
  <c r="I420" i="3315"/>
  <c r="I350" i="3315"/>
  <c r="I349" i="3315"/>
  <c r="I348" i="3315"/>
  <c r="I345" i="3315"/>
  <c r="I344" i="3315"/>
  <c r="AA1113" i="3315" l="1"/>
  <c r="AB1113" i="3315"/>
  <c r="AD1112" i="3315" l="1"/>
  <c r="AD1109" i="3315"/>
  <c r="AD1106" i="3315"/>
  <c r="AD1105" i="3315"/>
  <c r="AD1104" i="3315"/>
  <c r="AD1103" i="3315"/>
  <c r="AD1102" i="3315"/>
  <c r="AE1105" i="3315" l="1"/>
  <c r="AE1102" i="3315"/>
  <c r="AE1106" i="3315"/>
  <c r="AE1103" i="3315"/>
  <c r="AE1109" i="3315"/>
  <c r="AE1104" i="3315"/>
  <c r="AD1110" i="3315"/>
  <c r="AD1107" i="3315"/>
  <c r="AE1112" i="3315"/>
  <c r="I1092" i="3315"/>
  <c r="I1091" i="3315"/>
  <c r="I1090" i="3315"/>
  <c r="I1089" i="3315"/>
  <c r="I1059" i="3315"/>
  <c r="I1058" i="3315"/>
  <c r="I1053" i="3315"/>
  <c r="I861" i="3315"/>
  <c r="I860" i="3315"/>
  <c r="I859" i="3315"/>
  <c r="I858" i="3315"/>
  <c r="I857" i="3315"/>
  <c r="I856" i="3315"/>
  <c r="I855" i="3315"/>
  <c r="I854" i="3315"/>
  <c r="I853" i="3315"/>
  <c r="I852" i="3315"/>
  <c r="I751" i="3315"/>
  <c r="I748" i="3315"/>
  <c r="I651" i="3315"/>
  <c r="I650" i="3315"/>
  <c r="I632" i="3315"/>
  <c r="I631" i="3315"/>
  <c r="I628" i="3315"/>
  <c r="I615" i="3315"/>
  <c r="I590" i="3315"/>
  <c r="I571" i="3315"/>
  <c r="I566" i="3315"/>
  <c r="I541" i="3315"/>
  <c r="I470" i="3315"/>
  <c r="I357" i="3315"/>
  <c r="I347" i="3315"/>
  <c r="I346" i="3315"/>
  <c r="I284" i="3315"/>
  <c r="I283" i="3315"/>
  <c r="I282" i="3315"/>
  <c r="I281" i="3315"/>
  <c r="I266" i="3315"/>
  <c r="I265" i="3315"/>
  <c r="I258" i="3315"/>
  <c r="I254" i="3315"/>
  <c r="I221" i="3315"/>
  <c r="I198" i="3315"/>
  <c r="I146" i="3315"/>
  <c r="I145" i="3315"/>
  <c r="I126" i="3315"/>
  <c r="I72" i="3315"/>
  <c r="AE1107" i="3315" l="1"/>
  <c r="AE1110" i="3315"/>
  <c r="AD1113" i="3315"/>
  <c r="I902" i="3315"/>
  <c r="M52" i="3315"/>
  <c r="M43" i="3315"/>
  <c r="AE1113" i="3315" l="1"/>
  <c r="D1047" i="3315"/>
  <c r="D1099" i="3315" l="1"/>
  <c r="H35" i="3315" l="1"/>
  <c r="H34" i="3315"/>
  <c r="H33" i="3315"/>
  <c r="H32" i="3315"/>
  <c r="H31" i="3315"/>
  <c r="H30" i="3315"/>
  <c r="H29" i="3315"/>
  <c r="H28" i="3315"/>
  <c r="H22" i="3315"/>
  <c r="H21" i="3315"/>
  <c r="H20" i="3315"/>
  <c r="H14" i="3315"/>
  <c r="H13" i="3315"/>
  <c r="H11" i="3315"/>
  <c r="H10" i="3315"/>
  <c r="H12" i="3315"/>
  <c r="H865" i="3315" l="1"/>
  <c r="H866" i="3315" s="1"/>
  <c r="D866" i="3315"/>
  <c r="D868" i="3315" s="1"/>
  <c r="J12" i="3315" l="1"/>
  <c r="AA868" i="3315" l="1"/>
  <c r="Z1045" i="3315" l="1"/>
  <c r="Y1045" i="3315" s="1"/>
  <c r="H1045" i="3315" l="1"/>
  <c r="K27" i="3315" l="1"/>
  <c r="K24" i="3315"/>
  <c r="K23" i="3315"/>
  <c r="O24" i="3315"/>
  <c r="O16" i="3315"/>
  <c r="N27" i="3315" l="1"/>
  <c r="Q33" i="3315"/>
  <c r="R33" i="3315"/>
  <c r="Q34" i="3315"/>
  <c r="R34" i="3315"/>
  <c r="Q29" i="3315"/>
  <c r="R29" i="3315"/>
  <c r="Q25" i="3315"/>
  <c r="R25" i="3315"/>
  <c r="Q26" i="3315"/>
  <c r="R26" i="3315"/>
  <c r="Q27" i="3315"/>
  <c r="R27" i="3315"/>
  <c r="M25" i="3315"/>
  <c r="N25" i="3315"/>
  <c r="M26" i="3315"/>
  <c r="N26" i="3315"/>
  <c r="N16" i="3315"/>
  <c r="D1034" i="3315" l="1"/>
  <c r="AF6" i="3315" l="1"/>
  <c r="AG6" i="3315"/>
  <c r="AD6" i="3315"/>
  <c r="AB8" i="3315" l="1"/>
  <c r="H8" i="3315"/>
  <c r="AE6" i="3315" l="1"/>
  <c r="AC1032" i="3315"/>
  <c r="I12" i="3315" l="1"/>
  <c r="AC1038" i="3315" l="1"/>
  <c r="AA8" i="3315" l="1"/>
  <c r="AC7" i="3315"/>
  <c r="AC8" i="3315" l="1"/>
  <c r="H1044" i="3315"/>
  <c r="H1094" i="3315"/>
  <c r="I1094" i="3315" l="1"/>
  <c r="P1095" i="3315"/>
  <c r="H1095" i="3315"/>
  <c r="Z7" i="3315" l="1"/>
  <c r="Z8" i="3315" l="1"/>
  <c r="AD7" i="3315"/>
  <c r="AD8" i="3315" l="1"/>
  <c r="Q1093" i="3315" l="1"/>
  <c r="Z1093" i="3315" l="1"/>
  <c r="AD1093" i="3315" s="1"/>
  <c r="R1093" i="3315"/>
  <c r="AG1093" i="3315"/>
  <c r="J1093" i="3315"/>
  <c r="AF1093" i="3315" l="1"/>
  <c r="R7" i="3315" l="1"/>
  <c r="Q7" i="3315"/>
  <c r="Q8" i="3315" s="1"/>
  <c r="N7" i="3315"/>
  <c r="M8" i="3315"/>
  <c r="I7" i="3315"/>
  <c r="J8" i="3315" l="1"/>
  <c r="I8" i="3315"/>
  <c r="R8" i="3315"/>
  <c r="N8" i="3315"/>
  <c r="AG7" i="3315"/>
  <c r="AG8" i="3315" s="1"/>
  <c r="AF8" i="3315" l="1"/>
  <c r="I1044" i="3315" l="1"/>
  <c r="AG1044" i="3315" l="1"/>
  <c r="P1045" i="3315"/>
  <c r="E1045" i="3315"/>
  <c r="AC1044" i="3315"/>
  <c r="Z1044" i="3315"/>
  <c r="AD1044" i="3315" s="1"/>
  <c r="N1044" i="3315"/>
  <c r="M1044" i="3315"/>
  <c r="O1044" i="3315" l="1"/>
  <c r="R1044" i="3315" s="1"/>
  <c r="J1044" i="3315"/>
  <c r="AF1044" i="3315" l="1"/>
  <c r="P1044" i="3315"/>
  <c r="Q1044" i="3315" s="1"/>
  <c r="H868" i="3315" l="1"/>
  <c r="D36" i="3315" l="1"/>
  <c r="Y36" i="3315"/>
  <c r="M17" i="3315"/>
  <c r="N17" i="3315"/>
  <c r="Q17" i="3315"/>
  <c r="R17" i="3315"/>
  <c r="Z17" i="3315"/>
  <c r="AD17" i="3315" s="1"/>
  <c r="M18" i="3315"/>
  <c r="N18" i="3315"/>
  <c r="Q18" i="3315"/>
  <c r="R18" i="3315"/>
  <c r="Z18" i="3315"/>
  <c r="AD18" i="3315" s="1"/>
  <c r="M19" i="3315"/>
  <c r="N19" i="3315"/>
  <c r="Q19" i="3315"/>
  <c r="R19" i="3315"/>
  <c r="Z19" i="3315"/>
  <c r="AD19" i="3315" s="1"/>
  <c r="H1046" i="3315" l="1"/>
  <c r="H1047" i="3315" s="1"/>
  <c r="H1099" i="3315" s="1"/>
  <c r="J1046" i="3315" l="1"/>
  <c r="N1046" i="3315"/>
  <c r="R1046" i="3315"/>
  <c r="Z1046" i="3315"/>
  <c r="AD1046" i="3315" s="1"/>
  <c r="AC1045" i="3315"/>
  <c r="AC1046" i="3315"/>
  <c r="AB1047" i="3315"/>
  <c r="AA1047" i="3315"/>
  <c r="AF1046" i="3315" l="1"/>
  <c r="I1045" i="3315" l="1"/>
  <c r="P1046" i="3315"/>
  <c r="Q1046" i="3315" s="1"/>
  <c r="L1046" i="3315"/>
  <c r="M1046" i="3315" s="1"/>
  <c r="L1045" i="3315"/>
  <c r="J1045" i="3315"/>
  <c r="L1047" i="3315" l="1"/>
  <c r="P1047" i="3315"/>
  <c r="I1046" i="3315"/>
  <c r="AG1046" i="3315" s="1"/>
  <c r="M1045" i="3315"/>
  <c r="R1045" i="3315" l="1"/>
  <c r="Q1045" i="3315"/>
  <c r="N1045" i="3315"/>
  <c r="R1043" i="3315"/>
  <c r="Q1043" i="3315"/>
  <c r="N1043" i="3315"/>
  <c r="M1043" i="3315"/>
  <c r="M1047" i="3315" s="1"/>
  <c r="E1043" i="3315"/>
  <c r="Q1047" i="3315" l="1"/>
  <c r="N1047" i="3315"/>
  <c r="R1047" i="3315"/>
  <c r="AB868" i="3315" l="1"/>
  <c r="P868" i="3315"/>
  <c r="L868" i="3315"/>
  <c r="AB490" i="3315"/>
  <c r="AA490" i="3315"/>
  <c r="P490" i="3315"/>
  <c r="L490" i="3315"/>
  <c r="AC1043" i="3315"/>
  <c r="AC1047" i="3315" l="1"/>
  <c r="AC56" i="3315"/>
  <c r="AC209" i="3315"/>
  <c r="AC233" i="3315"/>
  <c r="AC237" i="3315"/>
  <c r="AC267" i="3315"/>
  <c r="AC341" i="3315"/>
  <c r="AC351" i="3315"/>
  <c r="AC415" i="3315"/>
  <c r="AC464" i="3315"/>
  <c r="AC481" i="3315"/>
  <c r="AC488" i="3315"/>
  <c r="AC862" i="3315"/>
  <c r="AC866" i="3315"/>
  <c r="AC1027" i="3315"/>
  <c r="AC976" i="3315"/>
  <c r="AC904" i="3315"/>
  <c r="AC898" i="3315"/>
  <c r="AC1112" i="3315"/>
  <c r="AC1098" i="3315"/>
  <c r="D237" i="3315"/>
  <c r="AB484" i="3315"/>
  <c r="P484" i="3315"/>
  <c r="L484" i="3315"/>
  <c r="H237" i="3315"/>
  <c r="Z236" i="3315"/>
  <c r="Q236" i="3315"/>
  <c r="Q237" i="3315" s="1"/>
  <c r="I236" i="3315"/>
  <c r="I237" i="3315" s="1"/>
  <c r="AC490" i="3315" l="1"/>
  <c r="AC1113" i="3315"/>
  <c r="D484" i="3315"/>
  <c r="AC868" i="3315"/>
  <c r="R236" i="3315"/>
  <c r="AG236" i="3315"/>
  <c r="AG237" i="3315" s="1"/>
  <c r="J236" i="3315"/>
  <c r="AD236" i="3315"/>
  <c r="Z237" i="3315"/>
  <c r="AD237" i="3315" l="1"/>
  <c r="R237" i="3315"/>
  <c r="J237" i="3315"/>
  <c r="AF236" i="3315"/>
  <c r="AF237" i="3315" l="1"/>
  <c r="Q487" i="3315"/>
  <c r="R487" i="3315" s="1"/>
  <c r="Z487" i="3315"/>
  <c r="AD487" i="3315" s="1"/>
  <c r="J6" i="4608" l="1"/>
  <c r="L5" i="4608"/>
  <c r="J5" i="4608"/>
  <c r="A142" i="4608"/>
  <c r="A141" i="4608"/>
  <c r="A140" i="4608"/>
  <c r="A139" i="4608"/>
  <c r="A138" i="4608"/>
  <c r="A137" i="4608"/>
  <c r="A136" i="4608"/>
  <c r="A135" i="4608"/>
  <c r="A134" i="4608"/>
  <c r="A133" i="4608"/>
  <c r="A132" i="4608"/>
  <c r="A131" i="4608"/>
  <c r="A130" i="4608"/>
  <c r="A129" i="4608"/>
  <c r="A128" i="4608"/>
  <c r="A127" i="4608"/>
  <c r="A126" i="4608"/>
  <c r="A125" i="4608"/>
  <c r="A124" i="4608"/>
  <c r="A123" i="4608"/>
  <c r="A122" i="4608"/>
  <c r="A121" i="4608"/>
  <c r="A120" i="4608"/>
  <c r="A119" i="4608"/>
  <c r="A118" i="4608"/>
  <c r="A117" i="4608"/>
  <c r="A116" i="4608"/>
  <c r="A115" i="4608"/>
  <c r="C114" i="4608"/>
  <c r="C115" i="4608" s="1"/>
  <c r="C116" i="4608" s="1"/>
  <c r="C117" i="4608" s="1"/>
  <c r="C118" i="4608" s="1"/>
  <c r="C119" i="4608" s="1"/>
  <c r="C120" i="4608" s="1"/>
  <c r="C121" i="4608" s="1"/>
  <c r="C122" i="4608" s="1"/>
  <c r="C123" i="4608" s="1"/>
  <c r="C124" i="4608" s="1"/>
  <c r="C125" i="4608" s="1"/>
  <c r="C126" i="4608" s="1"/>
  <c r="C127" i="4608" s="1"/>
  <c r="C128" i="4608" s="1"/>
  <c r="C129" i="4608" s="1"/>
  <c r="C130" i="4608" s="1"/>
  <c r="C131" i="4608" s="1"/>
  <c r="C132" i="4608" s="1"/>
  <c r="C133" i="4608" s="1"/>
  <c r="C134" i="4608" s="1"/>
  <c r="C135" i="4608" s="1"/>
  <c r="C136" i="4608" s="1"/>
  <c r="C137" i="4608" s="1"/>
  <c r="C138" i="4608" s="1"/>
  <c r="C139" i="4608" s="1"/>
  <c r="C140" i="4608" s="1"/>
  <c r="C141" i="4608" s="1"/>
  <c r="C142" i="4608" s="1"/>
  <c r="A114" i="4608"/>
  <c r="A113" i="4608"/>
  <c r="A106" i="4608"/>
  <c r="A105" i="4608"/>
  <c r="A104" i="4608"/>
  <c r="A103" i="4608"/>
  <c r="A102" i="4608"/>
  <c r="A101" i="4608"/>
  <c r="A100" i="4608"/>
  <c r="A99" i="4608"/>
  <c r="A98" i="4608"/>
  <c r="A97" i="4608"/>
  <c r="A96" i="4608"/>
  <c r="A95" i="4608"/>
  <c r="A94" i="4608"/>
  <c r="A93" i="4608"/>
  <c r="A92" i="4608"/>
  <c r="A91" i="4608"/>
  <c r="A90" i="4608"/>
  <c r="A89" i="4608"/>
  <c r="A88" i="4608"/>
  <c r="A87" i="4608"/>
  <c r="A86" i="4608"/>
  <c r="A85" i="4608"/>
  <c r="A84" i="4608"/>
  <c r="A83" i="4608"/>
  <c r="A82" i="4608"/>
  <c r="A81" i="4608"/>
  <c r="A80" i="4608"/>
  <c r="A79" i="4608"/>
  <c r="C78" i="4608"/>
  <c r="C79" i="4608" s="1"/>
  <c r="C80" i="4608" s="1"/>
  <c r="C81" i="4608" s="1"/>
  <c r="C82" i="4608" s="1"/>
  <c r="C83" i="4608" s="1"/>
  <c r="C84" i="4608" s="1"/>
  <c r="C85" i="4608" s="1"/>
  <c r="C86" i="4608" s="1"/>
  <c r="C87" i="4608" s="1"/>
  <c r="C88" i="4608" s="1"/>
  <c r="C89" i="4608" s="1"/>
  <c r="C90" i="4608" s="1"/>
  <c r="C91" i="4608" s="1"/>
  <c r="C92" i="4608" s="1"/>
  <c r="C93" i="4608" s="1"/>
  <c r="C94" i="4608" s="1"/>
  <c r="C95" i="4608" s="1"/>
  <c r="C96" i="4608" s="1"/>
  <c r="C97" i="4608" s="1"/>
  <c r="C98" i="4608" s="1"/>
  <c r="C99" i="4608" s="1"/>
  <c r="C100" i="4608" s="1"/>
  <c r="C101" i="4608" s="1"/>
  <c r="C102" i="4608" s="1"/>
  <c r="C103" i="4608" s="1"/>
  <c r="C104" i="4608" s="1"/>
  <c r="C105" i="4608" s="1"/>
  <c r="C106" i="4608" s="1"/>
  <c r="A78" i="4608"/>
  <c r="A77" i="4608"/>
  <c r="A70" i="4608"/>
  <c r="A69" i="4608"/>
  <c r="A68" i="4608"/>
  <c r="A67" i="4608"/>
  <c r="A66" i="4608"/>
  <c r="A65" i="4608"/>
  <c r="A64" i="4608"/>
  <c r="A63" i="4608"/>
  <c r="A62" i="4608"/>
  <c r="A61" i="4608"/>
  <c r="A60" i="4608"/>
  <c r="A59" i="4608"/>
  <c r="A58" i="4608"/>
  <c r="A57" i="4608"/>
  <c r="A56" i="4608"/>
  <c r="A55" i="4608"/>
  <c r="A54" i="4608"/>
  <c r="A53" i="4608"/>
  <c r="A52" i="4608"/>
  <c r="A51" i="4608"/>
  <c r="A50" i="4608"/>
  <c r="A49" i="4608"/>
  <c r="A48" i="4608"/>
  <c r="A47" i="4608"/>
  <c r="A46" i="4608"/>
  <c r="A45" i="4608"/>
  <c r="A44" i="4608"/>
  <c r="A43" i="4608"/>
  <c r="C42" i="4608"/>
  <c r="C43" i="4608" s="1"/>
  <c r="C44" i="4608" s="1"/>
  <c r="C45" i="4608" s="1"/>
  <c r="C46" i="4608" s="1"/>
  <c r="C47" i="4608" s="1"/>
  <c r="C48" i="4608" s="1"/>
  <c r="C49" i="4608" s="1"/>
  <c r="C50" i="4608" s="1"/>
  <c r="C51" i="4608" s="1"/>
  <c r="C52" i="4608" s="1"/>
  <c r="C53" i="4608" s="1"/>
  <c r="C54" i="4608" s="1"/>
  <c r="C55" i="4608" s="1"/>
  <c r="C56" i="4608" s="1"/>
  <c r="C57" i="4608" s="1"/>
  <c r="C58" i="4608" s="1"/>
  <c r="C59" i="4608" s="1"/>
  <c r="C60" i="4608" s="1"/>
  <c r="C61" i="4608" s="1"/>
  <c r="C62" i="4608" s="1"/>
  <c r="C63" i="4608" s="1"/>
  <c r="C64" i="4608" s="1"/>
  <c r="C65" i="4608" s="1"/>
  <c r="C66" i="4608" s="1"/>
  <c r="C67" i="4608" s="1"/>
  <c r="C68" i="4608" s="1"/>
  <c r="C69" i="4608" s="1"/>
  <c r="C70" i="4608" s="1"/>
  <c r="A42" i="4608"/>
  <c r="A41" i="4608"/>
  <c r="A34" i="4608"/>
  <c r="A33" i="4608"/>
  <c r="A32" i="4608"/>
  <c r="A31" i="4608"/>
  <c r="A30" i="4608"/>
  <c r="A29" i="4608"/>
  <c r="A28" i="4608"/>
  <c r="A27" i="4608"/>
  <c r="A26" i="4608"/>
  <c r="A25" i="4608"/>
  <c r="A24" i="4608"/>
  <c r="A23" i="4608"/>
  <c r="A22" i="4608"/>
  <c r="A21" i="4608"/>
  <c r="A20" i="4608"/>
  <c r="A19" i="4608"/>
  <c r="A18" i="4608"/>
  <c r="A17" i="4608"/>
  <c r="A16" i="4608"/>
  <c r="A15" i="4608"/>
  <c r="A14" i="4608"/>
  <c r="A13" i="4608"/>
  <c r="A12" i="4608"/>
  <c r="A11" i="4608"/>
  <c r="A10" i="4608"/>
  <c r="A9" i="4608"/>
  <c r="A8" i="4608"/>
  <c r="A7" i="4608"/>
  <c r="C6" i="4608"/>
  <c r="C7" i="4608" s="1"/>
  <c r="C8" i="4608" s="1"/>
  <c r="C9" i="4608" s="1"/>
  <c r="C10" i="4608" s="1"/>
  <c r="C11" i="4608" s="1"/>
  <c r="C12" i="4608" s="1"/>
  <c r="C13" i="4608" s="1"/>
  <c r="C14" i="4608" s="1"/>
  <c r="C15" i="4608" s="1"/>
  <c r="C16" i="4608" s="1"/>
  <c r="C17" i="4608" s="1"/>
  <c r="C18" i="4608" s="1"/>
  <c r="C19" i="4608" s="1"/>
  <c r="C20" i="4608" s="1"/>
  <c r="C21" i="4608" s="1"/>
  <c r="C22" i="4608" s="1"/>
  <c r="C23" i="4608" s="1"/>
  <c r="C24" i="4608" s="1"/>
  <c r="C25" i="4608" s="1"/>
  <c r="C26" i="4608" s="1"/>
  <c r="C27" i="4608" s="1"/>
  <c r="C28" i="4608" s="1"/>
  <c r="C29" i="4608" s="1"/>
  <c r="C30" i="4608" s="1"/>
  <c r="C31" i="4608" s="1"/>
  <c r="C32" i="4608" s="1"/>
  <c r="C33" i="4608" s="1"/>
  <c r="C34" i="4608" s="1"/>
  <c r="A6" i="4608"/>
  <c r="A5" i="4608"/>
  <c r="E72" i="3079"/>
  <c r="D50" i="4608"/>
  <c r="D49" i="4608"/>
  <c r="D48" i="4608"/>
  <c r="D47" i="4608"/>
  <c r="D46" i="4608"/>
  <c r="D45" i="4608"/>
  <c r="D44" i="4608"/>
  <c r="D43" i="4608"/>
  <c r="D42" i="4608"/>
  <c r="D41" i="4608"/>
  <c r="C62" i="3079"/>
  <c r="C63" i="3079" s="1"/>
  <c r="C64" i="3079" s="1"/>
  <c r="C65" i="3079" s="1"/>
  <c r="C66" i="3079" s="1"/>
  <c r="C67" i="3079" s="1"/>
  <c r="C68" i="3079" s="1"/>
  <c r="C69" i="3079" s="1"/>
  <c r="C70" i="3079" s="1"/>
  <c r="C71" i="3079" s="1"/>
  <c r="E56" i="3079"/>
  <c r="D122" i="4608"/>
  <c r="D121" i="4608"/>
  <c r="D120" i="4608"/>
  <c r="D119" i="4608"/>
  <c r="D118" i="4608"/>
  <c r="D117" i="4608"/>
  <c r="D116" i="4608"/>
  <c r="D115" i="4608"/>
  <c r="D114" i="4608"/>
  <c r="D113" i="4608"/>
  <c r="C46" i="3079"/>
  <c r="C47" i="3079" s="1"/>
  <c r="C48" i="3079" s="1"/>
  <c r="C49" i="3079" s="1"/>
  <c r="C50" i="3079" s="1"/>
  <c r="C51" i="3079" s="1"/>
  <c r="C52" i="3079" s="1"/>
  <c r="C53" i="3079" s="1"/>
  <c r="C54" i="3079" s="1"/>
  <c r="C55" i="3079" s="1"/>
  <c r="E40" i="3079"/>
  <c r="D86" i="4608"/>
  <c r="D85" i="4608"/>
  <c r="D84" i="4608"/>
  <c r="D83" i="4608"/>
  <c r="D82" i="4608"/>
  <c r="D81" i="4608"/>
  <c r="D80" i="4608"/>
  <c r="D79" i="4608"/>
  <c r="D78" i="4608"/>
  <c r="D77" i="4608"/>
  <c r="C30" i="3079"/>
  <c r="C31" i="3079" s="1"/>
  <c r="C32" i="3079" s="1"/>
  <c r="C33" i="3079" s="1"/>
  <c r="C34" i="3079" s="1"/>
  <c r="C35" i="3079" s="1"/>
  <c r="C36" i="3079" s="1"/>
  <c r="C37" i="3079" s="1"/>
  <c r="C38" i="3079" s="1"/>
  <c r="C39" i="3079" s="1"/>
  <c r="E23" i="3079"/>
  <c r="D14" i="4608"/>
  <c r="D13" i="4608"/>
  <c r="D12" i="4608"/>
  <c r="D11" i="4608"/>
  <c r="D10" i="4608"/>
  <c r="D9" i="4608"/>
  <c r="D8" i="4608"/>
  <c r="D7" i="4608"/>
  <c r="D6" i="4608"/>
  <c r="D5" i="4608"/>
  <c r="C13" i="3079"/>
  <c r="C14" i="3079" s="1"/>
  <c r="C15" i="3079" s="1"/>
  <c r="C16" i="3079" s="1"/>
  <c r="C17" i="3079" s="1"/>
  <c r="C18" i="3079" s="1"/>
  <c r="C19" i="3079" s="1"/>
  <c r="C20" i="3079" s="1"/>
  <c r="C21" i="3079" s="1"/>
  <c r="C22" i="3079" s="1"/>
  <c r="L8" i="3079"/>
  <c r="L9" i="3079" s="1"/>
  <c r="L10" i="3079" s="1"/>
  <c r="L11" i="3079" s="1"/>
  <c r="L12" i="3079" s="1"/>
  <c r="L13" i="3079" s="1"/>
  <c r="L14" i="3079" s="1"/>
  <c r="L15" i="3079" s="1"/>
  <c r="L16" i="3079" s="1"/>
  <c r="L17" i="3079" s="1"/>
  <c r="L18" i="3079" s="1"/>
  <c r="L19" i="3079" s="1"/>
  <c r="L20" i="3079" s="1"/>
  <c r="L21" i="3079" s="1"/>
  <c r="L22" i="3079" s="1"/>
  <c r="L23" i="3079" s="1"/>
  <c r="L24" i="3079" s="1"/>
  <c r="L25" i="3079" s="1"/>
  <c r="L26" i="3079" s="1"/>
  <c r="L27" i="3079" s="1"/>
  <c r="L28" i="3079" s="1"/>
  <c r="L29" i="3079" s="1"/>
  <c r="L30" i="3079" s="1"/>
  <c r="L31" i="3079" s="1"/>
  <c r="L32" i="3079" s="1"/>
  <c r="L33" i="3079" s="1"/>
  <c r="L34" i="3079" s="1"/>
  <c r="L35" i="3079" s="1"/>
  <c r="L36" i="3079" s="1"/>
  <c r="L34" i="4608" s="1"/>
  <c r="K8" i="3079"/>
  <c r="K9" i="3079" s="1"/>
  <c r="I8" i="3079"/>
  <c r="I9" i="3079" s="1"/>
  <c r="I10" i="3079" s="1"/>
  <c r="I11" i="3079" s="1"/>
  <c r="I12" i="3079" s="1"/>
  <c r="I13" i="3079" s="1"/>
  <c r="I14" i="3079" s="1"/>
  <c r="I15" i="3079" s="1"/>
  <c r="I16" i="3079" s="1"/>
  <c r="I17" i="3079" s="1"/>
  <c r="I18" i="3079" s="1"/>
  <c r="I19" i="3079" s="1"/>
  <c r="I20" i="3079" s="1"/>
  <c r="I21" i="3079" s="1"/>
  <c r="I22" i="3079" s="1"/>
  <c r="I23" i="3079" s="1"/>
  <c r="I24" i="3079" s="1"/>
  <c r="I25" i="3079" s="1"/>
  <c r="I26" i="3079" s="1"/>
  <c r="I27" i="3079" s="1"/>
  <c r="I28" i="3079" s="1"/>
  <c r="I29" i="3079" s="1"/>
  <c r="I30" i="3079" s="1"/>
  <c r="I31" i="3079" s="1"/>
  <c r="I32" i="3079" s="1"/>
  <c r="I33" i="3079" s="1"/>
  <c r="I34" i="3079" s="1"/>
  <c r="I35" i="3079" s="1"/>
  <c r="I36" i="3079" s="1"/>
  <c r="K10" i="3079" l="1"/>
  <c r="J7" i="4608"/>
  <c r="L7" i="4608"/>
  <c r="L9" i="4608"/>
  <c r="L11" i="4608"/>
  <c r="L13" i="4608"/>
  <c r="L15" i="4608"/>
  <c r="L17" i="4608"/>
  <c r="L19" i="4608"/>
  <c r="L21" i="4608"/>
  <c r="L23" i="4608"/>
  <c r="L25" i="4608"/>
  <c r="L27" i="4608"/>
  <c r="L29" i="4608"/>
  <c r="L31" i="4608"/>
  <c r="L33" i="4608"/>
  <c r="L6" i="4608"/>
  <c r="M7" i="4608" s="1"/>
  <c r="L8" i="4608"/>
  <c r="M21" i="4608" s="1"/>
  <c r="L10" i="4608"/>
  <c r="L12" i="4608"/>
  <c r="L48" i="4608" s="1"/>
  <c r="L14" i="4608"/>
  <c r="L16" i="4608"/>
  <c r="L18" i="4608"/>
  <c r="L20" i="4608"/>
  <c r="L22" i="4608"/>
  <c r="L24" i="4608"/>
  <c r="L60" i="4608" s="1"/>
  <c r="L26" i="4608"/>
  <c r="L28" i="4608"/>
  <c r="L30" i="4608"/>
  <c r="L32" i="4608"/>
  <c r="L68" i="4608" s="1"/>
  <c r="L63" i="4608"/>
  <c r="L61" i="4608"/>
  <c r="L47" i="4608"/>
  <c r="L59" i="4608"/>
  <c r="L42" i="4608"/>
  <c r="L46" i="4608"/>
  <c r="L54" i="4608"/>
  <c r="L62" i="4608"/>
  <c r="L70" i="4608"/>
  <c r="M5" i="4608"/>
  <c r="L43" i="4608"/>
  <c r="L57" i="4608"/>
  <c r="L51" i="4608"/>
  <c r="L67" i="4608"/>
  <c r="K5" i="4608"/>
  <c r="F79" i="4608"/>
  <c r="F83" i="4608"/>
  <c r="D51" i="4608"/>
  <c r="E51" i="4608" s="1"/>
  <c r="F80" i="4608"/>
  <c r="F84" i="4608"/>
  <c r="F116" i="4608"/>
  <c r="F120" i="4608"/>
  <c r="F43" i="4608"/>
  <c r="F47" i="4608"/>
  <c r="F115" i="4608"/>
  <c r="F42" i="4608"/>
  <c r="F81" i="4608"/>
  <c r="F85" i="4608"/>
  <c r="F117" i="4608"/>
  <c r="F121" i="4608"/>
  <c r="E41" i="4608"/>
  <c r="F44" i="4608"/>
  <c r="F48" i="4608"/>
  <c r="F119" i="4608"/>
  <c r="F46" i="4608"/>
  <c r="D15" i="4608"/>
  <c r="F78" i="4608"/>
  <c r="F82" i="4608"/>
  <c r="D87" i="4608"/>
  <c r="F87" i="4608" s="1"/>
  <c r="F118" i="4608"/>
  <c r="F45" i="4608"/>
  <c r="F49" i="4608"/>
  <c r="E8" i="4608"/>
  <c r="E116" i="4608"/>
  <c r="F114" i="4608"/>
  <c r="D123" i="4608"/>
  <c r="F122" i="4608"/>
  <c r="F86" i="4608"/>
  <c r="J114" i="4608"/>
  <c r="J78" i="4608"/>
  <c r="K6" i="4608"/>
  <c r="J42" i="4608"/>
  <c r="M15" i="4608"/>
  <c r="M17" i="4608"/>
  <c r="E49" i="4608"/>
  <c r="E85" i="4608"/>
  <c r="E81" i="4608"/>
  <c r="E77" i="4608"/>
  <c r="E83" i="4608"/>
  <c r="E79" i="4608"/>
  <c r="E86" i="4608"/>
  <c r="E80" i="4608"/>
  <c r="E78" i="4608"/>
  <c r="E84" i="4608"/>
  <c r="E82" i="4608"/>
  <c r="M9" i="4608"/>
  <c r="E10" i="4608"/>
  <c r="M33" i="4608"/>
  <c r="E43" i="4608"/>
  <c r="E13" i="4608"/>
  <c r="E9" i="4608"/>
  <c r="E5" i="4608"/>
  <c r="E15" i="4608"/>
  <c r="E11" i="4608"/>
  <c r="E7" i="4608"/>
  <c r="K7" i="4608"/>
  <c r="E12" i="4608"/>
  <c r="F5" i="4608"/>
  <c r="E6" i="4608"/>
  <c r="E14" i="4608"/>
  <c r="M25" i="4608"/>
  <c r="E48" i="4608"/>
  <c r="F51" i="4608"/>
  <c r="J77" i="4608"/>
  <c r="M6" i="4608"/>
  <c r="M10" i="4608"/>
  <c r="M14" i="4608"/>
  <c r="M18" i="4608"/>
  <c r="J41" i="4608"/>
  <c r="E44" i="4608"/>
  <c r="E45" i="4608"/>
  <c r="F50" i="4608"/>
  <c r="E122" i="4608"/>
  <c r="E118" i="4608"/>
  <c r="E114" i="4608"/>
  <c r="E120" i="4608"/>
  <c r="E115" i="4608"/>
  <c r="E121" i="4608"/>
  <c r="E119" i="4608"/>
  <c r="E113" i="4608"/>
  <c r="E117" i="4608"/>
  <c r="M30" i="4608"/>
  <c r="M22" i="4608"/>
  <c r="J79" i="4608"/>
  <c r="J115" i="4608"/>
  <c r="M12" i="4608"/>
  <c r="M23" i="4608"/>
  <c r="E50" i="4608"/>
  <c r="E46" i="4608"/>
  <c r="E42" i="4608"/>
  <c r="L41" i="4608"/>
  <c r="E47" i="4608"/>
  <c r="J113" i="4608"/>
  <c r="D72" i="3079"/>
  <c r="D23" i="3079"/>
  <c r="D40" i="3079"/>
  <c r="D56" i="3079"/>
  <c r="L64" i="4608" l="1"/>
  <c r="L56" i="4608"/>
  <c r="L53" i="4608"/>
  <c r="M31" i="4608"/>
  <c r="M34" i="4608"/>
  <c r="M13" i="4608"/>
  <c r="M29" i="4608"/>
  <c r="M32" i="4608"/>
  <c r="M24" i="4608"/>
  <c r="L49" i="4608"/>
  <c r="L44" i="4608"/>
  <c r="L80" i="4608" s="1"/>
  <c r="L45" i="4608"/>
  <c r="L52" i="4608"/>
  <c r="J43" i="4608"/>
  <c r="M16" i="4608"/>
  <c r="M8" i="4608"/>
  <c r="M26" i="4608"/>
  <c r="M19" i="4608"/>
  <c r="M28" i="4608"/>
  <c r="M20" i="4608"/>
  <c r="M11" i="4608"/>
  <c r="M27" i="4608"/>
  <c r="L69" i="4608"/>
  <c r="L65" i="4608"/>
  <c r="L66" i="4608"/>
  <c r="L58" i="4608"/>
  <c r="L50" i="4608"/>
  <c r="L55" i="4608"/>
  <c r="K11" i="3079"/>
  <c r="J8" i="4608"/>
  <c r="W1045" i="3315"/>
  <c r="W18" i="3315"/>
  <c r="L81" i="4608"/>
  <c r="L105" i="4608"/>
  <c r="W17" i="3315"/>
  <c r="W19" i="3315"/>
  <c r="L106" i="4608"/>
  <c r="L98" i="4608"/>
  <c r="L90" i="4608"/>
  <c r="L82" i="4608"/>
  <c r="L78" i="4608"/>
  <c r="L101" i="4608"/>
  <c r="L79" i="4608"/>
  <c r="L103" i="4608"/>
  <c r="L93" i="4608"/>
  <c r="L95" i="4608"/>
  <c r="L97" i="4608"/>
  <c r="E123" i="4608"/>
  <c r="L87" i="4608"/>
  <c r="L85" i="4608"/>
  <c r="W1044" i="3315"/>
  <c r="L104" i="4608"/>
  <c r="L96" i="4608"/>
  <c r="L84" i="4608"/>
  <c r="L83" i="4608"/>
  <c r="L99" i="4608"/>
  <c r="F123" i="4608"/>
  <c r="D124" i="4608"/>
  <c r="E124" i="4608" s="1"/>
  <c r="D88" i="4608"/>
  <c r="F41" i="4608"/>
  <c r="F113" i="4608"/>
  <c r="E87" i="4608"/>
  <c r="U1093" i="3315"/>
  <c r="F6" i="4608"/>
  <c r="F7" i="4608" s="1"/>
  <c r="F8" i="4608" s="1"/>
  <c r="F77" i="4608"/>
  <c r="D16" i="4608"/>
  <c r="D52" i="4608"/>
  <c r="U1045" i="3315"/>
  <c r="U1044" i="3315"/>
  <c r="K115" i="4608"/>
  <c r="K113" i="4608"/>
  <c r="K114" i="4608"/>
  <c r="K43" i="4608"/>
  <c r="K42" i="4608"/>
  <c r="K41" i="4608"/>
  <c r="K78" i="4608"/>
  <c r="K79" i="4608"/>
  <c r="K77" i="4608"/>
  <c r="L77" i="4608"/>
  <c r="M65" i="4608"/>
  <c r="M57" i="4608"/>
  <c r="M53" i="4608"/>
  <c r="M49" i="4608"/>
  <c r="M41" i="4608"/>
  <c r="M67" i="4608"/>
  <c r="M63" i="4608"/>
  <c r="M55" i="4608"/>
  <c r="M51" i="4608"/>
  <c r="M47" i="4608"/>
  <c r="M44" i="4608"/>
  <c r="M70" i="4608"/>
  <c r="M66" i="4608"/>
  <c r="M58" i="4608"/>
  <c r="M54" i="4608"/>
  <c r="M50" i="4608"/>
  <c r="M52" i="4608"/>
  <c r="M68" i="4608"/>
  <c r="M56" i="4608"/>
  <c r="M42" i="4608"/>
  <c r="M60" i="4608"/>
  <c r="M43" i="4608"/>
  <c r="K12" i="3079" l="1"/>
  <c r="J9" i="4608"/>
  <c r="M69" i="4608"/>
  <c r="L91" i="4608"/>
  <c r="L94" i="4608"/>
  <c r="L89" i="4608"/>
  <c r="L100" i="4608"/>
  <c r="M48" i="4608"/>
  <c r="M64" i="4608"/>
  <c r="M62" i="4608"/>
  <c r="M46" i="4608"/>
  <c r="M59" i="4608"/>
  <c r="M45" i="4608"/>
  <c r="W487" i="3315" s="1"/>
  <c r="M61" i="4608"/>
  <c r="F124" i="4608"/>
  <c r="J44" i="4608"/>
  <c r="J80" i="4608"/>
  <c r="J116" i="4608"/>
  <c r="L86" i="4608"/>
  <c r="L102" i="4608"/>
  <c r="K8" i="4608"/>
  <c r="L88" i="4608"/>
  <c r="L92" i="4608"/>
  <c r="D125" i="4608"/>
  <c r="W236" i="3315"/>
  <c r="W237" i="3315" s="1"/>
  <c r="W1046" i="3315"/>
  <c r="W1093" i="3315"/>
  <c r="L133" i="4608"/>
  <c r="L139" i="4608"/>
  <c r="L137" i="4608"/>
  <c r="L118" i="4608"/>
  <c r="L134" i="4608"/>
  <c r="L141" i="4608"/>
  <c r="L123" i="4608"/>
  <c r="L135" i="4608"/>
  <c r="L116" i="4608"/>
  <c r="L132" i="4608"/>
  <c r="L121" i="4608"/>
  <c r="L117" i="4608"/>
  <c r="L119" i="4608"/>
  <c r="L120" i="4608"/>
  <c r="L140" i="4608"/>
  <c r="W1043" i="3315"/>
  <c r="W7" i="3315"/>
  <c r="W8" i="3315" s="1"/>
  <c r="L131" i="4608"/>
  <c r="L129" i="4608"/>
  <c r="L115" i="4608"/>
  <c r="L114" i="4608"/>
  <c r="L126" i="4608"/>
  <c r="L142" i="4608"/>
  <c r="F9" i="4608"/>
  <c r="F10" i="4608" s="1"/>
  <c r="F11" i="4608" s="1"/>
  <c r="F12" i="4608" s="1"/>
  <c r="F13" i="4608" s="1"/>
  <c r="F14" i="4608" s="1"/>
  <c r="F15" i="4608" s="1"/>
  <c r="F16" i="4608" s="1"/>
  <c r="F17" i="4608" s="1"/>
  <c r="F18" i="4608" s="1"/>
  <c r="F19" i="4608" s="1"/>
  <c r="F20" i="4608" s="1"/>
  <c r="F21" i="4608" s="1"/>
  <c r="F22" i="4608" s="1"/>
  <c r="F23" i="4608" s="1"/>
  <c r="F24" i="4608" s="1"/>
  <c r="F25" i="4608" s="1"/>
  <c r="F26" i="4608" s="1"/>
  <c r="F27" i="4608" s="1"/>
  <c r="F28" i="4608" s="1"/>
  <c r="F29" i="4608" s="1"/>
  <c r="F30" i="4608" s="1"/>
  <c r="F31" i="4608" s="1"/>
  <c r="F32" i="4608" s="1"/>
  <c r="F33" i="4608" s="1"/>
  <c r="F34" i="4608" s="1"/>
  <c r="D53" i="4608"/>
  <c r="F52" i="4608"/>
  <c r="E52" i="4608"/>
  <c r="D126" i="4608"/>
  <c r="E126" i="4608" s="1"/>
  <c r="D89" i="4608"/>
  <c r="F88" i="4608"/>
  <c r="E88" i="4608"/>
  <c r="D17" i="4608"/>
  <c r="E17" i="4608" s="1"/>
  <c r="E16" i="4608"/>
  <c r="F125" i="4608"/>
  <c r="E125" i="4608"/>
  <c r="M102" i="4608"/>
  <c r="M98" i="4608"/>
  <c r="M94" i="4608"/>
  <c r="M101" i="4608"/>
  <c r="M97" i="4608"/>
  <c r="M93" i="4608"/>
  <c r="M88" i="4608"/>
  <c r="M84" i="4608"/>
  <c r="M80" i="4608"/>
  <c r="M99" i="4608"/>
  <c r="M95" i="4608"/>
  <c r="M90" i="4608"/>
  <c r="M86" i="4608"/>
  <c r="M82" i="4608"/>
  <c r="M78" i="4608"/>
  <c r="M91" i="4608"/>
  <c r="M87" i="4608"/>
  <c r="M85" i="4608"/>
  <c r="M89" i="4608"/>
  <c r="M79" i="4608"/>
  <c r="M77" i="4608"/>
  <c r="L113" i="4608"/>
  <c r="M104" i="4608"/>
  <c r="M100" i="4608"/>
  <c r="M83" i="4608"/>
  <c r="M81" i="4608"/>
  <c r="W1047" i="3315" l="1"/>
  <c r="L128" i="4608"/>
  <c r="L124" i="4608"/>
  <c r="L138" i="4608"/>
  <c r="L125" i="4608"/>
  <c r="L130" i="4608"/>
  <c r="J117" i="4608"/>
  <c r="J81" i="4608"/>
  <c r="J45" i="4608"/>
  <c r="M96" i="4608"/>
  <c r="M103" i="4608"/>
  <c r="M92" i="4608"/>
  <c r="M105" i="4608"/>
  <c r="M106" i="4608"/>
  <c r="K80" i="4608"/>
  <c r="K81" i="4608"/>
  <c r="K9" i="4608"/>
  <c r="K13" i="3079"/>
  <c r="J10" i="4608"/>
  <c r="L122" i="4608"/>
  <c r="K116" i="4608"/>
  <c r="K117" i="4608"/>
  <c r="K44" i="4608"/>
  <c r="L136" i="4608"/>
  <c r="L127" i="4608"/>
  <c r="D18" i="4608"/>
  <c r="D90" i="4608"/>
  <c r="E89" i="4608"/>
  <c r="F89" i="4608"/>
  <c r="D54" i="4608"/>
  <c r="F53" i="4608"/>
  <c r="D127" i="4608"/>
  <c r="E127" i="4608" s="1"/>
  <c r="E53" i="4608"/>
  <c r="M141" i="4608"/>
  <c r="M125" i="4608"/>
  <c r="M121" i="4608"/>
  <c r="M117" i="4608"/>
  <c r="M113" i="4608"/>
  <c r="M139" i="4608"/>
  <c r="M123" i="4608"/>
  <c r="M119" i="4608"/>
  <c r="M115" i="4608"/>
  <c r="M114" i="4608"/>
  <c r="M120" i="4608"/>
  <c r="M118" i="4608"/>
  <c r="M132" i="4608"/>
  <c r="M116" i="4608"/>
  <c r="M142" i="4608"/>
  <c r="M126" i="4608"/>
  <c r="F126" i="4608"/>
  <c r="M130" i="4608" l="1"/>
  <c r="M136" i="4608"/>
  <c r="M127" i="4608"/>
  <c r="M129" i="4608"/>
  <c r="M134" i="4608"/>
  <c r="M124" i="4608"/>
  <c r="M140" i="4608"/>
  <c r="M131" i="4608"/>
  <c r="M133" i="4608"/>
  <c r="K45" i="4608"/>
  <c r="K14" i="3079"/>
  <c r="J11" i="4608"/>
  <c r="M122" i="4608"/>
  <c r="M138" i="4608"/>
  <c r="M128" i="4608"/>
  <c r="M135" i="4608"/>
  <c r="M137" i="4608"/>
  <c r="J82" i="4608"/>
  <c r="J118" i="4608"/>
  <c r="J46" i="4608"/>
  <c r="K10" i="4608"/>
  <c r="W1030" i="3315"/>
  <c r="W1031" i="3315"/>
  <c r="D91" i="4608"/>
  <c r="F90" i="4608"/>
  <c r="E90" i="4608"/>
  <c r="D128" i="4608"/>
  <c r="E128" i="4608" s="1"/>
  <c r="D55" i="4608"/>
  <c r="E54" i="4608"/>
  <c r="F54" i="4608"/>
  <c r="D19" i="4608"/>
  <c r="E18" i="4608"/>
  <c r="F127" i="4608"/>
  <c r="K82" i="4608" l="1"/>
  <c r="J47" i="4608"/>
  <c r="J119" i="4608"/>
  <c r="J83" i="4608"/>
  <c r="K11" i="4608"/>
  <c r="K118" i="4608"/>
  <c r="K119" i="4608"/>
  <c r="K46" i="4608"/>
  <c r="K15" i="3079"/>
  <c r="J12" i="4608"/>
  <c r="D20" i="4608"/>
  <c r="E19" i="4608"/>
  <c r="D56" i="4608"/>
  <c r="E56" i="4608" s="1"/>
  <c r="F55" i="4608"/>
  <c r="E55" i="4608"/>
  <c r="D129" i="4608"/>
  <c r="D92" i="4608"/>
  <c r="F91" i="4608"/>
  <c r="E91" i="4608"/>
  <c r="E92" i="4608"/>
  <c r="F128" i="4608"/>
  <c r="E129" i="4608"/>
  <c r="K83" i="4608" l="1"/>
  <c r="K84" i="4608"/>
  <c r="K16" i="3079"/>
  <c r="J13" i="4608"/>
  <c r="K47" i="4608"/>
  <c r="J48" i="4608"/>
  <c r="J84" i="4608"/>
  <c r="J120" i="4608"/>
  <c r="K12" i="4608"/>
  <c r="K48" i="4608"/>
  <c r="D93" i="4608"/>
  <c r="F92" i="4608"/>
  <c r="D130" i="4608"/>
  <c r="U1046" i="3315"/>
  <c r="U236" i="3315"/>
  <c r="U237" i="3315" s="1"/>
  <c r="D57" i="4608"/>
  <c r="F56" i="4608"/>
  <c r="D21" i="4608"/>
  <c r="E20" i="4608"/>
  <c r="F129" i="4608"/>
  <c r="J85" i="4608" l="1"/>
  <c r="J49" i="4608"/>
  <c r="J121" i="4608"/>
  <c r="K121" i="4608"/>
  <c r="K120" i="4608"/>
  <c r="K17" i="3079"/>
  <c r="J14" i="4608"/>
  <c r="K13" i="4608"/>
  <c r="K49" i="4608"/>
  <c r="D22" i="4608"/>
  <c r="E22" i="4608" s="1"/>
  <c r="D131" i="4608"/>
  <c r="D58" i="4608"/>
  <c r="F57" i="4608"/>
  <c r="E57" i="4608"/>
  <c r="D94" i="4608"/>
  <c r="F93" i="4608"/>
  <c r="E93" i="4608"/>
  <c r="E21" i="4608"/>
  <c r="F130" i="4608"/>
  <c r="E130" i="4608"/>
  <c r="K86" i="4608" l="1"/>
  <c r="K85" i="4608"/>
  <c r="J86" i="4608"/>
  <c r="J50" i="4608"/>
  <c r="J122" i="4608"/>
  <c r="K14" i="4608"/>
  <c r="K18" i="3079"/>
  <c r="J15" i="4608"/>
  <c r="D132" i="4608"/>
  <c r="D95" i="4608"/>
  <c r="E95" i="4608" s="1"/>
  <c r="F94" i="4608"/>
  <c r="E94" i="4608"/>
  <c r="D59" i="4608"/>
  <c r="E58" i="4608"/>
  <c r="F58" i="4608"/>
  <c r="D23" i="4608"/>
  <c r="F131" i="4608"/>
  <c r="E131" i="4608"/>
  <c r="K122" i="4608" l="1"/>
  <c r="K123" i="4608"/>
  <c r="J87" i="4608"/>
  <c r="J123" i="4608"/>
  <c r="J51" i="4608"/>
  <c r="K15" i="4608"/>
  <c r="K50" i="4608"/>
  <c r="K19" i="3079"/>
  <c r="J16" i="4608"/>
  <c r="V1045" i="3315"/>
  <c r="X1045" i="3315" s="1"/>
  <c r="V1044" i="3315"/>
  <c r="X1044" i="3315" s="1"/>
  <c r="AE1044" i="3315" s="1"/>
  <c r="D60" i="4608"/>
  <c r="E59" i="4608"/>
  <c r="F59" i="4608"/>
  <c r="D96" i="4608"/>
  <c r="F95" i="4608"/>
  <c r="D24" i="4608"/>
  <c r="E23" i="4608"/>
  <c r="D133" i="4608"/>
  <c r="E96" i="4608"/>
  <c r="F132" i="4608"/>
  <c r="E132" i="4608"/>
  <c r="K51" i="4608" l="1"/>
  <c r="J88" i="4608"/>
  <c r="J124" i="4608"/>
  <c r="J52" i="4608"/>
  <c r="K16" i="4608"/>
  <c r="K124" i="4608"/>
  <c r="K20" i="3079"/>
  <c r="J17" i="4608"/>
  <c r="K87" i="4608"/>
  <c r="U1030" i="3315"/>
  <c r="U1031" i="3315"/>
  <c r="D25" i="4608"/>
  <c r="D134" i="4608"/>
  <c r="D97" i="4608"/>
  <c r="F96" i="4608"/>
  <c r="D61" i="4608"/>
  <c r="F60" i="4608"/>
  <c r="E60" i="4608"/>
  <c r="E24" i="4608"/>
  <c r="F133" i="4608"/>
  <c r="E133" i="4608"/>
  <c r="J89" i="4608" l="1"/>
  <c r="J125" i="4608"/>
  <c r="J53" i="4608"/>
  <c r="K17" i="4608"/>
  <c r="K21" i="3079"/>
  <c r="J18" i="4608"/>
  <c r="K88" i="4608"/>
  <c r="K52" i="4608"/>
  <c r="U7" i="3315"/>
  <c r="D62" i="4608"/>
  <c r="E62" i="4608" s="1"/>
  <c r="F61" i="4608"/>
  <c r="E61" i="4608"/>
  <c r="D98" i="4608"/>
  <c r="F97" i="4608"/>
  <c r="E97" i="4608"/>
  <c r="D135" i="4608"/>
  <c r="D26" i="4608"/>
  <c r="E25" i="4608"/>
  <c r="F134" i="4608"/>
  <c r="E134" i="4608"/>
  <c r="K125" i="4608" l="1"/>
  <c r="J54" i="4608"/>
  <c r="J126" i="4608"/>
  <c r="J90" i="4608"/>
  <c r="K18" i="4608"/>
  <c r="V19" i="3315"/>
  <c r="V17" i="3315"/>
  <c r="V18" i="3315"/>
  <c r="K89" i="4608"/>
  <c r="K22" i="3079"/>
  <c r="J19" i="4608"/>
  <c r="K53" i="4608"/>
  <c r="U8" i="3315"/>
  <c r="D27" i="4608"/>
  <c r="E26" i="4608"/>
  <c r="D136" i="4608"/>
  <c r="D99" i="4608"/>
  <c r="F98" i="4608"/>
  <c r="E98" i="4608"/>
  <c r="D63" i="4608"/>
  <c r="F62" i="4608"/>
  <c r="F135" i="4608"/>
  <c r="E135" i="4608"/>
  <c r="K23" i="3079" l="1"/>
  <c r="J20" i="4608"/>
  <c r="K90" i="4608"/>
  <c r="K126" i="4608"/>
  <c r="K54" i="4608"/>
  <c r="J91" i="4608"/>
  <c r="J127" i="4608"/>
  <c r="J55" i="4608"/>
  <c r="K19" i="4608"/>
  <c r="D137" i="4608"/>
  <c r="D100" i="4608"/>
  <c r="F99" i="4608"/>
  <c r="E99" i="4608"/>
  <c r="D64" i="4608"/>
  <c r="F63" i="4608"/>
  <c r="E63" i="4608"/>
  <c r="D28" i="4608"/>
  <c r="E27" i="4608"/>
  <c r="F136" i="4608"/>
  <c r="E136" i="4608"/>
  <c r="K91" i="4608" l="1"/>
  <c r="J56" i="4608"/>
  <c r="J92" i="4608"/>
  <c r="J128" i="4608"/>
  <c r="K20" i="4608"/>
  <c r="K24" i="3079"/>
  <c r="J21" i="4608"/>
  <c r="K55" i="4608"/>
  <c r="K127" i="4608"/>
  <c r="D29" i="4608"/>
  <c r="E28" i="4608"/>
  <c r="D65" i="4608"/>
  <c r="F64" i="4608"/>
  <c r="E64" i="4608"/>
  <c r="D101" i="4608"/>
  <c r="F100" i="4608"/>
  <c r="E100" i="4608"/>
  <c r="D138" i="4608"/>
  <c r="F137" i="4608"/>
  <c r="E137" i="4608"/>
  <c r="K128" i="4608" l="1"/>
  <c r="J129" i="4608"/>
  <c r="J93" i="4608"/>
  <c r="J57" i="4608"/>
  <c r="K21" i="4608"/>
  <c r="K92" i="4608"/>
  <c r="K25" i="3079"/>
  <c r="J22" i="4608"/>
  <c r="K56" i="4608"/>
  <c r="V1046" i="3315"/>
  <c r="X1046" i="3315" s="1"/>
  <c r="AE1046" i="3315" s="1"/>
  <c r="D139" i="4608"/>
  <c r="D30" i="4608"/>
  <c r="E29" i="4608"/>
  <c r="D102" i="4608"/>
  <c r="F101" i="4608"/>
  <c r="E101" i="4608"/>
  <c r="D66" i="4608"/>
  <c r="F65" i="4608"/>
  <c r="E65" i="4608"/>
  <c r="F138" i="4608"/>
  <c r="E138" i="4608"/>
  <c r="K26" i="3079" l="1"/>
  <c r="J23" i="4608"/>
  <c r="K57" i="4608"/>
  <c r="K93" i="4608"/>
  <c r="J58" i="4608"/>
  <c r="J130" i="4608"/>
  <c r="J94" i="4608"/>
  <c r="K22" i="4608"/>
  <c r="K129" i="4608"/>
  <c r="D31" i="4608"/>
  <c r="E30" i="4608"/>
  <c r="D67" i="4608"/>
  <c r="F66" i="4608"/>
  <c r="E66" i="4608"/>
  <c r="D103" i="4608"/>
  <c r="F102" i="4608"/>
  <c r="E102" i="4608"/>
  <c r="D140" i="4608"/>
  <c r="F139" i="4608"/>
  <c r="E139" i="4608"/>
  <c r="K94" i="4608" l="1"/>
  <c r="J59" i="4608"/>
  <c r="J95" i="4608"/>
  <c r="J131" i="4608"/>
  <c r="K23" i="4608"/>
  <c r="K130" i="4608"/>
  <c r="K27" i="3079"/>
  <c r="J24" i="4608"/>
  <c r="K58" i="4608"/>
  <c r="D104" i="4608"/>
  <c r="F103" i="4608"/>
  <c r="E103" i="4608"/>
  <c r="D68" i="4608"/>
  <c r="E67" i="4608"/>
  <c r="F67" i="4608"/>
  <c r="D141" i="4608"/>
  <c r="D32" i="4608"/>
  <c r="E31" i="4608"/>
  <c r="F140" i="4608"/>
  <c r="E140" i="4608"/>
  <c r="K28" i="3079" l="1"/>
  <c r="J25" i="4608"/>
  <c r="K131" i="4608"/>
  <c r="K95" i="4608"/>
  <c r="K59" i="4608"/>
  <c r="J132" i="4608"/>
  <c r="J60" i="4608"/>
  <c r="J96" i="4608"/>
  <c r="K24" i="4608"/>
  <c r="D33" i="4608"/>
  <c r="E32" i="4608"/>
  <c r="D142" i="4608"/>
  <c r="D69" i="4608"/>
  <c r="F68" i="4608"/>
  <c r="E68" i="4608"/>
  <c r="D105" i="4608"/>
  <c r="F104" i="4608"/>
  <c r="E104" i="4608"/>
  <c r="F141" i="4608"/>
  <c r="E141" i="4608"/>
  <c r="K132" i="4608" l="1"/>
  <c r="J61" i="4608"/>
  <c r="J133" i="4608"/>
  <c r="J97" i="4608"/>
  <c r="K25" i="4608"/>
  <c r="K29" i="3079"/>
  <c r="J26" i="4608"/>
  <c r="K96" i="4608"/>
  <c r="K60" i="4608"/>
  <c r="D106" i="4608"/>
  <c r="F105" i="4608"/>
  <c r="E105" i="4608"/>
  <c r="D70" i="4608"/>
  <c r="F69" i="4608"/>
  <c r="E69" i="4608"/>
  <c r="D34" i="4608"/>
  <c r="E33" i="4608"/>
  <c r="F142" i="4608"/>
  <c r="E142" i="4608"/>
  <c r="K97" i="4608" l="1"/>
  <c r="V1030" i="3315"/>
  <c r="X1030" i="3315" s="1"/>
  <c r="AE1030" i="3315" s="1"/>
  <c r="V1031" i="3315"/>
  <c r="X1031" i="3315" s="1"/>
  <c r="AE1031" i="3315" s="1"/>
  <c r="V7" i="3315"/>
  <c r="J62" i="4608"/>
  <c r="J134" i="4608"/>
  <c r="J98" i="4608"/>
  <c r="K26" i="4608"/>
  <c r="K30" i="3079"/>
  <c r="J27" i="4608"/>
  <c r="K133" i="4608"/>
  <c r="K61" i="4608"/>
  <c r="E34" i="4608"/>
  <c r="E70" i="4608"/>
  <c r="F70" i="4608"/>
  <c r="F106" i="4608"/>
  <c r="E106" i="4608"/>
  <c r="J1094" i="3315"/>
  <c r="P1094" i="3315"/>
  <c r="J99" i="4608" l="1"/>
  <c r="J135" i="4608"/>
  <c r="J63" i="4608"/>
  <c r="K27" i="4608"/>
  <c r="K134" i="4608"/>
  <c r="K31" i="3079"/>
  <c r="J28" i="4608"/>
  <c r="K62" i="4608"/>
  <c r="K98" i="4608"/>
  <c r="V8" i="3315"/>
  <c r="X7" i="3315"/>
  <c r="P1096" i="3315"/>
  <c r="O1096" i="3315"/>
  <c r="K99" i="4608" l="1"/>
  <c r="J64" i="4608"/>
  <c r="J100" i="4608"/>
  <c r="J136" i="4608"/>
  <c r="K28" i="4608"/>
  <c r="K32" i="3079"/>
  <c r="J29" i="4608"/>
  <c r="K63" i="4608"/>
  <c r="AE7" i="3315"/>
  <c r="AE8" i="3315" s="1"/>
  <c r="X8" i="3315"/>
  <c r="K135" i="4608"/>
  <c r="Q488" i="3315"/>
  <c r="K136" i="4608" l="1"/>
  <c r="J137" i="4608"/>
  <c r="J101" i="4608"/>
  <c r="J65" i="4608"/>
  <c r="K29" i="4608"/>
  <c r="K100" i="4608"/>
  <c r="K33" i="3079"/>
  <c r="J30" i="4608"/>
  <c r="K64" i="4608"/>
  <c r="R488" i="3315"/>
  <c r="Q490" i="3315"/>
  <c r="Y488" i="3315"/>
  <c r="Z488" i="3315" s="1"/>
  <c r="Z490" i="3315" s="1"/>
  <c r="D488" i="3315"/>
  <c r="D490" i="3315" s="1"/>
  <c r="K34" i="3079" l="1"/>
  <c r="J31" i="4608"/>
  <c r="K65" i="4608"/>
  <c r="K101" i="4608"/>
  <c r="J138" i="4608"/>
  <c r="J66" i="4608"/>
  <c r="J102" i="4608"/>
  <c r="K30" i="4608"/>
  <c r="K137" i="4608"/>
  <c r="W488" i="3315"/>
  <c r="W490" i="3315" s="1"/>
  <c r="R490" i="3315"/>
  <c r="K102" i="4608" l="1"/>
  <c r="J67" i="4608"/>
  <c r="J103" i="4608"/>
  <c r="J139" i="4608"/>
  <c r="K31" i="4608"/>
  <c r="K66" i="4608"/>
  <c r="K35" i="3079"/>
  <c r="J32" i="4608"/>
  <c r="K138" i="4608"/>
  <c r="V1043" i="3315"/>
  <c r="V1047" i="3315" s="1"/>
  <c r="H135" i="3315"/>
  <c r="H484" i="3315" s="1"/>
  <c r="K36" i="3079" l="1"/>
  <c r="J34" i="4608" s="1"/>
  <c r="J33" i="4608"/>
  <c r="K139" i="4608"/>
  <c r="K103" i="4608"/>
  <c r="K67" i="4608"/>
  <c r="J140" i="4608"/>
  <c r="J68" i="4608"/>
  <c r="J104" i="4608"/>
  <c r="K32" i="4608"/>
  <c r="AA484" i="3315"/>
  <c r="AC135" i="3315"/>
  <c r="K140" i="4608" l="1"/>
  <c r="J69" i="4608"/>
  <c r="J141" i="4608"/>
  <c r="J105" i="4608"/>
  <c r="K33" i="4608"/>
  <c r="J70" i="4608"/>
  <c r="J142" i="4608"/>
  <c r="J106" i="4608"/>
  <c r="K34" i="4608"/>
  <c r="K104" i="4608"/>
  <c r="K68" i="4608"/>
  <c r="AC484" i="3315"/>
  <c r="K142" i="4608" l="1"/>
  <c r="K70" i="4608"/>
  <c r="K105" i="4608"/>
  <c r="K141" i="4608"/>
  <c r="K106" i="4608"/>
  <c r="K69" i="4608"/>
  <c r="I901" i="3315"/>
  <c r="I894" i="3315"/>
  <c r="AG894" i="3315" s="1"/>
  <c r="Z894" i="3315"/>
  <c r="AD894" i="3315" s="1"/>
  <c r="I895" i="3315"/>
  <c r="AG895" i="3315" s="1"/>
  <c r="Z895" i="3315"/>
  <c r="AD895" i="3315" s="1"/>
  <c r="I896" i="3315"/>
  <c r="AG896" i="3315" s="1"/>
  <c r="Z896" i="3315"/>
  <c r="AD896" i="3315" s="1"/>
  <c r="I897" i="3315"/>
  <c r="AG897" i="3315" s="1"/>
  <c r="Z897" i="3315"/>
  <c r="AD897" i="3315" s="1"/>
  <c r="J902" i="3315"/>
  <c r="Z902" i="3315"/>
  <c r="AD902" i="3315" s="1"/>
  <c r="I903" i="3315"/>
  <c r="J903" i="3315" s="1"/>
  <c r="Z903" i="3315"/>
  <c r="AD903" i="3315" s="1"/>
  <c r="I962" i="3315"/>
  <c r="J962" i="3315" s="1"/>
  <c r="Z962" i="3315"/>
  <c r="AD962" i="3315" s="1"/>
  <c r="I963" i="3315"/>
  <c r="J963" i="3315" s="1"/>
  <c r="Z963" i="3315"/>
  <c r="AD963" i="3315" s="1"/>
  <c r="I964" i="3315"/>
  <c r="AG964" i="3315" s="1"/>
  <c r="Z964" i="3315"/>
  <c r="AD964" i="3315" s="1"/>
  <c r="I965" i="3315"/>
  <c r="J965" i="3315" s="1"/>
  <c r="Z965" i="3315"/>
  <c r="AD965" i="3315" s="1"/>
  <c r="I966" i="3315"/>
  <c r="J966" i="3315" s="1"/>
  <c r="Z966" i="3315"/>
  <c r="AD966" i="3315" s="1"/>
  <c r="I967" i="3315"/>
  <c r="J967" i="3315" s="1"/>
  <c r="Z967" i="3315"/>
  <c r="AD967" i="3315" s="1"/>
  <c r="I968" i="3315"/>
  <c r="AG968" i="3315" s="1"/>
  <c r="Z968" i="3315"/>
  <c r="AD968" i="3315" s="1"/>
  <c r="I969" i="3315"/>
  <c r="J969" i="3315" s="1"/>
  <c r="Z969" i="3315"/>
  <c r="AD969" i="3315" s="1"/>
  <c r="I970" i="3315"/>
  <c r="J970" i="3315" s="1"/>
  <c r="Z970" i="3315"/>
  <c r="AD970" i="3315" s="1"/>
  <c r="I971" i="3315"/>
  <c r="J971" i="3315" s="1"/>
  <c r="Z971" i="3315"/>
  <c r="AD971" i="3315" s="1"/>
  <c r="I972" i="3315"/>
  <c r="AG972" i="3315" s="1"/>
  <c r="Z972" i="3315"/>
  <c r="AD972" i="3315" s="1"/>
  <c r="I973" i="3315"/>
  <c r="J973" i="3315" s="1"/>
  <c r="Z973" i="3315"/>
  <c r="AD973" i="3315" s="1"/>
  <c r="I974" i="3315"/>
  <c r="J974" i="3315" s="1"/>
  <c r="Z974" i="3315"/>
  <c r="AD974" i="3315" s="1"/>
  <c r="I975" i="3315"/>
  <c r="AG975" i="3315" s="1"/>
  <c r="Z975" i="3315"/>
  <c r="AD975" i="3315" s="1"/>
  <c r="I914" i="3315"/>
  <c r="AG914" i="3315" s="1"/>
  <c r="Z914" i="3315"/>
  <c r="AD914" i="3315" s="1"/>
  <c r="I915" i="3315"/>
  <c r="J915" i="3315" s="1"/>
  <c r="Z915" i="3315"/>
  <c r="AD915" i="3315" s="1"/>
  <c r="I916" i="3315"/>
  <c r="J916" i="3315" s="1"/>
  <c r="Z916" i="3315"/>
  <c r="AD916" i="3315" s="1"/>
  <c r="I917" i="3315"/>
  <c r="J917" i="3315" s="1"/>
  <c r="Z917" i="3315"/>
  <c r="AD917" i="3315" s="1"/>
  <c r="I918" i="3315"/>
  <c r="J918" i="3315" s="1"/>
  <c r="Z918" i="3315"/>
  <c r="AD918" i="3315" s="1"/>
  <c r="I919" i="3315"/>
  <c r="J919" i="3315" s="1"/>
  <c r="Z919" i="3315"/>
  <c r="AD919" i="3315" s="1"/>
  <c r="I920" i="3315"/>
  <c r="J920" i="3315" s="1"/>
  <c r="Z920" i="3315"/>
  <c r="AD920" i="3315" s="1"/>
  <c r="I921" i="3315"/>
  <c r="J921" i="3315" s="1"/>
  <c r="Z921" i="3315"/>
  <c r="AD921" i="3315" s="1"/>
  <c r="I922" i="3315"/>
  <c r="J922" i="3315" s="1"/>
  <c r="Z922" i="3315"/>
  <c r="AD922" i="3315" s="1"/>
  <c r="I923" i="3315"/>
  <c r="J923" i="3315" s="1"/>
  <c r="Z923" i="3315"/>
  <c r="AD923" i="3315" s="1"/>
  <c r="I924" i="3315"/>
  <c r="Z924" i="3315"/>
  <c r="AD924" i="3315" s="1"/>
  <c r="I925" i="3315"/>
  <c r="AG925" i="3315" s="1"/>
  <c r="Z925" i="3315"/>
  <c r="AD925" i="3315" s="1"/>
  <c r="I926" i="3315"/>
  <c r="AG926" i="3315" s="1"/>
  <c r="Z926" i="3315"/>
  <c r="AD926" i="3315" s="1"/>
  <c r="I927" i="3315"/>
  <c r="AG927" i="3315" s="1"/>
  <c r="Z927" i="3315"/>
  <c r="AD927" i="3315" s="1"/>
  <c r="I928" i="3315"/>
  <c r="J928" i="3315" s="1"/>
  <c r="Z928" i="3315"/>
  <c r="AD928" i="3315" s="1"/>
  <c r="I929" i="3315"/>
  <c r="J929" i="3315" s="1"/>
  <c r="Z929" i="3315"/>
  <c r="AD929" i="3315" s="1"/>
  <c r="I930" i="3315"/>
  <c r="J930" i="3315" s="1"/>
  <c r="Z930" i="3315"/>
  <c r="AD930" i="3315" s="1"/>
  <c r="I931" i="3315"/>
  <c r="J931" i="3315" s="1"/>
  <c r="Z931" i="3315"/>
  <c r="AD931" i="3315" s="1"/>
  <c r="I932" i="3315"/>
  <c r="J932" i="3315" s="1"/>
  <c r="Z932" i="3315"/>
  <c r="AD932" i="3315" s="1"/>
  <c r="I933" i="3315"/>
  <c r="J933" i="3315" s="1"/>
  <c r="Z933" i="3315"/>
  <c r="AD933" i="3315" s="1"/>
  <c r="I934" i="3315"/>
  <c r="J934" i="3315" s="1"/>
  <c r="Z934" i="3315"/>
  <c r="AD934" i="3315" s="1"/>
  <c r="I935" i="3315"/>
  <c r="J935" i="3315" s="1"/>
  <c r="Z935" i="3315"/>
  <c r="AD935" i="3315" s="1"/>
  <c r="I936" i="3315"/>
  <c r="J936" i="3315" s="1"/>
  <c r="Z936" i="3315"/>
  <c r="AD936" i="3315" s="1"/>
  <c r="I937" i="3315"/>
  <c r="J937" i="3315" s="1"/>
  <c r="Z937" i="3315"/>
  <c r="AD937" i="3315" s="1"/>
  <c r="I938" i="3315"/>
  <c r="J938" i="3315" s="1"/>
  <c r="Z938" i="3315"/>
  <c r="AD938" i="3315" s="1"/>
  <c r="I939" i="3315"/>
  <c r="J939" i="3315" s="1"/>
  <c r="Z939" i="3315"/>
  <c r="AD939" i="3315" s="1"/>
  <c r="I940" i="3315"/>
  <c r="J940" i="3315" s="1"/>
  <c r="Z940" i="3315"/>
  <c r="AD940" i="3315" s="1"/>
  <c r="I941" i="3315"/>
  <c r="Z941" i="3315"/>
  <c r="AD941" i="3315" s="1"/>
  <c r="I942" i="3315"/>
  <c r="J942" i="3315" s="1"/>
  <c r="Z942" i="3315"/>
  <c r="AD942" i="3315" s="1"/>
  <c r="I943" i="3315"/>
  <c r="J943" i="3315" s="1"/>
  <c r="Z943" i="3315"/>
  <c r="AD943" i="3315" s="1"/>
  <c r="I944" i="3315"/>
  <c r="J944" i="3315" s="1"/>
  <c r="Z944" i="3315"/>
  <c r="AD944" i="3315" s="1"/>
  <c r="I945" i="3315"/>
  <c r="J945" i="3315" s="1"/>
  <c r="Z945" i="3315"/>
  <c r="AD945" i="3315" s="1"/>
  <c r="I946" i="3315"/>
  <c r="J946" i="3315" s="1"/>
  <c r="Z946" i="3315"/>
  <c r="AD946" i="3315" s="1"/>
  <c r="I947" i="3315"/>
  <c r="AG947" i="3315" s="1"/>
  <c r="Z947" i="3315"/>
  <c r="AD947" i="3315" s="1"/>
  <c r="I948" i="3315"/>
  <c r="J948" i="3315" s="1"/>
  <c r="Z948" i="3315"/>
  <c r="AD948" i="3315" s="1"/>
  <c r="I949" i="3315"/>
  <c r="J949" i="3315" s="1"/>
  <c r="Z949" i="3315"/>
  <c r="AD949" i="3315" s="1"/>
  <c r="I950" i="3315"/>
  <c r="J950" i="3315" s="1"/>
  <c r="Z950" i="3315"/>
  <c r="AD950" i="3315" s="1"/>
  <c r="I951" i="3315"/>
  <c r="J951" i="3315" s="1"/>
  <c r="Z951" i="3315"/>
  <c r="AD951" i="3315" s="1"/>
  <c r="I952" i="3315"/>
  <c r="J952" i="3315" s="1"/>
  <c r="Z952" i="3315"/>
  <c r="AD952" i="3315" s="1"/>
  <c r="I953" i="3315"/>
  <c r="J953" i="3315" s="1"/>
  <c r="Z953" i="3315"/>
  <c r="AD953" i="3315" s="1"/>
  <c r="I954" i="3315"/>
  <c r="Z954" i="3315"/>
  <c r="AD954" i="3315" s="1"/>
  <c r="I955" i="3315"/>
  <c r="J955" i="3315" s="1"/>
  <c r="Z955" i="3315"/>
  <c r="AD955" i="3315" s="1"/>
  <c r="I956" i="3315"/>
  <c r="J956" i="3315" s="1"/>
  <c r="Z956" i="3315"/>
  <c r="AD956" i="3315" s="1"/>
  <c r="I957" i="3315"/>
  <c r="J957" i="3315" s="1"/>
  <c r="Z957" i="3315"/>
  <c r="AD957" i="3315" s="1"/>
  <c r="I958" i="3315"/>
  <c r="J958" i="3315" s="1"/>
  <c r="Z958" i="3315"/>
  <c r="AD958" i="3315" s="1"/>
  <c r="I959" i="3315"/>
  <c r="J959" i="3315" s="1"/>
  <c r="Z959" i="3315"/>
  <c r="AD959" i="3315" s="1"/>
  <c r="I960" i="3315"/>
  <c r="J960" i="3315" s="1"/>
  <c r="Z960" i="3315"/>
  <c r="AD960" i="3315" s="1"/>
  <c r="I961" i="3315"/>
  <c r="J961" i="3315" s="1"/>
  <c r="Z961" i="3315"/>
  <c r="AD961" i="3315" s="1"/>
  <c r="I908" i="3315"/>
  <c r="J908" i="3315" s="1"/>
  <c r="Z908" i="3315"/>
  <c r="AD908" i="3315" s="1"/>
  <c r="I909" i="3315"/>
  <c r="AG909" i="3315" s="1"/>
  <c r="Z909" i="3315"/>
  <c r="AD909" i="3315" s="1"/>
  <c r="I910" i="3315"/>
  <c r="J910" i="3315" s="1"/>
  <c r="Z910" i="3315"/>
  <c r="AD910" i="3315" s="1"/>
  <c r="I911" i="3315"/>
  <c r="J911" i="3315" s="1"/>
  <c r="Z911" i="3315"/>
  <c r="AD911" i="3315" s="1"/>
  <c r="I912" i="3315"/>
  <c r="J912" i="3315" s="1"/>
  <c r="Z912" i="3315"/>
  <c r="AD912" i="3315" s="1"/>
  <c r="I913" i="3315"/>
  <c r="AG913" i="3315" s="1"/>
  <c r="Z913" i="3315"/>
  <c r="AD913" i="3315" s="1"/>
  <c r="I980" i="3315"/>
  <c r="J980" i="3315" s="1"/>
  <c r="Z980" i="3315"/>
  <c r="AD980" i="3315" s="1"/>
  <c r="I981" i="3315"/>
  <c r="J981" i="3315" s="1"/>
  <c r="Z981" i="3315"/>
  <c r="AD981" i="3315" s="1"/>
  <c r="I982" i="3315"/>
  <c r="Z982" i="3315"/>
  <c r="AD982" i="3315" s="1"/>
  <c r="I983" i="3315"/>
  <c r="J983" i="3315" s="1"/>
  <c r="Z983" i="3315"/>
  <c r="AD983" i="3315" s="1"/>
  <c r="I984" i="3315"/>
  <c r="J984" i="3315" s="1"/>
  <c r="Z984" i="3315"/>
  <c r="AD984" i="3315" s="1"/>
  <c r="I985" i="3315"/>
  <c r="J985" i="3315" s="1"/>
  <c r="Z985" i="3315"/>
  <c r="AD985" i="3315" s="1"/>
  <c r="I986" i="3315"/>
  <c r="J986" i="3315" s="1"/>
  <c r="Z986" i="3315"/>
  <c r="AD986" i="3315" s="1"/>
  <c r="I987" i="3315"/>
  <c r="J987" i="3315" s="1"/>
  <c r="Z987" i="3315"/>
  <c r="AD987" i="3315" s="1"/>
  <c r="I988" i="3315"/>
  <c r="J988" i="3315" s="1"/>
  <c r="Z988" i="3315"/>
  <c r="AD988" i="3315" s="1"/>
  <c r="I989" i="3315"/>
  <c r="J989" i="3315" s="1"/>
  <c r="Z989" i="3315"/>
  <c r="AD989" i="3315" s="1"/>
  <c r="I990" i="3315"/>
  <c r="Z990" i="3315"/>
  <c r="AD990" i="3315" s="1"/>
  <c r="I991" i="3315"/>
  <c r="J991" i="3315" s="1"/>
  <c r="Z991" i="3315"/>
  <c r="AD991" i="3315" s="1"/>
  <c r="I992" i="3315"/>
  <c r="J992" i="3315" s="1"/>
  <c r="Z992" i="3315"/>
  <c r="AD992" i="3315" s="1"/>
  <c r="I993" i="3315"/>
  <c r="AG993" i="3315" s="1"/>
  <c r="Z993" i="3315"/>
  <c r="AD993" i="3315" s="1"/>
  <c r="I994" i="3315"/>
  <c r="J994" i="3315" s="1"/>
  <c r="Z994" i="3315"/>
  <c r="AD994" i="3315" s="1"/>
  <c r="I995" i="3315"/>
  <c r="J995" i="3315" s="1"/>
  <c r="Z995" i="3315"/>
  <c r="AD995" i="3315" s="1"/>
  <c r="I996" i="3315"/>
  <c r="J996" i="3315" s="1"/>
  <c r="Z996" i="3315"/>
  <c r="AD996" i="3315" s="1"/>
  <c r="I997" i="3315"/>
  <c r="J997" i="3315" s="1"/>
  <c r="Z997" i="3315"/>
  <c r="AD997" i="3315" s="1"/>
  <c r="I998" i="3315"/>
  <c r="J998" i="3315" s="1"/>
  <c r="Z998" i="3315"/>
  <c r="AD998" i="3315" s="1"/>
  <c r="I999" i="3315"/>
  <c r="J999" i="3315" s="1"/>
  <c r="Z999" i="3315"/>
  <c r="AD999" i="3315" s="1"/>
  <c r="I1000" i="3315"/>
  <c r="J1000" i="3315" s="1"/>
  <c r="Z1000" i="3315"/>
  <c r="AD1000" i="3315" s="1"/>
  <c r="I1001" i="3315"/>
  <c r="J1001" i="3315" s="1"/>
  <c r="Z1001" i="3315"/>
  <c r="AD1001" i="3315" s="1"/>
  <c r="I1002" i="3315"/>
  <c r="J1002" i="3315" s="1"/>
  <c r="Z1002" i="3315"/>
  <c r="AD1002" i="3315" s="1"/>
  <c r="I1003" i="3315"/>
  <c r="J1003" i="3315" s="1"/>
  <c r="Z1003" i="3315"/>
  <c r="AD1003" i="3315" s="1"/>
  <c r="I1004" i="3315"/>
  <c r="J1004" i="3315" s="1"/>
  <c r="Z1004" i="3315"/>
  <c r="AD1004" i="3315" s="1"/>
  <c r="I1005" i="3315"/>
  <c r="J1005" i="3315" s="1"/>
  <c r="Z1005" i="3315"/>
  <c r="AD1005" i="3315" s="1"/>
  <c r="I1006" i="3315"/>
  <c r="J1006" i="3315" s="1"/>
  <c r="Z1006" i="3315"/>
  <c r="AD1006" i="3315" s="1"/>
  <c r="I1007" i="3315"/>
  <c r="J1007" i="3315" s="1"/>
  <c r="Z1007" i="3315"/>
  <c r="AD1007" i="3315" s="1"/>
  <c r="I1008" i="3315"/>
  <c r="J1008" i="3315" s="1"/>
  <c r="Z1008" i="3315"/>
  <c r="AD1008" i="3315" s="1"/>
  <c r="I1009" i="3315"/>
  <c r="AG1009" i="3315" s="1"/>
  <c r="Z1009" i="3315"/>
  <c r="AD1009" i="3315" s="1"/>
  <c r="I1010" i="3315"/>
  <c r="J1010" i="3315" s="1"/>
  <c r="Z1010" i="3315"/>
  <c r="AD1010" i="3315" s="1"/>
  <c r="I1011" i="3315"/>
  <c r="Z1011" i="3315"/>
  <c r="AD1011" i="3315" s="1"/>
  <c r="I1012" i="3315"/>
  <c r="AG1012" i="3315" s="1"/>
  <c r="Z1012" i="3315"/>
  <c r="AD1012" i="3315" s="1"/>
  <c r="I1013" i="3315"/>
  <c r="Z1013" i="3315"/>
  <c r="AD1013" i="3315" s="1"/>
  <c r="I1014" i="3315"/>
  <c r="J1014" i="3315" s="1"/>
  <c r="Z1014" i="3315"/>
  <c r="AD1014" i="3315" s="1"/>
  <c r="I1015" i="3315"/>
  <c r="Z1015" i="3315"/>
  <c r="AD1015" i="3315" s="1"/>
  <c r="I1016" i="3315"/>
  <c r="J1016" i="3315" s="1"/>
  <c r="Z1016" i="3315"/>
  <c r="AD1016" i="3315" s="1"/>
  <c r="I1017" i="3315"/>
  <c r="Z1017" i="3315"/>
  <c r="AD1017" i="3315" s="1"/>
  <c r="I1018" i="3315"/>
  <c r="Z1018" i="3315"/>
  <c r="AD1018" i="3315" s="1"/>
  <c r="I1019" i="3315"/>
  <c r="Z1019" i="3315"/>
  <c r="AD1019" i="3315" s="1"/>
  <c r="I1020" i="3315"/>
  <c r="J1020" i="3315" s="1"/>
  <c r="Z1020" i="3315"/>
  <c r="AD1020" i="3315" s="1"/>
  <c r="I1021" i="3315"/>
  <c r="Z1021" i="3315"/>
  <c r="AD1021" i="3315" s="1"/>
  <c r="I1022" i="3315"/>
  <c r="J1022" i="3315" s="1"/>
  <c r="Z1022" i="3315"/>
  <c r="AD1022" i="3315" s="1"/>
  <c r="I1023" i="3315"/>
  <c r="Z1023" i="3315"/>
  <c r="AD1023" i="3315" s="1"/>
  <c r="I1024" i="3315"/>
  <c r="J1024" i="3315" s="1"/>
  <c r="Z1024" i="3315"/>
  <c r="AD1024" i="3315" s="1"/>
  <c r="I1025" i="3315"/>
  <c r="J1025" i="3315" s="1"/>
  <c r="Z1025" i="3315"/>
  <c r="AD1025" i="3315" s="1"/>
  <c r="I1026" i="3315"/>
  <c r="Z1026" i="3315"/>
  <c r="AD1026" i="3315" s="1"/>
  <c r="J10" i="3315"/>
  <c r="J11" i="3315"/>
  <c r="J13" i="3315"/>
  <c r="J14" i="3315"/>
  <c r="J20" i="3315"/>
  <c r="J21" i="3315"/>
  <c r="J22" i="3315"/>
  <c r="J28" i="3315"/>
  <c r="J29" i="3315"/>
  <c r="J30" i="3315"/>
  <c r="J31" i="3315"/>
  <c r="J32" i="3315"/>
  <c r="J33" i="3315"/>
  <c r="J34" i="3315"/>
  <c r="J35" i="3315"/>
  <c r="AG935" i="3315" l="1"/>
  <c r="AG974" i="3315"/>
  <c r="AG969" i="3315"/>
  <c r="AG939" i="3315"/>
  <c r="AG937" i="3315"/>
  <c r="AG1020" i="3315"/>
  <c r="AG930" i="3315"/>
  <c r="AG992" i="3315"/>
  <c r="AG983" i="3315"/>
  <c r="AG932" i="3315"/>
  <c r="AG999" i="3315"/>
  <c r="AG998" i="3315"/>
  <c r="J909" i="3315"/>
  <c r="AG962" i="3315"/>
  <c r="AG1008" i="3315"/>
  <c r="AG1007" i="3315"/>
  <c r="J913" i="3315"/>
  <c r="AG910" i="3315"/>
  <c r="AG970" i="3315"/>
  <c r="J968" i="3315"/>
  <c r="AG965" i="3315"/>
  <c r="AG1025" i="3315"/>
  <c r="AG1014" i="3315"/>
  <c r="AG984" i="3315"/>
  <c r="AG942" i="3315"/>
  <c r="AG933" i="3315"/>
  <c r="AG966" i="3315"/>
  <c r="J964" i="3315"/>
  <c r="AG1016" i="3315"/>
  <c r="AG991" i="3315"/>
  <c r="AG951" i="3315"/>
  <c r="J927" i="3315"/>
  <c r="AG919" i="3315"/>
  <c r="AG918" i="3315"/>
  <c r="J975" i="3315"/>
  <c r="J972" i="3315"/>
  <c r="J1021" i="3315"/>
  <c r="AG1021" i="3315"/>
  <c r="J990" i="3315"/>
  <c r="AG990" i="3315"/>
  <c r="J1026" i="3315"/>
  <c r="AG1026" i="3315"/>
  <c r="AG1018" i="3315"/>
  <c r="J1018" i="3315"/>
  <c r="J1023" i="3315"/>
  <c r="AG1023" i="3315"/>
  <c r="AG941" i="3315"/>
  <c r="J941" i="3315"/>
  <c r="J924" i="3315"/>
  <c r="AG924" i="3315"/>
  <c r="AG1024" i="3315"/>
  <c r="AG1022" i="3315"/>
  <c r="J1012" i="3315"/>
  <c r="AG1006" i="3315"/>
  <c r="J954" i="3315"/>
  <c r="AG954" i="3315"/>
  <c r="AG949" i="3315"/>
  <c r="AG923" i="3315"/>
  <c r="AG921" i="3315"/>
  <c r="AG973" i="3315"/>
  <c r="AG997" i="3315"/>
  <c r="J982" i="3315"/>
  <c r="AG982" i="3315"/>
  <c r="AG911" i="3315"/>
  <c r="J947" i="3315"/>
  <c r="AG944" i="3315"/>
  <c r="J925" i="3315"/>
  <c r="AG917" i="3315"/>
  <c r="J914" i="3315"/>
  <c r="J896" i="3315"/>
  <c r="J895" i="3315"/>
  <c r="J897" i="3315"/>
  <c r="J894" i="3315"/>
  <c r="AG953" i="3315"/>
  <c r="AG945" i="3315"/>
  <c r="AG940" i="3315"/>
  <c r="AG938" i="3315"/>
  <c r="AG931" i="3315"/>
  <c r="J926" i="3315"/>
  <c r="AG971" i="3315"/>
  <c r="AG967" i="3315"/>
  <c r="AG963" i="3315"/>
  <c r="AG943" i="3315"/>
  <c r="AG936" i="3315"/>
  <c r="AG934" i="3315"/>
  <c r="AG916" i="3315"/>
  <c r="AG1000" i="3315"/>
  <c r="AG981" i="3315"/>
  <c r="AF1025" i="3315"/>
  <c r="AF1024" i="3315"/>
  <c r="AF1022" i="3315"/>
  <c r="AF1020" i="3315"/>
  <c r="J1009" i="3315"/>
  <c r="AG1001" i="3315"/>
  <c r="J993" i="3315"/>
  <c r="AG985" i="3315"/>
  <c r="AG1005" i="3315"/>
  <c r="AG989" i="3315"/>
  <c r="AG1010" i="3315"/>
  <c r="AG1003" i="3315"/>
  <c r="AG996" i="3315"/>
  <c r="AG994" i="3315"/>
  <c r="AG987" i="3315"/>
  <c r="AG980" i="3315"/>
  <c r="AG1004" i="3315"/>
  <c r="AG1002" i="3315"/>
  <c r="AG995" i="3315"/>
  <c r="AG988" i="3315"/>
  <c r="AG986" i="3315"/>
  <c r="AG908" i="3315"/>
  <c r="AG915" i="3315"/>
  <c r="AG912" i="3315"/>
  <c r="AG929" i="3315"/>
  <c r="AG928" i="3315"/>
  <c r="AG922" i="3315"/>
  <c r="AG920" i="3315"/>
  <c r="AG903" i="3315"/>
  <c r="AG902" i="3315"/>
  <c r="AF903" i="3315"/>
  <c r="AF902" i="3315"/>
  <c r="AF974" i="3315"/>
  <c r="AF973" i="3315"/>
  <c r="AF971" i="3315"/>
  <c r="AF970" i="3315"/>
  <c r="AF969" i="3315"/>
  <c r="AF967" i="3315"/>
  <c r="AF966" i="3315"/>
  <c r="AF965" i="3315"/>
  <c r="AF963" i="3315"/>
  <c r="AF962" i="3315"/>
  <c r="AF960" i="3315"/>
  <c r="AF956" i="3315"/>
  <c r="AF953" i="3315"/>
  <c r="AF949" i="3315"/>
  <c r="AF946" i="3315"/>
  <c r="AF961" i="3315"/>
  <c r="AF959" i="3315"/>
  <c r="AF957" i="3315"/>
  <c r="AF955" i="3315"/>
  <c r="AF952" i="3315"/>
  <c r="AF951" i="3315"/>
  <c r="AF948" i="3315"/>
  <c r="AF945" i="3315"/>
  <c r="AF934" i="3315"/>
  <c r="AF920" i="3315"/>
  <c r="AG960" i="3315"/>
  <c r="AG958" i="3315"/>
  <c r="AG956" i="3315"/>
  <c r="AF938" i="3315"/>
  <c r="AF958" i="3315"/>
  <c r="AF950" i="3315"/>
  <c r="AF942" i="3315"/>
  <c r="AG961" i="3315"/>
  <c r="AG959" i="3315"/>
  <c r="AG957" i="3315"/>
  <c r="AG955" i="3315"/>
  <c r="AF930" i="3315"/>
  <c r="AF916" i="3315"/>
  <c r="AF937" i="3315"/>
  <c r="AF933" i="3315"/>
  <c r="AF923" i="3315"/>
  <c r="AF919" i="3315"/>
  <c r="AF915" i="3315"/>
  <c r="AG952" i="3315"/>
  <c r="AG950" i="3315"/>
  <c r="AG948" i="3315"/>
  <c r="AG946" i="3315"/>
  <c r="AF944" i="3315"/>
  <c r="AF940" i="3315"/>
  <c r="AF936" i="3315"/>
  <c r="AF932" i="3315"/>
  <c r="AF922" i="3315"/>
  <c r="AF918" i="3315"/>
  <c r="AF929" i="3315"/>
  <c r="AF943" i="3315"/>
  <c r="AF939" i="3315"/>
  <c r="AF935" i="3315"/>
  <c r="AF931" i="3315"/>
  <c r="AF928" i="3315"/>
  <c r="AF921" i="3315"/>
  <c r="AF917" i="3315"/>
  <c r="AF912" i="3315"/>
  <c r="AF911" i="3315"/>
  <c r="AF910" i="3315"/>
  <c r="AF908" i="3315"/>
  <c r="J1019" i="3315"/>
  <c r="AG1019" i="3315"/>
  <c r="J1017" i="3315"/>
  <c r="AG1017" i="3315"/>
  <c r="J1015" i="3315"/>
  <c r="AG1015" i="3315"/>
  <c r="J1013" i="3315"/>
  <c r="AG1013" i="3315"/>
  <c r="J1011" i="3315"/>
  <c r="AG1011" i="3315"/>
  <c r="AF1010" i="3315"/>
  <c r="AF1016" i="3315"/>
  <c r="AF1005" i="3315"/>
  <c r="AF997" i="3315"/>
  <c r="AF989" i="3315"/>
  <c r="AF981" i="3315"/>
  <c r="AF1008" i="3315"/>
  <c r="AF1004" i="3315"/>
  <c r="AF1000" i="3315"/>
  <c r="AF996" i="3315"/>
  <c r="AF992" i="3315"/>
  <c r="AF988" i="3315"/>
  <c r="AF984" i="3315"/>
  <c r="AF980" i="3315"/>
  <c r="AF1006" i="3315"/>
  <c r="AF1002" i="3315"/>
  <c r="AF998" i="3315"/>
  <c r="AF994" i="3315"/>
  <c r="AF986" i="3315"/>
  <c r="AF1014" i="3315"/>
  <c r="AF1001" i="3315"/>
  <c r="AF985" i="3315"/>
  <c r="AF1007" i="3315"/>
  <c r="AF1003" i="3315"/>
  <c r="AF999" i="3315"/>
  <c r="AF995" i="3315"/>
  <c r="AF991" i="3315"/>
  <c r="AF987" i="3315"/>
  <c r="AF983" i="3315"/>
  <c r="I872" i="3315"/>
  <c r="AG872" i="3315" s="1"/>
  <c r="Q872" i="3315"/>
  <c r="R872" i="3315" s="1"/>
  <c r="W872" i="3315" s="1"/>
  <c r="Z872" i="3315"/>
  <c r="AD872" i="3315" s="1"/>
  <c r="I873" i="3315"/>
  <c r="J873" i="3315" s="1"/>
  <c r="Q873" i="3315"/>
  <c r="R873" i="3315" s="1"/>
  <c r="W873" i="3315" s="1"/>
  <c r="Z873" i="3315"/>
  <c r="AD873" i="3315" s="1"/>
  <c r="I874" i="3315"/>
  <c r="J874" i="3315" s="1"/>
  <c r="Q874" i="3315"/>
  <c r="R874" i="3315" s="1"/>
  <c r="W874" i="3315" s="1"/>
  <c r="Z874" i="3315"/>
  <c r="AD874" i="3315" s="1"/>
  <c r="I875" i="3315"/>
  <c r="J875" i="3315" s="1"/>
  <c r="Q875" i="3315"/>
  <c r="R875" i="3315" s="1"/>
  <c r="W875" i="3315" s="1"/>
  <c r="Z875" i="3315"/>
  <c r="AD875" i="3315" s="1"/>
  <c r="AG876" i="3315"/>
  <c r="Q876" i="3315"/>
  <c r="R876" i="3315" s="1"/>
  <c r="W876" i="3315" s="1"/>
  <c r="Z876" i="3315"/>
  <c r="AD876" i="3315" s="1"/>
  <c r="I877" i="3315"/>
  <c r="J877" i="3315" s="1"/>
  <c r="Q877" i="3315"/>
  <c r="R877" i="3315" s="1"/>
  <c r="W877" i="3315" s="1"/>
  <c r="Z877" i="3315"/>
  <c r="AD877" i="3315" s="1"/>
  <c r="I878" i="3315"/>
  <c r="Q878" i="3315"/>
  <c r="R878" i="3315" s="1"/>
  <c r="W878" i="3315" s="1"/>
  <c r="Z878" i="3315"/>
  <c r="AD878" i="3315" s="1"/>
  <c r="I879" i="3315"/>
  <c r="J879" i="3315" s="1"/>
  <c r="Q879" i="3315"/>
  <c r="R879" i="3315" s="1"/>
  <c r="W879" i="3315" s="1"/>
  <c r="Z879" i="3315"/>
  <c r="AD879" i="3315" s="1"/>
  <c r="I880" i="3315"/>
  <c r="AG880" i="3315" s="1"/>
  <c r="Q880" i="3315"/>
  <c r="R880" i="3315" s="1"/>
  <c r="W880" i="3315" s="1"/>
  <c r="Z880" i="3315"/>
  <c r="AD880" i="3315" s="1"/>
  <c r="I881" i="3315"/>
  <c r="J881" i="3315" s="1"/>
  <c r="Q881" i="3315"/>
  <c r="R881" i="3315" s="1"/>
  <c r="W881" i="3315" s="1"/>
  <c r="Z881" i="3315"/>
  <c r="AD881" i="3315" s="1"/>
  <c r="I882" i="3315"/>
  <c r="J882" i="3315" s="1"/>
  <c r="Q882" i="3315"/>
  <c r="R882" i="3315" s="1"/>
  <c r="W882" i="3315" s="1"/>
  <c r="Z882" i="3315"/>
  <c r="AD882" i="3315" s="1"/>
  <c r="I883" i="3315"/>
  <c r="Q883" i="3315"/>
  <c r="R883" i="3315" s="1"/>
  <c r="W883" i="3315" s="1"/>
  <c r="Z883" i="3315"/>
  <c r="AD883" i="3315" s="1"/>
  <c r="I884" i="3315"/>
  <c r="AG884" i="3315" s="1"/>
  <c r="Q884" i="3315"/>
  <c r="R884" i="3315" s="1"/>
  <c r="W884" i="3315" s="1"/>
  <c r="Z884" i="3315"/>
  <c r="AD884" i="3315" s="1"/>
  <c r="I885" i="3315"/>
  <c r="J885" i="3315" s="1"/>
  <c r="Q885" i="3315"/>
  <c r="R885" i="3315" s="1"/>
  <c r="W885" i="3315" s="1"/>
  <c r="Z885" i="3315"/>
  <c r="AD885" i="3315" s="1"/>
  <c r="I886" i="3315"/>
  <c r="J886" i="3315" s="1"/>
  <c r="Q886" i="3315"/>
  <c r="R886" i="3315" s="1"/>
  <c r="W886" i="3315" s="1"/>
  <c r="Z886" i="3315"/>
  <c r="AD886" i="3315" s="1"/>
  <c r="I887" i="3315"/>
  <c r="J887" i="3315" s="1"/>
  <c r="Q887" i="3315"/>
  <c r="R887" i="3315" s="1"/>
  <c r="W887" i="3315" s="1"/>
  <c r="Z887" i="3315"/>
  <c r="AD887" i="3315" s="1"/>
  <c r="I495" i="3315"/>
  <c r="J495" i="3315" s="1"/>
  <c r="Q495" i="3315"/>
  <c r="R495" i="3315" s="1"/>
  <c r="Z495" i="3315"/>
  <c r="AD495" i="3315" s="1"/>
  <c r="I496" i="3315"/>
  <c r="J496" i="3315" s="1"/>
  <c r="Q496" i="3315"/>
  <c r="R496" i="3315" s="1"/>
  <c r="Z496" i="3315"/>
  <c r="AD496" i="3315" s="1"/>
  <c r="I497" i="3315"/>
  <c r="Q497" i="3315"/>
  <c r="R497" i="3315" s="1"/>
  <c r="Z497" i="3315"/>
  <c r="AD497" i="3315" s="1"/>
  <c r="I498" i="3315"/>
  <c r="J498" i="3315" s="1"/>
  <c r="Q498" i="3315"/>
  <c r="R498" i="3315" s="1"/>
  <c r="Z498" i="3315"/>
  <c r="AD498" i="3315" s="1"/>
  <c r="I499" i="3315"/>
  <c r="J499" i="3315" s="1"/>
  <c r="Q499" i="3315"/>
  <c r="R499" i="3315" s="1"/>
  <c r="Z499" i="3315"/>
  <c r="AD499" i="3315" s="1"/>
  <c r="I500" i="3315"/>
  <c r="AG500" i="3315" s="1"/>
  <c r="Q500" i="3315"/>
  <c r="R500" i="3315" s="1"/>
  <c r="Z500" i="3315"/>
  <c r="AD500" i="3315" s="1"/>
  <c r="I501" i="3315"/>
  <c r="Q501" i="3315"/>
  <c r="R501" i="3315" s="1"/>
  <c r="Z501" i="3315"/>
  <c r="AD501" i="3315" s="1"/>
  <c r="I502" i="3315"/>
  <c r="J502" i="3315" s="1"/>
  <c r="Q502" i="3315"/>
  <c r="R502" i="3315" s="1"/>
  <c r="Z502" i="3315"/>
  <c r="AD502" i="3315" s="1"/>
  <c r="I503" i="3315"/>
  <c r="J503" i="3315" s="1"/>
  <c r="Q503" i="3315"/>
  <c r="R503" i="3315" s="1"/>
  <c r="Z503" i="3315"/>
  <c r="AD503" i="3315" s="1"/>
  <c r="I504" i="3315"/>
  <c r="J504" i="3315" s="1"/>
  <c r="Q504" i="3315"/>
  <c r="R504" i="3315" s="1"/>
  <c r="Z504" i="3315"/>
  <c r="AD504" i="3315" s="1"/>
  <c r="I505" i="3315"/>
  <c r="Q505" i="3315"/>
  <c r="R505" i="3315" s="1"/>
  <c r="Z505" i="3315"/>
  <c r="AD505" i="3315" s="1"/>
  <c r="I506" i="3315"/>
  <c r="Q506" i="3315"/>
  <c r="R506" i="3315" s="1"/>
  <c r="Z506" i="3315"/>
  <c r="AD506" i="3315" s="1"/>
  <c r="I507" i="3315"/>
  <c r="J507" i="3315" s="1"/>
  <c r="Q507" i="3315"/>
  <c r="R507" i="3315" s="1"/>
  <c r="Z507" i="3315"/>
  <c r="AD507" i="3315" s="1"/>
  <c r="I508" i="3315"/>
  <c r="AG508" i="3315" s="1"/>
  <c r="Q508" i="3315"/>
  <c r="R508" i="3315" s="1"/>
  <c r="Z508" i="3315"/>
  <c r="AD508" i="3315" s="1"/>
  <c r="I509" i="3315"/>
  <c r="Q509" i="3315"/>
  <c r="R509" i="3315" s="1"/>
  <c r="Z509" i="3315"/>
  <c r="AD509" i="3315" s="1"/>
  <c r="I510" i="3315"/>
  <c r="J510" i="3315" s="1"/>
  <c r="Q510" i="3315"/>
  <c r="R510" i="3315" s="1"/>
  <c r="Z510" i="3315"/>
  <c r="AD510" i="3315" s="1"/>
  <c r="I511" i="3315"/>
  <c r="J511" i="3315" s="1"/>
  <c r="Q511" i="3315"/>
  <c r="R511" i="3315" s="1"/>
  <c r="Z511" i="3315"/>
  <c r="AD511" i="3315" s="1"/>
  <c r="I512" i="3315"/>
  <c r="AG512" i="3315" s="1"/>
  <c r="Q512" i="3315"/>
  <c r="R512" i="3315" s="1"/>
  <c r="Z512" i="3315"/>
  <c r="AD512" i="3315" s="1"/>
  <c r="I513" i="3315"/>
  <c r="Q513" i="3315"/>
  <c r="R513" i="3315" s="1"/>
  <c r="Z513" i="3315"/>
  <c r="AD513" i="3315" s="1"/>
  <c r="I514" i="3315"/>
  <c r="J514" i="3315" s="1"/>
  <c r="Q514" i="3315"/>
  <c r="R514" i="3315" s="1"/>
  <c r="Z514" i="3315"/>
  <c r="AD514" i="3315" s="1"/>
  <c r="I515" i="3315"/>
  <c r="J515" i="3315" s="1"/>
  <c r="Q515" i="3315"/>
  <c r="R515" i="3315" s="1"/>
  <c r="Z515" i="3315"/>
  <c r="AD515" i="3315" s="1"/>
  <c r="I516" i="3315"/>
  <c r="Q516" i="3315"/>
  <c r="R516" i="3315" s="1"/>
  <c r="Z516" i="3315"/>
  <c r="AD516" i="3315" s="1"/>
  <c r="I517" i="3315"/>
  <c r="Q517" i="3315"/>
  <c r="R517" i="3315" s="1"/>
  <c r="Z517" i="3315"/>
  <c r="AD517" i="3315" s="1"/>
  <c r="I518" i="3315"/>
  <c r="J518" i="3315" s="1"/>
  <c r="Q518" i="3315"/>
  <c r="R518" i="3315" s="1"/>
  <c r="Z518" i="3315"/>
  <c r="AD518" i="3315" s="1"/>
  <c r="I519" i="3315"/>
  <c r="J519" i="3315" s="1"/>
  <c r="Q519" i="3315"/>
  <c r="R519" i="3315" s="1"/>
  <c r="Z519" i="3315"/>
  <c r="AD519" i="3315" s="1"/>
  <c r="I520" i="3315"/>
  <c r="J520" i="3315" s="1"/>
  <c r="Q520" i="3315"/>
  <c r="R520" i="3315" s="1"/>
  <c r="Z520" i="3315"/>
  <c r="AD520" i="3315" s="1"/>
  <c r="I521" i="3315"/>
  <c r="Q521" i="3315"/>
  <c r="R521" i="3315" s="1"/>
  <c r="Z521" i="3315"/>
  <c r="AD521" i="3315" s="1"/>
  <c r="I522" i="3315"/>
  <c r="Q522" i="3315"/>
  <c r="R522" i="3315" s="1"/>
  <c r="Z522" i="3315"/>
  <c r="AD522" i="3315" s="1"/>
  <c r="I523" i="3315"/>
  <c r="AG523" i="3315" s="1"/>
  <c r="Q523" i="3315"/>
  <c r="R523" i="3315" s="1"/>
  <c r="Z523" i="3315"/>
  <c r="AD523" i="3315" s="1"/>
  <c r="I524" i="3315"/>
  <c r="Q524" i="3315"/>
  <c r="R524" i="3315" s="1"/>
  <c r="Z524" i="3315"/>
  <c r="AD524" i="3315" s="1"/>
  <c r="I525" i="3315"/>
  <c r="J525" i="3315" s="1"/>
  <c r="Q525" i="3315"/>
  <c r="R525" i="3315" s="1"/>
  <c r="Z525" i="3315"/>
  <c r="AD525" i="3315" s="1"/>
  <c r="I526" i="3315"/>
  <c r="Q526" i="3315"/>
  <c r="R526" i="3315" s="1"/>
  <c r="Z526" i="3315"/>
  <c r="AD526" i="3315" s="1"/>
  <c r="I527" i="3315"/>
  <c r="J527" i="3315" s="1"/>
  <c r="Q527" i="3315"/>
  <c r="R527" i="3315" s="1"/>
  <c r="Z527" i="3315"/>
  <c r="AD527" i="3315" s="1"/>
  <c r="I528" i="3315"/>
  <c r="Q528" i="3315"/>
  <c r="R528" i="3315" s="1"/>
  <c r="Z528" i="3315"/>
  <c r="AD528" i="3315" s="1"/>
  <c r="I529" i="3315"/>
  <c r="J529" i="3315" s="1"/>
  <c r="Q529" i="3315"/>
  <c r="R529" i="3315" s="1"/>
  <c r="Z529" i="3315"/>
  <c r="AD529" i="3315" s="1"/>
  <c r="I530" i="3315"/>
  <c r="J530" i="3315" s="1"/>
  <c r="Q530" i="3315"/>
  <c r="R530" i="3315" s="1"/>
  <c r="Z530" i="3315"/>
  <c r="AD530" i="3315" s="1"/>
  <c r="I531" i="3315"/>
  <c r="Q531" i="3315"/>
  <c r="R531" i="3315" s="1"/>
  <c r="Z531" i="3315"/>
  <c r="AD531" i="3315" s="1"/>
  <c r="I532" i="3315"/>
  <c r="Q532" i="3315"/>
  <c r="R532" i="3315" s="1"/>
  <c r="Z532" i="3315"/>
  <c r="AD532" i="3315" s="1"/>
  <c r="I533" i="3315"/>
  <c r="Q533" i="3315"/>
  <c r="R533" i="3315" s="1"/>
  <c r="Z533" i="3315"/>
  <c r="AD533" i="3315" s="1"/>
  <c r="I534" i="3315"/>
  <c r="Q534" i="3315"/>
  <c r="R534" i="3315" s="1"/>
  <c r="Z534" i="3315"/>
  <c r="AD534" i="3315" s="1"/>
  <c r="I535" i="3315"/>
  <c r="J535" i="3315" s="1"/>
  <c r="Q535" i="3315"/>
  <c r="R535" i="3315" s="1"/>
  <c r="Z535" i="3315"/>
  <c r="AD535" i="3315" s="1"/>
  <c r="I536" i="3315"/>
  <c r="Q536" i="3315"/>
  <c r="R536" i="3315" s="1"/>
  <c r="Z536" i="3315"/>
  <c r="AD536" i="3315" s="1"/>
  <c r="I537" i="3315"/>
  <c r="Q537" i="3315"/>
  <c r="R537" i="3315" s="1"/>
  <c r="Z537" i="3315"/>
  <c r="AD537" i="3315" s="1"/>
  <c r="I538" i="3315"/>
  <c r="Q538" i="3315"/>
  <c r="R538" i="3315" s="1"/>
  <c r="Z538" i="3315"/>
  <c r="AD538" i="3315" s="1"/>
  <c r="I539" i="3315"/>
  <c r="Q539" i="3315"/>
  <c r="R539" i="3315" s="1"/>
  <c r="Z539" i="3315"/>
  <c r="AD539" i="3315" s="1"/>
  <c r="I540" i="3315"/>
  <c r="Q540" i="3315"/>
  <c r="R540" i="3315" s="1"/>
  <c r="Z540" i="3315"/>
  <c r="AD540" i="3315" s="1"/>
  <c r="Q541" i="3315"/>
  <c r="R541" i="3315" s="1"/>
  <c r="Z541" i="3315"/>
  <c r="AD541" i="3315" s="1"/>
  <c r="I542" i="3315"/>
  <c r="Q542" i="3315"/>
  <c r="R542" i="3315" s="1"/>
  <c r="Z542" i="3315"/>
  <c r="AD542" i="3315" s="1"/>
  <c r="I543" i="3315"/>
  <c r="Q543" i="3315"/>
  <c r="R543" i="3315" s="1"/>
  <c r="Z543" i="3315"/>
  <c r="AD543" i="3315" s="1"/>
  <c r="I544" i="3315"/>
  <c r="Q544" i="3315"/>
  <c r="R544" i="3315" s="1"/>
  <c r="Z544" i="3315"/>
  <c r="AD544" i="3315" s="1"/>
  <c r="I545" i="3315"/>
  <c r="Q545" i="3315"/>
  <c r="R545" i="3315" s="1"/>
  <c r="Z545" i="3315"/>
  <c r="AD545" i="3315" s="1"/>
  <c r="I546" i="3315"/>
  <c r="Q546" i="3315"/>
  <c r="R546" i="3315" s="1"/>
  <c r="Z546" i="3315"/>
  <c r="AD546" i="3315" s="1"/>
  <c r="I547" i="3315"/>
  <c r="J547" i="3315" s="1"/>
  <c r="Q547" i="3315"/>
  <c r="R547" i="3315" s="1"/>
  <c r="Z547" i="3315"/>
  <c r="AD547" i="3315" s="1"/>
  <c r="I548" i="3315"/>
  <c r="Q548" i="3315"/>
  <c r="R548" i="3315" s="1"/>
  <c r="Z548" i="3315"/>
  <c r="AD548" i="3315" s="1"/>
  <c r="I549" i="3315"/>
  <c r="Q549" i="3315"/>
  <c r="R549" i="3315" s="1"/>
  <c r="Z549" i="3315"/>
  <c r="AD549" i="3315" s="1"/>
  <c r="I550" i="3315"/>
  <c r="Q550" i="3315"/>
  <c r="R550" i="3315" s="1"/>
  <c r="Z550" i="3315"/>
  <c r="AD550" i="3315" s="1"/>
  <c r="I551" i="3315"/>
  <c r="AG551" i="3315" s="1"/>
  <c r="Q551" i="3315"/>
  <c r="R551" i="3315" s="1"/>
  <c r="Z551" i="3315"/>
  <c r="AD551" i="3315" s="1"/>
  <c r="I552" i="3315"/>
  <c r="Q552" i="3315"/>
  <c r="R552" i="3315" s="1"/>
  <c r="Z552" i="3315"/>
  <c r="AD552" i="3315" s="1"/>
  <c r="I553" i="3315"/>
  <c r="Q553" i="3315"/>
  <c r="R553" i="3315" s="1"/>
  <c r="Z553" i="3315"/>
  <c r="AD553" i="3315" s="1"/>
  <c r="I554" i="3315"/>
  <c r="Q554" i="3315"/>
  <c r="R554" i="3315" s="1"/>
  <c r="Z554" i="3315"/>
  <c r="AD554" i="3315" s="1"/>
  <c r="I555" i="3315"/>
  <c r="Q555" i="3315"/>
  <c r="R555" i="3315" s="1"/>
  <c r="Z555" i="3315"/>
  <c r="AD555" i="3315" s="1"/>
  <c r="I556" i="3315"/>
  <c r="AG556" i="3315" s="1"/>
  <c r="Q556" i="3315"/>
  <c r="R556" i="3315" s="1"/>
  <c r="Z556" i="3315"/>
  <c r="AD556" i="3315" s="1"/>
  <c r="I557" i="3315"/>
  <c r="Q557" i="3315"/>
  <c r="R557" i="3315" s="1"/>
  <c r="Z557" i="3315"/>
  <c r="AD557" i="3315" s="1"/>
  <c r="I558" i="3315"/>
  <c r="Q558" i="3315"/>
  <c r="R558" i="3315" s="1"/>
  <c r="Z558" i="3315"/>
  <c r="AD558" i="3315" s="1"/>
  <c r="I559" i="3315"/>
  <c r="AG559" i="3315" s="1"/>
  <c r="Q559" i="3315"/>
  <c r="R559" i="3315" s="1"/>
  <c r="Z559" i="3315"/>
  <c r="AD559" i="3315" s="1"/>
  <c r="I560" i="3315"/>
  <c r="Q560" i="3315"/>
  <c r="R560" i="3315" s="1"/>
  <c r="Z560" i="3315"/>
  <c r="AD560" i="3315" s="1"/>
  <c r="I561" i="3315"/>
  <c r="AG561" i="3315" s="1"/>
  <c r="Q561" i="3315"/>
  <c r="R561" i="3315" s="1"/>
  <c r="Z561" i="3315"/>
  <c r="AD561" i="3315" s="1"/>
  <c r="I562" i="3315"/>
  <c r="AG562" i="3315" s="1"/>
  <c r="Q562" i="3315"/>
  <c r="R562" i="3315" s="1"/>
  <c r="Z562" i="3315"/>
  <c r="AD562" i="3315" s="1"/>
  <c r="I563" i="3315"/>
  <c r="Q563" i="3315"/>
  <c r="R563" i="3315" s="1"/>
  <c r="Z563" i="3315"/>
  <c r="AD563" i="3315" s="1"/>
  <c r="I564" i="3315"/>
  <c r="Q564" i="3315"/>
  <c r="R564" i="3315" s="1"/>
  <c r="Z564" i="3315"/>
  <c r="AD564" i="3315" s="1"/>
  <c r="I565" i="3315"/>
  <c r="Q565" i="3315"/>
  <c r="R565" i="3315" s="1"/>
  <c r="Z565" i="3315"/>
  <c r="AD565" i="3315" s="1"/>
  <c r="Q566" i="3315"/>
  <c r="R566" i="3315" s="1"/>
  <c r="Z566" i="3315"/>
  <c r="AD566" i="3315" s="1"/>
  <c r="I567" i="3315"/>
  <c r="AG567" i="3315" s="1"/>
  <c r="Q567" i="3315"/>
  <c r="R567" i="3315" s="1"/>
  <c r="Z567" i="3315"/>
  <c r="AD567" i="3315" s="1"/>
  <c r="I568" i="3315"/>
  <c r="Q568" i="3315"/>
  <c r="R568" i="3315" s="1"/>
  <c r="Z568" i="3315"/>
  <c r="AD568" i="3315" s="1"/>
  <c r="I569" i="3315"/>
  <c r="AG569" i="3315" s="1"/>
  <c r="Q569" i="3315"/>
  <c r="R569" i="3315" s="1"/>
  <c r="Z569" i="3315"/>
  <c r="AD569" i="3315" s="1"/>
  <c r="I570" i="3315"/>
  <c r="Q570" i="3315"/>
  <c r="R570" i="3315" s="1"/>
  <c r="Z570" i="3315"/>
  <c r="AD570" i="3315" s="1"/>
  <c r="Q571" i="3315"/>
  <c r="R571" i="3315" s="1"/>
  <c r="Z571" i="3315"/>
  <c r="AD571" i="3315" s="1"/>
  <c r="I572" i="3315"/>
  <c r="Q572" i="3315"/>
  <c r="R572" i="3315" s="1"/>
  <c r="Z572" i="3315"/>
  <c r="AD572" i="3315" s="1"/>
  <c r="I573" i="3315"/>
  <c r="Q573" i="3315"/>
  <c r="R573" i="3315" s="1"/>
  <c r="Z573" i="3315"/>
  <c r="AD573" i="3315" s="1"/>
  <c r="I574" i="3315"/>
  <c r="Q574" i="3315"/>
  <c r="R574" i="3315" s="1"/>
  <c r="Z574" i="3315"/>
  <c r="AD574" i="3315" s="1"/>
  <c r="I575" i="3315"/>
  <c r="Q575" i="3315"/>
  <c r="R575" i="3315" s="1"/>
  <c r="Z575" i="3315"/>
  <c r="AD575" i="3315" s="1"/>
  <c r="I576" i="3315"/>
  <c r="AG576" i="3315" s="1"/>
  <c r="Q576" i="3315"/>
  <c r="R576" i="3315" s="1"/>
  <c r="Z576" i="3315"/>
  <c r="AD576" i="3315" s="1"/>
  <c r="I577" i="3315"/>
  <c r="Q577" i="3315"/>
  <c r="R577" i="3315" s="1"/>
  <c r="Z577" i="3315"/>
  <c r="AD577" i="3315" s="1"/>
  <c r="I578" i="3315"/>
  <c r="AG578" i="3315" s="1"/>
  <c r="Q578" i="3315"/>
  <c r="R578" i="3315" s="1"/>
  <c r="Z578" i="3315"/>
  <c r="AD578" i="3315" s="1"/>
  <c r="I579" i="3315"/>
  <c r="AG579" i="3315" s="1"/>
  <c r="Q579" i="3315"/>
  <c r="R579" i="3315" s="1"/>
  <c r="Z579" i="3315"/>
  <c r="AD579" i="3315" s="1"/>
  <c r="I580" i="3315"/>
  <c r="Q580" i="3315"/>
  <c r="R580" i="3315" s="1"/>
  <c r="Z580" i="3315"/>
  <c r="AD580" i="3315" s="1"/>
  <c r="I581" i="3315"/>
  <c r="Q581" i="3315"/>
  <c r="R581" i="3315" s="1"/>
  <c r="Z581" i="3315"/>
  <c r="AD581" i="3315" s="1"/>
  <c r="I582" i="3315"/>
  <c r="Q582" i="3315"/>
  <c r="R582" i="3315" s="1"/>
  <c r="Z582" i="3315"/>
  <c r="AD582" i="3315" s="1"/>
  <c r="I583" i="3315"/>
  <c r="AG583" i="3315" s="1"/>
  <c r="Q583" i="3315"/>
  <c r="R583" i="3315" s="1"/>
  <c r="Z583" i="3315"/>
  <c r="AD583" i="3315" s="1"/>
  <c r="I584" i="3315"/>
  <c r="Q584" i="3315"/>
  <c r="R584" i="3315" s="1"/>
  <c r="Z584" i="3315"/>
  <c r="AD584" i="3315" s="1"/>
  <c r="I585" i="3315"/>
  <c r="Q585" i="3315"/>
  <c r="R585" i="3315" s="1"/>
  <c r="Z585" i="3315"/>
  <c r="AD585" i="3315" s="1"/>
  <c r="I586" i="3315"/>
  <c r="AG586" i="3315" s="1"/>
  <c r="Q586" i="3315"/>
  <c r="R586" i="3315" s="1"/>
  <c r="Z586" i="3315"/>
  <c r="AD586" i="3315" s="1"/>
  <c r="I587" i="3315"/>
  <c r="Q587" i="3315"/>
  <c r="R587" i="3315" s="1"/>
  <c r="Z587" i="3315"/>
  <c r="AD587" i="3315" s="1"/>
  <c r="I588" i="3315"/>
  <c r="Q588" i="3315"/>
  <c r="R588" i="3315" s="1"/>
  <c r="Z588" i="3315"/>
  <c r="AD588" i="3315" s="1"/>
  <c r="I589" i="3315"/>
  <c r="Q589" i="3315"/>
  <c r="R589" i="3315" s="1"/>
  <c r="Z589" i="3315"/>
  <c r="AD589" i="3315" s="1"/>
  <c r="Q590" i="3315"/>
  <c r="R590" i="3315" s="1"/>
  <c r="Z590" i="3315"/>
  <c r="AD590" i="3315" s="1"/>
  <c r="I591" i="3315"/>
  <c r="Q591" i="3315"/>
  <c r="R591" i="3315" s="1"/>
  <c r="Z591" i="3315"/>
  <c r="AD591" i="3315" s="1"/>
  <c r="I592" i="3315"/>
  <c r="Q592" i="3315"/>
  <c r="R592" i="3315" s="1"/>
  <c r="Z592" i="3315"/>
  <c r="AD592" i="3315" s="1"/>
  <c r="I593" i="3315"/>
  <c r="Q593" i="3315"/>
  <c r="R593" i="3315" s="1"/>
  <c r="Z593" i="3315"/>
  <c r="AD593" i="3315" s="1"/>
  <c r="I594" i="3315"/>
  <c r="Q594" i="3315"/>
  <c r="R594" i="3315" s="1"/>
  <c r="Z594" i="3315"/>
  <c r="AD594" i="3315" s="1"/>
  <c r="I595" i="3315"/>
  <c r="Q595" i="3315"/>
  <c r="R595" i="3315" s="1"/>
  <c r="Z595" i="3315"/>
  <c r="AD595" i="3315" s="1"/>
  <c r="I596" i="3315"/>
  <c r="AG596" i="3315" s="1"/>
  <c r="Q596" i="3315"/>
  <c r="R596" i="3315" s="1"/>
  <c r="Z596" i="3315"/>
  <c r="AD596" i="3315" s="1"/>
  <c r="I597" i="3315"/>
  <c r="Q597" i="3315"/>
  <c r="R597" i="3315" s="1"/>
  <c r="Z597" i="3315"/>
  <c r="AD597" i="3315" s="1"/>
  <c r="I598" i="3315"/>
  <c r="J598" i="3315" s="1"/>
  <c r="Q598" i="3315"/>
  <c r="R598" i="3315" s="1"/>
  <c r="Z598" i="3315"/>
  <c r="AD598" i="3315" s="1"/>
  <c r="I599" i="3315"/>
  <c r="J599" i="3315" s="1"/>
  <c r="Q599" i="3315"/>
  <c r="R599" i="3315" s="1"/>
  <c r="Z599" i="3315"/>
  <c r="AD599" i="3315" s="1"/>
  <c r="I600" i="3315"/>
  <c r="J600" i="3315" s="1"/>
  <c r="Q600" i="3315"/>
  <c r="R600" i="3315" s="1"/>
  <c r="Z600" i="3315"/>
  <c r="AD600" i="3315" s="1"/>
  <c r="I601" i="3315"/>
  <c r="J601" i="3315" s="1"/>
  <c r="Q601" i="3315"/>
  <c r="R601" i="3315" s="1"/>
  <c r="Z601" i="3315"/>
  <c r="AD601" i="3315" s="1"/>
  <c r="I602" i="3315"/>
  <c r="Q602" i="3315"/>
  <c r="R602" i="3315" s="1"/>
  <c r="Z602" i="3315"/>
  <c r="AD602" i="3315" s="1"/>
  <c r="I603" i="3315"/>
  <c r="J603" i="3315" s="1"/>
  <c r="Q603" i="3315"/>
  <c r="R603" i="3315" s="1"/>
  <c r="Z603" i="3315"/>
  <c r="AD603" i="3315" s="1"/>
  <c r="I604" i="3315"/>
  <c r="AG604" i="3315" s="1"/>
  <c r="Q604" i="3315"/>
  <c r="R604" i="3315" s="1"/>
  <c r="Z604" i="3315"/>
  <c r="AD604" i="3315" s="1"/>
  <c r="I605" i="3315"/>
  <c r="Q605" i="3315"/>
  <c r="R605" i="3315" s="1"/>
  <c r="Z605" i="3315"/>
  <c r="AD605" i="3315" s="1"/>
  <c r="I606" i="3315"/>
  <c r="J606" i="3315" s="1"/>
  <c r="Q606" i="3315"/>
  <c r="R606" i="3315" s="1"/>
  <c r="Z606" i="3315"/>
  <c r="AD606" i="3315" s="1"/>
  <c r="I607" i="3315"/>
  <c r="J607" i="3315" s="1"/>
  <c r="Q607" i="3315"/>
  <c r="R607" i="3315" s="1"/>
  <c r="Z607" i="3315"/>
  <c r="AD607" i="3315" s="1"/>
  <c r="I608" i="3315"/>
  <c r="J608" i="3315" s="1"/>
  <c r="Q608" i="3315"/>
  <c r="R608" i="3315" s="1"/>
  <c r="Z608" i="3315"/>
  <c r="AD608" i="3315" s="1"/>
  <c r="I609" i="3315"/>
  <c r="Q609" i="3315"/>
  <c r="R609" i="3315" s="1"/>
  <c r="Z609" i="3315"/>
  <c r="AD609" i="3315" s="1"/>
  <c r="I610" i="3315"/>
  <c r="Q610" i="3315"/>
  <c r="R610" i="3315" s="1"/>
  <c r="Z610" i="3315"/>
  <c r="AD610" i="3315" s="1"/>
  <c r="I611" i="3315"/>
  <c r="J611" i="3315" s="1"/>
  <c r="Q611" i="3315"/>
  <c r="R611" i="3315" s="1"/>
  <c r="Z611" i="3315"/>
  <c r="AD611" i="3315" s="1"/>
  <c r="I612" i="3315"/>
  <c r="AG612" i="3315" s="1"/>
  <c r="Q612" i="3315"/>
  <c r="R612" i="3315" s="1"/>
  <c r="Z612" i="3315"/>
  <c r="AD612" i="3315" s="1"/>
  <c r="I613" i="3315"/>
  <c r="Q613" i="3315"/>
  <c r="R613" i="3315" s="1"/>
  <c r="Z613" i="3315"/>
  <c r="AD613" i="3315" s="1"/>
  <c r="I614" i="3315"/>
  <c r="Q614" i="3315"/>
  <c r="R614" i="3315" s="1"/>
  <c r="Z614" i="3315"/>
  <c r="AD614" i="3315" s="1"/>
  <c r="Q615" i="3315"/>
  <c r="R615" i="3315" s="1"/>
  <c r="Z615" i="3315"/>
  <c r="AD615" i="3315" s="1"/>
  <c r="I616" i="3315"/>
  <c r="J616" i="3315" s="1"/>
  <c r="Q616" i="3315"/>
  <c r="R616" i="3315" s="1"/>
  <c r="Z616" i="3315"/>
  <c r="AD616" i="3315" s="1"/>
  <c r="I617" i="3315"/>
  <c r="Q617" i="3315"/>
  <c r="R617" i="3315" s="1"/>
  <c r="Z617" i="3315"/>
  <c r="AD617" i="3315" s="1"/>
  <c r="I618" i="3315"/>
  <c r="Q618" i="3315"/>
  <c r="R618" i="3315" s="1"/>
  <c r="Z618" i="3315"/>
  <c r="AD618" i="3315" s="1"/>
  <c r="I619" i="3315"/>
  <c r="Q619" i="3315"/>
  <c r="R619" i="3315" s="1"/>
  <c r="Z619" i="3315"/>
  <c r="AD619" i="3315" s="1"/>
  <c r="I620" i="3315"/>
  <c r="Q620" i="3315"/>
  <c r="R620" i="3315" s="1"/>
  <c r="Z620" i="3315"/>
  <c r="AD620" i="3315" s="1"/>
  <c r="I621" i="3315"/>
  <c r="Q621" i="3315"/>
  <c r="R621" i="3315" s="1"/>
  <c r="Z621" i="3315"/>
  <c r="AD621" i="3315" s="1"/>
  <c r="I622" i="3315"/>
  <c r="Q622" i="3315"/>
  <c r="R622" i="3315" s="1"/>
  <c r="Z622" i="3315"/>
  <c r="AD622" i="3315" s="1"/>
  <c r="I623" i="3315"/>
  <c r="J623" i="3315" s="1"/>
  <c r="Q623" i="3315"/>
  <c r="R623" i="3315" s="1"/>
  <c r="Z623" i="3315"/>
  <c r="AD623" i="3315" s="1"/>
  <c r="I624" i="3315"/>
  <c r="J624" i="3315" s="1"/>
  <c r="Q624" i="3315"/>
  <c r="R624" i="3315" s="1"/>
  <c r="Z624" i="3315"/>
  <c r="AD624" i="3315" s="1"/>
  <c r="I625" i="3315"/>
  <c r="Q625" i="3315"/>
  <c r="R625" i="3315" s="1"/>
  <c r="Z625" i="3315"/>
  <c r="AD625" i="3315" s="1"/>
  <c r="I626" i="3315"/>
  <c r="Q626" i="3315"/>
  <c r="R626" i="3315" s="1"/>
  <c r="Z626" i="3315"/>
  <c r="AD626" i="3315" s="1"/>
  <c r="I627" i="3315"/>
  <c r="Q627" i="3315"/>
  <c r="R627" i="3315" s="1"/>
  <c r="Z627" i="3315"/>
  <c r="AD627" i="3315" s="1"/>
  <c r="Q628" i="3315"/>
  <c r="R628" i="3315" s="1"/>
  <c r="Z628" i="3315"/>
  <c r="AD628" i="3315" s="1"/>
  <c r="I629" i="3315"/>
  <c r="Q629" i="3315"/>
  <c r="R629" i="3315" s="1"/>
  <c r="Z629" i="3315"/>
  <c r="AD629" i="3315" s="1"/>
  <c r="I630" i="3315"/>
  <c r="J630" i="3315" s="1"/>
  <c r="Q630" i="3315"/>
  <c r="R630" i="3315" s="1"/>
  <c r="Z630" i="3315"/>
  <c r="AD630" i="3315" s="1"/>
  <c r="Q631" i="3315"/>
  <c r="R631" i="3315" s="1"/>
  <c r="Z631" i="3315"/>
  <c r="AD631" i="3315" s="1"/>
  <c r="Q632" i="3315"/>
  <c r="R632" i="3315" s="1"/>
  <c r="Z632" i="3315"/>
  <c r="AD632" i="3315" s="1"/>
  <c r="I633" i="3315"/>
  <c r="Q633" i="3315"/>
  <c r="R633" i="3315" s="1"/>
  <c r="Z633" i="3315"/>
  <c r="AD633" i="3315" s="1"/>
  <c r="I634" i="3315"/>
  <c r="Q634" i="3315"/>
  <c r="R634" i="3315" s="1"/>
  <c r="Z634" i="3315"/>
  <c r="AD634" i="3315" s="1"/>
  <c r="I635" i="3315"/>
  <c r="J635" i="3315" s="1"/>
  <c r="Q635" i="3315"/>
  <c r="R635" i="3315" s="1"/>
  <c r="Z635" i="3315"/>
  <c r="AD635" i="3315" s="1"/>
  <c r="I636" i="3315"/>
  <c r="J636" i="3315" s="1"/>
  <c r="Q636" i="3315"/>
  <c r="R636" i="3315" s="1"/>
  <c r="Z636" i="3315"/>
  <c r="AD636" i="3315" s="1"/>
  <c r="I637" i="3315"/>
  <c r="Q637" i="3315"/>
  <c r="R637" i="3315" s="1"/>
  <c r="Z637" i="3315"/>
  <c r="AD637" i="3315" s="1"/>
  <c r="I638" i="3315"/>
  <c r="J638" i="3315" s="1"/>
  <c r="Q638" i="3315"/>
  <c r="R638" i="3315" s="1"/>
  <c r="Z638" i="3315"/>
  <c r="AD638" i="3315" s="1"/>
  <c r="I639" i="3315"/>
  <c r="J639" i="3315" s="1"/>
  <c r="Q639" i="3315"/>
  <c r="R639" i="3315" s="1"/>
  <c r="Z639" i="3315"/>
  <c r="AD639" i="3315" s="1"/>
  <c r="I640" i="3315"/>
  <c r="Q640" i="3315"/>
  <c r="R640" i="3315" s="1"/>
  <c r="Z640" i="3315"/>
  <c r="AD640" i="3315" s="1"/>
  <c r="I641" i="3315"/>
  <c r="Q641" i="3315"/>
  <c r="R641" i="3315" s="1"/>
  <c r="Z641" i="3315"/>
  <c r="AD641" i="3315" s="1"/>
  <c r="I642" i="3315"/>
  <c r="Q642" i="3315"/>
  <c r="R642" i="3315" s="1"/>
  <c r="Z642" i="3315"/>
  <c r="AD642" i="3315" s="1"/>
  <c r="I643" i="3315"/>
  <c r="J643" i="3315" s="1"/>
  <c r="Q643" i="3315"/>
  <c r="R643" i="3315" s="1"/>
  <c r="Z643" i="3315"/>
  <c r="AD643" i="3315" s="1"/>
  <c r="I644" i="3315"/>
  <c r="Q644" i="3315"/>
  <c r="R644" i="3315" s="1"/>
  <c r="Z644" i="3315"/>
  <c r="AD644" i="3315" s="1"/>
  <c r="I645" i="3315"/>
  <c r="Q645" i="3315"/>
  <c r="R645" i="3315" s="1"/>
  <c r="Z645" i="3315"/>
  <c r="AD645" i="3315" s="1"/>
  <c r="I646" i="3315"/>
  <c r="Q646" i="3315"/>
  <c r="R646" i="3315" s="1"/>
  <c r="Z646" i="3315"/>
  <c r="AD646" i="3315" s="1"/>
  <c r="I647" i="3315"/>
  <c r="J647" i="3315" s="1"/>
  <c r="Q647" i="3315"/>
  <c r="R647" i="3315" s="1"/>
  <c r="Z647" i="3315"/>
  <c r="AD647" i="3315" s="1"/>
  <c r="I648" i="3315"/>
  <c r="Q648" i="3315"/>
  <c r="R648" i="3315" s="1"/>
  <c r="Z648" i="3315"/>
  <c r="AD648" i="3315" s="1"/>
  <c r="I649" i="3315"/>
  <c r="J649" i="3315" s="1"/>
  <c r="Q649" i="3315"/>
  <c r="R649" i="3315" s="1"/>
  <c r="Z649" i="3315"/>
  <c r="AD649" i="3315" s="1"/>
  <c r="J650" i="3315"/>
  <c r="Q650" i="3315"/>
  <c r="R650" i="3315" s="1"/>
  <c r="Z650" i="3315"/>
  <c r="AD650" i="3315" s="1"/>
  <c r="J651" i="3315"/>
  <c r="Q651" i="3315"/>
  <c r="R651" i="3315" s="1"/>
  <c r="Z651" i="3315"/>
  <c r="AD651" i="3315" s="1"/>
  <c r="I652" i="3315"/>
  <c r="J652" i="3315" s="1"/>
  <c r="Q652" i="3315"/>
  <c r="R652" i="3315" s="1"/>
  <c r="Z652" i="3315"/>
  <c r="AD652" i="3315" s="1"/>
  <c r="I653" i="3315"/>
  <c r="J653" i="3315" s="1"/>
  <c r="Q653" i="3315"/>
  <c r="R653" i="3315" s="1"/>
  <c r="Z653" i="3315"/>
  <c r="AD653" i="3315" s="1"/>
  <c r="I654" i="3315"/>
  <c r="J654" i="3315" s="1"/>
  <c r="Q654" i="3315"/>
  <c r="R654" i="3315" s="1"/>
  <c r="Z654" i="3315"/>
  <c r="AD654" i="3315" s="1"/>
  <c r="I655" i="3315"/>
  <c r="J655" i="3315" s="1"/>
  <c r="Q655" i="3315"/>
  <c r="R655" i="3315" s="1"/>
  <c r="Z655" i="3315"/>
  <c r="AD655" i="3315" s="1"/>
  <c r="I656" i="3315"/>
  <c r="J656" i="3315" s="1"/>
  <c r="Q656" i="3315"/>
  <c r="R656" i="3315" s="1"/>
  <c r="Z656" i="3315"/>
  <c r="AD656" i="3315" s="1"/>
  <c r="I657" i="3315"/>
  <c r="J657" i="3315" s="1"/>
  <c r="Q657" i="3315"/>
  <c r="R657" i="3315" s="1"/>
  <c r="Z657" i="3315"/>
  <c r="AD657" i="3315" s="1"/>
  <c r="I658" i="3315"/>
  <c r="J658" i="3315" s="1"/>
  <c r="Q658" i="3315"/>
  <c r="R658" i="3315" s="1"/>
  <c r="Z658" i="3315"/>
  <c r="AD658" i="3315" s="1"/>
  <c r="I659" i="3315"/>
  <c r="J659" i="3315" s="1"/>
  <c r="Q659" i="3315"/>
  <c r="R659" i="3315" s="1"/>
  <c r="Z659" i="3315"/>
  <c r="AD659" i="3315" s="1"/>
  <c r="I660" i="3315"/>
  <c r="J660" i="3315" s="1"/>
  <c r="Q660" i="3315"/>
  <c r="R660" i="3315" s="1"/>
  <c r="Z660" i="3315"/>
  <c r="AD660" i="3315" s="1"/>
  <c r="I661" i="3315"/>
  <c r="J661" i="3315" s="1"/>
  <c r="Q661" i="3315"/>
  <c r="R661" i="3315" s="1"/>
  <c r="Z661" i="3315"/>
  <c r="AD661" i="3315" s="1"/>
  <c r="I662" i="3315"/>
  <c r="J662" i="3315" s="1"/>
  <c r="Q662" i="3315"/>
  <c r="R662" i="3315" s="1"/>
  <c r="Z662" i="3315"/>
  <c r="AD662" i="3315" s="1"/>
  <c r="I663" i="3315"/>
  <c r="J663" i="3315" s="1"/>
  <c r="Q663" i="3315"/>
  <c r="R663" i="3315" s="1"/>
  <c r="Z663" i="3315"/>
  <c r="AD663" i="3315" s="1"/>
  <c r="I664" i="3315"/>
  <c r="J664" i="3315" s="1"/>
  <c r="Q664" i="3315"/>
  <c r="R664" i="3315" s="1"/>
  <c r="Z664" i="3315"/>
  <c r="AD664" i="3315" s="1"/>
  <c r="I665" i="3315"/>
  <c r="J665" i="3315" s="1"/>
  <c r="Q665" i="3315"/>
  <c r="R665" i="3315" s="1"/>
  <c r="Z665" i="3315"/>
  <c r="AD665" i="3315" s="1"/>
  <c r="I666" i="3315"/>
  <c r="J666" i="3315" s="1"/>
  <c r="Q666" i="3315"/>
  <c r="R666" i="3315" s="1"/>
  <c r="Z666" i="3315"/>
  <c r="AD666" i="3315" s="1"/>
  <c r="I667" i="3315"/>
  <c r="J667" i="3315" s="1"/>
  <c r="Q667" i="3315"/>
  <c r="R667" i="3315" s="1"/>
  <c r="Z667" i="3315"/>
  <c r="AD667" i="3315" s="1"/>
  <c r="I668" i="3315"/>
  <c r="J668" i="3315" s="1"/>
  <c r="Q668" i="3315"/>
  <c r="R668" i="3315" s="1"/>
  <c r="Z668" i="3315"/>
  <c r="AD668" i="3315" s="1"/>
  <c r="I669" i="3315"/>
  <c r="J669" i="3315" s="1"/>
  <c r="Q669" i="3315"/>
  <c r="R669" i="3315" s="1"/>
  <c r="Z669" i="3315"/>
  <c r="AD669" i="3315" s="1"/>
  <c r="I670" i="3315"/>
  <c r="J670" i="3315" s="1"/>
  <c r="Q670" i="3315"/>
  <c r="R670" i="3315" s="1"/>
  <c r="Z670" i="3315"/>
  <c r="AD670" i="3315" s="1"/>
  <c r="I671" i="3315"/>
  <c r="J671" i="3315" s="1"/>
  <c r="Q671" i="3315"/>
  <c r="R671" i="3315" s="1"/>
  <c r="Z671" i="3315"/>
  <c r="AD671" i="3315" s="1"/>
  <c r="I672" i="3315"/>
  <c r="J672" i="3315" s="1"/>
  <c r="Q672" i="3315"/>
  <c r="R672" i="3315" s="1"/>
  <c r="Z672" i="3315"/>
  <c r="AD672" i="3315" s="1"/>
  <c r="I673" i="3315"/>
  <c r="J673" i="3315" s="1"/>
  <c r="Q673" i="3315"/>
  <c r="R673" i="3315" s="1"/>
  <c r="Z673" i="3315"/>
  <c r="AD673" i="3315" s="1"/>
  <c r="I674" i="3315"/>
  <c r="J674" i="3315" s="1"/>
  <c r="Q674" i="3315"/>
  <c r="R674" i="3315" s="1"/>
  <c r="Z674" i="3315"/>
  <c r="AD674" i="3315" s="1"/>
  <c r="I675" i="3315"/>
  <c r="J675" i="3315" s="1"/>
  <c r="Q675" i="3315"/>
  <c r="R675" i="3315" s="1"/>
  <c r="Z675" i="3315"/>
  <c r="AD675" i="3315" s="1"/>
  <c r="I676" i="3315"/>
  <c r="J676" i="3315" s="1"/>
  <c r="Q676" i="3315"/>
  <c r="R676" i="3315" s="1"/>
  <c r="Z676" i="3315"/>
  <c r="AD676" i="3315" s="1"/>
  <c r="I677" i="3315"/>
  <c r="J677" i="3315" s="1"/>
  <c r="Q677" i="3315"/>
  <c r="R677" i="3315" s="1"/>
  <c r="Z677" i="3315"/>
  <c r="AD677" i="3315" s="1"/>
  <c r="I678" i="3315"/>
  <c r="J678" i="3315" s="1"/>
  <c r="Q678" i="3315"/>
  <c r="R678" i="3315" s="1"/>
  <c r="Z678" i="3315"/>
  <c r="AD678" i="3315" s="1"/>
  <c r="I679" i="3315"/>
  <c r="J679" i="3315" s="1"/>
  <c r="Q679" i="3315"/>
  <c r="R679" i="3315" s="1"/>
  <c r="Z679" i="3315"/>
  <c r="AD679" i="3315" s="1"/>
  <c r="I680" i="3315"/>
  <c r="J680" i="3315" s="1"/>
  <c r="Q680" i="3315"/>
  <c r="R680" i="3315" s="1"/>
  <c r="Z680" i="3315"/>
  <c r="AD680" i="3315" s="1"/>
  <c r="I681" i="3315"/>
  <c r="J681" i="3315" s="1"/>
  <c r="Q681" i="3315"/>
  <c r="R681" i="3315" s="1"/>
  <c r="Z681" i="3315"/>
  <c r="AD681" i="3315" s="1"/>
  <c r="I682" i="3315"/>
  <c r="J682" i="3315" s="1"/>
  <c r="Q682" i="3315"/>
  <c r="R682" i="3315" s="1"/>
  <c r="Z682" i="3315"/>
  <c r="AD682" i="3315" s="1"/>
  <c r="I683" i="3315"/>
  <c r="J683" i="3315" s="1"/>
  <c r="Q683" i="3315"/>
  <c r="R683" i="3315" s="1"/>
  <c r="Z683" i="3315"/>
  <c r="AD683" i="3315" s="1"/>
  <c r="I684" i="3315"/>
  <c r="J684" i="3315" s="1"/>
  <c r="Q684" i="3315"/>
  <c r="R684" i="3315" s="1"/>
  <c r="Z684" i="3315"/>
  <c r="AD684" i="3315" s="1"/>
  <c r="I685" i="3315"/>
  <c r="J685" i="3315" s="1"/>
  <c r="Q685" i="3315"/>
  <c r="R685" i="3315" s="1"/>
  <c r="Z685" i="3315"/>
  <c r="AD685" i="3315" s="1"/>
  <c r="I686" i="3315"/>
  <c r="J686" i="3315" s="1"/>
  <c r="Q686" i="3315"/>
  <c r="R686" i="3315" s="1"/>
  <c r="Z686" i="3315"/>
  <c r="AD686" i="3315" s="1"/>
  <c r="I687" i="3315"/>
  <c r="J687" i="3315" s="1"/>
  <c r="Q687" i="3315"/>
  <c r="R687" i="3315" s="1"/>
  <c r="Z687" i="3315"/>
  <c r="AD687" i="3315" s="1"/>
  <c r="I688" i="3315"/>
  <c r="J688" i="3315" s="1"/>
  <c r="Q688" i="3315"/>
  <c r="R688" i="3315" s="1"/>
  <c r="Z688" i="3315"/>
  <c r="AD688" i="3315" s="1"/>
  <c r="I689" i="3315"/>
  <c r="J689" i="3315" s="1"/>
  <c r="Q689" i="3315"/>
  <c r="R689" i="3315" s="1"/>
  <c r="Z689" i="3315"/>
  <c r="AD689" i="3315" s="1"/>
  <c r="I690" i="3315"/>
  <c r="J690" i="3315" s="1"/>
  <c r="Q690" i="3315"/>
  <c r="R690" i="3315" s="1"/>
  <c r="Z690" i="3315"/>
  <c r="AD690" i="3315" s="1"/>
  <c r="I691" i="3315"/>
  <c r="J691" i="3315" s="1"/>
  <c r="Q691" i="3315"/>
  <c r="R691" i="3315" s="1"/>
  <c r="Z691" i="3315"/>
  <c r="AD691" i="3315" s="1"/>
  <c r="I692" i="3315"/>
  <c r="J692" i="3315" s="1"/>
  <c r="Q692" i="3315"/>
  <c r="R692" i="3315" s="1"/>
  <c r="Z692" i="3315"/>
  <c r="AD692" i="3315" s="1"/>
  <c r="I693" i="3315"/>
  <c r="J693" i="3315" s="1"/>
  <c r="Q693" i="3315"/>
  <c r="R693" i="3315" s="1"/>
  <c r="Z693" i="3315"/>
  <c r="AD693" i="3315" s="1"/>
  <c r="I694" i="3315"/>
  <c r="J694" i="3315" s="1"/>
  <c r="Q694" i="3315"/>
  <c r="R694" i="3315" s="1"/>
  <c r="Z694" i="3315"/>
  <c r="AD694" i="3315" s="1"/>
  <c r="I695" i="3315"/>
  <c r="J695" i="3315" s="1"/>
  <c r="Q695" i="3315"/>
  <c r="R695" i="3315" s="1"/>
  <c r="Z695" i="3315"/>
  <c r="AD695" i="3315" s="1"/>
  <c r="I696" i="3315"/>
  <c r="J696" i="3315" s="1"/>
  <c r="Q696" i="3315"/>
  <c r="R696" i="3315" s="1"/>
  <c r="Z696" i="3315"/>
  <c r="AD696" i="3315" s="1"/>
  <c r="I697" i="3315"/>
  <c r="J697" i="3315" s="1"/>
  <c r="Q697" i="3315"/>
  <c r="R697" i="3315" s="1"/>
  <c r="Z697" i="3315"/>
  <c r="AD697" i="3315" s="1"/>
  <c r="I698" i="3315"/>
  <c r="J698" i="3315" s="1"/>
  <c r="Q698" i="3315"/>
  <c r="R698" i="3315" s="1"/>
  <c r="Z698" i="3315"/>
  <c r="AD698" i="3315" s="1"/>
  <c r="I699" i="3315"/>
  <c r="J699" i="3315" s="1"/>
  <c r="Q699" i="3315"/>
  <c r="R699" i="3315" s="1"/>
  <c r="Z699" i="3315"/>
  <c r="AD699" i="3315" s="1"/>
  <c r="I700" i="3315"/>
  <c r="J700" i="3315" s="1"/>
  <c r="Q700" i="3315"/>
  <c r="R700" i="3315" s="1"/>
  <c r="Z700" i="3315"/>
  <c r="AD700" i="3315" s="1"/>
  <c r="I701" i="3315"/>
  <c r="J701" i="3315" s="1"/>
  <c r="Q701" i="3315"/>
  <c r="R701" i="3315" s="1"/>
  <c r="Z701" i="3315"/>
  <c r="AD701" i="3315" s="1"/>
  <c r="I702" i="3315"/>
  <c r="J702" i="3315" s="1"/>
  <c r="Q702" i="3315"/>
  <c r="R702" i="3315" s="1"/>
  <c r="Z702" i="3315"/>
  <c r="AD702" i="3315" s="1"/>
  <c r="I703" i="3315"/>
  <c r="J703" i="3315" s="1"/>
  <c r="Q703" i="3315"/>
  <c r="R703" i="3315" s="1"/>
  <c r="Z703" i="3315"/>
  <c r="AD703" i="3315" s="1"/>
  <c r="I704" i="3315"/>
  <c r="J704" i="3315" s="1"/>
  <c r="Q704" i="3315"/>
  <c r="R704" i="3315" s="1"/>
  <c r="Z704" i="3315"/>
  <c r="AD704" i="3315" s="1"/>
  <c r="I705" i="3315"/>
  <c r="AG705" i="3315" s="1"/>
  <c r="Q705" i="3315"/>
  <c r="R705" i="3315" s="1"/>
  <c r="Z705" i="3315"/>
  <c r="AD705" i="3315" s="1"/>
  <c r="I706" i="3315"/>
  <c r="AG706" i="3315" s="1"/>
  <c r="Q706" i="3315"/>
  <c r="R706" i="3315" s="1"/>
  <c r="Z706" i="3315"/>
  <c r="AD706" i="3315" s="1"/>
  <c r="I707" i="3315"/>
  <c r="AG707" i="3315" s="1"/>
  <c r="Q707" i="3315"/>
  <c r="R707" i="3315" s="1"/>
  <c r="Z707" i="3315"/>
  <c r="AD707" i="3315" s="1"/>
  <c r="I708" i="3315"/>
  <c r="AG708" i="3315" s="1"/>
  <c r="Q708" i="3315"/>
  <c r="R708" i="3315" s="1"/>
  <c r="Z708" i="3315"/>
  <c r="AD708" i="3315" s="1"/>
  <c r="I709" i="3315"/>
  <c r="AG709" i="3315" s="1"/>
  <c r="Q709" i="3315"/>
  <c r="R709" i="3315" s="1"/>
  <c r="Z709" i="3315"/>
  <c r="AD709" i="3315" s="1"/>
  <c r="I710" i="3315"/>
  <c r="Q710" i="3315"/>
  <c r="R710" i="3315" s="1"/>
  <c r="Z710" i="3315"/>
  <c r="AD710" i="3315" s="1"/>
  <c r="I711" i="3315"/>
  <c r="AG711" i="3315" s="1"/>
  <c r="Q711" i="3315"/>
  <c r="R711" i="3315" s="1"/>
  <c r="Z711" i="3315"/>
  <c r="AD711" i="3315" s="1"/>
  <c r="I712" i="3315"/>
  <c r="AG712" i="3315" s="1"/>
  <c r="Q712" i="3315"/>
  <c r="R712" i="3315" s="1"/>
  <c r="Z712" i="3315"/>
  <c r="AD712" i="3315" s="1"/>
  <c r="I713" i="3315"/>
  <c r="AG713" i="3315" s="1"/>
  <c r="Q713" i="3315"/>
  <c r="R713" i="3315" s="1"/>
  <c r="Z713" i="3315"/>
  <c r="AD713" i="3315" s="1"/>
  <c r="I714" i="3315"/>
  <c r="AG714" i="3315" s="1"/>
  <c r="Q714" i="3315"/>
  <c r="R714" i="3315" s="1"/>
  <c r="Z714" i="3315"/>
  <c r="AD714" i="3315" s="1"/>
  <c r="I715" i="3315"/>
  <c r="AG715" i="3315" s="1"/>
  <c r="Q715" i="3315"/>
  <c r="R715" i="3315" s="1"/>
  <c r="Z715" i="3315"/>
  <c r="AD715" i="3315" s="1"/>
  <c r="I716" i="3315"/>
  <c r="AG716" i="3315" s="1"/>
  <c r="Q716" i="3315"/>
  <c r="R716" i="3315" s="1"/>
  <c r="Z716" i="3315"/>
  <c r="AD716" i="3315" s="1"/>
  <c r="I717" i="3315"/>
  <c r="Q717" i="3315"/>
  <c r="R717" i="3315" s="1"/>
  <c r="Z717" i="3315"/>
  <c r="AD717" i="3315" s="1"/>
  <c r="I718" i="3315"/>
  <c r="Q718" i="3315"/>
  <c r="R718" i="3315" s="1"/>
  <c r="Z718" i="3315"/>
  <c r="AD718" i="3315" s="1"/>
  <c r="I719" i="3315"/>
  <c r="AG719" i="3315" s="1"/>
  <c r="Q719" i="3315"/>
  <c r="R719" i="3315" s="1"/>
  <c r="Z719" i="3315"/>
  <c r="AD719" i="3315" s="1"/>
  <c r="I720" i="3315"/>
  <c r="AG720" i="3315" s="1"/>
  <c r="Q720" i="3315"/>
  <c r="R720" i="3315" s="1"/>
  <c r="Z720" i="3315"/>
  <c r="AD720" i="3315" s="1"/>
  <c r="I721" i="3315"/>
  <c r="AG721" i="3315" s="1"/>
  <c r="Q721" i="3315"/>
  <c r="R721" i="3315" s="1"/>
  <c r="Z721" i="3315"/>
  <c r="AD721" i="3315" s="1"/>
  <c r="I722" i="3315"/>
  <c r="Q722" i="3315"/>
  <c r="R722" i="3315" s="1"/>
  <c r="Z722" i="3315"/>
  <c r="AD722" i="3315" s="1"/>
  <c r="I723" i="3315"/>
  <c r="AG723" i="3315" s="1"/>
  <c r="Q723" i="3315"/>
  <c r="R723" i="3315" s="1"/>
  <c r="Z723" i="3315"/>
  <c r="AD723" i="3315" s="1"/>
  <c r="I724" i="3315"/>
  <c r="AG724" i="3315" s="1"/>
  <c r="Q724" i="3315"/>
  <c r="R724" i="3315" s="1"/>
  <c r="Z724" i="3315"/>
  <c r="AD724" i="3315" s="1"/>
  <c r="I725" i="3315"/>
  <c r="AG725" i="3315" s="1"/>
  <c r="Q725" i="3315"/>
  <c r="R725" i="3315" s="1"/>
  <c r="Z725" i="3315"/>
  <c r="AD725" i="3315" s="1"/>
  <c r="I726" i="3315"/>
  <c r="Q726" i="3315"/>
  <c r="R726" i="3315" s="1"/>
  <c r="Z726" i="3315"/>
  <c r="AD726" i="3315" s="1"/>
  <c r="I727" i="3315"/>
  <c r="AG727" i="3315" s="1"/>
  <c r="Q727" i="3315"/>
  <c r="R727" i="3315" s="1"/>
  <c r="Z727" i="3315"/>
  <c r="AD727" i="3315" s="1"/>
  <c r="I728" i="3315"/>
  <c r="AG728" i="3315" s="1"/>
  <c r="Q728" i="3315"/>
  <c r="R728" i="3315" s="1"/>
  <c r="Z728" i="3315"/>
  <c r="AD728" i="3315" s="1"/>
  <c r="I729" i="3315"/>
  <c r="AG729" i="3315" s="1"/>
  <c r="Q729" i="3315"/>
  <c r="R729" i="3315" s="1"/>
  <c r="Z729" i="3315"/>
  <c r="AD729" i="3315" s="1"/>
  <c r="I730" i="3315"/>
  <c r="Q730" i="3315"/>
  <c r="R730" i="3315" s="1"/>
  <c r="Z730" i="3315"/>
  <c r="AD730" i="3315" s="1"/>
  <c r="I731" i="3315"/>
  <c r="AG731" i="3315" s="1"/>
  <c r="Q731" i="3315"/>
  <c r="R731" i="3315" s="1"/>
  <c r="Z731" i="3315"/>
  <c r="AD731" i="3315" s="1"/>
  <c r="I732" i="3315"/>
  <c r="AG732" i="3315" s="1"/>
  <c r="Q732" i="3315"/>
  <c r="R732" i="3315" s="1"/>
  <c r="Z732" i="3315"/>
  <c r="AD732" i="3315" s="1"/>
  <c r="I733" i="3315"/>
  <c r="Q733" i="3315"/>
  <c r="R733" i="3315" s="1"/>
  <c r="Z733" i="3315"/>
  <c r="AD733" i="3315" s="1"/>
  <c r="I734" i="3315"/>
  <c r="Q734" i="3315"/>
  <c r="R734" i="3315" s="1"/>
  <c r="Z734" i="3315"/>
  <c r="AD734" i="3315" s="1"/>
  <c r="I735" i="3315"/>
  <c r="AG735" i="3315" s="1"/>
  <c r="Q735" i="3315"/>
  <c r="R735" i="3315" s="1"/>
  <c r="Z735" i="3315"/>
  <c r="AD735" i="3315" s="1"/>
  <c r="I736" i="3315"/>
  <c r="AG736" i="3315" s="1"/>
  <c r="Q736" i="3315"/>
  <c r="R736" i="3315" s="1"/>
  <c r="Z736" i="3315"/>
  <c r="AD736" i="3315" s="1"/>
  <c r="I737" i="3315"/>
  <c r="AG737" i="3315" s="1"/>
  <c r="Q737" i="3315"/>
  <c r="R737" i="3315" s="1"/>
  <c r="Z737" i="3315"/>
  <c r="AD737" i="3315" s="1"/>
  <c r="I738" i="3315"/>
  <c r="AG738" i="3315" s="1"/>
  <c r="Q738" i="3315"/>
  <c r="R738" i="3315" s="1"/>
  <c r="Z738" i="3315"/>
  <c r="AD738" i="3315" s="1"/>
  <c r="I739" i="3315"/>
  <c r="Q739" i="3315"/>
  <c r="R739" i="3315" s="1"/>
  <c r="Z739" i="3315"/>
  <c r="AD739" i="3315" s="1"/>
  <c r="I740" i="3315"/>
  <c r="AG740" i="3315" s="1"/>
  <c r="Q740" i="3315"/>
  <c r="R740" i="3315" s="1"/>
  <c r="Z740" i="3315"/>
  <c r="AD740" i="3315" s="1"/>
  <c r="I741" i="3315"/>
  <c r="Q741" i="3315"/>
  <c r="R741" i="3315" s="1"/>
  <c r="Z741" i="3315"/>
  <c r="AD741" i="3315" s="1"/>
  <c r="I742" i="3315"/>
  <c r="AG742" i="3315" s="1"/>
  <c r="Q742" i="3315"/>
  <c r="R742" i="3315" s="1"/>
  <c r="Z742" i="3315"/>
  <c r="AD742" i="3315" s="1"/>
  <c r="I743" i="3315"/>
  <c r="AG743" i="3315" s="1"/>
  <c r="Q743" i="3315"/>
  <c r="R743" i="3315" s="1"/>
  <c r="Z743" i="3315"/>
  <c r="AD743" i="3315" s="1"/>
  <c r="I744" i="3315"/>
  <c r="AG744" i="3315" s="1"/>
  <c r="Q744" i="3315"/>
  <c r="R744" i="3315" s="1"/>
  <c r="Z744" i="3315"/>
  <c r="AD744" i="3315" s="1"/>
  <c r="I745" i="3315"/>
  <c r="AG745" i="3315" s="1"/>
  <c r="Q745" i="3315"/>
  <c r="R745" i="3315" s="1"/>
  <c r="Z745" i="3315"/>
  <c r="AD745" i="3315" s="1"/>
  <c r="I746" i="3315"/>
  <c r="AG746" i="3315" s="1"/>
  <c r="Q746" i="3315"/>
  <c r="R746" i="3315" s="1"/>
  <c r="Z746" i="3315"/>
  <c r="AD746" i="3315" s="1"/>
  <c r="I747" i="3315"/>
  <c r="AG747" i="3315" s="1"/>
  <c r="Q747" i="3315"/>
  <c r="R747" i="3315" s="1"/>
  <c r="Z747" i="3315"/>
  <c r="AD747" i="3315" s="1"/>
  <c r="AG748" i="3315"/>
  <c r="Q748" i="3315"/>
  <c r="R748" i="3315" s="1"/>
  <c r="Z748" i="3315"/>
  <c r="AD748" i="3315" s="1"/>
  <c r="I749" i="3315"/>
  <c r="AG749" i="3315" s="1"/>
  <c r="Q749" i="3315"/>
  <c r="R749" i="3315" s="1"/>
  <c r="Z749" i="3315"/>
  <c r="AD749" i="3315" s="1"/>
  <c r="I750" i="3315"/>
  <c r="Q750" i="3315"/>
  <c r="R750" i="3315" s="1"/>
  <c r="Z750" i="3315"/>
  <c r="AD750" i="3315" s="1"/>
  <c r="AG751" i="3315"/>
  <c r="Q751" i="3315"/>
  <c r="R751" i="3315" s="1"/>
  <c r="Z751" i="3315"/>
  <c r="AD751" i="3315" s="1"/>
  <c r="I752" i="3315"/>
  <c r="AG752" i="3315" s="1"/>
  <c r="Q752" i="3315"/>
  <c r="R752" i="3315" s="1"/>
  <c r="Z752" i="3315"/>
  <c r="AD752" i="3315" s="1"/>
  <c r="I753" i="3315"/>
  <c r="Q753" i="3315"/>
  <c r="R753" i="3315" s="1"/>
  <c r="Z753" i="3315"/>
  <c r="AD753" i="3315" s="1"/>
  <c r="I754" i="3315"/>
  <c r="AG754" i="3315" s="1"/>
  <c r="Q754" i="3315"/>
  <c r="R754" i="3315" s="1"/>
  <c r="Z754" i="3315"/>
  <c r="AD754" i="3315" s="1"/>
  <c r="I755" i="3315"/>
  <c r="AG755" i="3315" s="1"/>
  <c r="Q755" i="3315"/>
  <c r="R755" i="3315" s="1"/>
  <c r="Z755" i="3315"/>
  <c r="AD755" i="3315" s="1"/>
  <c r="I756" i="3315"/>
  <c r="AG756" i="3315" s="1"/>
  <c r="Q756" i="3315"/>
  <c r="R756" i="3315" s="1"/>
  <c r="Z756" i="3315"/>
  <c r="AD756" i="3315" s="1"/>
  <c r="I757" i="3315"/>
  <c r="AG757" i="3315" s="1"/>
  <c r="Q757" i="3315"/>
  <c r="R757" i="3315" s="1"/>
  <c r="Z757" i="3315"/>
  <c r="AD757" i="3315" s="1"/>
  <c r="I758" i="3315"/>
  <c r="AG758" i="3315" s="1"/>
  <c r="Q758" i="3315"/>
  <c r="R758" i="3315" s="1"/>
  <c r="Z758" i="3315"/>
  <c r="AD758" i="3315" s="1"/>
  <c r="I759" i="3315"/>
  <c r="Q759" i="3315"/>
  <c r="R759" i="3315" s="1"/>
  <c r="Z759" i="3315"/>
  <c r="AD759" i="3315" s="1"/>
  <c r="I760" i="3315"/>
  <c r="AG760" i="3315" s="1"/>
  <c r="Q760" i="3315"/>
  <c r="R760" i="3315" s="1"/>
  <c r="Z760" i="3315"/>
  <c r="AD760" i="3315" s="1"/>
  <c r="I761" i="3315"/>
  <c r="AG761" i="3315" s="1"/>
  <c r="Q761" i="3315"/>
  <c r="R761" i="3315" s="1"/>
  <c r="Z761" i="3315"/>
  <c r="AD761" i="3315" s="1"/>
  <c r="I762" i="3315"/>
  <c r="AG762" i="3315" s="1"/>
  <c r="Q762" i="3315"/>
  <c r="R762" i="3315" s="1"/>
  <c r="Z762" i="3315"/>
  <c r="AD762" i="3315" s="1"/>
  <c r="I763" i="3315"/>
  <c r="AG763" i="3315" s="1"/>
  <c r="Q763" i="3315"/>
  <c r="R763" i="3315" s="1"/>
  <c r="Z763" i="3315"/>
  <c r="AD763" i="3315" s="1"/>
  <c r="I764" i="3315"/>
  <c r="AG764" i="3315" s="1"/>
  <c r="Q764" i="3315"/>
  <c r="R764" i="3315" s="1"/>
  <c r="Z764" i="3315"/>
  <c r="AD764" i="3315" s="1"/>
  <c r="I765" i="3315"/>
  <c r="AG765" i="3315" s="1"/>
  <c r="Q765" i="3315"/>
  <c r="R765" i="3315" s="1"/>
  <c r="Z765" i="3315"/>
  <c r="AD765" i="3315" s="1"/>
  <c r="I766" i="3315"/>
  <c r="Q766" i="3315"/>
  <c r="R766" i="3315" s="1"/>
  <c r="Z766" i="3315"/>
  <c r="AD766" i="3315" s="1"/>
  <c r="I767" i="3315"/>
  <c r="AG767" i="3315" s="1"/>
  <c r="Q767" i="3315"/>
  <c r="R767" i="3315" s="1"/>
  <c r="Z767" i="3315"/>
  <c r="AD767" i="3315" s="1"/>
  <c r="I768" i="3315"/>
  <c r="AG768" i="3315" s="1"/>
  <c r="Q768" i="3315"/>
  <c r="R768" i="3315" s="1"/>
  <c r="Z768" i="3315"/>
  <c r="AD768" i="3315" s="1"/>
  <c r="I769" i="3315"/>
  <c r="Q769" i="3315"/>
  <c r="R769" i="3315" s="1"/>
  <c r="Z769" i="3315"/>
  <c r="AD769" i="3315" s="1"/>
  <c r="I770" i="3315"/>
  <c r="AG770" i="3315" s="1"/>
  <c r="Q770" i="3315"/>
  <c r="R770" i="3315" s="1"/>
  <c r="Z770" i="3315"/>
  <c r="AD770" i="3315" s="1"/>
  <c r="I771" i="3315"/>
  <c r="Q771" i="3315"/>
  <c r="R771" i="3315" s="1"/>
  <c r="Z771" i="3315"/>
  <c r="AD771" i="3315" s="1"/>
  <c r="I772" i="3315"/>
  <c r="AG772" i="3315" s="1"/>
  <c r="Q772" i="3315"/>
  <c r="R772" i="3315" s="1"/>
  <c r="Z772" i="3315"/>
  <c r="AD772" i="3315" s="1"/>
  <c r="I773" i="3315"/>
  <c r="Q773" i="3315"/>
  <c r="R773" i="3315" s="1"/>
  <c r="Z773" i="3315"/>
  <c r="AD773" i="3315" s="1"/>
  <c r="I774" i="3315"/>
  <c r="Q774" i="3315"/>
  <c r="R774" i="3315" s="1"/>
  <c r="Z774" i="3315"/>
  <c r="AD774" i="3315" s="1"/>
  <c r="I775" i="3315"/>
  <c r="Q775" i="3315"/>
  <c r="R775" i="3315" s="1"/>
  <c r="Z775" i="3315"/>
  <c r="AD775" i="3315" s="1"/>
  <c r="I776" i="3315"/>
  <c r="AG776" i="3315" s="1"/>
  <c r="Q776" i="3315"/>
  <c r="R776" i="3315" s="1"/>
  <c r="Z776" i="3315"/>
  <c r="AD776" i="3315" s="1"/>
  <c r="I777" i="3315"/>
  <c r="AG777" i="3315" s="1"/>
  <c r="Q777" i="3315"/>
  <c r="R777" i="3315" s="1"/>
  <c r="Z777" i="3315"/>
  <c r="AD777" i="3315" s="1"/>
  <c r="I778" i="3315"/>
  <c r="AG778" i="3315" s="1"/>
  <c r="Q778" i="3315"/>
  <c r="R778" i="3315" s="1"/>
  <c r="Z778" i="3315"/>
  <c r="AD778" i="3315" s="1"/>
  <c r="I779" i="3315"/>
  <c r="Q779" i="3315"/>
  <c r="R779" i="3315" s="1"/>
  <c r="Z779" i="3315"/>
  <c r="AD779" i="3315" s="1"/>
  <c r="I780" i="3315"/>
  <c r="AG780" i="3315" s="1"/>
  <c r="Q780" i="3315"/>
  <c r="R780" i="3315" s="1"/>
  <c r="Z780" i="3315"/>
  <c r="AD780" i="3315" s="1"/>
  <c r="I781" i="3315"/>
  <c r="Q781" i="3315"/>
  <c r="R781" i="3315" s="1"/>
  <c r="Z781" i="3315"/>
  <c r="AD781" i="3315" s="1"/>
  <c r="I782" i="3315"/>
  <c r="AG782" i="3315" s="1"/>
  <c r="Q782" i="3315"/>
  <c r="R782" i="3315" s="1"/>
  <c r="Z782" i="3315"/>
  <c r="AD782" i="3315" s="1"/>
  <c r="I783" i="3315"/>
  <c r="Q783" i="3315"/>
  <c r="R783" i="3315" s="1"/>
  <c r="Z783" i="3315"/>
  <c r="AD783" i="3315" s="1"/>
  <c r="I784" i="3315"/>
  <c r="Q784" i="3315"/>
  <c r="R784" i="3315" s="1"/>
  <c r="Z784" i="3315"/>
  <c r="AD784" i="3315" s="1"/>
  <c r="I785" i="3315"/>
  <c r="AG785" i="3315" s="1"/>
  <c r="Q785" i="3315"/>
  <c r="R785" i="3315" s="1"/>
  <c r="Z785" i="3315"/>
  <c r="AD785" i="3315" s="1"/>
  <c r="I786" i="3315"/>
  <c r="AG786" i="3315" s="1"/>
  <c r="Q786" i="3315"/>
  <c r="R786" i="3315" s="1"/>
  <c r="Z786" i="3315"/>
  <c r="AD786" i="3315" s="1"/>
  <c r="I787" i="3315"/>
  <c r="Q787" i="3315"/>
  <c r="R787" i="3315" s="1"/>
  <c r="Z787" i="3315"/>
  <c r="AD787" i="3315" s="1"/>
  <c r="I788" i="3315"/>
  <c r="AG788" i="3315" s="1"/>
  <c r="Q788" i="3315"/>
  <c r="R788" i="3315" s="1"/>
  <c r="Z788" i="3315"/>
  <c r="AD788" i="3315" s="1"/>
  <c r="I789" i="3315"/>
  <c r="AG789" i="3315" s="1"/>
  <c r="Q789" i="3315"/>
  <c r="R789" i="3315" s="1"/>
  <c r="Z789" i="3315"/>
  <c r="AD789" i="3315" s="1"/>
  <c r="I790" i="3315"/>
  <c r="Q790" i="3315"/>
  <c r="R790" i="3315" s="1"/>
  <c r="Z790" i="3315"/>
  <c r="AD790" i="3315" s="1"/>
  <c r="I791" i="3315"/>
  <c r="Q791" i="3315"/>
  <c r="R791" i="3315" s="1"/>
  <c r="Z791" i="3315"/>
  <c r="AD791" i="3315" s="1"/>
  <c r="I792" i="3315"/>
  <c r="AG792" i="3315" s="1"/>
  <c r="Q792" i="3315"/>
  <c r="R792" i="3315" s="1"/>
  <c r="Z792" i="3315"/>
  <c r="AD792" i="3315" s="1"/>
  <c r="I793" i="3315"/>
  <c r="AG793" i="3315" s="1"/>
  <c r="Q793" i="3315"/>
  <c r="R793" i="3315" s="1"/>
  <c r="Z793" i="3315"/>
  <c r="AD793" i="3315" s="1"/>
  <c r="I794" i="3315"/>
  <c r="AG794" i="3315" s="1"/>
  <c r="Q794" i="3315"/>
  <c r="R794" i="3315" s="1"/>
  <c r="Z794" i="3315"/>
  <c r="AD794" i="3315" s="1"/>
  <c r="I795" i="3315"/>
  <c r="Q795" i="3315"/>
  <c r="R795" i="3315" s="1"/>
  <c r="Z795" i="3315"/>
  <c r="AD795" i="3315" s="1"/>
  <c r="I796" i="3315"/>
  <c r="AG796" i="3315" s="1"/>
  <c r="Q796" i="3315"/>
  <c r="R796" i="3315" s="1"/>
  <c r="Z796" i="3315"/>
  <c r="AD796" i="3315" s="1"/>
  <c r="I797" i="3315"/>
  <c r="Q797" i="3315"/>
  <c r="R797" i="3315" s="1"/>
  <c r="Z797" i="3315"/>
  <c r="AD797" i="3315" s="1"/>
  <c r="I798" i="3315"/>
  <c r="AG798" i="3315" s="1"/>
  <c r="Q798" i="3315"/>
  <c r="R798" i="3315" s="1"/>
  <c r="Z798" i="3315"/>
  <c r="AD798" i="3315" s="1"/>
  <c r="I799" i="3315"/>
  <c r="Q799" i="3315"/>
  <c r="R799" i="3315" s="1"/>
  <c r="Z799" i="3315"/>
  <c r="AD799" i="3315" s="1"/>
  <c r="I800" i="3315"/>
  <c r="Q800" i="3315"/>
  <c r="R800" i="3315" s="1"/>
  <c r="Z800" i="3315"/>
  <c r="AD800" i="3315" s="1"/>
  <c r="I801" i="3315"/>
  <c r="AG801" i="3315" s="1"/>
  <c r="Q801" i="3315"/>
  <c r="R801" i="3315" s="1"/>
  <c r="Z801" i="3315"/>
  <c r="AD801" i="3315" s="1"/>
  <c r="I802" i="3315"/>
  <c r="AG802" i="3315" s="1"/>
  <c r="Q802" i="3315"/>
  <c r="R802" i="3315" s="1"/>
  <c r="Z802" i="3315"/>
  <c r="AD802" i="3315" s="1"/>
  <c r="I803" i="3315"/>
  <c r="Q803" i="3315"/>
  <c r="R803" i="3315" s="1"/>
  <c r="Z803" i="3315"/>
  <c r="AD803" i="3315" s="1"/>
  <c r="I804" i="3315"/>
  <c r="AG804" i="3315" s="1"/>
  <c r="Q804" i="3315"/>
  <c r="R804" i="3315" s="1"/>
  <c r="Z804" i="3315"/>
  <c r="AD804" i="3315" s="1"/>
  <c r="I805" i="3315"/>
  <c r="AG805" i="3315" s="1"/>
  <c r="Q805" i="3315"/>
  <c r="R805" i="3315" s="1"/>
  <c r="Z805" i="3315"/>
  <c r="AD805" i="3315" s="1"/>
  <c r="I806" i="3315"/>
  <c r="Q806" i="3315"/>
  <c r="R806" i="3315" s="1"/>
  <c r="Z806" i="3315"/>
  <c r="AD806" i="3315" s="1"/>
  <c r="I807" i="3315"/>
  <c r="Q807" i="3315"/>
  <c r="R807" i="3315" s="1"/>
  <c r="Z807" i="3315"/>
  <c r="AD807" i="3315" s="1"/>
  <c r="I808" i="3315"/>
  <c r="AG808" i="3315" s="1"/>
  <c r="Q808" i="3315"/>
  <c r="R808" i="3315" s="1"/>
  <c r="Z808" i="3315"/>
  <c r="AD808" i="3315" s="1"/>
  <c r="I809" i="3315"/>
  <c r="AG809" i="3315" s="1"/>
  <c r="Q809" i="3315"/>
  <c r="R809" i="3315" s="1"/>
  <c r="Z809" i="3315"/>
  <c r="AD809" i="3315" s="1"/>
  <c r="I810" i="3315"/>
  <c r="AG810" i="3315" s="1"/>
  <c r="Q810" i="3315"/>
  <c r="R810" i="3315" s="1"/>
  <c r="Z810" i="3315"/>
  <c r="AD810" i="3315" s="1"/>
  <c r="I811" i="3315"/>
  <c r="Q811" i="3315"/>
  <c r="R811" i="3315" s="1"/>
  <c r="Z811" i="3315"/>
  <c r="AD811" i="3315" s="1"/>
  <c r="I812" i="3315"/>
  <c r="AG812" i="3315" s="1"/>
  <c r="Q812" i="3315"/>
  <c r="R812" i="3315" s="1"/>
  <c r="Z812" i="3315"/>
  <c r="AD812" i="3315" s="1"/>
  <c r="I813" i="3315"/>
  <c r="Q813" i="3315"/>
  <c r="R813" i="3315" s="1"/>
  <c r="Z813" i="3315"/>
  <c r="AD813" i="3315" s="1"/>
  <c r="I814" i="3315"/>
  <c r="AG814" i="3315" s="1"/>
  <c r="Q814" i="3315"/>
  <c r="R814" i="3315" s="1"/>
  <c r="Z814" i="3315"/>
  <c r="AD814" i="3315" s="1"/>
  <c r="I815" i="3315"/>
  <c r="Q815" i="3315"/>
  <c r="R815" i="3315" s="1"/>
  <c r="Z815" i="3315"/>
  <c r="AD815" i="3315" s="1"/>
  <c r="I816" i="3315"/>
  <c r="Q816" i="3315"/>
  <c r="R816" i="3315" s="1"/>
  <c r="Z816" i="3315"/>
  <c r="AD816" i="3315" s="1"/>
  <c r="I817" i="3315"/>
  <c r="AG817" i="3315" s="1"/>
  <c r="Q817" i="3315"/>
  <c r="R817" i="3315" s="1"/>
  <c r="Z817" i="3315"/>
  <c r="AD817" i="3315" s="1"/>
  <c r="I818" i="3315"/>
  <c r="Q818" i="3315"/>
  <c r="R818" i="3315" s="1"/>
  <c r="Z818" i="3315"/>
  <c r="AD818" i="3315" s="1"/>
  <c r="I819" i="3315"/>
  <c r="Q819" i="3315"/>
  <c r="R819" i="3315" s="1"/>
  <c r="Z819" i="3315"/>
  <c r="AD819" i="3315" s="1"/>
  <c r="I820" i="3315"/>
  <c r="AG820" i="3315" s="1"/>
  <c r="Q820" i="3315"/>
  <c r="R820" i="3315" s="1"/>
  <c r="Z820" i="3315"/>
  <c r="AD820" i="3315" s="1"/>
  <c r="I821" i="3315"/>
  <c r="Q821" i="3315"/>
  <c r="R821" i="3315" s="1"/>
  <c r="Z821" i="3315"/>
  <c r="AD821" i="3315" s="1"/>
  <c r="I822" i="3315"/>
  <c r="AG822" i="3315" s="1"/>
  <c r="Q822" i="3315"/>
  <c r="R822" i="3315" s="1"/>
  <c r="Z822" i="3315"/>
  <c r="AD822" i="3315" s="1"/>
  <c r="I823" i="3315"/>
  <c r="Q823" i="3315"/>
  <c r="R823" i="3315" s="1"/>
  <c r="Z823" i="3315"/>
  <c r="AD823" i="3315" s="1"/>
  <c r="I824" i="3315"/>
  <c r="AG824" i="3315" s="1"/>
  <c r="Q824" i="3315"/>
  <c r="R824" i="3315" s="1"/>
  <c r="Z824" i="3315"/>
  <c r="AD824" i="3315" s="1"/>
  <c r="I825" i="3315"/>
  <c r="Q825" i="3315"/>
  <c r="R825" i="3315" s="1"/>
  <c r="Z825" i="3315"/>
  <c r="AD825" i="3315" s="1"/>
  <c r="I826" i="3315"/>
  <c r="AG826" i="3315" s="1"/>
  <c r="Q826" i="3315"/>
  <c r="R826" i="3315" s="1"/>
  <c r="Z826" i="3315"/>
  <c r="AD826" i="3315" s="1"/>
  <c r="I827" i="3315"/>
  <c r="Q827" i="3315"/>
  <c r="R827" i="3315" s="1"/>
  <c r="Z827" i="3315"/>
  <c r="AD827" i="3315" s="1"/>
  <c r="I828" i="3315"/>
  <c r="AG828" i="3315" s="1"/>
  <c r="Q828" i="3315"/>
  <c r="R828" i="3315" s="1"/>
  <c r="Z828" i="3315"/>
  <c r="AD828" i="3315" s="1"/>
  <c r="I829" i="3315"/>
  <c r="AG829" i="3315" s="1"/>
  <c r="Q829" i="3315"/>
  <c r="R829" i="3315" s="1"/>
  <c r="Z829" i="3315"/>
  <c r="AD829" i="3315" s="1"/>
  <c r="I830" i="3315"/>
  <c r="Q830" i="3315"/>
  <c r="R830" i="3315" s="1"/>
  <c r="Z830" i="3315"/>
  <c r="AD830" i="3315" s="1"/>
  <c r="I831" i="3315"/>
  <c r="AG831" i="3315" s="1"/>
  <c r="Q831" i="3315"/>
  <c r="R831" i="3315" s="1"/>
  <c r="Z831" i="3315"/>
  <c r="AD831" i="3315" s="1"/>
  <c r="I832" i="3315"/>
  <c r="AG832" i="3315" s="1"/>
  <c r="Q832" i="3315"/>
  <c r="R832" i="3315" s="1"/>
  <c r="Z832" i="3315"/>
  <c r="AD832" i="3315" s="1"/>
  <c r="I833" i="3315"/>
  <c r="Q833" i="3315"/>
  <c r="R833" i="3315" s="1"/>
  <c r="Z833" i="3315"/>
  <c r="AD833" i="3315" s="1"/>
  <c r="I834" i="3315"/>
  <c r="Q834" i="3315"/>
  <c r="R834" i="3315" s="1"/>
  <c r="Z834" i="3315"/>
  <c r="AD834" i="3315" s="1"/>
  <c r="I835" i="3315"/>
  <c r="AG835" i="3315" s="1"/>
  <c r="Q835" i="3315"/>
  <c r="R835" i="3315" s="1"/>
  <c r="Z835" i="3315"/>
  <c r="AD835" i="3315" s="1"/>
  <c r="I836" i="3315"/>
  <c r="AG836" i="3315" s="1"/>
  <c r="Q836" i="3315"/>
  <c r="R836" i="3315" s="1"/>
  <c r="Z836" i="3315"/>
  <c r="AD836" i="3315" s="1"/>
  <c r="I837" i="3315"/>
  <c r="AG837" i="3315" s="1"/>
  <c r="Q837" i="3315"/>
  <c r="R837" i="3315" s="1"/>
  <c r="Z837" i="3315"/>
  <c r="AD837" i="3315" s="1"/>
  <c r="I838" i="3315"/>
  <c r="Q838" i="3315"/>
  <c r="R838" i="3315" s="1"/>
  <c r="Z838" i="3315"/>
  <c r="AD838" i="3315" s="1"/>
  <c r="I839" i="3315"/>
  <c r="AG839" i="3315" s="1"/>
  <c r="Q839" i="3315"/>
  <c r="R839" i="3315" s="1"/>
  <c r="Z839" i="3315"/>
  <c r="AD839" i="3315" s="1"/>
  <c r="I840" i="3315"/>
  <c r="Q840" i="3315"/>
  <c r="R840" i="3315" s="1"/>
  <c r="Z840" i="3315"/>
  <c r="AD840" i="3315" s="1"/>
  <c r="I841" i="3315"/>
  <c r="Q841" i="3315"/>
  <c r="R841" i="3315" s="1"/>
  <c r="Z841" i="3315"/>
  <c r="AD841" i="3315" s="1"/>
  <c r="I842" i="3315"/>
  <c r="Q842" i="3315"/>
  <c r="R842" i="3315" s="1"/>
  <c r="Z842" i="3315"/>
  <c r="AD842" i="3315" s="1"/>
  <c r="I843" i="3315"/>
  <c r="Q843" i="3315"/>
  <c r="R843" i="3315" s="1"/>
  <c r="Z843" i="3315"/>
  <c r="AD843" i="3315" s="1"/>
  <c r="I844" i="3315"/>
  <c r="AG844" i="3315" s="1"/>
  <c r="Q844" i="3315"/>
  <c r="R844" i="3315" s="1"/>
  <c r="Z844" i="3315"/>
  <c r="AD844" i="3315" s="1"/>
  <c r="I845" i="3315"/>
  <c r="AG845" i="3315" s="1"/>
  <c r="Q845" i="3315"/>
  <c r="R845" i="3315" s="1"/>
  <c r="Z845" i="3315"/>
  <c r="AD845" i="3315" s="1"/>
  <c r="I846" i="3315"/>
  <c r="Q846" i="3315"/>
  <c r="R846" i="3315" s="1"/>
  <c r="Z846" i="3315"/>
  <c r="AD846" i="3315" s="1"/>
  <c r="I847" i="3315"/>
  <c r="AG847" i="3315" s="1"/>
  <c r="Q847" i="3315"/>
  <c r="R847" i="3315" s="1"/>
  <c r="Z847" i="3315"/>
  <c r="AD847" i="3315" s="1"/>
  <c r="I848" i="3315"/>
  <c r="J848" i="3315" s="1"/>
  <c r="Q848" i="3315"/>
  <c r="R848" i="3315" s="1"/>
  <c r="Z848" i="3315"/>
  <c r="AD848" i="3315" s="1"/>
  <c r="I849" i="3315"/>
  <c r="J849" i="3315" s="1"/>
  <c r="Q849" i="3315"/>
  <c r="R849" i="3315" s="1"/>
  <c r="Z849" i="3315"/>
  <c r="AD849" i="3315" s="1"/>
  <c r="I850" i="3315"/>
  <c r="J850" i="3315" s="1"/>
  <c r="Q850" i="3315"/>
  <c r="R850" i="3315" s="1"/>
  <c r="Z850" i="3315"/>
  <c r="AD850" i="3315" s="1"/>
  <c r="I851" i="3315"/>
  <c r="Q851" i="3315"/>
  <c r="R851" i="3315" s="1"/>
  <c r="Z851" i="3315"/>
  <c r="AD851" i="3315" s="1"/>
  <c r="J852" i="3315"/>
  <c r="Q852" i="3315"/>
  <c r="R852" i="3315" s="1"/>
  <c r="Z852" i="3315"/>
  <c r="AD852" i="3315" s="1"/>
  <c r="J853" i="3315"/>
  <c r="Q853" i="3315"/>
  <c r="R853" i="3315" s="1"/>
  <c r="Z853" i="3315"/>
  <c r="AD853" i="3315" s="1"/>
  <c r="J854" i="3315"/>
  <c r="Q854" i="3315"/>
  <c r="R854" i="3315" s="1"/>
  <c r="Z854" i="3315"/>
  <c r="AD854" i="3315" s="1"/>
  <c r="AG855" i="3315"/>
  <c r="Q855" i="3315"/>
  <c r="R855" i="3315" s="1"/>
  <c r="Z855" i="3315"/>
  <c r="AD855" i="3315" s="1"/>
  <c r="J856" i="3315"/>
  <c r="Q856" i="3315"/>
  <c r="R856" i="3315" s="1"/>
  <c r="Z856" i="3315"/>
  <c r="AD856" i="3315" s="1"/>
  <c r="J857" i="3315"/>
  <c r="Q857" i="3315"/>
  <c r="R857" i="3315" s="1"/>
  <c r="Z857" i="3315"/>
  <c r="AD857" i="3315" s="1"/>
  <c r="J858" i="3315"/>
  <c r="Q858" i="3315"/>
  <c r="R858" i="3315" s="1"/>
  <c r="Z858" i="3315"/>
  <c r="AD858" i="3315" s="1"/>
  <c r="J859" i="3315"/>
  <c r="Q859" i="3315"/>
  <c r="R859" i="3315" s="1"/>
  <c r="Z859" i="3315"/>
  <c r="AD859" i="3315" s="1"/>
  <c r="J860" i="3315"/>
  <c r="Q860" i="3315"/>
  <c r="R860" i="3315" s="1"/>
  <c r="Z860" i="3315"/>
  <c r="AD860" i="3315" s="1"/>
  <c r="J861" i="3315"/>
  <c r="Q861" i="3315"/>
  <c r="R861" i="3315" s="1"/>
  <c r="Z861" i="3315"/>
  <c r="AD861" i="3315" s="1"/>
  <c r="I468" i="3315"/>
  <c r="J468" i="3315" s="1"/>
  <c r="Q468" i="3315"/>
  <c r="R468" i="3315" s="1"/>
  <c r="Z468" i="3315"/>
  <c r="AD468" i="3315" s="1"/>
  <c r="I469" i="3315"/>
  <c r="J469" i="3315" s="1"/>
  <c r="Q469" i="3315"/>
  <c r="R469" i="3315" s="1"/>
  <c r="Z469" i="3315"/>
  <c r="AD469" i="3315" s="1"/>
  <c r="J470" i="3315"/>
  <c r="Q470" i="3315"/>
  <c r="R470" i="3315" s="1"/>
  <c r="Z470" i="3315"/>
  <c r="AD470" i="3315" s="1"/>
  <c r="I471" i="3315"/>
  <c r="Q471" i="3315"/>
  <c r="R471" i="3315" s="1"/>
  <c r="Z471" i="3315"/>
  <c r="AD471" i="3315" s="1"/>
  <c r="I472" i="3315"/>
  <c r="J472" i="3315" s="1"/>
  <c r="Q472" i="3315"/>
  <c r="R472" i="3315" s="1"/>
  <c r="Z472" i="3315"/>
  <c r="AD472" i="3315" s="1"/>
  <c r="I473" i="3315"/>
  <c r="J473" i="3315" s="1"/>
  <c r="Q473" i="3315"/>
  <c r="R473" i="3315" s="1"/>
  <c r="Z473" i="3315"/>
  <c r="AD473" i="3315" s="1"/>
  <c r="I474" i="3315"/>
  <c r="J474" i="3315" s="1"/>
  <c r="Q474" i="3315"/>
  <c r="R474" i="3315" s="1"/>
  <c r="Z474" i="3315"/>
  <c r="AD474" i="3315" s="1"/>
  <c r="I475" i="3315"/>
  <c r="J475" i="3315" s="1"/>
  <c r="Q475" i="3315"/>
  <c r="R475" i="3315" s="1"/>
  <c r="Z475" i="3315"/>
  <c r="AD475" i="3315" s="1"/>
  <c r="I476" i="3315"/>
  <c r="J476" i="3315" s="1"/>
  <c r="Q476" i="3315"/>
  <c r="R476" i="3315" s="1"/>
  <c r="Z476" i="3315"/>
  <c r="AD476" i="3315" s="1"/>
  <c r="I477" i="3315"/>
  <c r="Q477" i="3315"/>
  <c r="R477" i="3315" s="1"/>
  <c r="Z477" i="3315"/>
  <c r="AD477" i="3315" s="1"/>
  <c r="I478" i="3315"/>
  <c r="Q478" i="3315"/>
  <c r="R478" i="3315" s="1"/>
  <c r="Z478" i="3315"/>
  <c r="AD478" i="3315" s="1"/>
  <c r="I479" i="3315"/>
  <c r="J479" i="3315" s="1"/>
  <c r="Q479" i="3315"/>
  <c r="R479" i="3315" s="1"/>
  <c r="Z479" i="3315"/>
  <c r="AD479" i="3315" s="1"/>
  <c r="I480" i="3315"/>
  <c r="J480" i="3315" s="1"/>
  <c r="Q480" i="3315"/>
  <c r="R480" i="3315" s="1"/>
  <c r="Z480" i="3315"/>
  <c r="AD480" i="3315" s="1"/>
  <c r="I419" i="3315"/>
  <c r="J419" i="3315" s="1"/>
  <c r="M419" i="3315"/>
  <c r="N419" i="3315" s="1"/>
  <c r="Q419" i="3315"/>
  <c r="R419" i="3315" s="1"/>
  <c r="Z419" i="3315"/>
  <c r="AD419" i="3315" s="1"/>
  <c r="J420" i="3315"/>
  <c r="M420" i="3315"/>
  <c r="N420" i="3315" s="1"/>
  <c r="Q420" i="3315"/>
  <c r="R420" i="3315" s="1"/>
  <c r="Z420" i="3315"/>
  <c r="AD420" i="3315" s="1"/>
  <c r="M421" i="3315"/>
  <c r="N421" i="3315" s="1"/>
  <c r="Q421" i="3315"/>
  <c r="R421" i="3315" s="1"/>
  <c r="Z421" i="3315"/>
  <c r="AD421" i="3315" s="1"/>
  <c r="J422" i="3315"/>
  <c r="M422" i="3315"/>
  <c r="N422" i="3315" s="1"/>
  <c r="Q422" i="3315"/>
  <c r="R422" i="3315" s="1"/>
  <c r="Z422" i="3315"/>
  <c r="AD422" i="3315" s="1"/>
  <c r="J423" i="3315"/>
  <c r="M423" i="3315"/>
  <c r="N423" i="3315" s="1"/>
  <c r="Q423" i="3315"/>
  <c r="R423" i="3315" s="1"/>
  <c r="Z423" i="3315"/>
  <c r="AD423" i="3315" s="1"/>
  <c r="J424" i="3315"/>
  <c r="M424" i="3315"/>
  <c r="N424" i="3315" s="1"/>
  <c r="Q424" i="3315"/>
  <c r="R424" i="3315" s="1"/>
  <c r="Z424" i="3315"/>
  <c r="AD424" i="3315" s="1"/>
  <c r="AG425" i="3315"/>
  <c r="M425" i="3315"/>
  <c r="N425" i="3315" s="1"/>
  <c r="Q425" i="3315"/>
  <c r="R425" i="3315" s="1"/>
  <c r="Z425" i="3315"/>
  <c r="AD425" i="3315" s="1"/>
  <c r="J426" i="3315"/>
  <c r="M426" i="3315"/>
  <c r="N426" i="3315" s="1"/>
  <c r="Q426" i="3315"/>
  <c r="R426" i="3315" s="1"/>
  <c r="Z426" i="3315"/>
  <c r="AD426" i="3315" s="1"/>
  <c r="J427" i="3315"/>
  <c r="M427" i="3315"/>
  <c r="N427" i="3315" s="1"/>
  <c r="Q427" i="3315"/>
  <c r="R427" i="3315" s="1"/>
  <c r="Z427" i="3315"/>
  <c r="AD427" i="3315" s="1"/>
  <c r="I428" i="3315"/>
  <c r="AG428" i="3315" s="1"/>
  <c r="M428" i="3315"/>
  <c r="N428" i="3315" s="1"/>
  <c r="Q428" i="3315"/>
  <c r="R428" i="3315" s="1"/>
  <c r="Z428" i="3315"/>
  <c r="AD428" i="3315" s="1"/>
  <c r="I429" i="3315"/>
  <c r="J429" i="3315" s="1"/>
  <c r="M429" i="3315"/>
  <c r="N429" i="3315" s="1"/>
  <c r="Q429" i="3315"/>
  <c r="R429" i="3315" s="1"/>
  <c r="Z429" i="3315"/>
  <c r="AD429" i="3315" s="1"/>
  <c r="I430" i="3315"/>
  <c r="J430" i="3315" s="1"/>
  <c r="M430" i="3315"/>
  <c r="N430" i="3315" s="1"/>
  <c r="Q430" i="3315"/>
  <c r="R430" i="3315" s="1"/>
  <c r="Z430" i="3315"/>
  <c r="AD430" i="3315" s="1"/>
  <c r="J431" i="3315"/>
  <c r="M431" i="3315"/>
  <c r="N431" i="3315" s="1"/>
  <c r="Q431" i="3315"/>
  <c r="R431" i="3315" s="1"/>
  <c r="Z431" i="3315"/>
  <c r="AD431" i="3315" s="1"/>
  <c r="J432" i="3315"/>
  <c r="M432" i="3315"/>
  <c r="N432" i="3315" s="1"/>
  <c r="Q432" i="3315"/>
  <c r="R432" i="3315" s="1"/>
  <c r="Z432" i="3315"/>
  <c r="AD432" i="3315" s="1"/>
  <c r="J433" i="3315"/>
  <c r="M433" i="3315"/>
  <c r="N433" i="3315" s="1"/>
  <c r="Q433" i="3315"/>
  <c r="R433" i="3315" s="1"/>
  <c r="Z433" i="3315"/>
  <c r="AD433" i="3315" s="1"/>
  <c r="I434" i="3315"/>
  <c r="J434" i="3315" s="1"/>
  <c r="M434" i="3315"/>
  <c r="N434" i="3315" s="1"/>
  <c r="Q434" i="3315"/>
  <c r="R434" i="3315" s="1"/>
  <c r="Z434" i="3315"/>
  <c r="AD434" i="3315" s="1"/>
  <c r="I435" i="3315"/>
  <c r="AG435" i="3315" s="1"/>
  <c r="M435" i="3315"/>
  <c r="N435" i="3315" s="1"/>
  <c r="Q435" i="3315"/>
  <c r="R435" i="3315" s="1"/>
  <c r="Z435" i="3315"/>
  <c r="AD435" i="3315" s="1"/>
  <c r="I436" i="3315"/>
  <c r="J436" i="3315" s="1"/>
  <c r="M436" i="3315"/>
  <c r="N436" i="3315" s="1"/>
  <c r="Q436" i="3315"/>
  <c r="R436" i="3315" s="1"/>
  <c r="Z436" i="3315"/>
  <c r="AD436" i="3315" s="1"/>
  <c r="I437" i="3315"/>
  <c r="M437" i="3315"/>
  <c r="N437" i="3315" s="1"/>
  <c r="Q437" i="3315"/>
  <c r="R437" i="3315" s="1"/>
  <c r="Z437" i="3315"/>
  <c r="AD437" i="3315" s="1"/>
  <c r="I438" i="3315"/>
  <c r="M438" i="3315"/>
  <c r="N438" i="3315" s="1"/>
  <c r="Q438" i="3315"/>
  <c r="R438" i="3315" s="1"/>
  <c r="Z438" i="3315"/>
  <c r="AD438" i="3315" s="1"/>
  <c r="I439" i="3315"/>
  <c r="J439" i="3315" s="1"/>
  <c r="M439" i="3315"/>
  <c r="N439" i="3315" s="1"/>
  <c r="Q439" i="3315"/>
  <c r="R439" i="3315" s="1"/>
  <c r="Z439" i="3315"/>
  <c r="AD439" i="3315" s="1"/>
  <c r="I440" i="3315"/>
  <c r="M440" i="3315"/>
  <c r="N440" i="3315" s="1"/>
  <c r="Q440" i="3315"/>
  <c r="R440" i="3315" s="1"/>
  <c r="Z440" i="3315"/>
  <c r="AD440" i="3315" s="1"/>
  <c r="I441" i="3315"/>
  <c r="J441" i="3315" s="1"/>
  <c r="M441" i="3315"/>
  <c r="N441" i="3315" s="1"/>
  <c r="Q441" i="3315"/>
  <c r="R441" i="3315" s="1"/>
  <c r="Z441" i="3315"/>
  <c r="AD441" i="3315" s="1"/>
  <c r="J442" i="3315"/>
  <c r="M442" i="3315"/>
  <c r="N442" i="3315" s="1"/>
  <c r="Q442" i="3315"/>
  <c r="R442" i="3315" s="1"/>
  <c r="Z442" i="3315"/>
  <c r="AD442" i="3315" s="1"/>
  <c r="J443" i="3315"/>
  <c r="M443" i="3315"/>
  <c r="N443" i="3315" s="1"/>
  <c r="Q443" i="3315"/>
  <c r="R443" i="3315" s="1"/>
  <c r="Z443" i="3315"/>
  <c r="AD443" i="3315" s="1"/>
  <c r="J444" i="3315"/>
  <c r="M444" i="3315"/>
  <c r="N444" i="3315" s="1"/>
  <c r="Q444" i="3315"/>
  <c r="R444" i="3315" s="1"/>
  <c r="Z444" i="3315"/>
  <c r="AD444" i="3315" s="1"/>
  <c r="J445" i="3315"/>
  <c r="M445" i="3315"/>
  <c r="N445" i="3315" s="1"/>
  <c r="Q445" i="3315"/>
  <c r="R445" i="3315" s="1"/>
  <c r="Z445" i="3315"/>
  <c r="AD445" i="3315" s="1"/>
  <c r="J446" i="3315"/>
  <c r="M446" i="3315"/>
  <c r="N446" i="3315" s="1"/>
  <c r="Q446" i="3315"/>
  <c r="R446" i="3315" s="1"/>
  <c r="Z446" i="3315"/>
  <c r="AD446" i="3315" s="1"/>
  <c r="M447" i="3315"/>
  <c r="N447" i="3315" s="1"/>
  <c r="Q447" i="3315"/>
  <c r="R447" i="3315" s="1"/>
  <c r="Z447" i="3315"/>
  <c r="AD447" i="3315" s="1"/>
  <c r="J448" i="3315"/>
  <c r="M448" i="3315"/>
  <c r="N448" i="3315" s="1"/>
  <c r="Q448" i="3315"/>
  <c r="R448" i="3315" s="1"/>
  <c r="Z448" i="3315"/>
  <c r="AD448" i="3315" s="1"/>
  <c r="M449" i="3315"/>
  <c r="N449" i="3315" s="1"/>
  <c r="Q449" i="3315"/>
  <c r="R449" i="3315" s="1"/>
  <c r="Z449" i="3315"/>
  <c r="AD449" i="3315" s="1"/>
  <c r="M450" i="3315"/>
  <c r="N450" i="3315" s="1"/>
  <c r="Q450" i="3315"/>
  <c r="R450" i="3315" s="1"/>
  <c r="Z450" i="3315"/>
  <c r="AD450" i="3315" s="1"/>
  <c r="M451" i="3315"/>
  <c r="N451" i="3315" s="1"/>
  <c r="Q451" i="3315"/>
  <c r="R451" i="3315" s="1"/>
  <c r="Z451" i="3315"/>
  <c r="AD451" i="3315" s="1"/>
  <c r="J452" i="3315"/>
  <c r="M452" i="3315"/>
  <c r="N452" i="3315" s="1"/>
  <c r="Q452" i="3315"/>
  <c r="R452" i="3315" s="1"/>
  <c r="Z452" i="3315"/>
  <c r="AD452" i="3315" s="1"/>
  <c r="J453" i="3315"/>
  <c r="M453" i="3315"/>
  <c r="N453" i="3315" s="1"/>
  <c r="Q453" i="3315"/>
  <c r="R453" i="3315" s="1"/>
  <c r="Z453" i="3315"/>
  <c r="AD453" i="3315" s="1"/>
  <c r="J454" i="3315"/>
  <c r="M454" i="3315"/>
  <c r="N454" i="3315" s="1"/>
  <c r="Q454" i="3315"/>
  <c r="R454" i="3315" s="1"/>
  <c r="Z454" i="3315"/>
  <c r="AD454" i="3315" s="1"/>
  <c r="AG455" i="3315"/>
  <c r="M455" i="3315"/>
  <c r="N455" i="3315" s="1"/>
  <c r="Q455" i="3315"/>
  <c r="R455" i="3315" s="1"/>
  <c r="Z455" i="3315"/>
  <c r="AD455" i="3315" s="1"/>
  <c r="J456" i="3315"/>
  <c r="M456" i="3315"/>
  <c r="N456" i="3315" s="1"/>
  <c r="Q456" i="3315"/>
  <c r="R456" i="3315" s="1"/>
  <c r="Z456" i="3315"/>
  <c r="AD456" i="3315" s="1"/>
  <c r="J457" i="3315"/>
  <c r="M457" i="3315"/>
  <c r="N457" i="3315" s="1"/>
  <c r="Q457" i="3315"/>
  <c r="R457" i="3315" s="1"/>
  <c r="Z457" i="3315"/>
  <c r="AD457" i="3315" s="1"/>
  <c r="J458" i="3315"/>
  <c r="M458" i="3315"/>
  <c r="N458" i="3315" s="1"/>
  <c r="Q458" i="3315"/>
  <c r="R458" i="3315" s="1"/>
  <c r="Z458" i="3315"/>
  <c r="AD458" i="3315" s="1"/>
  <c r="J459" i="3315"/>
  <c r="M459" i="3315"/>
  <c r="N459" i="3315" s="1"/>
  <c r="Q459" i="3315"/>
  <c r="R459" i="3315" s="1"/>
  <c r="Z459" i="3315"/>
  <c r="AD459" i="3315" s="1"/>
  <c r="J460" i="3315"/>
  <c r="M460" i="3315"/>
  <c r="N460" i="3315" s="1"/>
  <c r="Q460" i="3315"/>
  <c r="R460" i="3315" s="1"/>
  <c r="Z460" i="3315"/>
  <c r="AD460" i="3315" s="1"/>
  <c r="J461" i="3315"/>
  <c r="M461" i="3315"/>
  <c r="N461" i="3315" s="1"/>
  <c r="Q461" i="3315"/>
  <c r="R461" i="3315" s="1"/>
  <c r="Z461" i="3315"/>
  <c r="AD461" i="3315" s="1"/>
  <c r="J462" i="3315"/>
  <c r="M462" i="3315"/>
  <c r="N462" i="3315" s="1"/>
  <c r="Q462" i="3315"/>
  <c r="R462" i="3315" s="1"/>
  <c r="Z462" i="3315"/>
  <c r="AD462" i="3315" s="1"/>
  <c r="I463" i="3315"/>
  <c r="J463" i="3315" s="1"/>
  <c r="M463" i="3315"/>
  <c r="N463" i="3315" s="1"/>
  <c r="Q463" i="3315"/>
  <c r="R463" i="3315" s="1"/>
  <c r="Z463" i="3315"/>
  <c r="AD463" i="3315" s="1"/>
  <c r="I355" i="3315"/>
  <c r="J355" i="3315" s="1"/>
  <c r="Q355" i="3315"/>
  <c r="R355" i="3315" s="1"/>
  <c r="Z355" i="3315"/>
  <c r="AD355" i="3315" s="1"/>
  <c r="I356" i="3315"/>
  <c r="J356" i="3315" s="1"/>
  <c r="Q356" i="3315"/>
  <c r="R356" i="3315" s="1"/>
  <c r="Z356" i="3315"/>
  <c r="AD356" i="3315" s="1"/>
  <c r="J357" i="3315"/>
  <c r="Q357" i="3315"/>
  <c r="R357" i="3315" s="1"/>
  <c r="Z357" i="3315"/>
  <c r="AD357" i="3315" s="1"/>
  <c r="I358" i="3315"/>
  <c r="J358" i="3315" s="1"/>
  <c r="Q358" i="3315"/>
  <c r="R358" i="3315" s="1"/>
  <c r="Z358" i="3315"/>
  <c r="AD358" i="3315" s="1"/>
  <c r="I359" i="3315"/>
  <c r="J359" i="3315" s="1"/>
  <c r="Q359" i="3315"/>
  <c r="R359" i="3315" s="1"/>
  <c r="Z359" i="3315"/>
  <c r="AD359" i="3315" s="1"/>
  <c r="I360" i="3315"/>
  <c r="J360" i="3315" s="1"/>
  <c r="Q360" i="3315"/>
  <c r="R360" i="3315" s="1"/>
  <c r="Z360" i="3315"/>
  <c r="AD360" i="3315" s="1"/>
  <c r="I361" i="3315"/>
  <c r="J361" i="3315" s="1"/>
  <c r="Q361" i="3315"/>
  <c r="R361" i="3315" s="1"/>
  <c r="Z361" i="3315"/>
  <c r="AD361" i="3315" s="1"/>
  <c r="I362" i="3315"/>
  <c r="J362" i="3315" s="1"/>
  <c r="Q362" i="3315"/>
  <c r="R362" i="3315" s="1"/>
  <c r="Z362" i="3315"/>
  <c r="AD362" i="3315" s="1"/>
  <c r="I363" i="3315"/>
  <c r="J363" i="3315" s="1"/>
  <c r="Q363" i="3315"/>
  <c r="R363" i="3315" s="1"/>
  <c r="Z363" i="3315"/>
  <c r="AD363" i="3315" s="1"/>
  <c r="I364" i="3315"/>
  <c r="J364" i="3315" s="1"/>
  <c r="Q364" i="3315"/>
  <c r="R364" i="3315" s="1"/>
  <c r="Z364" i="3315"/>
  <c r="AD364" i="3315" s="1"/>
  <c r="I365" i="3315"/>
  <c r="J365" i="3315" s="1"/>
  <c r="Q365" i="3315"/>
  <c r="R365" i="3315" s="1"/>
  <c r="Z365" i="3315"/>
  <c r="AD365" i="3315" s="1"/>
  <c r="I366" i="3315"/>
  <c r="J366" i="3315" s="1"/>
  <c r="Q366" i="3315"/>
  <c r="R366" i="3315" s="1"/>
  <c r="Z366" i="3315"/>
  <c r="AD366" i="3315" s="1"/>
  <c r="I367" i="3315"/>
  <c r="J367" i="3315" s="1"/>
  <c r="Q367" i="3315"/>
  <c r="R367" i="3315" s="1"/>
  <c r="Z367" i="3315"/>
  <c r="AD367" i="3315" s="1"/>
  <c r="I368" i="3315"/>
  <c r="J368" i="3315" s="1"/>
  <c r="Q368" i="3315"/>
  <c r="R368" i="3315" s="1"/>
  <c r="Z368" i="3315"/>
  <c r="AD368" i="3315" s="1"/>
  <c r="I369" i="3315"/>
  <c r="J369" i="3315" s="1"/>
  <c r="Q369" i="3315"/>
  <c r="R369" i="3315" s="1"/>
  <c r="Z369" i="3315"/>
  <c r="AD369" i="3315" s="1"/>
  <c r="I370" i="3315"/>
  <c r="J370" i="3315" s="1"/>
  <c r="Q370" i="3315"/>
  <c r="R370" i="3315" s="1"/>
  <c r="Z370" i="3315"/>
  <c r="AD370" i="3315" s="1"/>
  <c r="I371" i="3315"/>
  <c r="J371" i="3315" s="1"/>
  <c r="Q371" i="3315"/>
  <c r="R371" i="3315" s="1"/>
  <c r="Z371" i="3315"/>
  <c r="AD371" i="3315" s="1"/>
  <c r="I372" i="3315"/>
  <c r="Q372" i="3315"/>
  <c r="R372" i="3315" s="1"/>
  <c r="Z372" i="3315"/>
  <c r="AD372" i="3315" s="1"/>
  <c r="I373" i="3315"/>
  <c r="J373" i="3315" s="1"/>
  <c r="Q373" i="3315"/>
  <c r="R373" i="3315" s="1"/>
  <c r="Z373" i="3315"/>
  <c r="AD373" i="3315" s="1"/>
  <c r="I374" i="3315"/>
  <c r="AG374" i="3315" s="1"/>
  <c r="Q374" i="3315"/>
  <c r="R374" i="3315" s="1"/>
  <c r="Z374" i="3315"/>
  <c r="AD374" i="3315" s="1"/>
  <c r="I375" i="3315"/>
  <c r="J375" i="3315" s="1"/>
  <c r="Q375" i="3315"/>
  <c r="R375" i="3315" s="1"/>
  <c r="Z375" i="3315"/>
  <c r="AD375" i="3315" s="1"/>
  <c r="I376" i="3315"/>
  <c r="J376" i="3315" s="1"/>
  <c r="Q376" i="3315"/>
  <c r="R376" i="3315" s="1"/>
  <c r="Z376" i="3315"/>
  <c r="AD376" i="3315" s="1"/>
  <c r="I377" i="3315"/>
  <c r="J377" i="3315" s="1"/>
  <c r="Q377" i="3315"/>
  <c r="R377" i="3315" s="1"/>
  <c r="Z377" i="3315"/>
  <c r="AD377" i="3315" s="1"/>
  <c r="I378" i="3315"/>
  <c r="J378" i="3315" s="1"/>
  <c r="Q378" i="3315"/>
  <c r="R378" i="3315" s="1"/>
  <c r="Z378" i="3315"/>
  <c r="AD378" i="3315" s="1"/>
  <c r="I379" i="3315"/>
  <c r="J379" i="3315" s="1"/>
  <c r="Q379" i="3315"/>
  <c r="R379" i="3315" s="1"/>
  <c r="Z379" i="3315"/>
  <c r="AD379" i="3315" s="1"/>
  <c r="I380" i="3315"/>
  <c r="J380" i="3315" s="1"/>
  <c r="Q380" i="3315"/>
  <c r="R380" i="3315" s="1"/>
  <c r="Z380" i="3315"/>
  <c r="AD380" i="3315" s="1"/>
  <c r="I381" i="3315"/>
  <c r="J381" i="3315" s="1"/>
  <c r="Q381" i="3315"/>
  <c r="R381" i="3315" s="1"/>
  <c r="Z381" i="3315"/>
  <c r="AD381" i="3315" s="1"/>
  <c r="I382" i="3315"/>
  <c r="Q382" i="3315"/>
  <c r="R382" i="3315" s="1"/>
  <c r="Z382" i="3315"/>
  <c r="AD382" i="3315" s="1"/>
  <c r="I383" i="3315"/>
  <c r="AG383" i="3315" s="1"/>
  <c r="Q383" i="3315"/>
  <c r="R383" i="3315" s="1"/>
  <c r="Z383" i="3315"/>
  <c r="AD383" i="3315" s="1"/>
  <c r="I384" i="3315"/>
  <c r="Q384" i="3315"/>
  <c r="R384" i="3315" s="1"/>
  <c r="Z384" i="3315"/>
  <c r="AD384" i="3315" s="1"/>
  <c r="I385" i="3315"/>
  <c r="J385" i="3315" s="1"/>
  <c r="Q385" i="3315"/>
  <c r="R385" i="3315" s="1"/>
  <c r="Z385" i="3315"/>
  <c r="AD385" i="3315" s="1"/>
  <c r="I386" i="3315"/>
  <c r="Q386" i="3315"/>
  <c r="R386" i="3315" s="1"/>
  <c r="Z386" i="3315"/>
  <c r="AD386" i="3315" s="1"/>
  <c r="I387" i="3315"/>
  <c r="J387" i="3315" s="1"/>
  <c r="Q387" i="3315"/>
  <c r="R387" i="3315" s="1"/>
  <c r="Z387" i="3315"/>
  <c r="AD387" i="3315" s="1"/>
  <c r="I388" i="3315"/>
  <c r="Q388" i="3315"/>
  <c r="R388" i="3315" s="1"/>
  <c r="Z388" i="3315"/>
  <c r="AD388" i="3315" s="1"/>
  <c r="I389" i="3315"/>
  <c r="AG389" i="3315" s="1"/>
  <c r="Q389" i="3315"/>
  <c r="R389" i="3315" s="1"/>
  <c r="Z389" i="3315"/>
  <c r="AD389" i="3315" s="1"/>
  <c r="I390" i="3315"/>
  <c r="Q390" i="3315"/>
  <c r="R390" i="3315" s="1"/>
  <c r="Z390" i="3315"/>
  <c r="AD390" i="3315" s="1"/>
  <c r="I391" i="3315"/>
  <c r="Q391" i="3315"/>
  <c r="R391" i="3315" s="1"/>
  <c r="Z391" i="3315"/>
  <c r="AD391" i="3315" s="1"/>
  <c r="I392" i="3315"/>
  <c r="Q392" i="3315"/>
  <c r="R392" i="3315" s="1"/>
  <c r="Z392" i="3315"/>
  <c r="AD392" i="3315" s="1"/>
  <c r="I393" i="3315"/>
  <c r="J393" i="3315" s="1"/>
  <c r="Q393" i="3315"/>
  <c r="R393" i="3315" s="1"/>
  <c r="Z393" i="3315"/>
  <c r="AD393" i="3315" s="1"/>
  <c r="I394" i="3315"/>
  <c r="Q394" i="3315"/>
  <c r="R394" i="3315" s="1"/>
  <c r="Z394" i="3315"/>
  <c r="AD394" i="3315" s="1"/>
  <c r="I395" i="3315"/>
  <c r="AG395" i="3315" s="1"/>
  <c r="Q395" i="3315"/>
  <c r="R395" i="3315" s="1"/>
  <c r="Z395" i="3315"/>
  <c r="AD395" i="3315" s="1"/>
  <c r="I396" i="3315"/>
  <c r="J396" i="3315" s="1"/>
  <c r="Q396" i="3315"/>
  <c r="R396" i="3315" s="1"/>
  <c r="Z396" i="3315"/>
  <c r="AD396" i="3315" s="1"/>
  <c r="I397" i="3315"/>
  <c r="J397" i="3315" s="1"/>
  <c r="Q397" i="3315"/>
  <c r="R397" i="3315" s="1"/>
  <c r="Z397" i="3315"/>
  <c r="AD397" i="3315" s="1"/>
  <c r="I398" i="3315"/>
  <c r="J398" i="3315" s="1"/>
  <c r="Q398" i="3315"/>
  <c r="R398" i="3315" s="1"/>
  <c r="Z398" i="3315"/>
  <c r="AD398" i="3315" s="1"/>
  <c r="I399" i="3315"/>
  <c r="J399" i="3315" s="1"/>
  <c r="Q399" i="3315"/>
  <c r="R399" i="3315" s="1"/>
  <c r="Z399" i="3315"/>
  <c r="AD399" i="3315" s="1"/>
  <c r="I400" i="3315"/>
  <c r="J400" i="3315" s="1"/>
  <c r="Q400" i="3315"/>
  <c r="R400" i="3315" s="1"/>
  <c r="Z400" i="3315"/>
  <c r="AD400" i="3315" s="1"/>
  <c r="I401" i="3315"/>
  <c r="J401" i="3315" s="1"/>
  <c r="Q401" i="3315"/>
  <c r="R401" i="3315" s="1"/>
  <c r="Z401" i="3315"/>
  <c r="AD401" i="3315" s="1"/>
  <c r="I402" i="3315"/>
  <c r="J402" i="3315" s="1"/>
  <c r="Q402" i="3315"/>
  <c r="R402" i="3315" s="1"/>
  <c r="Z402" i="3315"/>
  <c r="AD402" i="3315" s="1"/>
  <c r="I403" i="3315"/>
  <c r="J403" i="3315" s="1"/>
  <c r="Q403" i="3315"/>
  <c r="R403" i="3315" s="1"/>
  <c r="Z403" i="3315"/>
  <c r="AD403" i="3315" s="1"/>
  <c r="I404" i="3315"/>
  <c r="J404" i="3315" s="1"/>
  <c r="Q404" i="3315"/>
  <c r="R404" i="3315" s="1"/>
  <c r="Z404" i="3315"/>
  <c r="AD404" i="3315" s="1"/>
  <c r="I405" i="3315"/>
  <c r="J405" i="3315" s="1"/>
  <c r="Q405" i="3315"/>
  <c r="R405" i="3315" s="1"/>
  <c r="Z405" i="3315"/>
  <c r="AD405" i="3315" s="1"/>
  <c r="I406" i="3315"/>
  <c r="J406" i="3315" s="1"/>
  <c r="Q406" i="3315"/>
  <c r="R406" i="3315" s="1"/>
  <c r="Z406" i="3315"/>
  <c r="AD406" i="3315" s="1"/>
  <c r="I407" i="3315"/>
  <c r="J407" i="3315" s="1"/>
  <c r="Q407" i="3315"/>
  <c r="R407" i="3315" s="1"/>
  <c r="Z407" i="3315"/>
  <c r="AD407" i="3315" s="1"/>
  <c r="I408" i="3315"/>
  <c r="J408" i="3315" s="1"/>
  <c r="Q408" i="3315"/>
  <c r="R408" i="3315" s="1"/>
  <c r="Z408" i="3315"/>
  <c r="AD408" i="3315" s="1"/>
  <c r="I409" i="3315"/>
  <c r="J409" i="3315" s="1"/>
  <c r="Q409" i="3315"/>
  <c r="R409" i="3315" s="1"/>
  <c r="Z409" i="3315"/>
  <c r="AD409" i="3315" s="1"/>
  <c r="I410" i="3315"/>
  <c r="J410" i="3315" s="1"/>
  <c r="Q410" i="3315"/>
  <c r="R410" i="3315" s="1"/>
  <c r="Z410" i="3315"/>
  <c r="AD410" i="3315" s="1"/>
  <c r="I411" i="3315"/>
  <c r="J411" i="3315" s="1"/>
  <c r="Q411" i="3315"/>
  <c r="R411" i="3315" s="1"/>
  <c r="Z411" i="3315"/>
  <c r="AD411" i="3315" s="1"/>
  <c r="I412" i="3315"/>
  <c r="J412" i="3315" s="1"/>
  <c r="Q412" i="3315"/>
  <c r="R412" i="3315" s="1"/>
  <c r="Z412" i="3315"/>
  <c r="AD412" i="3315" s="1"/>
  <c r="I413" i="3315"/>
  <c r="J413" i="3315" s="1"/>
  <c r="Q413" i="3315"/>
  <c r="R413" i="3315" s="1"/>
  <c r="Z413" i="3315"/>
  <c r="AD413" i="3315" s="1"/>
  <c r="I414" i="3315"/>
  <c r="J414" i="3315" s="1"/>
  <c r="Q414" i="3315"/>
  <c r="R414" i="3315" s="1"/>
  <c r="Z414" i="3315"/>
  <c r="AD414" i="3315" s="1"/>
  <c r="J345" i="3315"/>
  <c r="M345" i="3315"/>
  <c r="N345" i="3315" s="1"/>
  <c r="Q345" i="3315"/>
  <c r="R345" i="3315" s="1"/>
  <c r="Z345" i="3315"/>
  <c r="AD345" i="3315" s="1"/>
  <c r="J346" i="3315"/>
  <c r="M346" i="3315"/>
  <c r="N346" i="3315" s="1"/>
  <c r="Q346" i="3315"/>
  <c r="R346" i="3315" s="1"/>
  <c r="Z346" i="3315"/>
  <c r="AD346" i="3315" s="1"/>
  <c r="AG347" i="3315"/>
  <c r="M347" i="3315"/>
  <c r="N347" i="3315" s="1"/>
  <c r="Q347" i="3315"/>
  <c r="R347" i="3315" s="1"/>
  <c r="Z347" i="3315"/>
  <c r="AD347" i="3315" s="1"/>
  <c r="J348" i="3315"/>
  <c r="M348" i="3315"/>
  <c r="N348" i="3315" s="1"/>
  <c r="Q348" i="3315"/>
  <c r="R348" i="3315" s="1"/>
  <c r="Z348" i="3315"/>
  <c r="AD348" i="3315" s="1"/>
  <c r="J349" i="3315"/>
  <c r="M349" i="3315"/>
  <c r="N349" i="3315" s="1"/>
  <c r="Q349" i="3315"/>
  <c r="R349" i="3315" s="1"/>
  <c r="Z349" i="3315"/>
  <c r="AD349" i="3315" s="1"/>
  <c r="J350" i="3315"/>
  <c r="M350" i="3315"/>
  <c r="N350" i="3315" s="1"/>
  <c r="Q350" i="3315"/>
  <c r="R350" i="3315" s="1"/>
  <c r="Z350" i="3315"/>
  <c r="AD350" i="3315" s="1"/>
  <c r="I271" i="3315"/>
  <c r="J271" i="3315" s="1"/>
  <c r="Q271" i="3315"/>
  <c r="R271" i="3315" s="1"/>
  <c r="Z271" i="3315"/>
  <c r="AD271" i="3315" s="1"/>
  <c r="I272" i="3315"/>
  <c r="Q272" i="3315"/>
  <c r="R272" i="3315" s="1"/>
  <c r="Z272" i="3315"/>
  <c r="AD272" i="3315" s="1"/>
  <c r="I273" i="3315"/>
  <c r="J273" i="3315" s="1"/>
  <c r="Q273" i="3315"/>
  <c r="R273" i="3315" s="1"/>
  <c r="Z273" i="3315"/>
  <c r="AD273" i="3315" s="1"/>
  <c r="I274" i="3315"/>
  <c r="J274" i="3315" s="1"/>
  <c r="Q274" i="3315"/>
  <c r="R274" i="3315" s="1"/>
  <c r="Z274" i="3315"/>
  <c r="AD274" i="3315" s="1"/>
  <c r="I275" i="3315"/>
  <c r="Q275" i="3315"/>
  <c r="R275" i="3315" s="1"/>
  <c r="Z275" i="3315"/>
  <c r="AD275" i="3315" s="1"/>
  <c r="I276" i="3315"/>
  <c r="Q276" i="3315"/>
  <c r="R276" i="3315" s="1"/>
  <c r="Z276" i="3315"/>
  <c r="AD276" i="3315" s="1"/>
  <c r="I277" i="3315"/>
  <c r="J277" i="3315" s="1"/>
  <c r="Q277" i="3315"/>
  <c r="R277" i="3315" s="1"/>
  <c r="Z277" i="3315"/>
  <c r="AD277" i="3315" s="1"/>
  <c r="I278" i="3315"/>
  <c r="J278" i="3315" s="1"/>
  <c r="Q278" i="3315"/>
  <c r="R278" i="3315" s="1"/>
  <c r="Z278" i="3315"/>
  <c r="AD278" i="3315" s="1"/>
  <c r="I279" i="3315"/>
  <c r="J279" i="3315" s="1"/>
  <c r="Q279" i="3315"/>
  <c r="R279" i="3315" s="1"/>
  <c r="Z279" i="3315"/>
  <c r="AD279" i="3315" s="1"/>
  <c r="I280" i="3315"/>
  <c r="J280" i="3315" s="1"/>
  <c r="Q280" i="3315"/>
  <c r="R280" i="3315" s="1"/>
  <c r="Z280" i="3315"/>
  <c r="AD280" i="3315" s="1"/>
  <c r="J281" i="3315"/>
  <c r="Q281" i="3315"/>
  <c r="R281" i="3315" s="1"/>
  <c r="Z281" i="3315"/>
  <c r="AD281" i="3315" s="1"/>
  <c r="J282" i="3315"/>
  <c r="Q282" i="3315"/>
  <c r="R282" i="3315" s="1"/>
  <c r="Z282" i="3315"/>
  <c r="AD282" i="3315" s="1"/>
  <c r="Q283" i="3315"/>
  <c r="R283" i="3315" s="1"/>
  <c r="Z283" i="3315"/>
  <c r="AD283" i="3315" s="1"/>
  <c r="AG284" i="3315"/>
  <c r="Q284" i="3315"/>
  <c r="R284" i="3315" s="1"/>
  <c r="Z284" i="3315"/>
  <c r="AD284" i="3315" s="1"/>
  <c r="I285" i="3315"/>
  <c r="J285" i="3315" s="1"/>
  <c r="Q285" i="3315"/>
  <c r="R285" i="3315" s="1"/>
  <c r="Z285" i="3315"/>
  <c r="AD285" i="3315" s="1"/>
  <c r="I286" i="3315"/>
  <c r="J286" i="3315" s="1"/>
  <c r="Q286" i="3315"/>
  <c r="R286" i="3315" s="1"/>
  <c r="Z286" i="3315"/>
  <c r="AD286" i="3315" s="1"/>
  <c r="I287" i="3315"/>
  <c r="J287" i="3315" s="1"/>
  <c r="Q287" i="3315"/>
  <c r="R287" i="3315" s="1"/>
  <c r="Z287" i="3315"/>
  <c r="AD287" i="3315" s="1"/>
  <c r="I288" i="3315"/>
  <c r="Q288" i="3315"/>
  <c r="Z288" i="3315"/>
  <c r="AD288" i="3315" s="1"/>
  <c r="I289" i="3315"/>
  <c r="J289" i="3315" s="1"/>
  <c r="Q289" i="3315"/>
  <c r="R289" i="3315" s="1"/>
  <c r="Z289" i="3315"/>
  <c r="AD289" i="3315" s="1"/>
  <c r="I290" i="3315"/>
  <c r="J290" i="3315" s="1"/>
  <c r="Q290" i="3315"/>
  <c r="R290" i="3315" s="1"/>
  <c r="Z290" i="3315"/>
  <c r="AD290" i="3315" s="1"/>
  <c r="I291" i="3315"/>
  <c r="J291" i="3315" s="1"/>
  <c r="Q291" i="3315"/>
  <c r="R291" i="3315" s="1"/>
  <c r="Z291" i="3315"/>
  <c r="AD291" i="3315" s="1"/>
  <c r="I292" i="3315"/>
  <c r="AG292" i="3315" s="1"/>
  <c r="Q292" i="3315"/>
  <c r="R292" i="3315" s="1"/>
  <c r="Z292" i="3315"/>
  <c r="AD292" i="3315" s="1"/>
  <c r="I293" i="3315"/>
  <c r="J293" i="3315" s="1"/>
  <c r="Q293" i="3315"/>
  <c r="R293" i="3315" s="1"/>
  <c r="Z293" i="3315"/>
  <c r="AD293" i="3315" s="1"/>
  <c r="I294" i="3315"/>
  <c r="J294" i="3315" s="1"/>
  <c r="Q294" i="3315"/>
  <c r="R294" i="3315" s="1"/>
  <c r="Z294" i="3315"/>
  <c r="AD294" i="3315" s="1"/>
  <c r="I295" i="3315"/>
  <c r="J295" i="3315" s="1"/>
  <c r="Q295" i="3315"/>
  <c r="R295" i="3315" s="1"/>
  <c r="Z295" i="3315"/>
  <c r="AD295" i="3315" s="1"/>
  <c r="I296" i="3315"/>
  <c r="J296" i="3315" s="1"/>
  <c r="Q296" i="3315"/>
  <c r="R296" i="3315" s="1"/>
  <c r="Z296" i="3315"/>
  <c r="AD296" i="3315" s="1"/>
  <c r="I297" i="3315"/>
  <c r="J297" i="3315" s="1"/>
  <c r="Q297" i="3315"/>
  <c r="R297" i="3315" s="1"/>
  <c r="Z297" i="3315"/>
  <c r="AD297" i="3315" s="1"/>
  <c r="I298" i="3315"/>
  <c r="J298" i="3315" s="1"/>
  <c r="Q298" i="3315"/>
  <c r="R298" i="3315" s="1"/>
  <c r="Z298" i="3315"/>
  <c r="AD298" i="3315" s="1"/>
  <c r="I299" i="3315"/>
  <c r="J299" i="3315" s="1"/>
  <c r="Q299" i="3315"/>
  <c r="R299" i="3315" s="1"/>
  <c r="Z299" i="3315"/>
  <c r="AD299" i="3315" s="1"/>
  <c r="I300" i="3315"/>
  <c r="AG300" i="3315" s="1"/>
  <c r="Q300" i="3315"/>
  <c r="R300" i="3315" s="1"/>
  <c r="Z300" i="3315"/>
  <c r="AD300" i="3315" s="1"/>
  <c r="I301" i="3315"/>
  <c r="J301" i="3315" s="1"/>
  <c r="Q301" i="3315"/>
  <c r="R301" i="3315" s="1"/>
  <c r="Z301" i="3315"/>
  <c r="AD301" i="3315" s="1"/>
  <c r="I302" i="3315"/>
  <c r="J302" i="3315" s="1"/>
  <c r="Q302" i="3315"/>
  <c r="R302" i="3315" s="1"/>
  <c r="Z302" i="3315"/>
  <c r="AD302" i="3315" s="1"/>
  <c r="I303" i="3315"/>
  <c r="AG303" i="3315" s="1"/>
  <c r="Q303" i="3315"/>
  <c r="R303" i="3315" s="1"/>
  <c r="Z303" i="3315"/>
  <c r="AD303" i="3315" s="1"/>
  <c r="I304" i="3315"/>
  <c r="J304" i="3315" s="1"/>
  <c r="Q304" i="3315"/>
  <c r="R304" i="3315" s="1"/>
  <c r="Z304" i="3315"/>
  <c r="AD304" i="3315" s="1"/>
  <c r="I305" i="3315"/>
  <c r="Q305" i="3315"/>
  <c r="R305" i="3315" s="1"/>
  <c r="Z305" i="3315"/>
  <c r="AD305" i="3315" s="1"/>
  <c r="I306" i="3315"/>
  <c r="J306" i="3315" s="1"/>
  <c r="Q306" i="3315"/>
  <c r="R306" i="3315" s="1"/>
  <c r="Z306" i="3315"/>
  <c r="AD306" i="3315" s="1"/>
  <c r="I307" i="3315"/>
  <c r="J307" i="3315" s="1"/>
  <c r="Q307" i="3315"/>
  <c r="R307" i="3315" s="1"/>
  <c r="Z307" i="3315"/>
  <c r="AD307" i="3315" s="1"/>
  <c r="I308" i="3315"/>
  <c r="Q308" i="3315"/>
  <c r="R308" i="3315" s="1"/>
  <c r="Z308" i="3315"/>
  <c r="AD308" i="3315" s="1"/>
  <c r="I309" i="3315"/>
  <c r="J309" i="3315" s="1"/>
  <c r="Q309" i="3315"/>
  <c r="R309" i="3315" s="1"/>
  <c r="Z309" i="3315"/>
  <c r="AD309" i="3315" s="1"/>
  <c r="I310" i="3315"/>
  <c r="J310" i="3315" s="1"/>
  <c r="Q310" i="3315"/>
  <c r="R310" i="3315" s="1"/>
  <c r="Z310" i="3315"/>
  <c r="AD310" i="3315" s="1"/>
  <c r="I311" i="3315"/>
  <c r="AG311" i="3315" s="1"/>
  <c r="Q311" i="3315"/>
  <c r="R311" i="3315" s="1"/>
  <c r="Z311" i="3315"/>
  <c r="AD311" i="3315" s="1"/>
  <c r="I312" i="3315"/>
  <c r="Q312" i="3315"/>
  <c r="R312" i="3315" s="1"/>
  <c r="Z312" i="3315"/>
  <c r="AD312" i="3315" s="1"/>
  <c r="I313" i="3315"/>
  <c r="Q313" i="3315"/>
  <c r="R313" i="3315" s="1"/>
  <c r="Z313" i="3315"/>
  <c r="AD313" i="3315" s="1"/>
  <c r="I314" i="3315"/>
  <c r="Q314" i="3315"/>
  <c r="R314" i="3315" s="1"/>
  <c r="Z314" i="3315"/>
  <c r="AD314" i="3315" s="1"/>
  <c r="I315" i="3315"/>
  <c r="Q315" i="3315"/>
  <c r="R315" i="3315" s="1"/>
  <c r="Z315" i="3315"/>
  <c r="AD315" i="3315" s="1"/>
  <c r="I316" i="3315"/>
  <c r="Q316" i="3315"/>
  <c r="R316" i="3315" s="1"/>
  <c r="Z316" i="3315"/>
  <c r="AD316" i="3315" s="1"/>
  <c r="I317" i="3315"/>
  <c r="Q317" i="3315"/>
  <c r="R317" i="3315" s="1"/>
  <c r="Z317" i="3315"/>
  <c r="AD317" i="3315" s="1"/>
  <c r="I318" i="3315"/>
  <c r="Q318" i="3315"/>
  <c r="R318" i="3315" s="1"/>
  <c r="Z318" i="3315"/>
  <c r="AD318" i="3315" s="1"/>
  <c r="I319" i="3315"/>
  <c r="Q319" i="3315"/>
  <c r="R319" i="3315" s="1"/>
  <c r="Z319" i="3315"/>
  <c r="AD319" i="3315" s="1"/>
  <c r="I320" i="3315"/>
  <c r="Q320" i="3315"/>
  <c r="R320" i="3315" s="1"/>
  <c r="Z320" i="3315"/>
  <c r="AD320" i="3315" s="1"/>
  <c r="I321" i="3315"/>
  <c r="Q321" i="3315"/>
  <c r="R321" i="3315" s="1"/>
  <c r="Z321" i="3315"/>
  <c r="AD321" i="3315" s="1"/>
  <c r="I322" i="3315"/>
  <c r="Q322" i="3315"/>
  <c r="R322" i="3315" s="1"/>
  <c r="Z322" i="3315"/>
  <c r="AD322" i="3315" s="1"/>
  <c r="I323" i="3315"/>
  <c r="Q323" i="3315"/>
  <c r="R323" i="3315" s="1"/>
  <c r="Z323" i="3315"/>
  <c r="AD323" i="3315" s="1"/>
  <c r="I324" i="3315"/>
  <c r="Q324" i="3315"/>
  <c r="R324" i="3315" s="1"/>
  <c r="Z324" i="3315"/>
  <c r="AD324" i="3315" s="1"/>
  <c r="I325" i="3315"/>
  <c r="J325" i="3315" s="1"/>
  <c r="Q325" i="3315"/>
  <c r="R325" i="3315" s="1"/>
  <c r="Z325" i="3315"/>
  <c r="AD325" i="3315" s="1"/>
  <c r="I326" i="3315"/>
  <c r="J326" i="3315" s="1"/>
  <c r="Q326" i="3315"/>
  <c r="R326" i="3315" s="1"/>
  <c r="Z326" i="3315"/>
  <c r="AD326" i="3315" s="1"/>
  <c r="I327" i="3315"/>
  <c r="Q327" i="3315"/>
  <c r="R327" i="3315" s="1"/>
  <c r="Z327" i="3315"/>
  <c r="AD327" i="3315" s="1"/>
  <c r="I328" i="3315"/>
  <c r="J328" i="3315" s="1"/>
  <c r="Q328" i="3315"/>
  <c r="R328" i="3315" s="1"/>
  <c r="Z328" i="3315"/>
  <c r="AD328" i="3315" s="1"/>
  <c r="I329" i="3315"/>
  <c r="J329" i="3315" s="1"/>
  <c r="Q329" i="3315"/>
  <c r="R329" i="3315" s="1"/>
  <c r="Z329" i="3315"/>
  <c r="AD329" i="3315" s="1"/>
  <c r="I330" i="3315"/>
  <c r="J330" i="3315" s="1"/>
  <c r="Q330" i="3315"/>
  <c r="R330" i="3315" s="1"/>
  <c r="Z330" i="3315"/>
  <c r="AD330" i="3315" s="1"/>
  <c r="I331" i="3315"/>
  <c r="Q331" i="3315"/>
  <c r="R331" i="3315" s="1"/>
  <c r="Z331" i="3315"/>
  <c r="AD331" i="3315" s="1"/>
  <c r="I332" i="3315"/>
  <c r="Q332" i="3315"/>
  <c r="R332" i="3315" s="1"/>
  <c r="Z332" i="3315"/>
  <c r="AD332" i="3315" s="1"/>
  <c r="I333" i="3315"/>
  <c r="J333" i="3315" s="1"/>
  <c r="Q333" i="3315"/>
  <c r="R333" i="3315" s="1"/>
  <c r="Z333" i="3315"/>
  <c r="AD333" i="3315" s="1"/>
  <c r="I334" i="3315"/>
  <c r="J334" i="3315" s="1"/>
  <c r="Q334" i="3315"/>
  <c r="R334" i="3315" s="1"/>
  <c r="Z334" i="3315"/>
  <c r="AD334" i="3315" s="1"/>
  <c r="I335" i="3315"/>
  <c r="Q335" i="3315"/>
  <c r="R335" i="3315" s="1"/>
  <c r="Z335" i="3315"/>
  <c r="AD335" i="3315" s="1"/>
  <c r="I336" i="3315"/>
  <c r="Q336" i="3315"/>
  <c r="R336" i="3315" s="1"/>
  <c r="Z336" i="3315"/>
  <c r="AD336" i="3315" s="1"/>
  <c r="I337" i="3315"/>
  <c r="Q337" i="3315"/>
  <c r="R337" i="3315" s="1"/>
  <c r="Z337" i="3315"/>
  <c r="AD337" i="3315" s="1"/>
  <c r="I338" i="3315"/>
  <c r="Q338" i="3315"/>
  <c r="R338" i="3315" s="1"/>
  <c r="Z338" i="3315"/>
  <c r="AD338" i="3315" s="1"/>
  <c r="I339" i="3315"/>
  <c r="J339" i="3315" s="1"/>
  <c r="Q339" i="3315"/>
  <c r="R339" i="3315" s="1"/>
  <c r="Z339" i="3315"/>
  <c r="AD339" i="3315" s="1"/>
  <c r="I340" i="3315"/>
  <c r="J340" i="3315" s="1"/>
  <c r="Q340" i="3315"/>
  <c r="R340" i="3315" s="1"/>
  <c r="Z340" i="3315"/>
  <c r="AD340" i="3315" s="1"/>
  <c r="I241" i="3315"/>
  <c r="J241" i="3315" s="1"/>
  <c r="Q241" i="3315"/>
  <c r="R241" i="3315" s="1"/>
  <c r="Z241" i="3315"/>
  <c r="AD241" i="3315" s="1"/>
  <c r="I242" i="3315"/>
  <c r="Q242" i="3315"/>
  <c r="R242" i="3315" s="1"/>
  <c r="Z242" i="3315"/>
  <c r="AD242" i="3315" s="1"/>
  <c r="I243" i="3315"/>
  <c r="Q243" i="3315"/>
  <c r="R243" i="3315" s="1"/>
  <c r="Z243" i="3315"/>
  <c r="AD243" i="3315" s="1"/>
  <c r="I244" i="3315"/>
  <c r="J244" i="3315" s="1"/>
  <c r="Q244" i="3315"/>
  <c r="R244" i="3315" s="1"/>
  <c r="Z244" i="3315"/>
  <c r="AD244" i="3315" s="1"/>
  <c r="I245" i="3315"/>
  <c r="J245" i="3315" s="1"/>
  <c r="Q245" i="3315"/>
  <c r="R245" i="3315" s="1"/>
  <c r="Z245" i="3315"/>
  <c r="AD245" i="3315" s="1"/>
  <c r="I246" i="3315"/>
  <c r="Q246" i="3315"/>
  <c r="R246" i="3315" s="1"/>
  <c r="Z246" i="3315"/>
  <c r="AD246" i="3315" s="1"/>
  <c r="I247" i="3315"/>
  <c r="Q247" i="3315"/>
  <c r="R247" i="3315" s="1"/>
  <c r="Z247" i="3315"/>
  <c r="AD247" i="3315" s="1"/>
  <c r="I248" i="3315"/>
  <c r="J248" i="3315" s="1"/>
  <c r="Q248" i="3315"/>
  <c r="R248" i="3315" s="1"/>
  <c r="Z248" i="3315"/>
  <c r="AD248" i="3315" s="1"/>
  <c r="I249" i="3315"/>
  <c r="J249" i="3315" s="1"/>
  <c r="Q249" i="3315"/>
  <c r="R249" i="3315" s="1"/>
  <c r="Z249" i="3315"/>
  <c r="AD249" i="3315" s="1"/>
  <c r="I250" i="3315"/>
  <c r="J250" i="3315" s="1"/>
  <c r="Q250" i="3315"/>
  <c r="R250" i="3315" s="1"/>
  <c r="Z250" i="3315"/>
  <c r="AD250" i="3315" s="1"/>
  <c r="I251" i="3315"/>
  <c r="AG251" i="3315" s="1"/>
  <c r="Q251" i="3315"/>
  <c r="R251" i="3315" s="1"/>
  <c r="Z251" i="3315"/>
  <c r="AD251" i="3315" s="1"/>
  <c r="I252" i="3315"/>
  <c r="J252" i="3315" s="1"/>
  <c r="Q252" i="3315"/>
  <c r="R252" i="3315" s="1"/>
  <c r="Z252" i="3315"/>
  <c r="AD252" i="3315" s="1"/>
  <c r="I253" i="3315"/>
  <c r="J253" i="3315" s="1"/>
  <c r="Q253" i="3315"/>
  <c r="R253" i="3315" s="1"/>
  <c r="Z253" i="3315"/>
  <c r="AD253" i="3315" s="1"/>
  <c r="Q254" i="3315"/>
  <c r="R254" i="3315" s="1"/>
  <c r="Z254" i="3315"/>
  <c r="AD254" i="3315" s="1"/>
  <c r="I255" i="3315"/>
  <c r="Q255" i="3315"/>
  <c r="R255" i="3315" s="1"/>
  <c r="Z255" i="3315"/>
  <c r="AD255" i="3315" s="1"/>
  <c r="I256" i="3315"/>
  <c r="J256" i="3315" s="1"/>
  <c r="Q256" i="3315"/>
  <c r="R256" i="3315" s="1"/>
  <c r="Z256" i="3315"/>
  <c r="AD256" i="3315" s="1"/>
  <c r="I257" i="3315"/>
  <c r="J257" i="3315" s="1"/>
  <c r="Q257" i="3315"/>
  <c r="R257" i="3315" s="1"/>
  <c r="Z257" i="3315"/>
  <c r="AD257" i="3315" s="1"/>
  <c r="J258" i="3315"/>
  <c r="Q258" i="3315"/>
  <c r="R258" i="3315" s="1"/>
  <c r="Z258" i="3315"/>
  <c r="AD258" i="3315" s="1"/>
  <c r="I259" i="3315"/>
  <c r="AG259" i="3315" s="1"/>
  <c r="Q259" i="3315"/>
  <c r="R259" i="3315" s="1"/>
  <c r="Z259" i="3315"/>
  <c r="AD259" i="3315" s="1"/>
  <c r="I260" i="3315"/>
  <c r="J260" i="3315" s="1"/>
  <c r="Q260" i="3315"/>
  <c r="R260" i="3315" s="1"/>
  <c r="Z260" i="3315"/>
  <c r="AD260" i="3315" s="1"/>
  <c r="I261" i="3315"/>
  <c r="J261" i="3315" s="1"/>
  <c r="Q261" i="3315"/>
  <c r="R261" i="3315" s="1"/>
  <c r="Z261" i="3315"/>
  <c r="AD261" i="3315" s="1"/>
  <c r="I262" i="3315"/>
  <c r="Q262" i="3315"/>
  <c r="R262" i="3315" s="1"/>
  <c r="Z262" i="3315"/>
  <c r="AD262" i="3315" s="1"/>
  <c r="I263" i="3315"/>
  <c r="Q263" i="3315"/>
  <c r="R263" i="3315" s="1"/>
  <c r="Z263" i="3315"/>
  <c r="AD263" i="3315" s="1"/>
  <c r="I264" i="3315"/>
  <c r="J264" i="3315" s="1"/>
  <c r="Q264" i="3315"/>
  <c r="R264" i="3315" s="1"/>
  <c r="Z264" i="3315"/>
  <c r="AD264" i="3315" s="1"/>
  <c r="J265" i="3315"/>
  <c r="Q265" i="3315"/>
  <c r="R265" i="3315" s="1"/>
  <c r="Z265" i="3315"/>
  <c r="AD265" i="3315" s="1"/>
  <c r="J266" i="3315"/>
  <c r="Q266" i="3315"/>
  <c r="R266" i="3315" s="1"/>
  <c r="Z266" i="3315"/>
  <c r="AD266" i="3315" s="1"/>
  <c r="I213" i="3315"/>
  <c r="J213" i="3315" s="1"/>
  <c r="Q213" i="3315"/>
  <c r="R213" i="3315" s="1"/>
  <c r="Z213" i="3315"/>
  <c r="AD213" i="3315" s="1"/>
  <c r="I214" i="3315"/>
  <c r="J214" i="3315" s="1"/>
  <c r="Q214" i="3315"/>
  <c r="R214" i="3315" s="1"/>
  <c r="Z214" i="3315"/>
  <c r="AD214" i="3315" s="1"/>
  <c r="I215" i="3315"/>
  <c r="J215" i="3315" s="1"/>
  <c r="Q215" i="3315"/>
  <c r="R215" i="3315" s="1"/>
  <c r="Z215" i="3315"/>
  <c r="AD215" i="3315" s="1"/>
  <c r="I216" i="3315"/>
  <c r="J216" i="3315" s="1"/>
  <c r="Q216" i="3315"/>
  <c r="R216" i="3315" s="1"/>
  <c r="Z216" i="3315"/>
  <c r="AD216" i="3315" s="1"/>
  <c r="I217" i="3315"/>
  <c r="J217" i="3315" s="1"/>
  <c r="Q217" i="3315"/>
  <c r="R217" i="3315" s="1"/>
  <c r="Z217" i="3315"/>
  <c r="AD217" i="3315" s="1"/>
  <c r="I218" i="3315"/>
  <c r="J218" i="3315" s="1"/>
  <c r="Q218" i="3315"/>
  <c r="R218" i="3315" s="1"/>
  <c r="Z218" i="3315"/>
  <c r="AD218" i="3315" s="1"/>
  <c r="I219" i="3315"/>
  <c r="J219" i="3315" s="1"/>
  <c r="Q219" i="3315"/>
  <c r="R219" i="3315" s="1"/>
  <c r="Z219" i="3315"/>
  <c r="AD219" i="3315" s="1"/>
  <c r="I220" i="3315"/>
  <c r="J220" i="3315" s="1"/>
  <c r="Q220" i="3315"/>
  <c r="R220" i="3315" s="1"/>
  <c r="Z220" i="3315"/>
  <c r="AD220" i="3315" s="1"/>
  <c r="J221" i="3315"/>
  <c r="Q221" i="3315"/>
  <c r="R221" i="3315" s="1"/>
  <c r="Z221" i="3315"/>
  <c r="AD221" i="3315" s="1"/>
  <c r="I222" i="3315"/>
  <c r="J222" i="3315" s="1"/>
  <c r="Q222" i="3315"/>
  <c r="R222" i="3315" s="1"/>
  <c r="Z222" i="3315"/>
  <c r="AD222" i="3315" s="1"/>
  <c r="I223" i="3315"/>
  <c r="J223" i="3315" s="1"/>
  <c r="Q223" i="3315"/>
  <c r="R223" i="3315" s="1"/>
  <c r="Z223" i="3315"/>
  <c r="AD223" i="3315" s="1"/>
  <c r="I224" i="3315"/>
  <c r="J224" i="3315" s="1"/>
  <c r="Q224" i="3315"/>
  <c r="R224" i="3315" s="1"/>
  <c r="Z224" i="3315"/>
  <c r="AD224" i="3315" s="1"/>
  <c r="I225" i="3315"/>
  <c r="J225" i="3315" s="1"/>
  <c r="Q225" i="3315"/>
  <c r="R225" i="3315" s="1"/>
  <c r="Z225" i="3315"/>
  <c r="AD225" i="3315" s="1"/>
  <c r="I226" i="3315"/>
  <c r="Q226" i="3315"/>
  <c r="R226" i="3315" s="1"/>
  <c r="Z226" i="3315"/>
  <c r="AD226" i="3315" s="1"/>
  <c r="I227" i="3315"/>
  <c r="J227" i="3315" s="1"/>
  <c r="Q227" i="3315"/>
  <c r="R227" i="3315" s="1"/>
  <c r="Z227" i="3315"/>
  <c r="AD227" i="3315" s="1"/>
  <c r="I228" i="3315"/>
  <c r="J228" i="3315" s="1"/>
  <c r="Q228" i="3315"/>
  <c r="R228" i="3315" s="1"/>
  <c r="Z228" i="3315"/>
  <c r="AD228" i="3315" s="1"/>
  <c r="I229" i="3315"/>
  <c r="J229" i="3315" s="1"/>
  <c r="Q229" i="3315"/>
  <c r="R229" i="3315" s="1"/>
  <c r="Z229" i="3315"/>
  <c r="AD229" i="3315" s="1"/>
  <c r="I230" i="3315"/>
  <c r="J230" i="3315" s="1"/>
  <c r="Q230" i="3315"/>
  <c r="R230" i="3315" s="1"/>
  <c r="Z230" i="3315"/>
  <c r="AD230" i="3315" s="1"/>
  <c r="I231" i="3315"/>
  <c r="J231" i="3315" s="1"/>
  <c r="Q231" i="3315"/>
  <c r="R231" i="3315" s="1"/>
  <c r="Z231" i="3315"/>
  <c r="AD231" i="3315" s="1"/>
  <c r="I232" i="3315"/>
  <c r="J232" i="3315" s="1"/>
  <c r="Q232" i="3315"/>
  <c r="R232" i="3315" s="1"/>
  <c r="Z232" i="3315"/>
  <c r="AD232" i="3315" s="1"/>
  <c r="I139" i="3315"/>
  <c r="J139" i="3315" s="1"/>
  <c r="Q139" i="3315"/>
  <c r="R139" i="3315" s="1"/>
  <c r="Z139" i="3315"/>
  <c r="AD139" i="3315" s="1"/>
  <c r="I140" i="3315"/>
  <c r="J140" i="3315" s="1"/>
  <c r="Q140" i="3315"/>
  <c r="R140" i="3315" s="1"/>
  <c r="Z140" i="3315"/>
  <c r="AD140" i="3315" s="1"/>
  <c r="I141" i="3315"/>
  <c r="J141" i="3315" s="1"/>
  <c r="Q141" i="3315"/>
  <c r="R141" i="3315" s="1"/>
  <c r="Z141" i="3315"/>
  <c r="AD141" i="3315" s="1"/>
  <c r="I142" i="3315"/>
  <c r="J142" i="3315" s="1"/>
  <c r="Q142" i="3315"/>
  <c r="R142" i="3315" s="1"/>
  <c r="Z142" i="3315"/>
  <c r="AD142" i="3315" s="1"/>
  <c r="I143" i="3315"/>
  <c r="J143" i="3315" s="1"/>
  <c r="Q143" i="3315"/>
  <c r="R143" i="3315" s="1"/>
  <c r="Z143" i="3315"/>
  <c r="AD143" i="3315" s="1"/>
  <c r="I144" i="3315"/>
  <c r="AG144" i="3315" s="1"/>
  <c r="Q144" i="3315"/>
  <c r="R144" i="3315" s="1"/>
  <c r="Z144" i="3315"/>
  <c r="AD144" i="3315" s="1"/>
  <c r="J145" i="3315"/>
  <c r="Q145" i="3315"/>
  <c r="R145" i="3315" s="1"/>
  <c r="Z145" i="3315"/>
  <c r="AD145" i="3315" s="1"/>
  <c r="J146" i="3315"/>
  <c r="Q146" i="3315"/>
  <c r="R146" i="3315" s="1"/>
  <c r="Z146" i="3315"/>
  <c r="AD146" i="3315" s="1"/>
  <c r="I147" i="3315"/>
  <c r="J147" i="3315" s="1"/>
  <c r="Q147" i="3315"/>
  <c r="R147" i="3315" s="1"/>
  <c r="Z147" i="3315"/>
  <c r="AD147" i="3315" s="1"/>
  <c r="I148" i="3315"/>
  <c r="J148" i="3315" s="1"/>
  <c r="Q148" i="3315"/>
  <c r="R148" i="3315" s="1"/>
  <c r="Z148" i="3315"/>
  <c r="AD148" i="3315" s="1"/>
  <c r="I149" i="3315"/>
  <c r="J149" i="3315" s="1"/>
  <c r="Q149" i="3315"/>
  <c r="R149" i="3315" s="1"/>
  <c r="Z149" i="3315"/>
  <c r="AD149" i="3315" s="1"/>
  <c r="I150" i="3315"/>
  <c r="J150" i="3315" s="1"/>
  <c r="Q150" i="3315"/>
  <c r="R150" i="3315" s="1"/>
  <c r="Z150" i="3315"/>
  <c r="AD150" i="3315" s="1"/>
  <c r="I151" i="3315"/>
  <c r="J151" i="3315" s="1"/>
  <c r="Q151" i="3315"/>
  <c r="R151" i="3315" s="1"/>
  <c r="Z151" i="3315"/>
  <c r="AD151" i="3315" s="1"/>
  <c r="I152" i="3315"/>
  <c r="AG152" i="3315" s="1"/>
  <c r="Q152" i="3315"/>
  <c r="R152" i="3315" s="1"/>
  <c r="Z152" i="3315"/>
  <c r="AD152" i="3315" s="1"/>
  <c r="I153" i="3315"/>
  <c r="J153" i="3315" s="1"/>
  <c r="Q153" i="3315"/>
  <c r="R153" i="3315" s="1"/>
  <c r="Z153" i="3315"/>
  <c r="AD153" i="3315" s="1"/>
  <c r="I154" i="3315"/>
  <c r="J154" i="3315" s="1"/>
  <c r="Q154" i="3315"/>
  <c r="R154" i="3315" s="1"/>
  <c r="Z154" i="3315"/>
  <c r="AD154" i="3315" s="1"/>
  <c r="I155" i="3315"/>
  <c r="J155" i="3315" s="1"/>
  <c r="Q155" i="3315"/>
  <c r="R155" i="3315" s="1"/>
  <c r="Z155" i="3315"/>
  <c r="AD155" i="3315" s="1"/>
  <c r="I156" i="3315"/>
  <c r="J156" i="3315" s="1"/>
  <c r="Q156" i="3315"/>
  <c r="R156" i="3315" s="1"/>
  <c r="Z156" i="3315"/>
  <c r="AD156" i="3315" s="1"/>
  <c r="I157" i="3315"/>
  <c r="AG157" i="3315" s="1"/>
  <c r="Q157" i="3315"/>
  <c r="R157" i="3315" s="1"/>
  <c r="Z157" i="3315"/>
  <c r="AD157" i="3315" s="1"/>
  <c r="I158" i="3315"/>
  <c r="J158" i="3315" s="1"/>
  <c r="Q158" i="3315"/>
  <c r="R158" i="3315" s="1"/>
  <c r="Z158" i="3315"/>
  <c r="AD158" i="3315" s="1"/>
  <c r="I159" i="3315"/>
  <c r="J159" i="3315" s="1"/>
  <c r="Q159" i="3315"/>
  <c r="R159" i="3315" s="1"/>
  <c r="Z159" i="3315"/>
  <c r="AD159" i="3315" s="1"/>
  <c r="I160" i="3315"/>
  <c r="J160" i="3315" s="1"/>
  <c r="Q160" i="3315"/>
  <c r="R160" i="3315" s="1"/>
  <c r="Z160" i="3315"/>
  <c r="AD160" i="3315" s="1"/>
  <c r="I161" i="3315"/>
  <c r="J161" i="3315" s="1"/>
  <c r="Q161" i="3315"/>
  <c r="R161" i="3315" s="1"/>
  <c r="Z161" i="3315"/>
  <c r="AD161" i="3315" s="1"/>
  <c r="I162" i="3315"/>
  <c r="J162" i="3315" s="1"/>
  <c r="Q162" i="3315"/>
  <c r="R162" i="3315" s="1"/>
  <c r="Z162" i="3315"/>
  <c r="AD162" i="3315" s="1"/>
  <c r="I163" i="3315"/>
  <c r="J163" i="3315" s="1"/>
  <c r="Q163" i="3315"/>
  <c r="R163" i="3315" s="1"/>
  <c r="Z163" i="3315"/>
  <c r="AD163" i="3315" s="1"/>
  <c r="I164" i="3315"/>
  <c r="J164" i="3315" s="1"/>
  <c r="Q164" i="3315"/>
  <c r="R164" i="3315" s="1"/>
  <c r="Z164" i="3315"/>
  <c r="AD164" i="3315" s="1"/>
  <c r="I165" i="3315"/>
  <c r="J165" i="3315" s="1"/>
  <c r="Q165" i="3315"/>
  <c r="R165" i="3315" s="1"/>
  <c r="Z165" i="3315"/>
  <c r="AD165" i="3315" s="1"/>
  <c r="I166" i="3315"/>
  <c r="J166" i="3315" s="1"/>
  <c r="Q166" i="3315"/>
  <c r="R166" i="3315" s="1"/>
  <c r="Z166" i="3315"/>
  <c r="AD166" i="3315" s="1"/>
  <c r="I167" i="3315"/>
  <c r="J167" i="3315" s="1"/>
  <c r="Q167" i="3315"/>
  <c r="R167" i="3315" s="1"/>
  <c r="Z167" i="3315"/>
  <c r="AD167" i="3315" s="1"/>
  <c r="I168" i="3315"/>
  <c r="AG168" i="3315" s="1"/>
  <c r="Q168" i="3315"/>
  <c r="R168" i="3315" s="1"/>
  <c r="Z168" i="3315"/>
  <c r="AD168" i="3315" s="1"/>
  <c r="I169" i="3315"/>
  <c r="J169" i="3315" s="1"/>
  <c r="Q169" i="3315"/>
  <c r="R169" i="3315" s="1"/>
  <c r="Z169" i="3315"/>
  <c r="AD169" i="3315" s="1"/>
  <c r="I170" i="3315"/>
  <c r="J170" i="3315" s="1"/>
  <c r="Q170" i="3315"/>
  <c r="R170" i="3315" s="1"/>
  <c r="Z170" i="3315"/>
  <c r="AD170" i="3315" s="1"/>
  <c r="I171" i="3315"/>
  <c r="J171" i="3315" s="1"/>
  <c r="Q171" i="3315"/>
  <c r="R171" i="3315" s="1"/>
  <c r="Z171" i="3315"/>
  <c r="AD171" i="3315" s="1"/>
  <c r="I172" i="3315"/>
  <c r="J172" i="3315" s="1"/>
  <c r="Q172" i="3315"/>
  <c r="R172" i="3315" s="1"/>
  <c r="Z172" i="3315"/>
  <c r="AD172" i="3315" s="1"/>
  <c r="I173" i="3315"/>
  <c r="Q173" i="3315"/>
  <c r="R173" i="3315" s="1"/>
  <c r="Z173" i="3315"/>
  <c r="AD173" i="3315" s="1"/>
  <c r="I174" i="3315"/>
  <c r="J174" i="3315" s="1"/>
  <c r="Q174" i="3315"/>
  <c r="R174" i="3315" s="1"/>
  <c r="Z174" i="3315"/>
  <c r="AD174" i="3315" s="1"/>
  <c r="I175" i="3315"/>
  <c r="Q175" i="3315"/>
  <c r="R175" i="3315" s="1"/>
  <c r="Z175" i="3315"/>
  <c r="AD175" i="3315" s="1"/>
  <c r="I176" i="3315"/>
  <c r="J176" i="3315" s="1"/>
  <c r="Q176" i="3315"/>
  <c r="R176" i="3315" s="1"/>
  <c r="Z176" i="3315"/>
  <c r="AD176" i="3315" s="1"/>
  <c r="I177" i="3315"/>
  <c r="J177" i="3315" s="1"/>
  <c r="Q177" i="3315"/>
  <c r="R177" i="3315" s="1"/>
  <c r="Z177" i="3315"/>
  <c r="AD177" i="3315" s="1"/>
  <c r="I178" i="3315"/>
  <c r="J178" i="3315" s="1"/>
  <c r="Q178" i="3315"/>
  <c r="R178" i="3315" s="1"/>
  <c r="Z178" i="3315"/>
  <c r="AD178" i="3315" s="1"/>
  <c r="I179" i="3315"/>
  <c r="J179" i="3315" s="1"/>
  <c r="Q179" i="3315"/>
  <c r="R179" i="3315" s="1"/>
  <c r="Z179" i="3315"/>
  <c r="AD179" i="3315" s="1"/>
  <c r="I180" i="3315"/>
  <c r="J180" i="3315" s="1"/>
  <c r="Q180" i="3315"/>
  <c r="R180" i="3315" s="1"/>
  <c r="Z180" i="3315"/>
  <c r="AD180" i="3315" s="1"/>
  <c r="I181" i="3315"/>
  <c r="J181" i="3315" s="1"/>
  <c r="Q181" i="3315"/>
  <c r="R181" i="3315" s="1"/>
  <c r="Z181" i="3315"/>
  <c r="AD181" i="3315" s="1"/>
  <c r="I182" i="3315"/>
  <c r="J182" i="3315" s="1"/>
  <c r="Q182" i="3315"/>
  <c r="R182" i="3315" s="1"/>
  <c r="Z182" i="3315"/>
  <c r="AD182" i="3315" s="1"/>
  <c r="I183" i="3315"/>
  <c r="J183" i="3315" s="1"/>
  <c r="Q183" i="3315"/>
  <c r="R183" i="3315" s="1"/>
  <c r="Z183" i="3315"/>
  <c r="AD183" i="3315" s="1"/>
  <c r="I184" i="3315"/>
  <c r="J184" i="3315" s="1"/>
  <c r="Q184" i="3315"/>
  <c r="R184" i="3315" s="1"/>
  <c r="Z184" i="3315"/>
  <c r="AD184" i="3315" s="1"/>
  <c r="I185" i="3315"/>
  <c r="J185" i="3315" s="1"/>
  <c r="Q185" i="3315"/>
  <c r="R185" i="3315" s="1"/>
  <c r="Z185" i="3315"/>
  <c r="AD185" i="3315" s="1"/>
  <c r="I186" i="3315"/>
  <c r="J186" i="3315" s="1"/>
  <c r="Q186" i="3315"/>
  <c r="R186" i="3315" s="1"/>
  <c r="Z186" i="3315"/>
  <c r="AD186" i="3315" s="1"/>
  <c r="I187" i="3315"/>
  <c r="J187" i="3315" s="1"/>
  <c r="Q187" i="3315"/>
  <c r="R187" i="3315" s="1"/>
  <c r="Z187" i="3315"/>
  <c r="AD187" i="3315" s="1"/>
  <c r="I188" i="3315"/>
  <c r="J188" i="3315" s="1"/>
  <c r="Q188" i="3315"/>
  <c r="R188" i="3315" s="1"/>
  <c r="Z188" i="3315"/>
  <c r="AD188" i="3315" s="1"/>
  <c r="I189" i="3315"/>
  <c r="J189" i="3315" s="1"/>
  <c r="Q189" i="3315"/>
  <c r="R189" i="3315" s="1"/>
  <c r="Z189" i="3315"/>
  <c r="AD189" i="3315" s="1"/>
  <c r="I190" i="3315"/>
  <c r="J190" i="3315" s="1"/>
  <c r="Q190" i="3315"/>
  <c r="R190" i="3315" s="1"/>
  <c r="Z190" i="3315"/>
  <c r="AD190" i="3315" s="1"/>
  <c r="I191" i="3315"/>
  <c r="J191" i="3315" s="1"/>
  <c r="Q191" i="3315"/>
  <c r="R191" i="3315" s="1"/>
  <c r="Z191" i="3315"/>
  <c r="AD191" i="3315" s="1"/>
  <c r="I192" i="3315"/>
  <c r="J192" i="3315" s="1"/>
  <c r="Q192" i="3315"/>
  <c r="R192" i="3315" s="1"/>
  <c r="Z192" i="3315"/>
  <c r="AD192" i="3315" s="1"/>
  <c r="I193" i="3315"/>
  <c r="AG193" i="3315" s="1"/>
  <c r="Q193" i="3315"/>
  <c r="R193" i="3315" s="1"/>
  <c r="Z193" i="3315"/>
  <c r="AD193" i="3315" s="1"/>
  <c r="I194" i="3315"/>
  <c r="AG194" i="3315" s="1"/>
  <c r="Q194" i="3315"/>
  <c r="R194" i="3315" s="1"/>
  <c r="Z194" i="3315"/>
  <c r="AD194" i="3315" s="1"/>
  <c r="I195" i="3315"/>
  <c r="AG195" i="3315" s="1"/>
  <c r="Q195" i="3315"/>
  <c r="R195" i="3315" s="1"/>
  <c r="Z195" i="3315"/>
  <c r="AD195" i="3315" s="1"/>
  <c r="I196" i="3315"/>
  <c r="AG196" i="3315" s="1"/>
  <c r="Q196" i="3315"/>
  <c r="R196" i="3315" s="1"/>
  <c r="Z196" i="3315"/>
  <c r="AD196" i="3315" s="1"/>
  <c r="I197" i="3315"/>
  <c r="AG197" i="3315" s="1"/>
  <c r="Q197" i="3315"/>
  <c r="R197" i="3315" s="1"/>
  <c r="Z197" i="3315"/>
  <c r="AD197" i="3315" s="1"/>
  <c r="AG198" i="3315"/>
  <c r="Q198" i="3315"/>
  <c r="R198" i="3315" s="1"/>
  <c r="Z198" i="3315"/>
  <c r="AD198" i="3315" s="1"/>
  <c r="I199" i="3315"/>
  <c r="AG199" i="3315" s="1"/>
  <c r="Q199" i="3315"/>
  <c r="R199" i="3315" s="1"/>
  <c r="Z199" i="3315"/>
  <c r="AD199" i="3315" s="1"/>
  <c r="I200" i="3315"/>
  <c r="AG200" i="3315" s="1"/>
  <c r="Q200" i="3315"/>
  <c r="R200" i="3315" s="1"/>
  <c r="Z200" i="3315"/>
  <c r="AD200" i="3315" s="1"/>
  <c r="I201" i="3315"/>
  <c r="AG201" i="3315" s="1"/>
  <c r="Q201" i="3315"/>
  <c r="R201" i="3315" s="1"/>
  <c r="Z201" i="3315"/>
  <c r="AD201" i="3315" s="1"/>
  <c r="I202" i="3315"/>
  <c r="AG202" i="3315" s="1"/>
  <c r="Q202" i="3315"/>
  <c r="R202" i="3315" s="1"/>
  <c r="Z202" i="3315"/>
  <c r="AD202" i="3315" s="1"/>
  <c r="I203" i="3315"/>
  <c r="J203" i="3315" s="1"/>
  <c r="Q203" i="3315"/>
  <c r="R203" i="3315" s="1"/>
  <c r="Z203" i="3315"/>
  <c r="AD203" i="3315" s="1"/>
  <c r="I204" i="3315"/>
  <c r="J204" i="3315" s="1"/>
  <c r="Q204" i="3315"/>
  <c r="R204" i="3315" s="1"/>
  <c r="Z204" i="3315"/>
  <c r="AD204" i="3315" s="1"/>
  <c r="I205" i="3315"/>
  <c r="J205" i="3315" s="1"/>
  <c r="Q205" i="3315"/>
  <c r="R205" i="3315" s="1"/>
  <c r="Z205" i="3315"/>
  <c r="AD205" i="3315" s="1"/>
  <c r="I206" i="3315"/>
  <c r="J206" i="3315" s="1"/>
  <c r="Q206" i="3315"/>
  <c r="R206" i="3315" s="1"/>
  <c r="Z206" i="3315"/>
  <c r="AD206" i="3315" s="1"/>
  <c r="I207" i="3315"/>
  <c r="J207" i="3315" s="1"/>
  <c r="Q207" i="3315"/>
  <c r="R207" i="3315" s="1"/>
  <c r="Z207" i="3315"/>
  <c r="AD207" i="3315" s="1"/>
  <c r="I208" i="3315"/>
  <c r="J208" i="3315" s="1"/>
  <c r="Q208" i="3315"/>
  <c r="R208" i="3315" s="1"/>
  <c r="Z208" i="3315"/>
  <c r="AD208" i="3315" s="1"/>
  <c r="I60" i="3315"/>
  <c r="Q60" i="3315"/>
  <c r="R60" i="3315" s="1"/>
  <c r="Z60" i="3315"/>
  <c r="AD60" i="3315" s="1"/>
  <c r="I61" i="3315"/>
  <c r="J61" i="3315" s="1"/>
  <c r="Q61" i="3315"/>
  <c r="R61" i="3315" s="1"/>
  <c r="Z61" i="3315"/>
  <c r="AD61" i="3315" s="1"/>
  <c r="I62" i="3315"/>
  <c r="J62" i="3315" s="1"/>
  <c r="Q62" i="3315"/>
  <c r="R62" i="3315" s="1"/>
  <c r="Z62" i="3315"/>
  <c r="AD62" i="3315" s="1"/>
  <c r="I63" i="3315"/>
  <c r="J63" i="3315" s="1"/>
  <c r="Q63" i="3315"/>
  <c r="R63" i="3315" s="1"/>
  <c r="Z63" i="3315"/>
  <c r="AD63" i="3315" s="1"/>
  <c r="I64" i="3315"/>
  <c r="J64" i="3315" s="1"/>
  <c r="Q64" i="3315"/>
  <c r="R64" i="3315" s="1"/>
  <c r="Z64" i="3315"/>
  <c r="AD64" i="3315" s="1"/>
  <c r="I65" i="3315"/>
  <c r="AG65" i="3315" s="1"/>
  <c r="Q65" i="3315"/>
  <c r="R65" i="3315" s="1"/>
  <c r="Z65" i="3315"/>
  <c r="AD65" i="3315" s="1"/>
  <c r="I66" i="3315"/>
  <c r="Q66" i="3315"/>
  <c r="R66" i="3315" s="1"/>
  <c r="Z66" i="3315"/>
  <c r="AD66" i="3315" s="1"/>
  <c r="I67" i="3315"/>
  <c r="Q67" i="3315"/>
  <c r="R67" i="3315" s="1"/>
  <c r="Z67" i="3315"/>
  <c r="AD67" i="3315" s="1"/>
  <c r="I68" i="3315"/>
  <c r="Q68" i="3315"/>
  <c r="R68" i="3315" s="1"/>
  <c r="Z68" i="3315"/>
  <c r="AD68" i="3315" s="1"/>
  <c r="I69" i="3315"/>
  <c r="J69" i="3315" s="1"/>
  <c r="Q69" i="3315"/>
  <c r="R69" i="3315" s="1"/>
  <c r="Z69" i="3315"/>
  <c r="AD69" i="3315" s="1"/>
  <c r="I70" i="3315"/>
  <c r="J70" i="3315" s="1"/>
  <c r="Q70" i="3315"/>
  <c r="R70" i="3315" s="1"/>
  <c r="Z70" i="3315"/>
  <c r="AD70" i="3315" s="1"/>
  <c r="I71" i="3315"/>
  <c r="J71" i="3315" s="1"/>
  <c r="Q71" i="3315"/>
  <c r="R71" i="3315" s="1"/>
  <c r="Z71" i="3315"/>
  <c r="AD71" i="3315" s="1"/>
  <c r="J72" i="3315"/>
  <c r="Q72" i="3315"/>
  <c r="R72" i="3315" s="1"/>
  <c r="Z72" i="3315"/>
  <c r="AD72" i="3315" s="1"/>
  <c r="I73" i="3315"/>
  <c r="J73" i="3315" s="1"/>
  <c r="Q73" i="3315"/>
  <c r="R73" i="3315" s="1"/>
  <c r="Z73" i="3315"/>
  <c r="AD73" i="3315" s="1"/>
  <c r="I74" i="3315"/>
  <c r="Q74" i="3315"/>
  <c r="R74" i="3315" s="1"/>
  <c r="Z74" i="3315"/>
  <c r="AD74" i="3315" s="1"/>
  <c r="I75" i="3315"/>
  <c r="Q75" i="3315"/>
  <c r="R75" i="3315" s="1"/>
  <c r="Z75" i="3315"/>
  <c r="AD75" i="3315" s="1"/>
  <c r="I76" i="3315"/>
  <c r="Q76" i="3315"/>
  <c r="R76" i="3315" s="1"/>
  <c r="Z76" i="3315"/>
  <c r="AD76" i="3315" s="1"/>
  <c r="I77" i="3315"/>
  <c r="J77" i="3315" s="1"/>
  <c r="Q77" i="3315"/>
  <c r="R77" i="3315" s="1"/>
  <c r="Z77" i="3315"/>
  <c r="AD77" i="3315" s="1"/>
  <c r="I78" i="3315"/>
  <c r="J78" i="3315" s="1"/>
  <c r="Q78" i="3315"/>
  <c r="R78" i="3315" s="1"/>
  <c r="Z78" i="3315"/>
  <c r="AD78" i="3315" s="1"/>
  <c r="I79" i="3315"/>
  <c r="J79" i="3315" s="1"/>
  <c r="Q79" i="3315"/>
  <c r="R79" i="3315" s="1"/>
  <c r="Z79" i="3315"/>
  <c r="AD79" i="3315" s="1"/>
  <c r="I80" i="3315"/>
  <c r="J80" i="3315" s="1"/>
  <c r="Q80" i="3315"/>
  <c r="R80" i="3315" s="1"/>
  <c r="Z80" i="3315"/>
  <c r="AD80" i="3315" s="1"/>
  <c r="I81" i="3315"/>
  <c r="AG81" i="3315" s="1"/>
  <c r="Q81" i="3315"/>
  <c r="R81" i="3315" s="1"/>
  <c r="Z81" i="3315"/>
  <c r="AD81" i="3315" s="1"/>
  <c r="I82" i="3315"/>
  <c r="Q82" i="3315"/>
  <c r="R82" i="3315" s="1"/>
  <c r="Z82" i="3315"/>
  <c r="AD82" i="3315" s="1"/>
  <c r="I83" i="3315"/>
  <c r="Q83" i="3315"/>
  <c r="R83" i="3315" s="1"/>
  <c r="Z83" i="3315"/>
  <c r="AD83" i="3315" s="1"/>
  <c r="I84" i="3315"/>
  <c r="Q84" i="3315"/>
  <c r="R84" i="3315" s="1"/>
  <c r="Z84" i="3315"/>
  <c r="AD84" i="3315" s="1"/>
  <c r="I85" i="3315"/>
  <c r="J85" i="3315" s="1"/>
  <c r="Q85" i="3315"/>
  <c r="R85" i="3315" s="1"/>
  <c r="Z85" i="3315"/>
  <c r="AD85" i="3315" s="1"/>
  <c r="I86" i="3315"/>
  <c r="J86" i="3315" s="1"/>
  <c r="Q86" i="3315"/>
  <c r="R86" i="3315" s="1"/>
  <c r="Z86" i="3315"/>
  <c r="AD86" i="3315" s="1"/>
  <c r="I87" i="3315"/>
  <c r="J87" i="3315" s="1"/>
  <c r="Q87" i="3315"/>
  <c r="R87" i="3315" s="1"/>
  <c r="Z87" i="3315"/>
  <c r="AD87" i="3315" s="1"/>
  <c r="I88" i="3315"/>
  <c r="J88" i="3315" s="1"/>
  <c r="Q88" i="3315"/>
  <c r="R88" i="3315" s="1"/>
  <c r="Z88" i="3315"/>
  <c r="AD88" i="3315" s="1"/>
  <c r="I89" i="3315"/>
  <c r="J89" i="3315" s="1"/>
  <c r="Q89" i="3315"/>
  <c r="R89" i="3315" s="1"/>
  <c r="Z89" i="3315"/>
  <c r="AD89" i="3315" s="1"/>
  <c r="I90" i="3315"/>
  <c r="Q90" i="3315"/>
  <c r="R90" i="3315" s="1"/>
  <c r="Z90" i="3315"/>
  <c r="AD90" i="3315" s="1"/>
  <c r="I91" i="3315"/>
  <c r="Q91" i="3315"/>
  <c r="R91" i="3315" s="1"/>
  <c r="Z91" i="3315"/>
  <c r="AD91" i="3315" s="1"/>
  <c r="I92" i="3315"/>
  <c r="AG92" i="3315" s="1"/>
  <c r="Q92" i="3315"/>
  <c r="R92" i="3315" s="1"/>
  <c r="Z92" i="3315"/>
  <c r="AD92" i="3315" s="1"/>
  <c r="I93" i="3315"/>
  <c r="Q93" i="3315"/>
  <c r="R93" i="3315" s="1"/>
  <c r="Z93" i="3315"/>
  <c r="AD93" i="3315" s="1"/>
  <c r="I94" i="3315"/>
  <c r="J94" i="3315" s="1"/>
  <c r="Q94" i="3315"/>
  <c r="R94" i="3315" s="1"/>
  <c r="Z94" i="3315"/>
  <c r="AD94" i="3315" s="1"/>
  <c r="I95" i="3315"/>
  <c r="Q95" i="3315"/>
  <c r="R95" i="3315" s="1"/>
  <c r="Z95" i="3315"/>
  <c r="AD95" i="3315" s="1"/>
  <c r="I96" i="3315"/>
  <c r="J96" i="3315" s="1"/>
  <c r="Q96" i="3315"/>
  <c r="R96" i="3315" s="1"/>
  <c r="Z96" i="3315"/>
  <c r="AD96" i="3315" s="1"/>
  <c r="I97" i="3315"/>
  <c r="Q97" i="3315"/>
  <c r="R97" i="3315" s="1"/>
  <c r="Z97" i="3315"/>
  <c r="AD97" i="3315" s="1"/>
  <c r="I98" i="3315"/>
  <c r="J98" i="3315" s="1"/>
  <c r="Q98" i="3315"/>
  <c r="R98" i="3315" s="1"/>
  <c r="Z98" i="3315"/>
  <c r="AD98" i="3315" s="1"/>
  <c r="I99" i="3315"/>
  <c r="Q99" i="3315"/>
  <c r="R99" i="3315" s="1"/>
  <c r="Z99" i="3315"/>
  <c r="AD99" i="3315" s="1"/>
  <c r="I100" i="3315"/>
  <c r="J100" i="3315" s="1"/>
  <c r="Q100" i="3315"/>
  <c r="R100" i="3315" s="1"/>
  <c r="Z100" i="3315"/>
  <c r="AD100" i="3315" s="1"/>
  <c r="I101" i="3315"/>
  <c r="Q101" i="3315"/>
  <c r="R101" i="3315" s="1"/>
  <c r="Z101" i="3315"/>
  <c r="AD101" i="3315" s="1"/>
  <c r="I102" i="3315"/>
  <c r="J102" i="3315" s="1"/>
  <c r="Q102" i="3315"/>
  <c r="R102" i="3315" s="1"/>
  <c r="Z102" i="3315"/>
  <c r="AD102" i="3315" s="1"/>
  <c r="I103" i="3315"/>
  <c r="Q103" i="3315"/>
  <c r="R103" i="3315" s="1"/>
  <c r="Z103" i="3315"/>
  <c r="AD103" i="3315" s="1"/>
  <c r="I104" i="3315"/>
  <c r="Q104" i="3315"/>
  <c r="R104" i="3315" s="1"/>
  <c r="Z104" i="3315"/>
  <c r="AD104" i="3315" s="1"/>
  <c r="I105" i="3315"/>
  <c r="Q105" i="3315"/>
  <c r="R105" i="3315" s="1"/>
  <c r="Z105" i="3315"/>
  <c r="AD105" i="3315" s="1"/>
  <c r="I106" i="3315"/>
  <c r="Q106" i="3315"/>
  <c r="R106" i="3315" s="1"/>
  <c r="Z106" i="3315"/>
  <c r="AD106" i="3315" s="1"/>
  <c r="I107" i="3315"/>
  <c r="Q107" i="3315"/>
  <c r="R107" i="3315" s="1"/>
  <c r="Z107" i="3315"/>
  <c r="AD107" i="3315" s="1"/>
  <c r="I108" i="3315"/>
  <c r="Q108" i="3315"/>
  <c r="R108" i="3315" s="1"/>
  <c r="Z108" i="3315"/>
  <c r="AD108" i="3315" s="1"/>
  <c r="I109" i="3315"/>
  <c r="J109" i="3315" s="1"/>
  <c r="Q109" i="3315"/>
  <c r="R109" i="3315" s="1"/>
  <c r="Z109" i="3315"/>
  <c r="AD109" i="3315" s="1"/>
  <c r="I110" i="3315"/>
  <c r="J110" i="3315" s="1"/>
  <c r="Q110" i="3315"/>
  <c r="R110" i="3315" s="1"/>
  <c r="Z110" i="3315"/>
  <c r="AD110" i="3315" s="1"/>
  <c r="I111" i="3315"/>
  <c r="J111" i="3315" s="1"/>
  <c r="Q111" i="3315"/>
  <c r="R111" i="3315" s="1"/>
  <c r="Z111" i="3315"/>
  <c r="AD111" i="3315" s="1"/>
  <c r="I112" i="3315"/>
  <c r="J112" i="3315" s="1"/>
  <c r="Q112" i="3315"/>
  <c r="R112" i="3315" s="1"/>
  <c r="Z112" i="3315"/>
  <c r="AD112" i="3315" s="1"/>
  <c r="I113" i="3315"/>
  <c r="J113" i="3315" s="1"/>
  <c r="Q113" i="3315"/>
  <c r="R113" i="3315" s="1"/>
  <c r="Z113" i="3315"/>
  <c r="AD113" i="3315" s="1"/>
  <c r="I114" i="3315"/>
  <c r="J114" i="3315" s="1"/>
  <c r="Q114" i="3315"/>
  <c r="R114" i="3315" s="1"/>
  <c r="Z114" i="3315"/>
  <c r="AD114" i="3315" s="1"/>
  <c r="I115" i="3315"/>
  <c r="J115" i="3315" s="1"/>
  <c r="Q115" i="3315"/>
  <c r="R115" i="3315" s="1"/>
  <c r="Z115" i="3315"/>
  <c r="AD115" i="3315" s="1"/>
  <c r="I116" i="3315"/>
  <c r="J116" i="3315" s="1"/>
  <c r="Q116" i="3315"/>
  <c r="R116" i="3315" s="1"/>
  <c r="Z116" i="3315"/>
  <c r="AD116" i="3315" s="1"/>
  <c r="I117" i="3315"/>
  <c r="J117" i="3315" s="1"/>
  <c r="Q117" i="3315"/>
  <c r="R117" i="3315" s="1"/>
  <c r="Z117" i="3315"/>
  <c r="AD117" i="3315" s="1"/>
  <c r="I118" i="3315"/>
  <c r="J118" i="3315" s="1"/>
  <c r="Q118" i="3315"/>
  <c r="R118" i="3315" s="1"/>
  <c r="Z118" i="3315"/>
  <c r="AD118" i="3315" s="1"/>
  <c r="I119" i="3315"/>
  <c r="J119" i="3315" s="1"/>
  <c r="Q119" i="3315"/>
  <c r="R119" i="3315" s="1"/>
  <c r="Z119" i="3315"/>
  <c r="AD119" i="3315" s="1"/>
  <c r="I120" i="3315"/>
  <c r="Q120" i="3315"/>
  <c r="R120" i="3315" s="1"/>
  <c r="Z120" i="3315"/>
  <c r="AD120" i="3315" s="1"/>
  <c r="I121" i="3315"/>
  <c r="AG121" i="3315" s="1"/>
  <c r="Q121" i="3315"/>
  <c r="R121" i="3315" s="1"/>
  <c r="Z121" i="3315"/>
  <c r="AD121" i="3315" s="1"/>
  <c r="I122" i="3315"/>
  <c r="Q122" i="3315"/>
  <c r="R122" i="3315" s="1"/>
  <c r="Z122" i="3315"/>
  <c r="AD122" i="3315" s="1"/>
  <c r="I123" i="3315"/>
  <c r="AG123" i="3315" s="1"/>
  <c r="Q123" i="3315"/>
  <c r="R123" i="3315" s="1"/>
  <c r="Z123" i="3315"/>
  <c r="AD123" i="3315" s="1"/>
  <c r="I124" i="3315"/>
  <c r="Q124" i="3315"/>
  <c r="R124" i="3315" s="1"/>
  <c r="Z124" i="3315"/>
  <c r="AD124" i="3315" s="1"/>
  <c r="I125" i="3315"/>
  <c r="Q125" i="3315"/>
  <c r="R125" i="3315" s="1"/>
  <c r="Z125" i="3315"/>
  <c r="AD125" i="3315" s="1"/>
  <c r="AG126" i="3315"/>
  <c r="Q126" i="3315"/>
  <c r="R126" i="3315" s="1"/>
  <c r="Z126" i="3315"/>
  <c r="AD126" i="3315" s="1"/>
  <c r="I127" i="3315"/>
  <c r="AG127" i="3315" s="1"/>
  <c r="Q127" i="3315"/>
  <c r="R127" i="3315" s="1"/>
  <c r="Z127" i="3315"/>
  <c r="AD127" i="3315" s="1"/>
  <c r="I128" i="3315"/>
  <c r="AG128" i="3315" s="1"/>
  <c r="Q128" i="3315"/>
  <c r="R128" i="3315" s="1"/>
  <c r="Z128" i="3315"/>
  <c r="AD128" i="3315" s="1"/>
  <c r="I129" i="3315"/>
  <c r="AG129" i="3315" s="1"/>
  <c r="Q129" i="3315"/>
  <c r="R129" i="3315" s="1"/>
  <c r="Z129" i="3315"/>
  <c r="AD129" i="3315" s="1"/>
  <c r="I130" i="3315"/>
  <c r="AG130" i="3315" s="1"/>
  <c r="Q130" i="3315"/>
  <c r="R130" i="3315" s="1"/>
  <c r="Z130" i="3315"/>
  <c r="AD130" i="3315" s="1"/>
  <c r="I131" i="3315"/>
  <c r="AG131" i="3315" s="1"/>
  <c r="Q131" i="3315"/>
  <c r="R131" i="3315" s="1"/>
  <c r="Z131" i="3315"/>
  <c r="AD131" i="3315" s="1"/>
  <c r="I132" i="3315"/>
  <c r="AG132" i="3315" s="1"/>
  <c r="Q132" i="3315"/>
  <c r="R132" i="3315" s="1"/>
  <c r="Z132" i="3315"/>
  <c r="AD132" i="3315" s="1"/>
  <c r="I133" i="3315"/>
  <c r="AG133" i="3315" s="1"/>
  <c r="Q133" i="3315"/>
  <c r="R133" i="3315" s="1"/>
  <c r="Z133" i="3315"/>
  <c r="AD133" i="3315" s="1"/>
  <c r="I134" i="3315"/>
  <c r="AG134" i="3315" s="1"/>
  <c r="Q134" i="3315"/>
  <c r="R134" i="3315" s="1"/>
  <c r="Z134" i="3315"/>
  <c r="AD134" i="3315" s="1"/>
  <c r="I41" i="3315"/>
  <c r="J41" i="3315" s="1"/>
  <c r="Q41" i="3315"/>
  <c r="R41" i="3315" s="1"/>
  <c r="Z41" i="3315"/>
  <c r="AD41" i="3315" s="1"/>
  <c r="I42" i="3315"/>
  <c r="J42" i="3315" s="1"/>
  <c r="Q42" i="3315"/>
  <c r="R42" i="3315" s="1"/>
  <c r="Z42" i="3315"/>
  <c r="AD42" i="3315" s="1"/>
  <c r="I43" i="3315"/>
  <c r="J43" i="3315" s="1"/>
  <c r="Q43" i="3315"/>
  <c r="R43" i="3315" s="1"/>
  <c r="Z43" i="3315"/>
  <c r="AD43" i="3315" s="1"/>
  <c r="I44" i="3315"/>
  <c r="J44" i="3315" s="1"/>
  <c r="Q44" i="3315"/>
  <c r="R44" i="3315" s="1"/>
  <c r="Z44" i="3315"/>
  <c r="AD44" i="3315" s="1"/>
  <c r="I45" i="3315"/>
  <c r="J45" i="3315" s="1"/>
  <c r="Q45" i="3315"/>
  <c r="R45" i="3315" s="1"/>
  <c r="Z45" i="3315"/>
  <c r="AD45" i="3315" s="1"/>
  <c r="I46" i="3315"/>
  <c r="J46" i="3315" s="1"/>
  <c r="Q46" i="3315"/>
  <c r="R46" i="3315" s="1"/>
  <c r="Z46" i="3315"/>
  <c r="AD46" i="3315" s="1"/>
  <c r="I47" i="3315"/>
  <c r="J47" i="3315" s="1"/>
  <c r="Q47" i="3315"/>
  <c r="R47" i="3315" s="1"/>
  <c r="Z47" i="3315"/>
  <c r="AD47" i="3315" s="1"/>
  <c r="I48" i="3315"/>
  <c r="J48" i="3315" s="1"/>
  <c r="Q48" i="3315"/>
  <c r="R48" i="3315" s="1"/>
  <c r="Z48" i="3315"/>
  <c r="AD48" i="3315" s="1"/>
  <c r="I49" i="3315"/>
  <c r="J49" i="3315" s="1"/>
  <c r="Q49" i="3315"/>
  <c r="R49" i="3315" s="1"/>
  <c r="Z49" i="3315"/>
  <c r="AD49" i="3315" s="1"/>
  <c r="I50" i="3315"/>
  <c r="J50" i="3315" s="1"/>
  <c r="Q50" i="3315"/>
  <c r="R50" i="3315" s="1"/>
  <c r="Z50" i="3315"/>
  <c r="AD50" i="3315" s="1"/>
  <c r="I51" i="3315"/>
  <c r="J51" i="3315" s="1"/>
  <c r="Q51" i="3315"/>
  <c r="R51" i="3315" s="1"/>
  <c r="Z51" i="3315"/>
  <c r="AD51" i="3315" s="1"/>
  <c r="I52" i="3315"/>
  <c r="J52" i="3315" s="1"/>
  <c r="Q52" i="3315"/>
  <c r="R52" i="3315" s="1"/>
  <c r="Z52" i="3315"/>
  <c r="AD52" i="3315" s="1"/>
  <c r="I53" i="3315"/>
  <c r="AG53" i="3315" s="1"/>
  <c r="Q53" i="3315"/>
  <c r="R53" i="3315" s="1"/>
  <c r="Z53" i="3315"/>
  <c r="AD53" i="3315" s="1"/>
  <c r="I54" i="3315"/>
  <c r="J54" i="3315" s="1"/>
  <c r="Q54" i="3315"/>
  <c r="R54" i="3315" s="1"/>
  <c r="Z54" i="3315"/>
  <c r="AD54" i="3315" s="1"/>
  <c r="I55" i="3315"/>
  <c r="Q55" i="3315"/>
  <c r="R55" i="3315" s="1"/>
  <c r="Z55" i="3315"/>
  <c r="AD55" i="3315" s="1"/>
  <c r="I11" i="3315"/>
  <c r="AG11" i="3315" s="1"/>
  <c r="U11" i="3315"/>
  <c r="M11" i="3315"/>
  <c r="N11" i="3315"/>
  <c r="V11" i="3315" s="1"/>
  <c r="Q11" i="3315"/>
  <c r="R11" i="3315"/>
  <c r="W11" i="3315" s="1"/>
  <c r="Z11" i="3315"/>
  <c r="AD11" i="3315" s="1"/>
  <c r="AF11" i="3315"/>
  <c r="AG12" i="3315"/>
  <c r="M12" i="3315"/>
  <c r="N12" i="3315"/>
  <c r="V12" i="3315" s="1"/>
  <c r="Q12" i="3315"/>
  <c r="R12" i="3315"/>
  <c r="W12" i="3315" s="1"/>
  <c r="U12" i="3315"/>
  <c r="Z12" i="3315"/>
  <c r="AD12" i="3315" s="1"/>
  <c r="AF12" i="3315"/>
  <c r="I13" i="3315"/>
  <c r="AG13" i="3315" s="1"/>
  <c r="U13" i="3315"/>
  <c r="M13" i="3315"/>
  <c r="N13" i="3315"/>
  <c r="V13" i="3315" s="1"/>
  <c r="Q13" i="3315"/>
  <c r="R13" i="3315"/>
  <c r="W13" i="3315" s="1"/>
  <c r="Z13" i="3315"/>
  <c r="AD13" i="3315" s="1"/>
  <c r="AF13" i="3315"/>
  <c r="I14" i="3315"/>
  <c r="AG14" i="3315" s="1"/>
  <c r="M14" i="3315"/>
  <c r="N14" i="3315"/>
  <c r="Q14" i="3315"/>
  <c r="R14" i="3315"/>
  <c r="W14" i="3315" s="1"/>
  <c r="U14" i="3315"/>
  <c r="V14" i="3315"/>
  <c r="Z14" i="3315"/>
  <c r="AD14" i="3315" s="1"/>
  <c r="AF14" i="3315"/>
  <c r="M15" i="3315"/>
  <c r="N15" i="3315"/>
  <c r="Q15" i="3315"/>
  <c r="R15" i="3315"/>
  <c r="Z15" i="3315"/>
  <c r="AD15" i="3315" s="1"/>
  <c r="M16" i="3315"/>
  <c r="Q16" i="3315"/>
  <c r="R16" i="3315"/>
  <c r="Z16" i="3315"/>
  <c r="AD16" i="3315" s="1"/>
  <c r="I20" i="3315"/>
  <c r="AG20" i="3315" s="1"/>
  <c r="U20" i="3315"/>
  <c r="M20" i="3315"/>
  <c r="N20" i="3315"/>
  <c r="V20" i="3315" s="1"/>
  <c r="Q20" i="3315"/>
  <c r="R20" i="3315"/>
  <c r="W20" i="3315" s="1"/>
  <c r="Z20" i="3315"/>
  <c r="AD20" i="3315" s="1"/>
  <c r="AF20" i="3315"/>
  <c r="I21" i="3315"/>
  <c r="AG21" i="3315" s="1"/>
  <c r="M21" i="3315"/>
  <c r="N21" i="3315"/>
  <c r="V21" i="3315" s="1"/>
  <c r="Q21" i="3315"/>
  <c r="R21" i="3315"/>
  <c r="W21" i="3315" s="1"/>
  <c r="U21" i="3315"/>
  <c r="Z21" i="3315"/>
  <c r="AD21" i="3315" s="1"/>
  <c r="AF21" i="3315"/>
  <c r="I22" i="3315"/>
  <c r="AG22" i="3315" s="1"/>
  <c r="U22" i="3315"/>
  <c r="M22" i="3315"/>
  <c r="N22" i="3315"/>
  <c r="V22" i="3315" s="1"/>
  <c r="Q22" i="3315"/>
  <c r="R22" i="3315"/>
  <c r="W22" i="3315" s="1"/>
  <c r="Z22" i="3315"/>
  <c r="AD22" i="3315" s="1"/>
  <c r="AF22" i="3315"/>
  <c r="M23" i="3315"/>
  <c r="N23" i="3315"/>
  <c r="Q23" i="3315"/>
  <c r="R23" i="3315"/>
  <c r="Z23" i="3315"/>
  <c r="AD23" i="3315" s="1"/>
  <c r="M24" i="3315"/>
  <c r="N24" i="3315"/>
  <c r="Q24" i="3315"/>
  <c r="R24" i="3315"/>
  <c r="Z24" i="3315"/>
  <c r="AD24" i="3315" s="1"/>
  <c r="Z25" i="3315"/>
  <c r="AD25" i="3315" s="1"/>
  <c r="Z26" i="3315"/>
  <c r="AD26" i="3315" s="1"/>
  <c r="M27" i="3315"/>
  <c r="W27" i="3315"/>
  <c r="V27" i="3315"/>
  <c r="Z27" i="3315"/>
  <c r="AD27" i="3315" s="1"/>
  <c r="I28" i="3315"/>
  <c r="AG28" i="3315" s="1"/>
  <c r="U28" i="3315"/>
  <c r="M28" i="3315"/>
  <c r="N28" i="3315"/>
  <c r="V28" i="3315" s="1"/>
  <c r="Q28" i="3315"/>
  <c r="R28" i="3315"/>
  <c r="W28" i="3315" s="1"/>
  <c r="Z28" i="3315"/>
  <c r="AD28" i="3315" s="1"/>
  <c r="AF28" i="3315"/>
  <c r="I29" i="3315"/>
  <c r="AG29" i="3315" s="1"/>
  <c r="M29" i="3315"/>
  <c r="N29" i="3315"/>
  <c r="V29" i="3315" s="1"/>
  <c r="W29" i="3315"/>
  <c r="U29" i="3315"/>
  <c r="Z29" i="3315"/>
  <c r="AD29" i="3315" s="1"/>
  <c r="AF29" i="3315"/>
  <c r="I30" i="3315"/>
  <c r="AG30" i="3315" s="1"/>
  <c r="U30" i="3315"/>
  <c r="M30" i="3315"/>
  <c r="N30" i="3315"/>
  <c r="V30" i="3315" s="1"/>
  <c r="Q30" i="3315"/>
  <c r="R30" i="3315"/>
  <c r="W30" i="3315" s="1"/>
  <c r="Z30" i="3315"/>
  <c r="AD30" i="3315" s="1"/>
  <c r="AF30" i="3315"/>
  <c r="I31" i="3315"/>
  <c r="AG31" i="3315" s="1"/>
  <c r="M31" i="3315"/>
  <c r="N31" i="3315"/>
  <c r="V31" i="3315" s="1"/>
  <c r="Q31" i="3315"/>
  <c r="R31" i="3315"/>
  <c r="W31" i="3315" s="1"/>
  <c r="U31" i="3315"/>
  <c r="Z31" i="3315"/>
  <c r="AD31" i="3315" s="1"/>
  <c r="AF31" i="3315"/>
  <c r="I32" i="3315"/>
  <c r="AG32" i="3315" s="1"/>
  <c r="U32" i="3315"/>
  <c r="M32" i="3315"/>
  <c r="N32" i="3315"/>
  <c r="V32" i="3315" s="1"/>
  <c r="Q32" i="3315"/>
  <c r="R32" i="3315"/>
  <c r="W32" i="3315" s="1"/>
  <c r="Z32" i="3315"/>
  <c r="AD32" i="3315" s="1"/>
  <c r="AF32" i="3315"/>
  <c r="I33" i="3315"/>
  <c r="AG33" i="3315" s="1"/>
  <c r="M33" i="3315"/>
  <c r="N33" i="3315"/>
  <c r="V33" i="3315" s="1"/>
  <c r="W33" i="3315"/>
  <c r="U33" i="3315"/>
  <c r="Z33" i="3315"/>
  <c r="AD33" i="3315" s="1"/>
  <c r="AF33" i="3315"/>
  <c r="I34" i="3315"/>
  <c r="AG34" i="3315" s="1"/>
  <c r="M34" i="3315"/>
  <c r="N34" i="3315"/>
  <c r="V34" i="3315" s="1"/>
  <c r="W34" i="3315"/>
  <c r="U34" i="3315"/>
  <c r="Z34" i="3315"/>
  <c r="AD34" i="3315" s="1"/>
  <c r="AF34" i="3315"/>
  <c r="I35" i="3315"/>
  <c r="AG35" i="3315" s="1"/>
  <c r="U35" i="3315"/>
  <c r="M35" i="3315"/>
  <c r="N35" i="3315"/>
  <c r="V35" i="3315" s="1"/>
  <c r="Q35" i="3315"/>
  <c r="R35" i="3315"/>
  <c r="W35" i="3315" s="1"/>
  <c r="Z35" i="3315"/>
  <c r="AD35" i="3315" s="1"/>
  <c r="AF35" i="3315"/>
  <c r="I907" i="3315"/>
  <c r="AF993" i="3315" l="1"/>
  <c r="AF926" i="3315"/>
  <c r="AF982" i="3315"/>
  <c r="AF947" i="3315"/>
  <c r="AF895" i="3315"/>
  <c r="AF925" i="3315"/>
  <c r="AF954" i="3315"/>
  <c r="AF990" i="3315"/>
  <c r="AF1018" i="3315"/>
  <c r="AF972" i="3315"/>
  <c r="AF964" i="3315"/>
  <c r="U652" i="3315"/>
  <c r="AF630" i="3315"/>
  <c r="U885" i="3315"/>
  <c r="U881" i="3315"/>
  <c r="U877" i="3315"/>
  <c r="U873" i="3315"/>
  <c r="AF117" i="3315"/>
  <c r="AF109" i="3315"/>
  <c r="AF701" i="3315"/>
  <c r="AF697" i="3315"/>
  <c r="AF693" i="3315"/>
  <c r="AF689" i="3315"/>
  <c r="AF685" i="3315"/>
  <c r="AF681" i="3315"/>
  <c r="AF669" i="3315"/>
  <c r="AF657" i="3315"/>
  <c r="AF649" i="3315"/>
  <c r="AF616" i="3315"/>
  <c r="U886" i="3315"/>
  <c r="U882" i="3315"/>
  <c r="U874" i="3315"/>
  <c r="AF702" i="3315"/>
  <c r="AF674" i="3315"/>
  <c r="AF606" i="3315"/>
  <c r="U887" i="3315"/>
  <c r="U879" i="3315"/>
  <c r="U875" i="3315"/>
  <c r="AF119" i="3315"/>
  <c r="U264" i="3315"/>
  <c r="U285" i="3315"/>
  <c r="AF703" i="3315"/>
  <c r="AF699" i="3315"/>
  <c r="AF695" i="3315"/>
  <c r="AF691" i="3315"/>
  <c r="AF687" i="3315"/>
  <c r="AF679" i="3315"/>
  <c r="AF671" i="3315"/>
  <c r="AF659" i="3315"/>
  <c r="R288" i="3315"/>
  <c r="AG515" i="3315"/>
  <c r="AG480" i="3315"/>
  <c r="AG339" i="3315"/>
  <c r="AG63" i="3315"/>
  <c r="AG366" i="3315"/>
  <c r="AG329" i="3315"/>
  <c r="AG71" i="3315"/>
  <c r="AF1009" i="3315"/>
  <c r="AF927" i="3315"/>
  <c r="AG456" i="3315"/>
  <c r="AF913" i="3315"/>
  <c r="AF909" i="3315"/>
  <c r="AF968" i="3315"/>
  <c r="AF975" i="3315"/>
  <c r="AF896" i="3315"/>
  <c r="AF1021" i="3315"/>
  <c r="AF1026" i="3315"/>
  <c r="J374" i="3315"/>
  <c r="J723" i="3315"/>
  <c r="J814" i="3315"/>
  <c r="AG367" i="3315"/>
  <c r="AF941" i="3315"/>
  <c r="J728" i="3315"/>
  <c r="J332" i="3315"/>
  <c r="AG332" i="3315"/>
  <c r="J331" i="3315"/>
  <c r="AG331" i="3315"/>
  <c r="AF914" i="3315"/>
  <c r="AF1012" i="3315"/>
  <c r="AF924" i="3315"/>
  <c r="AF1023" i="3315"/>
  <c r="J335" i="3315"/>
  <c r="AG335" i="3315"/>
  <c r="J437" i="3315"/>
  <c r="AG437" i="3315"/>
  <c r="J337" i="3315"/>
  <c r="AG337" i="3315"/>
  <c r="J336" i="3315"/>
  <c r="AG336" i="3315"/>
  <c r="J288" i="3315"/>
  <c r="AG288" i="3315"/>
  <c r="Q897" i="3315"/>
  <c r="R897" i="3315" s="1"/>
  <c r="Q962" i="3315"/>
  <c r="R962" i="3315" s="1"/>
  <c r="Q966" i="3315"/>
  <c r="R966" i="3315" s="1"/>
  <c r="Q970" i="3315"/>
  <c r="R970" i="3315" s="1"/>
  <c r="Q895" i="3315"/>
  <c r="R895" i="3315" s="1"/>
  <c r="Q896" i="3315"/>
  <c r="R896" i="3315" s="1"/>
  <c r="Q902" i="3315"/>
  <c r="R902" i="3315" s="1"/>
  <c r="Q894" i="3315"/>
  <c r="R894" i="3315" s="1"/>
  <c r="Q903" i="3315"/>
  <c r="R903" i="3315" s="1"/>
  <c r="Q964" i="3315"/>
  <c r="R964" i="3315" s="1"/>
  <c r="Q968" i="3315"/>
  <c r="R968" i="3315" s="1"/>
  <c r="Q972" i="3315"/>
  <c r="R972" i="3315" s="1"/>
  <c r="Q975" i="3315"/>
  <c r="R975" i="3315" s="1"/>
  <c r="Q915" i="3315"/>
  <c r="R915" i="3315" s="1"/>
  <c r="Q923" i="3315"/>
  <c r="R923" i="3315" s="1"/>
  <c r="Q925" i="3315"/>
  <c r="R925" i="3315" s="1"/>
  <c r="Q928" i="3315"/>
  <c r="R928" i="3315" s="1"/>
  <c r="Q931" i="3315"/>
  <c r="R931" i="3315" s="1"/>
  <c r="Q937" i="3315"/>
  <c r="R937" i="3315" s="1"/>
  <c r="Q940" i="3315"/>
  <c r="R940" i="3315" s="1"/>
  <c r="Q947" i="3315"/>
  <c r="R947" i="3315" s="1"/>
  <c r="Q948" i="3315"/>
  <c r="R948" i="3315" s="1"/>
  <c r="Q952" i="3315"/>
  <c r="R952" i="3315" s="1"/>
  <c r="Q953" i="3315"/>
  <c r="R953" i="3315" s="1"/>
  <c r="Q957" i="3315"/>
  <c r="R957" i="3315" s="1"/>
  <c r="Q960" i="3315"/>
  <c r="R960" i="3315" s="1"/>
  <c r="Q967" i="3315"/>
  <c r="R967" i="3315" s="1"/>
  <c r="Q918" i="3315"/>
  <c r="R918" i="3315" s="1"/>
  <c r="Q919" i="3315"/>
  <c r="R919" i="3315" s="1"/>
  <c r="Q927" i="3315"/>
  <c r="R927" i="3315" s="1"/>
  <c r="Q933" i="3315"/>
  <c r="R933" i="3315" s="1"/>
  <c r="Q935" i="3315"/>
  <c r="R935" i="3315" s="1"/>
  <c r="Q942" i="3315"/>
  <c r="R942" i="3315" s="1"/>
  <c r="Q945" i="3315"/>
  <c r="R945" i="3315" s="1"/>
  <c r="Q951" i="3315"/>
  <c r="R951" i="3315" s="1"/>
  <c r="Q955" i="3315"/>
  <c r="R955" i="3315" s="1"/>
  <c r="Q908" i="3315"/>
  <c r="R908" i="3315" s="1"/>
  <c r="Q912" i="3315"/>
  <c r="R912" i="3315" s="1"/>
  <c r="Q980" i="3315"/>
  <c r="R980" i="3315" s="1"/>
  <c r="Q983" i="3315"/>
  <c r="R983" i="3315" s="1"/>
  <c r="Q986" i="3315"/>
  <c r="R986" i="3315" s="1"/>
  <c r="Q999" i="3315"/>
  <c r="R999" i="3315" s="1"/>
  <c r="Q1004" i="3315"/>
  <c r="Q1008" i="3315"/>
  <c r="R1008" i="3315" s="1"/>
  <c r="Q1010" i="3315"/>
  <c r="R1010" i="3315" s="1"/>
  <c r="Q1013" i="3315"/>
  <c r="R1013" i="3315" s="1"/>
  <c r="Q1016" i="3315"/>
  <c r="R1016" i="3315" s="1"/>
  <c r="Q1017" i="3315"/>
  <c r="R1017" i="3315" s="1"/>
  <c r="Q965" i="3315"/>
  <c r="R965" i="3315" s="1"/>
  <c r="Q971" i="3315"/>
  <c r="R971" i="3315" s="1"/>
  <c r="Q973" i="3315"/>
  <c r="R973" i="3315" s="1"/>
  <c r="Q974" i="3315"/>
  <c r="R974" i="3315" s="1"/>
  <c r="Q914" i="3315"/>
  <c r="R914" i="3315" s="1"/>
  <c r="Q917" i="3315"/>
  <c r="R917" i="3315" s="1"/>
  <c r="Q922" i="3315"/>
  <c r="R922" i="3315" s="1"/>
  <c r="Q924" i="3315"/>
  <c r="R924" i="3315" s="1"/>
  <c r="Q929" i="3315"/>
  <c r="R929" i="3315" s="1"/>
  <c r="Q939" i="3315"/>
  <c r="R939" i="3315" s="1"/>
  <c r="Q941" i="3315"/>
  <c r="R941" i="3315" s="1"/>
  <c r="Q944" i="3315"/>
  <c r="R944" i="3315" s="1"/>
  <c r="Q946" i="3315"/>
  <c r="R946" i="3315" s="1"/>
  <c r="Q949" i="3315"/>
  <c r="R949" i="3315" s="1"/>
  <c r="Q958" i="3315"/>
  <c r="R958" i="3315" s="1"/>
  <c r="Q981" i="3315"/>
  <c r="R981" i="3315" s="1"/>
  <c r="Q984" i="3315"/>
  <c r="R984" i="3315" s="1"/>
  <c r="Q987" i="3315"/>
  <c r="R987" i="3315" s="1"/>
  <c r="Q990" i="3315"/>
  <c r="Q991" i="3315"/>
  <c r="R991" i="3315" s="1"/>
  <c r="Q993" i="3315"/>
  <c r="R993" i="3315" s="1"/>
  <c r="Q996" i="3315"/>
  <c r="Q1001" i="3315"/>
  <c r="R1001" i="3315" s="1"/>
  <c r="Q1005" i="3315"/>
  <c r="R1005" i="3315" s="1"/>
  <c r="Q1012" i="3315"/>
  <c r="R1012" i="3315" s="1"/>
  <c r="Q1022" i="3315"/>
  <c r="R1022" i="3315" s="1"/>
  <c r="Q1024" i="3315"/>
  <c r="R1024" i="3315" s="1"/>
  <c r="Q969" i="3315"/>
  <c r="R969" i="3315" s="1"/>
  <c r="Q920" i="3315"/>
  <c r="R920" i="3315" s="1"/>
  <c r="Q934" i="3315"/>
  <c r="R934" i="3315" s="1"/>
  <c r="Q950" i="3315"/>
  <c r="R950" i="3315" s="1"/>
  <c r="Q956" i="3315"/>
  <c r="R956" i="3315" s="1"/>
  <c r="Q959" i="3315"/>
  <c r="R959" i="3315" s="1"/>
  <c r="Q961" i="3315"/>
  <c r="R961" i="3315" s="1"/>
  <c r="Q909" i="3315"/>
  <c r="R909" i="3315" s="1"/>
  <c r="Q911" i="3315"/>
  <c r="R911" i="3315" s="1"/>
  <c r="Q913" i="3315"/>
  <c r="R913" i="3315" s="1"/>
  <c r="Q982" i="3315"/>
  <c r="R982" i="3315" s="1"/>
  <c r="Q988" i="3315"/>
  <c r="R988" i="3315" s="1"/>
  <c r="Q992" i="3315"/>
  <c r="R992" i="3315" s="1"/>
  <c r="Q994" i="3315"/>
  <c r="R994" i="3315" s="1"/>
  <c r="Q997" i="3315"/>
  <c r="R997" i="3315" s="1"/>
  <c r="Q998" i="3315"/>
  <c r="R998" i="3315" s="1"/>
  <c r="Q1002" i="3315"/>
  <c r="Q1011" i="3315"/>
  <c r="R1011" i="3315" s="1"/>
  <c r="Q1019" i="3315"/>
  <c r="R1019" i="3315" s="1"/>
  <c r="Q1020" i="3315"/>
  <c r="R1020" i="3315" s="1"/>
  <c r="Q963" i="3315"/>
  <c r="R963" i="3315" s="1"/>
  <c r="Q916" i="3315"/>
  <c r="R916" i="3315" s="1"/>
  <c r="Q921" i="3315"/>
  <c r="R921" i="3315" s="1"/>
  <c r="Q926" i="3315"/>
  <c r="R926" i="3315" s="1"/>
  <c r="Q930" i="3315"/>
  <c r="R930" i="3315" s="1"/>
  <c r="Q932" i="3315"/>
  <c r="R932" i="3315" s="1"/>
  <c r="Q936" i="3315"/>
  <c r="R936" i="3315" s="1"/>
  <c r="Q938" i="3315"/>
  <c r="R938" i="3315" s="1"/>
  <c r="Q943" i="3315"/>
  <c r="R943" i="3315" s="1"/>
  <c r="Q954" i="3315"/>
  <c r="R954" i="3315" s="1"/>
  <c r="Q910" i="3315"/>
  <c r="R910" i="3315" s="1"/>
  <c r="Q989" i="3315"/>
  <c r="R989" i="3315" s="1"/>
  <c r="Q995" i="3315"/>
  <c r="R995" i="3315" s="1"/>
  <c r="Q1014" i="3315"/>
  <c r="R1014" i="3315" s="1"/>
  <c r="Q1021" i="3315"/>
  <c r="R1021" i="3315" s="1"/>
  <c r="Q1000" i="3315"/>
  <c r="R1000" i="3315" s="1"/>
  <c r="Q1009" i="3315"/>
  <c r="Q1015" i="3315"/>
  <c r="R1015" i="3315" s="1"/>
  <c r="Q1023" i="3315"/>
  <c r="R1023" i="3315" s="1"/>
  <c r="Q1026" i="3315"/>
  <c r="R1026" i="3315" s="1"/>
  <c r="Q985" i="3315"/>
  <c r="R985" i="3315" s="1"/>
  <c r="Q1025" i="3315"/>
  <c r="R1025" i="3315" s="1"/>
  <c r="Q1003" i="3315"/>
  <c r="Q1006" i="3315"/>
  <c r="R1006" i="3315" s="1"/>
  <c r="Q1007" i="3315"/>
  <c r="R1007" i="3315" s="1"/>
  <c r="Q1018" i="3315"/>
  <c r="R1018" i="3315" s="1"/>
  <c r="AG88" i="3315"/>
  <c r="AG161" i="3315"/>
  <c r="J338" i="3315"/>
  <c r="AG338" i="3315"/>
  <c r="AG333" i="3315"/>
  <c r="J327" i="3315"/>
  <c r="AG327" i="3315"/>
  <c r="AG328" i="3315"/>
  <c r="J847" i="3315"/>
  <c r="J615" i="3315"/>
  <c r="AG615" i="3315"/>
  <c r="J878" i="3315"/>
  <c r="AG878" i="3315"/>
  <c r="AG722" i="3315"/>
  <c r="J722" i="3315"/>
  <c r="J523" i="3315"/>
  <c r="AG886" i="3315"/>
  <c r="J512" i="3315"/>
  <c r="AG379" i="3315"/>
  <c r="AG530" i="3315"/>
  <c r="AG64" i="3315"/>
  <c r="AG639" i="3315"/>
  <c r="AG636" i="3315"/>
  <c r="J612" i="3315"/>
  <c r="AG599" i="3315"/>
  <c r="J596" i="3315"/>
  <c r="J586" i="3315"/>
  <c r="J508" i="3315"/>
  <c r="J880" i="3315"/>
  <c r="AG359" i="3315"/>
  <c r="AG70" i="3315"/>
  <c r="AG230" i="3315"/>
  <c r="AG307" i="3315"/>
  <c r="AG287" i="3315"/>
  <c r="J383" i="3315"/>
  <c r="AG364" i="3315"/>
  <c r="J435" i="3315"/>
  <c r="AG429" i="3315"/>
  <c r="J721" i="3315"/>
  <c r="J556" i="3315"/>
  <c r="AG473" i="3315"/>
  <c r="J720" i="3315"/>
  <c r="J715" i="3315"/>
  <c r="J713" i="3315"/>
  <c r="J712" i="3315"/>
  <c r="J706" i="3315"/>
  <c r="J604" i="3315"/>
  <c r="J559" i="3315"/>
  <c r="J551" i="3315"/>
  <c r="AF547" i="3315"/>
  <c r="AG511" i="3315"/>
  <c r="AG879" i="3315"/>
  <c r="AG877" i="3315"/>
  <c r="AG306" i="3315"/>
  <c r="AG299" i="3315"/>
  <c r="AG358" i="3315"/>
  <c r="AG356" i="3315"/>
  <c r="AG452" i="3315"/>
  <c r="AG434" i="3315"/>
  <c r="AG422" i="3315"/>
  <c r="AG630" i="3315"/>
  <c r="AG611" i="3315"/>
  <c r="AG608" i="3315"/>
  <c r="AG496" i="3315"/>
  <c r="AG887" i="3315"/>
  <c r="AG885" i="3315"/>
  <c r="J372" i="3315"/>
  <c r="AG372" i="3315"/>
  <c r="AG478" i="3315"/>
  <c r="J478" i="3315"/>
  <c r="J632" i="3315"/>
  <c r="AG632" i="3315"/>
  <c r="J546" i="3315"/>
  <c r="AG546" i="3315"/>
  <c r="J477" i="3315"/>
  <c r="AG477" i="3315"/>
  <c r="J247" i="3315"/>
  <c r="AG247" i="3315"/>
  <c r="AG243" i="3315"/>
  <c r="J243" i="3315"/>
  <c r="J421" i="3315"/>
  <c r="AG421" i="3315"/>
  <c r="AG741" i="3315"/>
  <c r="J741" i="3315"/>
  <c r="J648" i="3315"/>
  <c r="AG648" i="3315"/>
  <c r="J226" i="3315"/>
  <c r="AG226" i="3315"/>
  <c r="J263" i="3315"/>
  <c r="AG263" i="3315"/>
  <c r="J254" i="3315"/>
  <c r="AG254" i="3315"/>
  <c r="AG276" i="3315"/>
  <c r="J276" i="3315"/>
  <c r="J272" i="3315"/>
  <c r="AG272" i="3315"/>
  <c r="J471" i="3315"/>
  <c r="AG471" i="3315"/>
  <c r="AG841" i="3315"/>
  <c r="J841" i="3315"/>
  <c r="AG821" i="3315"/>
  <c r="J821" i="3315"/>
  <c r="J262" i="3315"/>
  <c r="AG262" i="3315"/>
  <c r="J283" i="3315"/>
  <c r="AG283" i="3315"/>
  <c r="J275" i="3315"/>
  <c r="AG275" i="3315"/>
  <c r="J391" i="3315"/>
  <c r="AG391" i="3315"/>
  <c r="AF677" i="3315"/>
  <c r="AG628" i="3315"/>
  <c r="J628" i="3315"/>
  <c r="J55" i="3315"/>
  <c r="AG55" i="3315"/>
  <c r="J255" i="3315"/>
  <c r="AG255" i="3315"/>
  <c r="J246" i="3315"/>
  <c r="AG246" i="3315"/>
  <c r="J242" i="3315"/>
  <c r="AG242" i="3315"/>
  <c r="J305" i="3315"/>
  <c r="AG305" i="3315"/>
  <c r="J851" i="3315"/>
  <c r="AG851" i="3315"/>
  <c r="AG773" i="3315"/>
  <c r="J773" i="3315"/>
  <c r="AG519" i="3315"/>
  <c r="J883" i="3315"/>
  <c r="AG883" i="3315"/>
  <c r="J798" i="3315"/>
  <c r="J745" i="3315"/>
  <c r="J742" i="3315"/>
  <c r="J735" i="3315"/>
  <c r="AG624" i="3315"/>
  <c r="AG606" i="3315"/>
  <c r="J569" i="3315"/>
  <c r="AG527" i="3315"/>
  <c r="AG504" i="3315"/>
  <c r="J884" i="3315"/>
  <c r="AG882" i="3315"/>
  <c r="J872" i="3315"/>
  <c r="X12" i="3315"/>
  <c r="AG476" i="3315"/>
  <c r="AG600" i="3315"/>
  <c r="AG189" i="3315"/>
  <c r="AG150" i="3315"/>
  <c r="AG178" i="3315"/>
  <c r="AG176" i="3315"/>
  <c r="AG149" i="3315"/>
  <c r="AG117" i="3315"/>
  <c r="AF115" i="3315"/>
  <c r="AF113" i="3315"/>
  <c r="AF111" i="3315"/>
  <c r="AF116" i="3315"/>
  <c r="AF114" i="3315"/>
  <c r="AF112" i="3315"/>
  <c r="AF110" i="3315"/>
  <c r="AG98" i="3315"/>
  <c r="AG87" i="3315"/>
  <c r="AG119" i="3315"/>
  <c r="AG116" i="3315"/>
  <c r="AG115" i="3315"/>
  <c r="AG114" i="3315"/>
  <c r="AG113" i="3315"/>
  <c r="AG112" i="3315"/>
  <c r="AG111" i="3315"/>
  <c r="AG110" i="3315"/>
  <c r="AG109" i="3315"/>
  <c r="AG102" i="3315"/>
  <c r="AG78" i="3315"/>
  <c r="AG94" i="3315"/>
  <c r="AG62" i="3315"/>
  <c r="J199" i="3315"/>
  <c r="AG182" i="3315"/>
  <c r="AG160" i="3315"/>
  <c r="AG140" i="3315"/>
  <c r="AG185" i="3315"/>
  <c r="AG183" i="3315"/>
  <c r="AG159" i="3315"/>
  <c r="AG148" i="3315"/>
  <c r="AG191" i="3315"/>
  <c r="AG188" i="3315"/>
  <c r="J168" i="3315"/>
  <c r="AG162" i="3315"/>
  <c r="AG49" i="3315"/>
  <c r="AG100" i="3315"/>
  <c r="J131" i="3315"/>
  <c r="J130" i="3315"/>
  <c r="J128" i="3315"/>
  <c r="J127" i="3315"/>
  <c r="J92" i="3315"/>
  <c r="AG89" i="3315"/>
  <c r="J81" i="3315"/>
  <c r="J134" i="3315"/>
  <c r="J133" i="3315"/>
  <c r="J123" i="3315"/>
  <c r="AG96" i="3315"/>
  <c r="AG80" i="3315"/>
  <c r="AG77" i="3315"/>
  <c r="J197" i="3315"/>
  <c r="J193" i="3315"/>
  <c r="AG184" i="3315"/>
  <c r="AG177" i="3315"/>
  <c r="AG170" i="3315"/>
  <c r="AG164" i="3315"/>
  <c r="AG158" i="3315"/>
  <c r="J157" i="3315"/>
  <c r="J152" i="3315"/>
  <c r="J144" i="3315"/>
  <c r="AG266" i="3315"/>
  <c r="AG261" i="3315"/>
  <c r="AG258" i="3315"/>
  <c r="AG253" i="3315"/>
  <c r="AG250" i="3315"/>
  <c r="AG245" i="3315"/>
  <c r="J259" i="3315"/>
  <c r="J251" i="3315"/>
  <c r="AG340" i="3315"/>
  <c r="AG330" i="3315"/>
  <c r="AG310" i="3315"/>
  <c r="J303" i="3315"/>
  <c r="AG301" i="3315"/>
  <c r="AG291" i="3315"/>
  <c r="AG334" i="3315"/>
  <c r="AG326" i="3315"/>
  <c r="J311" i="3315"/>
  <c r="AG302" i="3315"/>
  <c r="J292" i="3315"/>
  <c r="AG271" i="3315"/>
  <c r="J428" i="3315"/>
  <c r="J425" i="3315"/>
  <c r="AG423" i="3315"/>
  <c r="AG427" i="3315"/>
  <c r="AG424" i="3315"/>
  <c r="AG859" i="3315"/>
  <c r="J855" i="3315"/>
  <c r="J845" i="3315"/>
  <c r="J844" i="3315"/>
  <c r="J837" i="3315"/>
  <c r="J801" i="3315"/>
  <c r="J785" i="3315"/>
  <c r="J761" i="3315"/>
  <c r="J725" i="3315"/>
  <c r="J705" i="3315"/>
  <c r="J583" i="3315"/>
  <c r="J578" i="3315"/>
  <c r="J576" i="3315"/>
  <c r="J567" i="3315"/>
  <c r="J561" i="3315"/>
  <c r="AG525" i="3315"/>
  <c r="AG520" i="3315"/>
  <c r="AG502" i="3315"/>
  <c r="AG495" i="3315"/>
  <c r="AG529" i="3315"/>
  <c r="AG854" i="3315"/>
  <c r="J829" i="3315"/>
  <c r="J808" i="3315"/>
  <c r="J789" i="3315"/>
  <c r="J751" i="3315"/>
  <c r="J709" i="3315"/>
  <c r="J707" i="3315"/>
  <c r="AG616" i="3315"/>
  <c r="J579" i="3315"/>
  <c r="J562" i="3315"/>
  <c r="AG510" i="3315"/>
  <c r="AG503" i="3315"/>
  <c r="J500" i="3315"/>
  <c r="AG881" i="3315"/>
  <c r="AG874" i="3315"/>
  <c r="AG474" i="3315"/>
  <c r="J876" i="3315"/>
  <c r="AG873" i="3315"/>
  <c r="AF667" i="3315"/>
  <c r="AF653" i="3315"/>
  <c r="J644" i="3315"/>
  <c r="AG644" i="3315"/>
  <c r="AF638" i="3315"/>
  <c r="J619" i="3315"/>
  <c r="AG619" i="3315"/>
  <c r="AF598" i="3315"/>
  <c r="AG587" i="3315"/>
  <c r="J587" i="3315"/>
  <c r="AG580" i="3315"/>
  <c r="J580" i="3315"/>
  <c r="AG536" i="3315"/>
  <c r="J536" i="3315"/>
  <c r="J531" i="3315"/>
  <c r="AG531" i="3315"/>
  <c r="AG858" i="3315"/>
  <c r="AG850" i="3315"/>
  <c r="J832" i="3315"/>
  <c r="J782" i="3315"/>
  <c r="J776" i="3315"/>
  <c r="J770" i="3315"/>
  <c r="J737" i="3315"/>
  <c r="J714" i="3315"/>
  <c r="AF686" i="3315"/>
  <c r="AF678" i="3315"/>
  <c r="AF675" i="3315"/>
  <c r="AF661" i="3315"/>
  <c r="AF655" i="3315"/>
  <c r="AG640" i="3315"/>
  <c r="J640" i="3315"/>
  <c r="AF624" i="3315"/>
  <c r="AG607" i="3315"/>
  <c r="AG601" i="3315"/>
  <c r="AF599" i="3315"/>
  <c r="AG570" i="3315"/>
  <c r="J570" i="3315"/>
  <c r="AG568" i="3315"/>
  <c r="J568" i="3315"/>
  <c r="AG560" i="3315"/>
  <c r="J560" i="3315"/>
  <c r="AG516" i="3315"/>
  <c r="J516" i="3315"/>
  <c r="AG507" i="3315"/>
  <c r="AG499" i="3315"/>
  <c r="AG717" i="3315"/>
  <c r="J717" i="3315"/>
  <c r="AF673" i="3315"/>
  <c r="AG633" i="3315"/>
  <c r="J633" i="3315"/>
  <c r="AG573" i="3315"/>
  <c r="J573" i="3315"/>
  <c r="AG552" i="3315"/>
  <c r="J552" i="3315"/>
  <c r="J532" i="3315"/>
  <c r="AG532" i="3315"/>
  <c r="AG861" i="3315"/>
  <c r="AG853" i="3315"/>
  <c r="J839" i="3315"/>
  <c r="J836" i="3315"/>
  <c r="J824" i="3315"/>
  <c r="J820" i="3315"/>
  <c r="J805" i="3315"/>
  <c r="J792" i="3315"/>
  <c r="J767" i="3315"/>
  <c r="J758" i="3315"/>
  <c r="J754" i="3315"/>
  <c r="J731" i="3315"/>
  <c r="J729" i="3315"/>
  <c r="J727" i="3315"/>
  <c r="J719" i="3315"/>
  <c r="J711" i="3315"/>
  <c r="AF694" i="3315"/>
  <c r="AF682" i="3315"/>
  <c r="AF670" i="3315"/>
  <c r="AF665" i="3315"/>
  <c r="AF651" i="3315"/>
  <c r="AG647" i="3315"/>
  <c r="AG638" i="3315"/>
  <c r="AG631" i="3315"/>
  <c r="J631" i="3315"/>
  <c r="AG623" i="3315"/>
  <c r="AG620" i="3315"/>
  <c r="J620" i="3315"/>
  <c r="AG598" i="3315"/>
  <c r="AG590" i="3315"/>
  <c r="J590" i="3315"/>
  <c r="AG575" i="3315"/>
  <c r="J575" i="3315"/>
  <c r="AG555" i="3315"/>
  <c r="J555" i="3315"/>
  <c r="J526" i="3315"/>
  <c r="AG526" i="3315"/>
  <c r="AG514" i="3315"/>
  <c r="AG498" i="3315"/>
  <c r="J389" i="3315"/>
  <c r="AG380" i="3315"/>
  <c r="AG373" i="3315"/>
  <c r="AG365" i="3315"/>
  <c r="AG357" i="3315"/>
  <c r="AG381" i="3315"/>
  <c r="AF458" i="3315"/>
  <c r="AG458" i="3315"/>
  <c r="AG433" i="3315"/>
  <c r="AG431" i="3315"/>
  <c r="AG448" i="3315"/>
  <c r="AG446" i="3315"/>
  <c r="AG445" i="3315"/>
  <c r="AG432" i="3315"/>
  <c r="AG430" i="3315"/>
  <c r="AG470" i="3315"/>
  <c r="AG468" i="3315"/>
  <c r="AG469" i="3315"/>
  <c r="AG349" i="3315"/>
  <c r="AG346" i="3315"/>
  <c r="AG350" i="3315"/>
  <c r="J347" i="3315"/>
  <c r="AG345" i="3315"/>
  <c r="AG325" i="3315"/>
  <c r="AG309" i="3315"/>
  <c r="J300" i="3315"/>
  <c r="AG295" i="3315"/>
  <c r="AG280" i="3315"/>
  <c r="AG296" i="3315"/>
  <c r="J284" i="3315"/>
  <c r="AG279" i="3315"/>
  <c r="AG222" i="3315"/>
  <c r="AG218" i="3315"/>
  <c r="AG139" i="3315"/>
  <c r="AG190" i="3315"/>
  <c r="AG192" i="3315"/>
  <c r="AG181" i="3315"/>
  <c r="AG163" i="3315"/>
  <c r="AG151" i="3315"/>
  <c r="AG143" i="3315"/>
  <c r="AG118" i="3315"/>
  <c r="J129" i="3315"/>
  <c r="J121" i="3315"/>
  <c r="AG72" i="3315"/>
  <c r="J132" i="3315"/>
  <c r="J126" i="3315"/>
  <c r="AG86" i="3315"/>
  <c r="AG79" i="3315"/>
  <c r="AG73" i="3315"/>
  <c r="J65" i="3315"/>
  <c r="J53" i="3315"/>
  <c r="AG52" i="3315"/>
  <c r="X29" i="3315"/>
  <c r="X31" i="3315"/>
  <c r="AE31" i="3315" s="1"/>
  <c r="X21" i="3315"/>
  <c r="X34" i="3315"/>
  <c r="X33" i="3315"/>
  <c r="X14" i="3315"/>
  <c r="AE14" i="3315" s="1"/>
  <c r="AF894" i="3315"/>
  <c r="AF897" i="3315"/>
  <c r="AF1011" i="3315"/>
  <c r="AF1015" i="3315"/>
  <c r="AF1017" i="3315"/>
  <c r="AF1013" i="3315"/>
  <c r="AF1019" i="3315"/>
  <c r="AG50" i="3315"/>
  <c r="AG44" i="3315"/>
  <c r="AG47" i="3315"/>
  <c r="AG42" i="3315"/>
  <c r="AG46" i="3315"/>
  <c r="AG43" i="3315"/>
  <c r="AG41" i="3315"/>
  <c r="AG875" i="3315"/>
  <c r="AG840" i="3315"/>
  <c r="J840" i="3315"/>
  <c r="AG833" i="3315"/>
  <c r="J833" i="3315"/>
  <c r="AG813" i="3315"/>
  <c r="J813" i="3315"/>
  <c r="AG800" i="3315"/>
  <c r="J800" i="3315"/>
  <c r="AG774" i="3315"/>
  <c r="J774" i="3315"/>
  <c r="AG750" i="3315"/>
  <c r="J750" i="3315"/>
  <c r="AG730" i="3315"/>
  <c r="J730" i="3315"/>
  <c r="AF698" i="3315"/>
  <c r="AF690" i="3315"/>
  <c r="J642" i="3315"/>
  <c r="AG642" i="3315"/>
  <c r="J637" i="3315"/>
  <c r="AG637" i="3315"/>
  <c r="J629" i="3315"/>
  <c r="AG629" i="3315"/>
  <c r="J610" i="3315"/>
  <c r="AG610" i="3315"/>
  <c r="J602" i="3315"/>
  <c r="AG602" i="3315"/>
  <c r="AG553" i="3315"/>
  <c r="J553" i="3315"/>
  <c r="J534" i="3315"/>
  <c r="AG534" i="3315"/>
  <c r="AG856" i="3315"/>
  <c r="AG848" i="3315"/>
  <c r="J835" i="3315"/>
  <c r="J831" i="3315"/>
  <c r="AG827" i="3315"/>
  <c r="J827" i="3315"/>
  <c r="J826" i="3315"/>
  <c r="AG825" i="3315"/>
  <c r="J825" i="3315"/>
  <c r="AG818" i="3315"/>
  <c r="J818" i="3315"/>
  <c r="J817" i="3315"/>
  <c r="J794" i="3315"/>
  <c r="J788" i="3315"/>
  <c r="J763" i="3315"/>
  <c r="J757" i="3315"/>
  <c r="AF700" i="3315"/>
  <c r="AF663" i="3315"/>
  <c r="AF654" i="3315"/>
  <c r="J617" i="3315"/>
  <c r="AG617" i="3315"/>
  <c r="J605" i="3315"/>
  <c r="AG605" i="3315"/>
  <c r="J524" i="3315"/>
  <c r="AG524" i="3315"/>
  <c r="J522" i="3315"/>
  <c r="AG522" i="3315"/>
  <c r="AG790" i="3315"/>
  <c r="J790" i="3315"/>
  <c r="AG843" i="3315"/>
  <c r="J843" i="3315"/>
  <c r="AG806" i="3315"/>
  <c r="J806" i="3315"/>
  <c r="AG781" i="3315"/>
  <c r="J781" i="3315"/>
  <c r="AG769" i="3315"/>
  <c r="J769" i="3315"/>
  <c r="AG857" i="3315"/>
  <c r="AG849" i="3315"/>
  <c r="AG816" i="3315"/>
  <c r="J816" i="3315"/>
  <c r="AG797" i="3315"/>
  <c r="J797" i="3315"/>
  <c r="AG784" i="3315"/>
  <c r="J784" i="3315"/>
  <c r="AG766" i="3315"/>
  <c r="J766" i="3315"/>
  <c r="AG759" i="3315"/>
  <c r="J759" i="3315"/>
  <c r="AG753" i="3315"/>
  <c r="J753" i="3315"/>
  <c r="AG734" i="3315"/>
  <c r="J734" i="3315"/>
  <c r="AG733" i="3315"/>
  <c r="J733" i="3315"/>
  <c r="AF692" i="3315"/>
  <c r="AF680" i="3315"/>
  <c r="AF676" i="3315"/>
  <c r="AG577" i="3315"/>
  <c r="J577" i="3315"/>
  <c r="AG860" i="3315"/>
  <c r="AG852" i="3315"/>
  <c r="J828" i="3315"/>
  <c r="J822" i="3315"/>
  <c r="J810" i="3315"/>
  <c r="J804" i="3315"/>
  <c r="J778" i="3315"/>
  <c r="J772" i="3315"/>
  <c r="J747" i="3315"/>
  <c r="AG739" i="3315"/>
  <c r="J739" i="3315"/>
  <c r="J738" i="3315"/>
  <c r="AG726" i="3315"/>
  <c r="J726" i="3315"/>
  <c r="AG718" i="3315"/>
  <c r="J718" i="3315"/>
  <c r="AG710" i="3315"/>
  <c r="J710" i="3315"/>
  <c r="AF683" i="3315"/>
  <c r="J646" i="3315"/>
  <c r="AG646" i="3315"/>
  <c r="AG635" i="3315"/>
  <c r="J622" i="3315"/>
  <c r="AG622" i="3315"/>
  <c r="J812" i="3315"/>
  <c r="J809" i="3315"/>
  <c r="J802" i="3315"/>
  <c r="J796" i="3315"/>
  <c r="J793" i="3315"/>
  <c r="J786" i="3315"/>
  <c r="J780" i="3315"/>
  <c r="J777" i="3315"/>
  <c r="J765" i="3315"/>
  <c r="J762" i="3315"/>
  <c r="J755" i="3315"/>
  <c r="J749" i="3315"/>
  <c r="J746" i="3315"/>
  <c r="J743" i="3315"/>
  <c r="J724" i="3315"/>
  <c r="J716" i="3315"/>
  <c r="J708" i="3315"/>
  <c r="AF704" i="3315"/>
  <c r="AF696" i="3315"/>
  <c r="AF688" i="3315"/>
  <c r="AF672" i="3315"/>
  <c r="AF666" i="3315"/>
  <c r="AF656" i="3315"/>
  <c r="AF652" i="3315"/>
  <c r="AF650" i="3315"/>
  <c r="AF647" i="3315"/>
  <c r="J625" i="3315"/>
  <c r="AG625" i="3315"/>
  <c r="AF623" i="3315"/>
  <c r="AG592" i="3315"/>
  <c r="J592" i="3315"/>
  <c r="AG564" i="3315"/>
  <c r="J564" i="3315"/>
  <c r="AF684" i="3315"/>
  <c r="AF668" i="3315"/>
  <c r="J627" i="3315"/>
  <c r="AG627" i="3315"/>
  <c r="J614" i="3315"/>
  <c r="AG614" i="3315"/>
  <c r="AF608" i="3315"/>
  <c r="J597" i="3315"/>
  <c r="AG597" i="3315"/>
  <c r="AG572" i="3315"/>
  <c r="J572" i="3315"/>
  <c r="AG548" i="3315"/>
  <c r="J548" i="3315"/>
  <c r="AF664" i="3315"/>
  <c r="AF662" i="3315"/>
  <c r="AG643" i="3315"/>
  <c r="AF636" i="3315"/>
  <c r="J626" i="3315"/>
  <c r="AG626" i="3315"/>
  <c r="J621" i="3315"/>
  <c r="AG621" i="3315"/>
  <c r="J609" i="3315"/>
  <c r="AG609" i="3315"/>
  <c r="AF607" i="3315"/>
  <c r="AG603" i="3315"/>
  <c r="AF600" i="3315"/>
  <c r="AG594" i="3315"/>
  <c r="J594" i="3315"/>
  <c r="AG535" i="3315"/>
  <c r="J533" i="3315"/>
  <c r="AG533" i="3315"/>
  <c r="J509" i="3315"/>
  <c r="AG509" i="3315"/>
  <c r="J506" i="3315"/>
  <c r="AG506" i="3315"/>
  <c r="AF660" i="3315"/>
  <c r="AF658" i="3315"/>
  <c r="J645" i="3315"/>
  <c r="AG645" i="3315"/>
  <c r="J641" i="3315"/>
  <c r="AG641" i="3315"/>
  <c r="AF639" i="3315"/>
  <c r="J634" i="3315"/>
  <c r="AG634" i="3315"/>
  <c r="J618" i="3315"/>
  <c r="AG618" i="3315"/>
  <c r="J613" i="3315"/>
  <c r="AG613" i="3315"/>
  <c r="AG582" i="3315"/>
  <c r="J582" i="3315"/>
  <c r="AG571" i="3315"/>
  <c r="J571" i="3315"/>
  <c r="AG565" i="3315"/>
  <c r="J565" i="3315"/>
  <c r="AG563" i="3315"/>
  <c r="J563" i="3315"/>
  <c r="AG557" i="3315"/>
  <c r="J557" i="3315"/>
  <c r="AG549" i="3315"/>
  <c r="J549" i="3315"/>
  <c r="J521" i="3315"/>
  <c r="AG521" i="3315"/>
  <c r="J505" i="3315"/>
  <c r="AG505" i="3315"/>
  <c r="AG518" i="3315"/>
  <c r="J517" i="3315"/>
  <c r="AG517" i="3315"/>
  <c r="J513" i="3315"/>
  <c r="AG513" i="3315"/>
  <c r="AG574" i="3315"/>
  <c r="J574" i="3315"/>
  <c r="AG566" i="3315"/>
  <c r="J566" i="3315"/>
  <c r="AG558" i="3315"/>
  <c r="J558" i="3315"/>
  <c r="AG554" i="3315"/>
  <c r="J554" i="3315"/>
  <c r="AG550" i="3315"/>
  <c r="J550" i="3315"/>
  <c r="J528" i="3315"/>
  <c r="AG528" i="3315"/>
  <c r="J501" i="3315"/>
  <c r="AG501" i="3315"/>
  <c r="J497" i="3315"/>
  <c r="AG497" i="3315"/>
  <c r="AG479" i="3315"/>
  <c r="AG475" i="3315"/>
  <c r="AG472" i="3315"/>
  <c r="AG462" i="3315"/>
  <c r="AG461" i="3315"/>
  <c r="AG457" i="3315"/>
  <c r="J455" i="3315"/>
  <c r="AG419" i="3315"/>
  <c r="AG436" i="3315"/>
  <c r="AG420" i="3315"/>
  <c r="AG463" i="3315"/>
  <c r="AG460" i="3315"/>
  <c r="AG459" i="3315"/>
  <c r="AG426" i="3315"/>
  <c r="AG393" i="3315"/>
  <c r="AG387" i="3315"/>
  <c r="AG378" i="3315"/>
  <c r="AG363" i="3315"/>
  <c r="AG376" i="3315"/>
  <c r="AG370" i="3315"/>
  <c r="AG368" i="3315"/>
  <c r="AG361" i="3315"/>
  <c r="AG355" i="3315"/>
  <c r="AG385" i="3315"/>
  <c r="AG371" i="3315"/>
  <c r="J395" i="3315"/>
  <c r="AG377" i="3315"/>
  <c r="AG375" i="3315"/>
  <c r="AG369" i="3315"/>
  <c r="AG362" i="3315"/>
  <c r="AG360" i="3315"/>
  <c r="AG348" i="3315"/>
  <c r="AG313" i="3315"/>
  <c r="J313" i="3315"/>
  <c r="J312" i="3315"/>
  <c r="AG312" i="3315"/>
  <c r="J308" i="3315"/>
  <c r="AG308" i="3315"/>
  <c r="AG294" i="3315"/>
  <c r="AG286" i="3315"/>
  <c r="AG278" i="3315"/>
  <c r="AG297" i="3315"/>
  <c r="AG289" i="3315"/>
  <c r="AG281" i="3315"/>
  <c r="AG273" i="3315"/>
  <c r="AG298" i="3315"/>
  <c r="AG290" i="3315"/>
  <c r="AG282" i="3315"/>
  <c r="AG274" i="3315"/>
  <c r="AG304" i="3315"/>
  <c r="AG293" i="3315"/>
  <c r="AG285" i="3315"/>
  <c r="AG277" i="3315"/>
  <c r="AG264" i="3315"/>
  <c r="AG256" i="3315"/>
  <c r="AG248" i="3315"/>
  <c r="AG265" i="3315"/>
  <c r="AG257" i="3315"/>
  <c r="AG249" i="3315"/>
  <c r="AG241" i="3315"/>
  <c r="AG260" i="3315"/>
  <c r="AG252" i="3315"/>
  <c r="AG244" i="3315"/>
  <c r="AG232" i="3315"/>
  <c r="AG224" i="3315"/>
  <c r="AG216" i="3315"/>
  <c r="AG228" i="3315"/>
  <c r="AG220" i="3315"/>
  <c r="J201" i="3315"/>
  <c r="J195" i="3315"/>
  <c r="AG186" i="3315"/>
  <c r="AG179" i="3315"/>
  <c r="AG165" i="3315"/>
  <c r="AG155" i="3315"/>
  <c r="AG153" i="3315"/>
  <c r="AG146" i="3315"/>
  <c r="AG141" i="3315"/>
  <c r="AG187" i="3315"/>
  <c r="AG180" i="3315"/>
  <c r="AG156" i="3315"/>
  <c r="AG166" i="3315"/>
  <c r="AG154" i="3315"/>
  <c r="AG147" i="3315"/>
  <c r="AG145" i="3315"/>
  <c r="AG142" i="3315"/>
  <c r="AG125" i="3315"/>
  <c r="J125" i="3315"/>
  <c r="J108" i="3315"/>
  <c r="AG108" i="3315"/>
  <c r="J104" i="3315"/>
  <c r="AG104" i="3315"/>
  <c r="J90" i="3315"/>
  <c r="AG90" i="3315"/>
  <c r="AG85" i="3315"/>
  <c r="J84" i="3315"/>
  <c r="AG84" i="3315"/>
  <c r="J82" i="3315"/>
  <c r="AG82" i="3315"/>
  <c r="J105" i="3315"/>
  <c r="AG105" i="3315"/>
  <c r="AF102" i="3315"/>
  <c r="J75" i="3315"/>
  <c r="AG75" i="3315"/>
  <c r="J67" i="3315"/>
  <c r="AG67" i="3315"/>
  <c r="AG61" i="3315"/>
  <c r="AG124" i="3315"/>
  <c r="J124" i="3315"/>
  <c r="AG122" i="3315"/>
  <c r="J122" i="3315"/>
  <c r="AG120" i="3315"/>
  <c r="J120" i="3315"/>
  <c r="J106" i="3315"/>
  <c r="AG106" i="3315"/>
  <c r="J83" i="3315"/>
  <c r="AG83" i="3315"/>
  <c r="J60" i="3315"/>
  <c r="AG60" i="3315"/>
  <c r="J107" i="3315"/>
  <c r="AG107" i="3315"/>
  <c r="J103" i="3315"/>
  <c r="AG103" i="3315"/>
  <c r="J76" i="3315"/>
  <c r="AG76" i="3315"/>
  <c r="J74" i="3315"/>
  <c r="AG74" i="3315"/>
  <c r="AG69" i="3315"/>
  <c r="J68" i="3315"/>
  <c r="AG68" i="3315"/>
  <c r="J66" i="3315"/>
  <c r="AG66" i="3315"/>
  <c r="AG54" i="3315"/>
  <c r="AG51" i="3315"/>
  <c r="AG48" i="3315"/>
  <c r="AG45" i="3315"/>
  <c r="AF887" i="3315"/>
  <c r="AF886" i="3315"/>
  <c r="AF885" i="3315"/>
  <c r="AF882" i="3315"/>
  <c r="AF881" i="3315"/>
  <c r="AF879" i="3315"/>
  <c r="AF877" i="3315"/>
  <c r="AF875" i="3315"/>
  <c r="AF874" i="3315"/>
  <c r="AF873" i="3315"/>
  <c r="AF858" i="3315"/>
  <c r="AF850" i="3315"/>
  <c r="AG842" i="3315"/>
  <c r="J842" i="3315"/>
  <c r="AG811" i="3315"/>
  <c r="J811" i="3315"/>
  <c r="AG795" i="3315"/>
  <c r="J795" i="3315"/>
  <c r="AG779" i="3315"/>
  <c r="J779" i="3315"/>
  <c r="AF856" i="3315"/>
  <c r="AF848" i="3315"/>
  <c r="AG838" i="3315"/>
  <c r="J838" i="3315"/>
  <c r="AG823" i="3315"/>
  <c r="J823" i="3315"/>
  <c r="AG807" i="3315"/>
  <c r="J807" i="3315"/>
  <c r="AG791" i="3315"/>
  <c r="J791" i="3315"/>
  <c r="AG775" i="3315"/>
  <c r="J775" i="3315"/>
  <c r="AF860" i="3315"/>
  <c r="AF852" i="3315"/>
  <c r="AG846" i="3315"/>
  <c r="J846" i="3315"/>
  <c r="AG830" i="3315"/>
  <c r="J830" i="3315"/>
  <c r="AG815" i="3315"/>
  <c r="J815" i="3315"/>
  <c r="AG799" i="3315"/>
  <c r="J799" i="3315"/>
  <c r="AG783" i="3315"/>
  <c r="J783" i="3315"/>
  <c r="AF854" i="3315"/>
  <c r="AG834" i="3315"/>
  <c r="J834" i="3315"/>
  <c r="AG819" i="3315"/>
  <c r="J819" i="3315"/>
  <c r="AG803" i="3315"/>
  <c r="J803" i="3315"/>
  <c r="AG787" i="3315"/>
  <c r="J787" i="3315"/>
  <c r="AG771" i="3315"/>
  <c r="J771" i="3315"/>
  <c r="AF611" i="3315"/>
  <c r="AF853" i="3315"/>
  <c r="AG588" i="3315"/>
  <c r="J588" i="3315"/>
  <c r="AF643" i="3315"/>
  <c r="AF861" i="3315"/>
  <c r="AF859" i="3315"/>
  <c r="AF857" i="3315"/>
  <c r="AF849" i="3315"/>
  <c r="J768" i="3315"/>
  <c r="J764" i="3315"/>
  <c r="J760" i="3315"/>
  <c r="J756" i="3315"/>
  <c r="J752" i="3315"/>
  <c r="J748" i="3315"/>
  <c r="J744" i="3315"/>
  <c r="J740" i="3315"/>
  <c r="J736" i="3315"/>
  <c r="J732" i="3315"/>
  <c r="AF635" i="3315"/>
  <c r="AF603" i="3315"/>
  <c r="AG581" i="3315"/>
  <c r="J581" i="3315"/>
  <c r="AG704" i="3315"/>
  <c r="AG703" i="3315"/>
  <c r="AG702" i="3315"/>
  <c r="AG701" i="3315"/>
  <c r="AG700" i="3315"/>
  <c r="AG699" i="3315"/>
  <c r="AG698" i="3315"/>
  <c r="AG697" i="3315"/>
  <c r="AG696" i="3315"/>
  <c r="AG695" i="3315"/>
  <c r="AG694" i="3315"/>
  <c r="AG693" i="3315"/>
  <c r="AG692" i="3315"/>
  <c r="AG691" i="3315"/>
  <c r="AG690" i="3315"/>
  <c r="AG689" i="3315"/>
  <c r="AG688" i="3315"/>
  <c r="AG687" i="3315"/>
  <c r="AG686" i="3315"/>
  <c r="AG685" i="3315"/>
  <c r="AG684" i="3315"/>
  <c r="AG683" i="3315"/>
  <c r="AG682" i="3315"/>
  <c r="AG681" i="3315"/>
  <c r="AG680" i="3315"/>
  <c r="AG679" i="3315"/>
  <c r="AG678" i="3315"/>
  <c r="AG677" i="3315"/>
  <c r="AG676" i="3315"/>
  <c r="AG675" i="3315"/>
  <c r="AG674" i="3315"/>
  <c r="AG673" i="3315"/>
  <c r="AG672" i="3315"/>
  <c r="AG671" i="3315"/>
  <c r="AG670" i="3315"/>
  <c r="AG669" i="3315"/>
  <c r="AG668" i="3315"/>
  <c r="AG667" i="3315"/>
  <c r="AG666" i="3315"/>
  <c r="AG665" i="3315"/>
  <c r="AG664" i="3315"/>
  <c r="AG663" i="3315"/>
  <c r="AG662" i="3315"/>
  <c r="AG661" i="3315"/>
  <c r="AG660" i="3315"/>
  <c r="AG659" i="3315"/>
  <c r="AG658" i="3315"/>
  <c r="AG657" i="3315"/>
  <c r="AG656" i="3315"/>
  <c r="AG655" i="3315"/>
  <c r="AG654" i="3315"/>
  <c r="AG653" i="3315"/>
  <c r="AG652" i="3315"/>
  <c r="AG651" i="3315"/>
  <c r="AG650" i="3315"/>
  <c r="AG649" i="3315"/>
  <c r="AG595" i="3315"/>
  <c r="J595" i="3315"/>
  <c r="AG593" i="3315"/>
  <c r="J593" i="3315"/>
  <c r="AF601" i="3315"/>
  <c r="AG591" i="3315"/>
  <c r="J591" i="3315"/>
  <c r="AG589" i="3315"/>
  <c r="J589" i="3315"/>
  <c r="AG584" i="3315"/>
  <c r="J584" i="3315"/>
  <c r="J544" i="3315"/>
  <c r="AG544" i="3315"/>
  <c r="J540" i="3315"/>
  <c r="AG540" i="3315"/>
  <c r="AG585" i="3315"/>
  <c r="J585" i="3315"/>
  <c r="J545" i="3315"/>
  <c r="AG545" i="3315"/>
  <c r="J541" i="3315"/>
  <c r="AG541" i="3315"/>
  <c r="J537" i="3315"/>
  <c r="AG537" i="3315"/>
  <c r="AF535" i="3315"/>
  <c r="AF530" i="3315"/>
  <c r="AF515" i="3315"/>
  <c r="AF507" i="3315"/>
  <c r="AF499" i="3315"/>
  <c r="J543" i="3315"/>
  <c r="AG543" i="3315"/>
  <c r="J539" i="3315"/>
  <c r="AG539" i="3315"/>
  <c r="AF519" i="3315"/>
  <c r="AF511" i="3315"/>
  <c r="AF503" i="3315"/>
  <c r="AF495" i="3315"/>
  <c r="AG547" i="3315"/>
  <c r="J542" i="3315"/>
  <c r="AG542" i="3315"/>
  <c r="J538" i="3315"/>
  <c r="AG538" i="3315"/>
  <c r="AF527" i="3315"/>
  <c r="AF520" i="3315"/>
  <c r="AF504" i="3315"/>
  <c r="AF496" i="3315"/>
  <c r="AF529" i="3315"/>
  <c r="AF525" i="3315"/>
  <c r="AF518" i="3315"/>
  <c r="AF514" i="3315"/>
  <c r="AF510" i="3315"/>
  <c r="AF502" i="3315"/>
  <c r="AF498" i="3315"/>
  <c r="AF480" i="3315"/>
  <c r="AF479" i="3315"/>
  <c r="AF476" i="3315"/>
  <c r="AF475" i="3315"/>
  <c r="AF474" i="3315"/>
  <c r="AF473" i="3315"/>
  <c r="AF472" i="3315"/>
  <c r="AF470" i="3315"/>
  <c r="AF469" i="3315"/>
  <c r="AF468" i="3315"/>
  <c r="AF453" i="3315"/>
  <c r="AF454" i="3315"/>
  <c r="AF436" i="3315"/>
  <c r="AF463" i="3315"/>
  <c r="AF461" i="3315"/>
  <c r="AF459" i="3315"/>
  <c r="AG454" i="3315"/>
  <c r="AG453" i="3315"/>
  <c r="AF452" i="3315"/>
  <c r="AF448" i="3315"/>
  <c r="AF446" i="3315"/>
  <c r="AF445" i="3315"/>
  <c r="AF444" i="3315"/>
  <c r="AF443" i="3315"/>
  <c r="AF442" i="3315"/>
  <c r="AF441" i="3315"/>
  <c r="AF439" i="3315"/>
  <c r="AF431" i="3315"/>
  <c r="AF462" i="3315"/>
  <c r="AF460" i="3315"/>
  <c r="AG444" i="3315"/>
  <c r="AG443" i="3315"/>
  <c r="AG442" i="3315"/>
  <c r="AG441" i="3315"/>
  <c r="AG439" i="3315"/>
  <c r="AF457" i="3315"/>
  <c r="AF456" i="3315"/>
  <c r="AF432" i="3315"/>
  <c r="AF420" i="3315"/>
  <c r="J451" i="3315"/>
  <c r="AG451" i="3315"/>
  <c r="J450" i="3315"/>
  <c r="AG450" i="3315"/>
  <c r="J449" i="3315"/>
  <c r="AG449" i="3315"/>
  <c r="J447" i="3315"/>
  <c r="AG447" i="3315"/>
  <c r="J440" i="3315"/>
  <c r="AG440" i="3315"/>
  <c r="J438" i="3315"/>
  <c r="AG438" i="3315"/>
  <c r="AF424" i="3315"/>
  <c r="AF434" i="3315"/>
  <c r="AF430" i="3315"/>
  <c r="AF427" i="3315"/>
  <c r="AF423" i="3315"/>
  <c r="AF419" i="3315"/>
  <c r="AF433" i="3315"/>
  <c r="AF429" i="3315"/>
  <c r="AF426" i="3315"/>
  <c r="AF422" i="3315"/>
  <c r="AF413" i="3315"/>
  <c r="AF412" i="3315"/>
  <c r="AF411" i="3315"/>
  <c r="AF410" i="3315"/>
  <c r="AF409" i="3315"/>
  <c r="AF408" i="3315"/>
  <c r="AF407" i="3315"/>
  <c r="AF406" i="3315"/>
  <c r="AF405" i="3315"/>
  <c r="AF404" i="3315"/>
  <c r="AF403" i="3315"/>
  <c r="AF402" i="3315"/>
  <c r="AF401" i="3315"/>
  <c r="AF400" i="3315"/>
  <c r="AF399" i="3315"/>
  <c r="AF398" i="3315"/>
  <c r="AF397" i="3315"/>
  <c r="AF396" i="3315"/>
  <c r="AF414" i="3315"/>
  <c r="J392" i="3315"/>
  <c r="AG392" i="3315"/>
  <c r="AF387" i="3315"/>
  <c r="J384" i="3315"/>
  <c r="AG384" i="3315"/>
  <c r="AF375" i="3315"/>
  <c r="AF368" i="3315"/>
  <c r="AF360" i="3315"/>
  <c r="AG414" i="3315"/>
  <c r="AG413" i="3315"/>
  <c r="AG412" i="3315"/>
  <c r="AG411" i="3315"/>
  <c r="AG410" i="3315"/>
  <c r="AG408" i="3315"/>
  <c r="AG406" i="3315"/>
  <c r="AG403" i="3315"/>
  <c r="AG401" i="3315"/>
  <c r="AG399" i="3315"/>
  <c r="AG397" i="3315"/>
  <c r="AF393" i="3315"/>
  <c r="J390" i="3315"/>
  <c r="AG390" i="3315"/>
  <c r="AF385" i="3315"/>
  <c r="J382" i="3315"/>
  <c r="AG382" i="3315"/>
  <c r="AF378" i="3315"/>
  <c r="AF371" i="3315"/>
  <c r="AF363" i="3315"/>
  <c r="J388" i="3315"/>
  <c r="AG388" i="3315"/>
  <c r="AF379" i="3315"/>
  <c r="AF364" i="3315"/>
  <c r="AF356" i="3315"/>
  <c r="AG409" i="3315"/>
  <c r="AG407" i="3315"/>
  <c r="AG405" i="3315"/>
  <c r="AG404" i="3315"/>
  <c r="AG402" i="3315"/>
  <c r="AG400" i="3315"/>
  <c r="AG398" i="3315"/>
  <c r="AG396" i="3315"/>
  <c r="J394" i="3315"/>
  <c r="AG394" i="3315"/>
  <c r="J386" i="3315"/>
  <c r="AG386" i="3315"/>
  <c r="AF381" i="3315"/>
  <c r="AF367" i="3315"/>
  <c r="AF359" i="3315"/>
  <c r="AF380" i="3315"/>
  <c r="AF377" i="3315"/>
  <c r="AF370" i="3315"/>
  <c r="AF366" i="3315"/>
  <c r="AF362" i="3315"/>
  <c r="AF358" i="3315"/>
  <c r="AF355" i="3315"/>
  <c r="AF376" i="3315"/>
  <c r="AF373" i="3315"/>
  <c r="AF369" i="3315"/>
  <c r="AF365" i="3315"/>
  <c r="AF361" i="3315"/>
  <c r="AF357" i="3315"/>
  <c r="AF350" i="3315"/>
  <c r="AF349" i="3315"/>
  <c r="AF348" i="3315"/>
  <c r="AF346" i="3315"/>
  <c r="AF345" i="3315"/>
  <c r="AG322" i="3315"/>
  <c r="J322" i="3315"/>
  <c r="AG320" i="3315"/>
  <c r="J320" i="3315"/>
  <c r="AG317" i="3315"/>
  <c r="J317" i="3315"/>
  <c r="AF304" i="3315"/>
  <c r="AF299" i="3315"/>
  <c r="AF291" i="3315"/>
  <c r="AG323" i="3315"/>
  <c r="J323" i="3315"/>
  <c r="AG319" i="3315"/>
  <c r="J319" i="3315"/>
  <c r="AG316" i="3315"/>
  <c r="J316" i="3315"/>
  <c r="AF309" i="3315"/>
  <c r="AF301" i="3315"/>
  <c r="AF293" i="3315"/>
  <c r="AF285" i="3315"/>
  <c r="AF277" i="3315"/>
  <c r="AG315" i="3315"/>
  <c r="J315" i="3315"/>
  <c r="AF310" i="3315"/>
  <c r="AF306" i="3315"/>
  <c r="AF302" i="3315"/>
  <c r="AF295" i="3315"/>
  <c r="AF287" i="3315"/>
  <c r="AF279" i="3315"/>
  <c r="AF271" i="3315"/>
  <c r="AF340" i="3315"/>
  <c r="AF339" i="3315"/>
  <c r="AF334" i="3315"/>
  <c r="AF333" i="3315"/>
  <c r="AF330" i="3315"/>
  <c r="AF329" i="3315"/>
  <c r="AF328" i="3315"/>
  <c r="AF326" i="3315"/>
  <c r="AF325" i="3315"/>
  <c r="AG324" i="3315"/>
  <c r="J324" i="3315"/>
  <c r="AG321" i="3315"/>
  <c r="J321" i="3315"/>
  <c r="AG318" i="3315"/>
  <c r="J318" i="3315"/>
  <c r="AG314" i="3315"/>
  <c r="J314" i="3315"/>
  <c r="AF307" i="3315"/>
  <c r="AF297" i="3315"/>
  <c r="AF289" i="3315"/>
  <c r="AF281" i="3315"/>
  <c r="AF273" i="3315"/>
  <c r="AF296" i="3315"/>
  <c r="AF280" i="3315"/>
  <c r="AF298" i="3315"/>
  <c r="AF294" i="3315"/>
  <c r="AF290" i="3315"/>
  <c r="AF286" i="3315"/>
  <c r="AF282" i="3315"/>
  <c r="AF278" i="3315"/>
  <c r="AF274" i="3315"/>
  <c r="AF266" i="3315"/>
  <c r="AF264" i="3315"/>
  <c r="AF265" i="3315"/>
  <c r="AF261" i="3315"/>
  <c r="AF260" i="3315"/>
  <c r="AF258" i="3315"/>
  <c r="AF257" i="3315"/>
  <c r="AF256" i="3315"/>
  <c r="AF253" i="3315"/>
  <c r="AF252" i="3315"/>
  <c r="AF250" i="3315"/>
  <c r="AF249" i="3315"/>
  <c r="AF248" i="3315"/>
  <c r="AF245" i="3315"/>
  <c r="AF244" i="3315"/>
  <c r="AF241" i="3315"/>
  <c r="AF232" i="3315"/>
  <c r="AF228" i="3315"/>
  <c r="AF224" i="3315"/>
  <c r="AF218" i="3315"/>
  <c r="AF216" i="3315"/>
  <c r="AG231" i="3315"/>
  <c r="AG229" i="3315"/>
  <c r="AG227" i="3315"/>
  <c r="AG225" i="3315"/>
  <c r="AG223" i="3315"/>
  <c r="AG221" i="3315"/>
  <c r="AG219" i="3315"/>
  <c r="AG217" i="3315"/>
  <c r="AG215" i="3315"/>
  <c r="AG214" i="3315"/>
  <c r="AG213" i="3315"/>
  <c r="AF230" i="3315"/>
  <c r="AF222" i="3315"/>
  <c r="AF220" i="3315"/>
  <c r="AF231" i="3315"/>
  <c r="AF229" i="3315"/>
  <c r="AF227" i="3315"/>
  <c r="AF225" i="3315"/>
  <c r="AF223" i="3315"/>
  <c r="AF221" i="3315"/>
  <c r="AF219" i="3315"/>
  <c r="AF217" i="3315"/>
  <c r="AF215" i="3315"/>
  <c r="AF214" i="3315"/>
  <c r="AF213" i="3315"/>
  <c r="AF206" i="3315"/>
  <c r="AF203" i="3315"/>
  <c r="AF205" i="3315"/>
  <c r="AF208" i="3315"/>
  <c r="AF190" i="3315"/>
  <c r="AF183" i="3315"/>
  <c r="AF207" i="3315"/>
  <c r="AF204" i="3315"/>
  <c r="AF186" i="3315"/>
  <c r="AF179" i="3315"/>
  <c r="AF188" i="3315"/>
  <c r="AF187" i="3315"/>
  <c r="AF181" i="3315"/>
  <c r="AF180" i="3315"/>
  <c r="AF176" i="3315"/>
  <c r="AG172" i="3315"/>
  <c r="AF169" i="3315"/>
  <c r="AF165" i="3315"/>
  <c r="AG208" i="3315"/>
  <c r="AG207" i="3315"/>
  <c r="AG206" i="3315"/>
  <c r="AG205" i="3315"/>
  <c r="AG204" i="3315"/>
  <c r="AG203" i="3315"/>
  <c r="J202" i="3315"/>
  <c r="J198" i="3315"/>
  <c r="J194" i="3315"/>
  <c r="AF185" i="3315"/>
  <c r="AF178" i="3315"/>
  <c r="AF174" i="3315"/>
  <c r="AF141" i="3315"/>
  <c r="AF192" i="3315"/>
  <c r="AF191" i="3315"/>
  <c r="AF184" i="3315"/>
  <c r="AF172" i="3315"/>
  <c r="AF160" i="3315"/>
  <c r="AF149" i="3315"/>
  <c r="J200" i="3315"/>
  <c r="J196" i="3315"/>
  <c r="AF189" i="3315"/>
  <c r="AF182" i="3315"/>
  <c r="AG174" i="3315"/>
  <c r="AF170" i="3315"/>
  <c r="AF161" i="3315"/>
  <c r="AF153" i="3315"/>
  <c r="AF145" i="3315"/>
  <c r="AF177" i="3315"/>
  <c r="J175" i="3315"/>
  <c r="AG175" i="3315"/>
  <c r="J173" i="3315"/>
  <c r="AG173" i="3315"/>
  <c r="AF171" i="3315"/>
  <c r="AF167" i="3315"/>
  <c r="AF164" i="3315"/>
  <c r="AF156" i="3315"/>
  <c r="AF148" i="3315"/>
  <c r="AF140" i="3315"/>
  <c r="AG171" i="3315"/>
  <c r="AG169" i="3315"/>
  <c r="AG167" i="3315"/>
  <c r="AF163" i="3315"/>
  <c r="AF159" i="3315"/>
  <c r="AF155" i="3315"/>
  <c r="AF151" i="3315"/>
  <c r="AF147" i="3315"/>
  <c r="AF143" i="3315"/>
  <c r="AF139" i="3315"/>
  <c r="AF166" i="3315"/>
  <c r="AF162" i="3315"/>
  <c r="AF158" i="3315"/>
  <c r="AF154" i="3315"/>
  <c r="AF150" i="3315"/>
  <c r="AF146" i="3315"/>
  <c r="AF142" i="3315"/>
  <c r="AF100" i="3315"/>
  <c r="J97" i="3315"/>
  <c r="AG97" i="3315"/>
  <c r="AF118" i="3315"/>
  <c r="AF69" i="3315"/>
  <c r="AF61" i="3315"/>
  <c r="J101" i="3315"/>
  <c r="AG101" i="3315"/>
  <c r="AF96" i="3315"/>
  <c r="J93" i="3315"/>
  <c r="AG93" i="3315"/>
  <c r="AF86" i="3315"/>
  <c r="AF78" i="3315"/>
  <c r="AF70" i="3315"/>
  <c r="AF62" i="3315"/>
  <c r="AF98" i="3315"/>
  <c r="J95" i="3315"/>
  <c r="AG95" i="3315"/>
  <c r="AF85" i="3315"/>
  <c r="AF77" i="3315"/>
  <c r="J99" i="3315"/>
  <c r="AG99" i="3315"/>
  <c r="AF94" i="3315"/>
  <c r="J91" i="3315"/>
  <c r="AG91" i="3315"/>
  <c r="AF89" i="3315"/>
  <c r="AF73" i="3315"/>
  <c r="AF88" i="3315"/>
  <c r="AF80" i="3315"/>
  <c r="AF72" i="3315"/>
  <c r="AF64" i="3315"/>
  <c r="AF87" i="3315"/>
  <c r="AF79" i="3315"/>
  <c r="AF71" i="3315"/>
  <c r="AF63" i="3315"/>
  <c r="AF54" i="3315"/>
  <c r="AF52" i="3315"/>
  <c r="AF51" i="3315"/>
  <c r="AF50" i="3315"/>
  <c r="AF49" i="3315"/>
  <c r="AF48" i="3315"/>
  <c r="AF47" i="3315"/>
  <c r="AF46" i="3315"/>
  <c r="AF45" i="3315"/>
  <c r="AF44" i="3315"/>
  <c r="AF43" i="3315"/>
  <c r="AF42" i="3315"/>
  <c r="AF41" i="3315"/>
  <c r="X13" i="3315"/>
  <c r="AE13" i="3315" s="1"/>
  <c r="X35" i="3315"/>
  <c r="X32" i="3315"/>
  <c r="X28" i="3315"/>
  <c r="AE28" i="3315" s="1"/>
  <c r="X20" i="3315"/>
  <c r="AE20" i="3315" s="1"/>
  <c r="X11" i="3315"/>
  <c r="X30" i="3315"/>
  <c r="X22" i="3315"/>
  <c r="AE22" i="3315" s="1"/>
  <c r="AF628" i="3315" l="1"/>
  <c r="AF435" i="3315"/>
  <c r="AF428" i="3315"/>
  <c r="AF751" i="3315"/>
  <c r="AF437" i="3315"/>
  <c r="AF84" i="3315"/>
  <c r="AF594" i="3315"/>
  <c r="AF708" i="3315"/>
  <c r="AF765" i="3315"/>
  <c r="AF747" i="3315"/>
  <c r="AF810" i="3315"/>
  <c r="AF784" i="3315"/>
  <c r="AF769" i="3315"/>
  <c r="U839" i="3315"/>
  <c r="AF516" i="3315"/>
  <c r="AF737" i="3315"/>
  <c r="U876" i="3315"/>
  <c r="AF500" i="3315"/>
  <c r="AF576" i="3315"/>
  <c r="AF725" i="3315"/>
  <c r="AF425" i="3315"/>
  <c r="U884" i="3315"/>
  <c r="AF559" i="3315"/>
  <c r="AF612" i="3315"/>
  <c r="AF66" i="3315"/>
  <c r="AF718" i="3315"/>
  <c r="AF817" i="3315"/>
  <c r="AF831" i="3315"/>
  <c r="U840" i="3315"/>
  <c r="AF758" i="3315"/>
  <c r="AF773" i="3315"/>
  <c r="AF372" i="3315"/>
  <c r="AF604" i="3315"/>
  <c r="U314" i="3315"/>
  <c r="AF82" i="3315"/>
  <c r="AF501" i="3315"/>
  <c r="AF517" i="3315"/>
  <c r="AF506" i="3315"/>
  <c r="AF626" i="3315"/>
  <c r="AF724" i="3315"/>
  <c r="AF755" i="3315"/>
  <c r="AF739" i="3315"/>
  <c r="AF828" i="3315"/>
  <c r="AF733" i="3315"/>
  <c r="AF753" i="3315"/>
  <c r="AF766" i="3315"/>
  <c r="AF781" i="3315"/>
  <c r="AF843" i="3315"/>
  <c r="AF826" i="3315"/>
  <c r="AF65" i="3315"/>
  <c r="AF729" i="3315"/>
  <c r="AF767" i="3315"/>
  <c r="AF707" i="3315"/>
  <c r="AF583" i="3315"/>
  <c r="AF785" i="3315"/>
  <c r="AF845" i="3315"/>
  <c r="AF144" i="3315"/>
  <c r="AF199" i="3315"/>
  <c r="U872" i="3315"/>
  <c r="AF735" i="3315"/>
  <c r="AF596" i="3315"/>
  <c r="AF512" i="3315"/>
  <c r="AF288" i="3315"/>
  <c r="AF337" i="3315"/>
  <c r="AF335" i="3315"/>
  <c r="AF332" i="3315"/>
  <c r="AF814" i="3315"/>
  <c r="AF455" i="3315"/>
  <c r="AF509" i="3315"/>
  <c r="AF746" i="3315"/>
  <c r="AF793" i="3315"/>
  <c r="AF816" i="3315"/>
  <c r="AF794" i="3315"/>
  <c r="AF719" i="3315"/>
  <c r="AF717" i="3315"/>
  <c r="AF832" i="3315"/>
  <c r="AF579" i="3315"/>
  <c r="AF92" i="3315"/>
  <c r="AF168" i="3315"/>
  <c r="AF745" i="3315"/>
  <c r="AF851" i="3315"/>
  <c r="U878" i="3315"/>
  <c r="AF374" i="3315"/>
  <c r="U316" i="3315"/>
  <c r="AF395" i="3315"/>
  <c r="AF634" i="3315"/>
  <c r="AF716" i="3315"/>
  <c r="AF749" i="3315"/>
  <c r="AF796" i="3315"/>
  <c r="AF738" i="3315"/>
  <c r="AF772" i="3315"/>
  <c r="AF757" i="3315"/>
  <c r="AF789" i="3315"/>
  <c r="AF578" i="3315"/>
  <c r="AF311" i="3315"/>
  <c r="AF798" i="3315"/>
  <c r="AF275" i="3315"/>
  <c r="AF383" i="3315"/>
  <c r="AF338" i="3315"/>
  <c r="AF68" i="3315"/>
  <c r="AF618" i="3315"/>
  <c r="AF743" i="3315"/>
  <c r="AF762" i="3315"/>
  <c r="AF710" i="3315"/>
  <c r="AF726" i="3315"/>
  <c r="AF804" i="3315"/>
  <c r="AF522" i="3315"/>
  <c r="AF788" i="3315"/>
  <c r="AF827" i="3315"/>
  <c r="AF800" i="3315"/>
  <c r="AF731" i="3315"/>
  <c r="AF792" i="3315"/>
  <c r="AF836" i="3315"/>
  <c r="AF714" i="3315"/>
  <c r="AF782" i="3315"/>
  <c r="AF709" i="3315"/>
  <c r="AF705" i="3315"/>
  <c r="AF801" i="3315"/>
  <c r="AF292" i="3315"/>
  <c r="AF197" i="3315"/>
  <c r="AF130" i="3315"/>
  <c r="AF569" i="3315"/>
  <c r="AF742" i="3315"/>
  <c r="U883" i="3315"/>
  <c r="AF391" i="3315"/>
  <c r="AF471" i="3315"/>
  <c r="AF263" i="3315"/>
  <c r="AF648" i="3315"/>
  <c r="AF421" i="3315"/>
  <c r="U880" i="3315"/>
  <c r="AF847" i="3315"/>
  <c r="AF728" i="3315"/>
  <c r="AF723" i="3315"/>
  <c r="R1009" i="3315"/>
  <c r="R990" i="3315"/>
  <c r="R1004" i="3315"/>
  <c r="R1002" i="3315"/>
  <c r="R1003" i="3315"/>
  <c r="R996" i="3315"/>
  <c r="AE21" i="3315"/>
  <c r="AE30" i="3315"/>
  <c r="AE12" i="3315"/>
  <c r="AE29" i="3315"/>
  <c r="AE35" i="3315"/>
  <c r="AE32" i="3315"/>
  <c r="AE33" i="3315"/>
  <c r="AE11" i="3315"/>
  <c r="AE34" i="3315"/>
  <c r="AF272" i="3315"/>
  <c r="AF722" i="3315"/>
  <c r="AF242" i="3315"/>
  <c r="AF283" i="3315"/>
  <c r="AF734" i="3315"/>
  <c r="AF880" i="3315"/>
  <c r="AF546" i="3315"/>
  <c r="AF536" i="3315"/>
  <c r="AF254" i="3315"/>
  <c r="AF336" i="3315"/>
  <c r="AF829" i="3315"/>
  <c r="AF586" i="3315"/>
  <c r="AF226" i="3315"/>
  <c r="AF305" i="3315"/>
  <c r="AF761" i="3315"/>
  <c r="AF778" i="3315"/>
  <c r="AF551" i="3315"/>
  <c r="AF833" i="3315"/>
  <c r="AF55" i="3315"/>
  <c r="AF90" i="3315"/>
  <c r="AF246" i="3315"/>
  <c r="AF262" i="3315"/>
  <c r="AF532" i="3315"/>
  <c r="AF839" i="3315"/>
  <c r="AF715" i="3315"/>
  <c r="AF841" i="3315"/>
  <c r="AF508" i="3315"/>
  <c r="AF523" i="3315"/>
  <c r="AF840" i="3315"/>
  <c r="AF741" i="3315"/>
  <c r="AF619" i="3315"/>
  <c r="AF721" i="3315"/>
  <c r="AF562" i="3315"/>
  <c r="AF556" i="3315"/>
  <c r="AF528" i="3315"/>
  <c r="AF713" i="3315"/>
  <c r="AF567" i="3315"/>
  <c r="AF83" i="3315"/>
  <c r="AF327" i="3315"/>
  <c r="AF808" i="3315"/>
  <c r="AF844" i="3315"/>
  <c r="AF644" i="3315"/>
  <c r="AF615" i="3315"/>
  <c r="AF243" i="3315"/>
  <c r="AF776" i="3315"/>
  <c r="AF809" i="3315"/>
  <c r="AF878" i="3315"/>
  <c r="AF303" i="3315"/>
  <c r="AF720" i="3315"/>
  <c r="AF602" i="3315"/>
  <c r="AF642" i="3315"/>
  <c r="AF331" i="3315"/>
  <c r="AF812" i="3315"/>
  <c r="AF824" i="3315"/>
  <c r="AF790" i="3315"/>
  <c r="AF855" i="3315"/>
  <c r="AF727" i="3315"/>
  <c r="AF284" i="3315"/>
  <c r="AF706" i="3315"/>
  <c r="AF712" i="3315"/>
  <c r="AF821" i="3315"/>
  <c r="AF837" i="3315"/>
  <c r="AF347" i="3315"/>
  <c r="AF521" i="3315"/>
  <c r="AF884" i="3315"/>
  <c r="AF478" i="3315"/>
  <c r="AF534" i="3315"/>
  <c r="AF625" i="3315"/>
  <c r="AF627" i="3315"/>
  <c r="AF711" i="3315"/>
  <c r="AF750" i="3315"/>
  <c r="AF759" i="3315"/>
  <c r="AF632" i="3315"/>
  <c r="AF276" i="3315"/>
  <c r="AF477" i="3315"/>
  <c r="AF497" i="3315"/>
  <c r="AF524" i="3315"/>
  <c r="AF818" i="3315"/>
  <c r="AF872" i="3315"/>
  <c r="AF570" i="3315"/>
  <c r="AF505" i="3315"/>
  <c r="AF533" i="3315"/>
  <c r="AF123" i="3315"/>
  <c r="AF247" i="3315"/>
  <c r="AF251" i="3315"/>
  <c r="AF255" i="3315"/>
  <c r="AF389" i="3315"/>
  <c r="AF513" i="3315"/>
  <c r="AF754" i="3315"/>
  <c r="AF780" i="3315"/>
  <c r="AF777" i="3315"/>
  <c r="AF825" i="3315"/>
  <c r="AF774" i="3315"/>
  <c r="AF822" i="3315"/>
  <c r="AF802" i="3315"/>
  <c r="AF552" i="3315"/>
  <c r="AF620" i="3315"/>
  <c r="AF312" i="3315"/>
  <c r="AF531" i="3315"/>
  <c r="AF590" i="3315"/>
  <c r="AF730" i="3315"/>
  <c r="AF805" i="3315"/>
  <c r="AF67" i="3315"/>
  <c r="AF76" i="3315"/>
  <c r="AF124" i="3315"/>
  <c r="AF152" i="3315"/>
  <c r="AF300" i="3315"/>
  <c r="AF526" i="3315"/>
  <c r="AF820" i="3315"/>
  <c r="AF770" i="3315"/>
  <c r="AF813" i="3315"/>
  <c r="AF883" i="3315"/>
  <c r="AF157" i="3315"/>
  <c r="AF193" i="3315"/>
  <c r="AF60" i="3315"/>
  <c r="AF131" i="3315"/>
  <c r="AF75" i="3315"/>
  <c r="AF127" i="3315"/>
  <c r="AF134" i="3315"/>
  <c r="AF81" i="3315"/>
  <c r="AF129" i="3315"/>
  <c r="AF74" i="3315"/>
  <c r="AF120" i="3315"/>
  <c r="AF126" i="3315"/>
  <c r="AF53" i="3315"/>
  <c r="AF128" i="3315"/>
  <c r="AF133" i="3315"/>
  <c r="AF259" i="3315"/>
  <c r="AF561" i="3315"/>
  <c r="AF633" i="3315"/>
  <c r="AF835" i="3315"/>
  <c r="AF763" i="3315"/>
  <c r="AF610" i="3315"/>
  <c r="AF876" i="3315"/>
  <c r="AF555" i="3315"/>
  <c r="AF631" i="3315"/>
  <c r="AF560" i="3315"/>
  <c r="AF640" i="3315"/>
  <c r="AF580" i="3315"/>
  <c r="AF806" i="3315"/>
  <c r="AF573" i="3315"/>
  <c r="AF575" i="3315"/>
  <c r="AF568" i="3315"/>
  <c r="AF587" i="3315"/>
  <c r="AF617" i="3315"/>
  <c r="AF797" i="3315"/>
  <c r="AF786" i="3315"/>
  <c r="AF121" i="3315"/>
  <c r="AF132" i="3315"/>
  <c r="AF645" i="3315"/>
  <c r="AF572" i="3315"/>
  <c r="AF564" i="3315"/>
  <c r="AF646" i="3315"/>
  <c r="AF637" i="3315"/>
  <c r="AF609" i="3315"/>
  <c r="AF641" i="3315"/>
  <c r="AF554" i="3315"/>
  <c r="AF566" i="3315"/>
  <c r="AF563" i="3315"/>
  <c r="AF582" i="3315"/>
  <c r="AF613" i="3315"/>
  <c r="AF592" i="3315"/>
  <c r="AF553" i="3315"/>
  <c r="AF557" i="3315"/>
  <c r="AF571" i="3315"/>
  <c r="AF577" i="3315"/>
  <c r="AF605" i="3315"/>
  <c r="AF629" i="3315"/>
  <c r="AF550" i="3315"/>
  <c r="AF558" i="3315"/>
  <c r="AF574" i="3315"/>
  <c r="AF549" i="3315"/>
  <c r="AF565" i="3315"/>
  <c r="AF621" i="3315"/>
  <c r="AF548" i="3315"/>
  <c r="AF597" i="3315"/>
  <c r="AF614" i="3315"/>
  <c r="AF622" i="3315"/>
  <c r="AF308" i="3315"/>
  <c r="AF313" i="3315"/>
  <c r="AF201" i="3315"/>
  <c r="AF195" i="3315"/>
  <c r="AF108" i="3315"/>
  <c r="AF105" i="3315"/>
  <c r="AF122" i="3315"/>
  <c r="AF125" i="3315"/>
  <c r="AF103" i="3315"/>
  <c r="AF104" i="3315"/>
  <c r="AF107" i="3315"/>
  <c r="AF106" i="3315"/>
  <c r="AF593" i="3315"/>
  <c r="AF744" i="3315"/>
  <c r="AF760" i="3315"/>
  <c r="AF807" i="3315"/>
  <c r="AF838" i="3315"/>
  <c r="AF542" i="3315"/>
  <c r="AF539" i="3315"/>
  <c r="AF732" i="3315"/>
  <c r="AF748" i="3315"/>
  <c r="AF764" i="3315"/>
  <c r="AF540" i="3315"/>
  <c r="AF584" i="3315"/>
  <c r="AF591" i="3315"/>
  <c r="AF595" i="3315"/>
  <c r="AF581" i="3315"/>
  <c r="AF736" i="3315"/>
  <c r="AF752" i="3315"/>
  <c r="AF768" i="3315"/>
  <c r="AF588" i="3315"/>
  <c r="AF771" i="3315"/>
  <c r="AF787" i="3315"/>
  <c r="AF803" i="3315"/>
  <c r="AF819" i="3315"/>
  <c r="AF834" i="3315"/>
  <c r="AF783" i="3315"/>
  <c r="AF799" i="3315"/>
  <c r="AF815" i="3315"/>
  <c r="AF830" i="3315"/>
  <c r="AF846" i="3315"/>
  <c r="AF544" i="3315"/>
  <c r="AF589" i="3315"/>
  <c r="AF775" i="3315"/>
  <c r="AF791" i="3315"/>
  <c r="AF823" i="3315"/>
  <c r="AF779" i="3315"/>
  <c r="AF795" i="3315"/>
  <c r="AF811" i="3315"/>
  <c r="AF842" i="3315"/>
  <c r="AF541" i="3315"/>
  <c r="AF585" i="3315"/>
  <c r="AF538" i="3315"/>
  <c r="AF543" i="3315"/>
  <c r="AF537" i="3315"/>
  <c r="AF545" i="3315"/>
  <c r="AF740" i="3315"/>
  <c r="AF756" i="3315"/>
  <c r="AF438" i="3315"/>
  <c r="AF449" i="3315"/>
  <c r="AF451" i="3315"/>
  <c r="AF440" i="3315"/>
  <c r="AF447" i="3315"/>
  <c r="AF450" i="3315"/>
  <c r="AF384" i="3315"/>
  <c r="AF392" i="3315"/>
  <c r="AF386" i="3315"/>
  <c r="AF394" i="3315"/>
  <c r="AF388" i="3315"/>
  <c r="AF382" i="3315"/>
  <c r="AF390" i="3315"/>
  <c r="AF314" i="3315"/>
  <c r="AF316" i="3315"/>
  <c r="AF323" i="3315"/>
  <c r="AF317" i="3315"/>
  <c r="AF319" i="3315"/>
  <c r="AF320" i="3315"/>
  <c r="AF322" i="3315"/>
  <c r="AF321" i="3315"/>
  <c r="AF315" i="3315"/>
  <c r="AF318" i="3315"/>
  <c r="AF324" i="3315"/>
  <c r="AF175" i="3315"/>
  <c r="AF196" i="3315"/>
  <c r="AF202" i="3315"/>
  <c r="AF200" i="3315"/>
  <c r="AF173" i="3315"/>
  <c r="AF194" i="3315"/>
  <c r="AF198" i="3315"/>
  <c r="AF95" i="3315"/>
  <c r="AF91" i="3315"/>
  <c r="AF99" i="3315"/>
  <c r="AF97" i="3315"/>
  <c r="AF93" i="3315"/>
  <c r="AF101" i="3315"/>
  <c r="AC1034" i="3315" l="1"/>
  <c r="L1034" i="3315"/>
  <c r="AB1034" i="3315"/>
  <c r="P1099" i="3315"/>
  <c r="AA36" i="3315"/>
  <c r="O36" i="3315"/>
  <c r="K36" i="3315"/>
  <c r="P36" i="3315"/>
  <c r="P890" i="3315" s="1"/>
  <c r="AA890" i="3315" l="1"/>
  <c r="AA1036" i="3315" s="1"/>
  <c r="AA1039" i="3315" s="1"/>
  <c r="H1034" i="3315"/>
  <c r="P1034" i="3315"/>
  <c r="M236" i="3315" l="1"/>
  <c r="M237" i="3315" s="1"/>
  <c r="M1093" i="3315"/>
  <c r="N1093" i="3315" s="1"/>
  <c r="V1093" i="3315" s="1"/>
  <c r="X1093" i="3315" s="1"/>
  <c r="M488" i="3315"/>
  <c r="M487" i="3315"/>
  <c r="N487" i="3315" s="1"/>
  <c r="M872" i="3315"/>
  <c r="N872" i="3315" s="1"/>
  <c r="V872" i="3315" s="1"/>
  <c r="X872" i="3315" s="1"/>
  <c r="M875" i="3315"/>
  <c r="N875" i="3315" s="1"/>
  <c r="V875" i="3315" s="1"/>
  <c r="X875" i="3315" s="1"/>
  <c r="M878" i="3315"/>
  <c r="N878" i="3315" s="1"/>
  <c r="V878" i="3315" s="1"/>
  <c r="X878" i="3315" s="1"/>
  <c r="M881" i="3315"/>
  <c r="N881" i="3315" s="1"/>
  <c r="V881" i="3315" s="1"/>
  <c r="X881" i="3315" s="1"/>
  <c r="M885" i="3315"/>
  <c r="N885" i="3315" s="1"/>
  <c r="V885" i="3315" s="1"/>
  <c r="X885" i="3315" s="1"/>
  <c r="M887" i="3315"/>
  <c r="N887" i="3315" s="1"/>
  <c r="V887" i="3315" s="1"/>
  <c r="X887" i="3315" s="1"/>
  <c r="M497" i="3315"/>
  <c r="N497" i="3315" s="1"/>
  <c r="M507" i="3315"/>
  <c r="N507" i="3315" s="1"/>
  <c r="M511" i="3315"/>
  <c r="N511" i="3315" s="1"/>
  <c r="M513" i="3315"/>
  <c r="N513" i="3315" s="1"/>
  <c r="M519" i="3315"/>
  <c r="N519" i="3315" s="1"/>
  <c r="M522" i="3315"/>
  <c r="N522" i="3315" s="1"/>
  <c r="M524" i="3315"/>
  <c r="N524" i="3315" s="1"/>
  <c r="M528" i="3315"/>
  <c r="N528" i="3315" s="1"/>
  <c r="M537" i="3315"/>
  <c r="N537" i="3315" s="1"/>
  <c r="M541" i="3315"/>
  <c r="N541" i="3315" s="1"/>
  <c r="M545" i="3315"/>
  <c r="N545" i="3315" s="1"/>
  <c r="M548" i="3315"/>
  <c r="N548" i="3315" s="1"/>
  <c r="M551" i="3315"/>
  <c r="N551" i="3315" s="1"/>
  <c r="M555" i="3315"/>
  <c r="N555" i="3315" s="1"/>
  <c r="M559" i="3315"/>
  <c r="N559" i="3315" s="1"/>
  <c r="M563" i="3315"/>
  <c r="N563" i="3315" s="1"/>
  <c r="M567" i="3315"/>
  <c r="N567" i="3315" s="1"/>
  <c r="M571" i="3315"/>
  <c r="N571" i="3315" s="1"/>
  <c r="M575" i="3315"/>
  <c r="N575" i="3315" s="1"/>
  <c r="M579" i="3315"/>
  <c r="N579" i="3315" s="1"/>
  <c r="M583" i="3315"/>
  <c r="N583" i="3315" s="1"/>
  <c r="M587" i="3315"/>
  <c r="N587" i="3315" s="1"/>
  <c r="M591" i="3315"/>
  <c r="N591" i="3315" s="1"/>
  <c r="M595" i="3315"/>
  <c r="N595" i="3315" s="1"/>
  <c r="M599" i="3315"/>
  <c r="N599" i="3315" s="1"/>
  <c r="M603" i="3315"/>
  <c r="N603" i="3315" s="1"/>
  <c r="M607" i="3315"/>
  <c r="N607" i="3315" s="1"/>
  <c r="M611" i="3315"/>
  <c r="N611" i="3315" s="1"/>
  <c r="M615" i="3315"/>
  <c r="N615" i="3315" s="1"/>
  <c r="M876" i="3315"/>
  <c r="N876" i="3315" s="1"/>
  <c r="V876" i="3315" s="1"/>
  <c r="X876" i="3315" s="1"/>
  <c r="M882" i="3315"/>
  <c r="N882" i="3315" s="1"/>
  <c r="V882" i="3315" s="1"/>
  <c r="X882" i="3315" s="1"/>
  <c r="M495" i="3315"/>
  <c r="N495" i="3315" s="1"/>
  <c r="M498" i="3315"/>
  <c r="N498" i="3315" s="1"/>
  <c r="M501" i="3315"/>
  <c r="N501" i="3315" s="1"/>
  <c r="M504" i="3315"/>
  <c r="N504" i="3315" s="1"/>
  <c r="M508" i="3315"/>
  <c r="N508" i="3315" s="1"/>
  <c r="M514" i="3315"/>
  <c r="N514" i="3315" s="1"/>
  <c r="M516" i="3315"/>
  <c r="N516" i="3315" s="1"/>
  <c r="M520" i="3315"/>
  <c r="N520" i="3315" s="1"/>
  <c r="M525" i="3315"/>
  <c r="N525" i="3315" s="1"/>
  <c r="M529" i="3315"/>
  <c r="N529" i="3315" s="1"/>
  <c r="M531" i="3315"/>
  <c r="N531" i="3315" s="1"/>
  <c r="M534" i="3315"/>
  <c r="N534" i="3315" s="1"/>
  <c r="M538" i="3315"/>
  <c r="N538" i="3315" s="1"/>
  <c r="M542" i="3315"/>
  <c r="N542" i="3315" s="1"/>
  <c r="M546" i="3315"/>
  <c r="N546" i="3315" s="1"/>
  <c r="M549" i="3315"/>
  <c r="N549" i="3315" s="1"/>
  <c r="M552" i="3315"/>
  <c r="N552" i="3315" s="1"/>
  <c r="M556" i="3315"/>
  <c r="N556" i="3315" s="1"/>
  <c r="M560" i="3315"/>
  <c r="N560" i="3315" s="1"/>
  <c r="M564" i="3315"/>
  <c r="N564" i="3315" s="1"/>
  <c r="M568" i="3315"/>
  <c r="N568" i="3315" s="1"/>
  <c r="M572" i="3315"/>
  <c r="N572" i="3315" s="1"/>
  <c r="M576" i="3315"/>
  <c r="N576" i="3315" s="1"/>
  <c r="M580" i="3315"/>
  <c r="N580" i="3315" s="1"/>
  <c r="M584" i="3315"/>
  <c r="N584" i="3315" s="1"/>
  <c r="M588" i="3315"/>
  <c r="N588" i="3315" s="1"/>
  <c r="M592" i="3315"/>
  <c r="N592" i="3315" s="1"/>
  <c r="M596" i="3315"/>
  <c r="N596" i="3315" s="1"/>
  <c r="M600" i="3315"/>
  <c r="N600" i="3315" s="1"/>
  <c r="M604" i="3315"/>
  <c r="N604" i="3315" s="1"/>
  <c r="M608" i="3315"/>
  <c r="N608" i="3315" s="1"/>
  <c r="M612" i="3315"/>
  <c r="N612" i="3315" s="1"/>
  <c r="M618" i="3315"/>
  <c r="N618" i="3315" s="1"/>
  <c r="M622" i="3315"/>
  <c r="N622" i="3315" s="1"/>
  <c r="M626" i="3315"/>
  <c r="N626" i="3315" s="1"/>
  <c r="M630" i="3315"/>
  <c r="N630" i="3315" s="1"/>
  <c r="M634" i="3315"/>
  <c r="N634" i="3315" s="1"/>
  <c r="M638" i="3315"/>
  <c r="N638" i="3315" s="1"/>
  <c r="M642" i="3315"/>
  <c r="N642" i="3315" s="1"/>
  <c r="M646" i="3315"/>
  <c r="N646" i="3315" s="1"/>
  <c r="M650" i="3315"/>
  <c r="N650" i="3315" s="1"/>
  <c r="M653" i="3315"/>
  <c r="N653" i="3315" s="1"/>
  <c r="M657" i="3315"/>
  <c r="N657" i="3315" s="1"/>
  <c r="M661" i="3315"/>
  <c r="N661" i="3315" s="1"/>
  <c r="M873" i="3315"/>
  <c r="N873" i="3315" s="1"/>
  <c r="V873" i="3315" s="1"/>
  <c r="X873" i="3315" s="1"/>
  <c r="M877" i="3315"/>
  <c r="N877" i="3315" s="1"/>
  <c r="V877" i="3315" s="1"/>
  <c r="X877" i="3315" s="1"/>
  <c r="M879" i="3315"/>
  <c r="N879" i="3315" s="1"/>
  <c r="V879" i="3315" s="1"/>
  <c r="X879" i="3315" s="1"/>
  <c r="M883" i="3315"/>
  <c r="N883" i="3315" s="1"/>
  <c r="V883" i="3315" s="1"/>
  <c r="X883" i="3315" s="1"/>
  <c r="M886" i="3315"/>
  <c r="N886" i="3315" s="1"/>
  <c r="V886" i="3315" s="1"/>
  <c r="X886" i="3315" s="1"/>
  <c r="M499" i="3315"/>
  <c r="N499" i="3315" s="1"/>
  <c r="M502" i="3315"/>
  <c r="N502" i="3315" s="1"/>
  <c r="M505" i="3315"/>
  <c r="N505" i="3315" s="1"/>
  <c r="M509" i="3315"/>
  <c r="N509" i="3315" s="1"/>
  <c r="M512" i="3315"/>
  <c r="N512" i="3315" s="1"/>
  <c r="M517" i="3315"/>
  <c r="N517" i="3315" s="1"/>
  <c r="M521" i="3315"/>
  <c r="N521" i="3315" s="1"/>
  <c r="M526" i="3315"/>
  <c r="N526" i="3315" s="1"/>
  <c r="M532" i="3315"/>
  <c r="N532" i="3315" s="1"/>
  <c r="M535" i="3315"/>
  <c r="N535" i="3315" s="1"/>
  <c r="M539" i="3315"/>
  <c r="N539" i="3315" s="1"/>
  <c r="M543" i="3315"/>
  <c r="N543" i="3315" s="1"/>
  <c r="M553" i="3315"/>
  <c r="N553" i="3315" s="1"/>
  <c r="M557" i="3315"/>
  <c r="N557" i="3315" s="1"/>
  <c r="M561" i="3315"/>
  <c r="N561" i="3315" s="1"/>
  <c r="M565" i="3315"/>
  <c r="N565" i="3315" s="1"/>
  <c r="M569" i="3315"/>
  <c r="N569" i="3315" s="1"/>
  <c r="M573" i="3315"/>
  <c r="N573" i="3315" s="1"/>
  <c r="M577" i="3315"/>
  <c r="N577" i="3315" s="1"/>
  <c r="M581" i="3315"/>
  <c r="N581" i="3315" s="1"/>
  <c r="M585" i="3315"/>
  <c r="N585" i="3315" s="1"/>
  <c r="M589" i="3315"/>
  <c r="N589" i="3315" s="1"/>
  <c r="M593" i="3315"/>
  <c r="N593" i="3315" s="1"/>
  <c r="M597" i="3315"/>
  <c r="N597" i="3315" s="1"/>
  <c r="M601" i="3315"/>
  <c r="N601" i="3315" s="1"/>
  <c r="M605" i="3315"/>
  <c r="N605" i="3315" s="1"/>
  <c r="M609" i="3315"/>
  <c r="N609" i="3315" s="1"/>
  <c r="M613" i="3315"/>
  <c r="N613" i="3315" s="1"/>
  <c r="M619" i="3315"/>
  <c r="N619" i="3315" s="1"/>
  <c r="M623" i="3315"/>
  <c r="N623" i="3315" s="1"/>
  <c r="M627" i="3315"/>
  <c r="N627" i="3315" s="1"/>
  <c r="M631" i="3315"/>
  <c r="N631" i="3315" s="1"/>
  <c r="M635" i="3315"/>
  <c r="N635" i="3315" s="1"/>
  <c r="M639" i="3315"/>
  <c r="N639" i="3315" s="1"/>
  <c r="M643" i="3315"/>
  <c r="N643" i="3315" s="1"/>
  <c r="M647" i="3315"/>
  <c r="N647" i="3315" s="1"/>
  <c r="M654" i="3315"/>
  <c r="N654" i="3315" s="1"/>
  <c r="M658" i="3315"/>
  <c r="N658" i="3315" s="1"/>
  <c r="M662" i="3315"/>
  <c r="N662" i="3315" s="1"/>
  <c r="M666" i="3315"/>
  <c r="N666" i="3315" s="1"/>
  <c r="M673" i="3315"/>
  <c r="N673" i="3315" s="1"/>
  <c r="M677" i="3315"/>
  <c r="N677" i="3315" s="1"/>
  <c r="M680" i="3315"/>
  <c r="N680" i="3315" s="1"/>
  <c r="M684" i="3315"/>
  <c r="N684" i="3315" s="1"/>
  <c r="M688" i="3315"/>
  <c r="N688" i="3315" s="1"/>
  <c r="M691" i="3315"/>
  <c r="N691" i="3315" s="1"/>
  <c r="M695" i="3315"/>
  <c r="N695" i="3315" s="1"/>
  <c r="M698" i="3315"/>
  <c r="N698" i="3315" s="1"/>
  <c r="M705" i="3315"/>
  <c r="N705" i="3315" s="1"/>
  <c r="M709" i="3315"/>
  <c r="N709" i="3315" s="1"/>
  <c r="M716" i="3315"/>
  <c r="N716" i="3315" s="1"/>
  <c r="M719" i="3315"/>
  <c r="N719" i="3315" s="1"/>
  <c r="M723" i="3315"/>
  <c r="N723" i="3315" s="1"/>
  <c r="M726" i="3315"/>
  <c r="N726" i="3315" s="1"/>
  <c r="M728" i="3315"/>
  <c r="N728" i="3315" s="1"/>
  <c r="M732" i="3315"/>
  <c r="N732" i="3315" s="1"/>
  <c r="M736" i="3315"/>
  <c r="N736" i="3315" s="1"/>
  <c r="M740" i="3315"/>
  <c r="N740" i="3315" s="1"/>
  <c r="M744" i="3315"/>
  <c r="N744" i="3315" s="1"/>
  <c r="M748" i="3315"/>
  <c r="N748" i="3315" s="1"/>
  <c r="M751" i="3315"/>
  <c r="N751" i="3315" s="1"/>
  <c r="M754" i="3315"/>
  <c r="N754" i="3315" s="1"/>
  <c r="M758" i="3315"/>
  <c r="N758" i="3315" s="1"/>
  <c r="M761" i="3315"/>
  <c r="N761" i="3315" s="1"/>
  <c r="M767" i="3315"/>
  <c r="N767" i="3315" s="1"/>
  <c r="M770" i="3315"/>
  <c r="N770" i="3315" s="1"/>
  <c r="M503" i="3315"/>
  <c r="N503" i="3315" s="1"/>
  <c r="M515" i="3315"/>
  <c r="N515" i="3315" s="1"/>
  <c r="M527" i="3315"/>
  <c r="N527" i="3315" s="1"/>
  <c r="M536" i="3315"/>
  <c r="N536" i="3315" s="1"/>
  <c r="M562" i="3315"/>
  <c r="N562" i="3315" s="1"/>
  <c r="M578" i="3315"/>
  <c r="N578" i="3315" s="1"/>
  <c r="M594" i="3315"/>
  <c r="N594" i="3315" s="1"/>
  <c r="M610" i="3315"/>
  <c r="N610" i="3315" s="1"/>
  <c r="M620" i="3315"/>
  <c r="N620" i="3315" s="1"/>
  <c r="M628" i="3315"/>
  <c r="N628" i="3315" s="1"/>
  <c r="M636" i="3315"/>
  <c r="N636" i="3315" s="1"/>
  <c r="M644" i="3315"/>
  <c r="N644" i="3315" s="1"/>
  <c r="M651" i="3315"/>
  <c r="N651" i="3315" s="1"/>
  <c r="M659" i="3315"/>
  <c r="N659" i="3315" s="1"/>
  <c r="M665" i="3315"/>
  <c r="N665" i="3315" s="1"/>
  <c r="M674" i="3315"/>
  <c r="N674" i="3315" s="1"/>
  <c r="M683" i="3315"/>
  <c r="N683" i="3315" s="1"/>
  <c r="M689" i="3315"/>
  <c r="N689" i="3315" s="1"/>
  <c r="M694" i="3315"/>
  <c r="N694" i="3315" s="1"/>
  <c r="M699" i="3315"/>
  <c r="N699" i="3315" s="1"/>
  <c r="M702" i="3315"/>
  <c r="N702" i="3315" s="1"/>
  <c r="M707" i="3315"/>
  <c r="N707" i="3315" s="1"/>
  <c r="M712" i="3315"/>
  <c r="N712" i="3315" s="1"/>
  <c r="M717" i="3315"/>
  <c r="N717" i="3315" s="1"/>
  <c r="M721" i="3315"/>
  <c r="N721" i="3315" s="1"/>
  <c r="M724" i="3315"/>
  <c r="N724" i="3315" s="1"/>
  <c r="M731" i="3315"/>
  <c r="N731" i="3315" s="1"/>
  <c r="M737" i="3315"/>
  <c r="N737" i="3315" s="1"/>
  <c r="M742" i="3315"/>
  <c r="N742" i="3315" s="1"/>
  <c r="M747" i="3315"/>
  <c r="N747" i="3315" s="1"/>
  <c r="M757" i="3315"/>
  <c r="N757" i="3315" s="1"/>
  <c r="M763" i="3315"/>
  <c r="N763" i="3315" s="1"/>
  <c r="M766" i="3315"/>
  <c r="N766" i="3315" s="1"/>
  <c r="M777" i="3315"/>
  <c r="N777" i="3315" s="1"/>
  <c r="M783" i="3315"/>
  <c r="N783" i="3315" s="1"/>
  <c r="M787" i="3315"/>
  <c r="N787" i="3315" s="1"/>
  <c r="M790" i="3315"/>
  <c r="N790" i="3315" s="1"/>
  <c r="M793" i="3315"/>
  <c r="N793" i="3315" s="1"/>
  <c r="M800" i="3315"/>
  <c r="N800" i="3315" s="1"/>
  <c r="M804" i="3315"/>
  <c r="N804" i="3315" s="1"/>
  <c r="M808" i="3315"/>
  <c r="N808" i="3315" s="1"/>
  <c r="M811" i="3315"/>
  <c r="N811" i="3315" s="1"/>
  <c r="M814" i="3315"/>
  <c r="N814" i="3315" s="1"/>
  <c r="M821" i="3315"/>
  <c r="N821" i="3315" s="1"/>
  <c r="M824" i="3315"/>
  <c r="N824" i="3315" s="1"/>
  <c r="M829" i="3315"/>
  <c r="N829" i="3315" s="1"/>
  <c r="M833" i="3315"/>
  <c r="N833" i="3315" s="1"/>
  <c r="M840" i="3315"/>
  <c r="N840" i="3315" s="1"/>
  <c r="M843" i="3315"/>
  <c r="N843" i="3315" s="1"/>
  <c r="M851" i="3315"/>
  <c r="N851" i="3315" s="1"/>
  <c r="M855" i="3315"/>
  <c r="N855" i="3315" s="1"/>
  <c r="M859" i="3315"/>
  <c r="N859" i="3315" s="1"/>
  <c r="M469" i="3315"/>
  <c r="N469" i="3315" s="1"/>
  <c r="M473" i="3315"/>
  <c r="N473" i="3315" s="1"/>
  <c r="M475" i="3315"/>
  <c r="N475" i="3315" s="1"/>
  <c r="M479" i="3315"/>
  <c r="N479" i="3315" s="1"/>
  <c r="M355" i="3315"/>
  <c r="N355" i="3315" s="1"/>
  <c r="M358" i="3315"/>
  <c r="N358" i="3315" s="1"/>
  <c r="M361" i="3315"/>
  <c r="N361" i="3315" s="1"/>
  <c r="M365" i="3315"/>
  <c r="N365" i="3315" s="1"/>
  <c r="M367" i="3315"/>
  <c r="N367" i="3315" s="1"/>
  <c r="M368" i="3315"/>
  <c r="N368" i="3315" s="1"/>
  <c r="M372" i="3315"/>
  <c r="N372" i="3315" s="1"/>
  <c r="M374" i="3315"/>
  <c r="N374" i="3315" s="1"/>
  <c r="M378" i="3315"/>
  <c r="N378" i="3315" s="1"/>
  <c r="M380" i="3315"/>
  <c r="N380" i="3315" s="1"/>
  <c r="M387" i="3315"/>
  <c r="N387" i="3315" s="1"/>
  <c r="M391" i="3315"/>
  <c r="N391" i="3315" s="1"/>
  <c r="M395" i="3315"/>
  <c r="N395" i="3315" s="1"/>
  <c r="M399" i="3315"/>
  <c r="N399" i="3315" s="1"/>
  <c r="M403" i="3315"/>
  <c r="N403" i="3315" s="1"/>
  <c r="M406" i="3315"/>
  <c r="N406" i="3315" s="1"/>
  <c r="M410" i="3315"/>
  <c r="N410" i="3315" s="1"/>
  <c r="M414" i="3315"/>
  <c r="N414" i="3315" s="1"/>
  <c r="M272" i="3315"/>
  <c r="N272" i="3315" s="1"/>
  <c r="M276" i="3315"/>
  <c r="N276" i="3315" s="1"/>
  <c r="M280" i="3315"/>
  <c r="N280" i="3315" s="1"/>
  <c r="M284" i="3315"/>
  <c r="N284" i="3315" s="1"/>
  <c r="M288" i="3315"/>
  <c r="N288" i="3315" s="1"/>
  <c r="M290" i="3315"/>
  <c r="N290" i="3315" s="1"/>
  <c r="M293" i="3315"/>
  <c r="N293" i="3315" s="1"/>
  <c r="M297" i="3315"/>
  <c r="N297" i="3315" s="1"/>
  <c r="M301" i="3315"/>
  <c r="N301" i="3315" s="1"/>
  <c r="M305" i="3315"/>
  <c r="N305" i="3315" s="1"/>
  <c r="M309" i="3315"/>
  <c r="N309" i="3315" s="1"/>
  <c r="M313" i="3315"/>
  <c r="N313" i="3315" s="1"/>
  <c r="M317" i="3315"/>
  <c r="N317" i="3315" s="1"/>
  <c r="M320" i="3315"/>
  <c r="N320" i="3315" s="1"/>
  <c r="M327" i="3315"/>
  <c r="N327" i="3315" s="1"/>
  <c r="M332" i="3315"/>
  <c r="N332" i="3315" s="1"/>
  <c r="M337" i="3315"/>
  <c r="N337" i="3315" s="1"/>
  <c r="M244" i="3315"/>
  <c r="N244" i="3315" s="1"/>
  <c r="M248" i="3315"/>
  <c r="N248" i="3315" s="1"/>
  <c r="M252" i="3315"/>
  <c r="N252" i="3315" s="1"/>
  <c r="M256" i="3315"/>
  <c r="N256" i="3315" s="1"/>
  <c r="M260" i="3315"/>
  <c r="N260" i="3315" s="1"/>
  <c r="M264" i="3315"/>
  <c r="N264" i="3315" s="1"/>
  <c r="M215" i="3315"/>
  <c r="N215" i="3315" s="1"/>
  <c r="M219" i="3315"/>
  <c r="N219" i="3315" s="1"/>
  <c r="M223" i="3315"/>
  <c r="N223" i="3315" s="1"/>
  <c r="M227" i="3315"/>
  <c r="N227" i="3315" s="1"/>
  <c r="M231" i="3315"/>
  <c r="N231" i="3315" s="1"/>
  <c r="M141" i="3315"/>
  <c r="N141" i="3315" s="1"/>
  <c r="M145" i="3315"/>
  <c r="N145" i="3315" s="1"/>
  <c r="M149" i="3315"/>
  <c r="N149" i="3315" s="1"/>
  <c r="M874" i="3315"/>
  <c r="N874" i="3315" s="1"/>
  <c r="V874" i="3315" s="1"/>
  <c r="X874" i="3315" s="1"/>
  <c r="M496" i="3315"/>
  <c r="N496" i="3315" s="1"/>
  <c r="M530" i="3315"/>
  <c r="N530" i="3315" s="1"/>
  <c r="M540" i="3315"/>
  <c r="N540" i="3315" s="1"/>
  <c r="M550" i="3315"/>
  <c r="N550" i="3315" s="1"/>
  <c r="M566" i="3315"/>
  <c r="N566" i="3315" s="1"/>
  <c r="M582" i="3315"/>
  <c r="N582" i="3315" s="1"/>
  <c r="M598" i="3315"/>
  <c r="N598" i="3315" s="1"/>
  <c r="M614" i="3315"/>
  <c r="N614" i="3315" s="1"/>
  <c r="M621" i="3315"/>
  <c r="N621" i="3315" s="1"/>
  <c r="M629" i="3315"/>
  <c r="N629" i="3315" s="1"/>
  <c r="M637" i="3315"/>
  <c r="N637" i="3315" s="1"/>
  <c r="M645" i="3315"/>
  <c r="N645" i="3315" s="1"/>
  <c r="M652" i="3315"/>
  <c r="N652" i="3315" s="1"/>
  <c r="M660" i="3315"/>
  <c r="N660" i="3315" s="1"/>
  <c r="M667" i="3315"/>
  <c r="N667" i="3315" s="1"/>
  <c r="M670" i="3315"/>
  <c r="N670" i="3315" s="1"/>
  <c r="M675" i="3315"/>
  <c r="N675" i="3315" s="1"/>
  <c r="M679" i="3315"/>
  <c r="N679" i="3315" s="1"/>
  <c r="M685" i="3315"/>
  <c r="N685" i="3315" s="1"/>
  <c r="M690" i="3315"/>
  <c r="N690" i="3315" s="1"/>
  <c r="M696" i="3315"/>
  <c r="N696" i="3315" s="1"/>
  <c r="M700" i="3315"/>
  <c r="N700" i="3315" s="1"/>
  <c r="M703" i="3315"/>
  <c r="N703" i="3315" s="1"/>
  <c r="M708" i="3315"/>
  <c r="N708" i="3315" s="1"/>
  <c r="M713" i="3315"/>
  <c r="N713" i="3315" s="1"/>
  <c r="M722" i="3315"/>
  <c r="N722" i="3315" s="1"/>
  <c r="M725" i="3315"/>
  <c r="N725" i="3315" s="1"/>
  <c r="M733" i="3315"/>
  <c r="N733" i="3315" s="1"/>
  <c r="M738" i="3315"/>
  <c r="N738" i="3315" s="1"/>
  <c r="M743" i="3315"/>
  <c r="N743" i="3315" s="1"/>
  <c r="M749" i="3315"/>
  <c r="N749" i="3315" s="1"/>
  <c r="M753" i="3315"/>
  <c r="N753" i="3315" s="1"/>
  <c r="M759" i="3315"/>
  <c r="N759" i="3315" s="1"/>
  <c r="M771" i="3315"/>
  <c r="N771" i="3315" s="1"/>
  <c r="M774" i="3315"/>
  <c r="N774" i="3315" s="1"/>
  <c r="M778" i="3315"/>
  <c r="N778" i="3315" s="1"/>
  <c r="M781" i="3315"/>
  <c r="N781" i="3315" s="1"/>
  <c r="M784" i="3315"/>
  <c r="N784" i="3315" s="1"/>
  <c r="M788" i="3315"/>
  <c r="N788" i="3315" s="1"/>
  <c r="M794" i="3315"/>
  <c r="N794" i="3315" s="1"/>
  <c r="M797" i="3315"/>
  <c r="N797" i="3315" s="1"/>
  <c r="M801" i="3315"/>
  <c r="N801" i="3315" s="1"/>
  <c r="M805" i="3315"/>
  <c r="N805" i="3315" s="1"/>
  <c r="M809" i="3315"/>
  <c r="N809" i="3315" s="1"/>
  <c r="M812" i="3315"/>
  <c r="N812" i="3315" s="1"/>
  <c r="M815" i="3315"/>
  <c r="N815" i="3315" s="1"/>
  <c r="M818" i="3315"/>
  <c r="N818" i="3315" s="1"/>
  <c r="M822" i="3315"/>
  <c r="N822" i="3315" s="1"/>
  <c r="M830" i="3315"/>
  <c r="N830" i="3315" s="1"/>
  <c r="M834" i="3315"/>
  <c r="N834" i="3315" s="1"/>
  <c r="M837" i="3315"/>
  <c r="N837" i="3315" s="1"/>
  <c r="M841" i="3315"/>
  <c r="N841" i="3315" s="1"/>
  <c r="M846" i="3315"/>
  <c r="N846" i="3315" s="1"/>
  <c r="M848" i="3315"/>
  <c r="N848" i="3315" s="1"/>
  <c r="M852" i="3315"/>
  <c r="N852" i="3315" s="1"/>
  <c r="M856" i="3315"/>
  <c r="N856" i="3315" s="1"/>
  <c r="M860" i="3315"/>
  <c r="N860" i="3315" s="1"/>
  <c r="M470" i="3315"/>
  <c r="N470" i="3315" s="1"/>
  <c r="M474" i="3315"/>
  <c r="N474" i="3315" s="1"/>
  <c r="M476" i="3315"/>
  <c r="N476" i="3315" s="1"/>
  <c r="M480" i="3315"/>
  <c r="N480" i="3315" s="1"/>
  <c r="M359" i="3315"/>
  <c r="N359" i="3315" s="1"/>
  <c r="M362" i="3315"/>
  <c r="N362" i="3315" s="1"/>
  <c r="M366" i="3315"/>
  <c r="N366" i="3315" s="1"/>
  <c r="M369" i="3315"/>
  <c r="N369" i="3315" s="1"/>
  <c r="M373" i="3315"/>
  <c r="N373" i="3315" s="1"/>
  <c r="M375" i="3315"/>
  <c r="N375" i="3315" s="1"/>
  <c r="M379" i="3315"/>
  <c r="N379" i="3315" s="1"/>
  <c r="M381" i="3315"/>
  <c r="N381" i="3315" s="1"/>
  <c r="M384" i="3315"/>
  <c r="N384" i="3315" s="1"/>
  <c r="M388" i="3315"/>
  <c r="N388" i="3315" s="1"/>
  <c r="M392" i="3315"/>
  <c r="N392" i="3315" s="1"/>
  <c r="M396" i="3315"/>
  <c r="N396" i="3315" s="1"/>
  <c r="M400" i="3315"/>
  <c r="N400" i="3315" s="1"/>
  <c r="M404" i="3315"/>
  <c r="N404" i="3315" s="1"/>
  <c r="M407" i="3315"/>
  <c r="N407" i="3315" s="1"/>
  <c r="M411" i="3315"/>
  <c r="N411" i="3315" s="1"/>
  <c r="M273" i="3315"/>
  <c r="N273" i="3315" s="1"/>
  <c r="M277" i="3315"/>
  <c r="N277" i="3315" s="1"/>
  <c r="M281" i="3315"/>
  <c r="N281" i="3315" s="1"/>
  <c r="M285" i="3315"/>
  <c r="N285" i="3315" s="1"/>
  <c r="M294" i="3315"/>
  <c r="N294" i="3315" s="1"/>
  <c r="M298" i="3315"/>
  <c r="N298" i="3315" s="1"/>
  <c r="M302" i="3315"/>
  <c r="N302" i="3315" s="1"/>
  <c r="M306" i="3315"/>
  <c r="N306" i="3315" s="1"/>
  <c r="M310" i="3315"/>
  <c r="N310" i="3315" s="1"/>
  <c r="M314" i="3315"/>
  <c r="N314" i="3315" s="1"/>
  <c r="M318" i="3315"/>
  <c r="N318" i="3315" s="1"/>
  <c r="M321" i="3315"/>
  <c r="N321" i="3315" s="1"/>
  <c r="M324" i="3315"/>
  <c r="N324" i="3315" s="1"/>
  <c r="M880" i="3315"/>
  <c r="N880" i="3315" s="1"/>
  <c r="V880" i="3315" s="1"/>
  <c r="X880" i="3315" s="1"/>
  <c r="M500" i="3315"/>
  <c r="N500" i="3315" s="1"/>
  <c r="M506" i="3315"/>
  <c r="N506" i="3315" s="1"/>
  <c r="M518" i="3315"/>
  <c r="N518" i="3315" s="1"/>
  <c r="M533" i="3315"/>
  <c r="N533" i="3315" s="1"/>
  <c r="M544" i="3315"/>
  <c r="N544" i="3315" s="1"/>
  <c r="M554" i="3315"/>
  <c r="N554" i="3315" s="1"/>
  <c r="M570" i="3315"/>
  <c r="N570" i="3315" s="1"/>
  <c r="M586" i="3315"/>
  <c r="N586" i="3315" s="1"/>
  <c r="M602" i="3315"/>
  <c r="N602" i="3315" s="1"/>
  <c r="M616" i="3315"/>
  <c r="N616" i="3315" s="1"/>
  <c r="M624" i="3315"/>
  <c r="N624" i="3315" s="1"/>
  <c r="M632" i="3315"/>
  <c r="N632" i="3315" s="1"/>
  <c r="M640" i="3315"/>
  <c r="N640" i="3315" s="1"/>
  <c r="M648" i="3315"/>
  <c r="N648" i="3315" s="1"/>
  <c r="M655" i="3315"/>
  <c r="N655" i="3315" s="1"/>
  <c r="M663" i="3315"/>
  <c r="N663" i="3315" s="1"/>
  <c r="M668" i="3315"/>
  <c r="N668" i="3315" s="1"/>
  <c r="M671" i="3315"/>
  <c r="N671" i="3315" s="1"/>
  <c r="M676" i="3315"/>
  <c r="N676" i="3315" s="1"/>
  <c r="M681" i="3315"/>
  <c r="N681" i="3315" s="1"/>
  <c r="M686" i="3315"/>
  <c r="N686" i="3315" s="1"/>
  <c r="M692" i="3315"/>
  <c r="N692" i="3315" s="1"/>
  <c r="M701" i="3315"/>
  <c r="N701" i="3315" s="1"/>
  <c r="M704" i="3315"/>
  <c r="N704" i="3315" s="1"/>
  <c r="M710" i="3315"/>
  <c r="N710" i="3315" s="1"/>
  <c r="M714" i="3315"/>
  <c r="N714" i="3315" s="1"/>
  <c r="M718" i="3315"/>
  <c r="N718" i="3315" s="1"/>
  <c r="M729" i="3315"/>
  <c r="N729" i="3315" s="1"/>
  <c r="M734" i="3315"/>
  <c r="N734" i="3315" s="1"/>
  <c r="M739" i="3315"/>
  <c r="N739" i="3315" s="1"/>
  <c r="M745" i="3315"/>
  <c r="N745" i="3315" s="1"/>
  <c r="M750" i="3315"/>
  <c r="N750" i="3315" s="1"/>
  <c r="M755" i="3315"/>
  <c r="N755" i="3315" s="1"/>
  <c r="M760" i="3315"/>
  <c r="N760" i="3315" s="1"/>
  <c r="M764" i="3315"/>
  <c r="N764" i="3315" s="1"/>
  <c r="M768" i="3315"/>
  <c r="N768" i="3315" s="1"/>
  <c r="M772" i="3315"/>
  <c r="N772" i="3315" s="1"/>
  <c r="M775" i="3315"/>
  <c r="N775" i="3315" s="1"/>
  <c r="M779" i="3315"/>
  <c r="N779" i="3315" s="1"/>
  <c r="M782" i="3315"/>
  <c r="N782" i="3315" s="1"/>
  <c r="M785" i="3315"/>
  <c r="N785" i="3315" s="1"/>
  <c r="M789" i="3315"/>
  <c r="N789" i="3315" s="1"/>
  <c r="M791" i="3315"/>
  <c r="N791" i="3315" s="1"/>
  <c r="M795" i="3315"/>
  <c r="N795" i="3315" s="1"/>
  <c r="M798" i="3315"/>
  <c r="N798" i="3315" s="1"/>
  <c r="M802" i="3315"/>
  <c r="N802" i="3315" s="1"/>
  <c r="M806" i="3315"/>
  <c r="N806" i="3315" s="1"/>
  <c r="M810" i="3315"/>
  <c r="N810" i="3315" s="1"/>
  <c r="M813" i="3315"/>
  <c r="N813" i="3315" s="1"/>
  <c r="M816" i="3315"/>
  <c r="N816" i="3315" s="1"/>
  <c r="M819" i="3315"/>
  <c r="N819" i="3315" s="1"/>
  <c r="M825" i="3315"/>
  <c r="N825" i="3315" s="1"/>
  <c r="M827" i="3315"/>
  <c r="N827" i="3315" s="1"/>
  <c r="M831" i="3315"/>
  <c r="N831" i="3315" s="1"/>
  <c r="M835" i="3315"/>
  <c r="N835" i="3315" s="1"/>
  <c r="M838" i="3315"/>
  <c r="N838" i="3315" s="1"/>
  <c r="M844" i="3315"/>
  <c r="N844" i="3315" s="1"/>
  <c r="M849" i="3315"/>
  <c r="N849" i="3315" s="1"/>
  <c r="M853" i="3315"/>
  <c r="N853" i="3315" s="1"/>
  <c r="M857" i="3315"/>
  <c r="N857" i="3315" s="1"/>
  <c r="M861" i="3315"/>
  <c r="N861" i="3315" s="1"/>
  <c r="M471" i="3315"/>
  <c r="N471" i="3315" s="1"/>
  <c r="M477" i="3315"/>
  <c r="N477" i="3315" s="1"/>
  <c r="M356" i="3315"/>
  <c r="N356" i="3315" s="1"/>
  <c r="M363" i="3315"/>
  <c r="N363" i="3315" s="1"/>
  <c r="M370" i="3315"/>
  <c r="N370" i="3315" s="1"/>
  <c r="M376" i="3315"/>
  <c r="N376" i="3315" s="1"/>
  <c r="M382" i="3315"/>
  <c r="N382" i="3315" s="1"/>
  <c r="M385" i="3315"/>
  <c r="N385" i="3315" s="1"/>
  <c r="M389" i="3315"/>
  <c r="N389" i="3315" s="1"/>
  <c r="M393" i="3315"/>
  <c r="N393" i="3315" s="1"/>
  <c r="M397" i="3315"/>
  <c r="N397" i="3315" s="1"/>
  <c r="M401" i="3315"/>
  <c r="N401" i="3315" s="1"/>
  <c r="M408" i="3315"/>
  <c r="N408" i="3315" s="1"/>
  <c r="M412" i="3315"/>
  <c r="N412" i="3315" s="1"/>
  <c r="M274" i="3315"/>
  <c r="N274" i="3315" s="1"/>
  <c r="M278" i="3315"/>
  <c r="N278" i="3315" s="1"/>
  <c r="M282" i="3315"/>
  <c r="N282" i="3315" s="1"/>
  <c r="M286" i="3315"/>
  <c r="N286" i="3315" s="1"/>
  <c r="M291" i="3315"/>
  <c r="N291" i="3315" s="1"/>
  <c r="M295" i="3315"/>
  <c r="N295" i="3315" s="1"/>
  <c r="M299" i="3315"/>
  <c r="N299" i="3315" s="1"/>
  <c r="M303" i="3315"/>
  <c r="N303" i="3315" s="1"/>
  <c r="M307" i="3315"/>
  <c r="N307" i="3315" s="1"/>
  <c r="M311" i="3315"/>
  <c r="N311" i="3315" s="1"/>
  <c r="M315" i="3315"/>
  <c r="N315" i="3315" s="1"/>
  <c r="M322" i="3315"/>
  <c r="N322" i="3315" s="1"/>
  <c r="M325" i="3315"/>
  <c r="N325" i="3315" s="1"/>
  <c r="M328" i="3315"/>
  <c r="N328" i="3315" s="1"/>
  <c r="M331" i="3315"/>
  <c r="N331" i="3315" s="1"/>
  <c r="M335" i="3315"/>
  <c r="N335" i="3315" s="1"/>
  <c r="M336" i="3315"/>
  <c r="N336" i="3315" s="1"/>
  <c r="M338" i="3315"/>
  <c r="N338" i="3315" s="1"/>
  <c r="M242" i="3315"/>
  <c r="N242" i="3315" s="1"/>
  <c r="M246" i="3315"/>
  <c r="N246" i="3315" s="1"/>
  <c r="M250" i="3315"/>
  <c r="N250" i="3315" s="1"/>
  <c r="M254" i="3315"/>
  <c r="N254" i="3315" s="1"/>
  <c r="M258" i="3315"/>
  <c r="N258" i="3315" s="1"/>
  <c r="M262" i="3315"/>
  <c r="N262" i="3315" s="1"/>
  <c r="M266" i="3315"/>
  <c r="N266" i="3315" s="1"/>
  <c r="M217" i="3315"/>
  <c r="N217" i="3315" s="1"/>
  <c r="M221" i="3315"/>
  <c r="N221" i="3315" s="1"/>
  <c r="M225" i="3315"/>
  <c r="N225" i="3315" s="1"/>
  <c r="M229" i="3315"/>
  <c r="N229" i="3315" s="1"/>
  <c r="M139" i="3315"/>
  <c r="N139" i="3315" s="1"/>
  <c r="M143" i="3315"/>
  <c r="N143" i="3315" s="1"/>
  <c r="M147" i="3315"/>
  <c r="N147" i="3315" s="1"/>
  <c r="M151" i="3315"/>
  <c r="N151" i="3315" s="1"/>
  <c r="M155" i="3315"/>
  <c r="N155" i="3315" s="1"/>
  <c r="M165" i="3315"/>
  <c r="N165" i="3315" s="1"/>
  <c r="M169" i="3315"/>
  <c r="N169" i="3315" s="1"/>
  <c r="M173" i="3315"/>
  <c r="N173" i="3315" s="1"/>
  <c r="M177" i="3315"/>
  <c r="N177" i="3315" s="1"/>
  <c r="M181" i="3315"/>
  <c r="N181" i="3315" s="1"/>
  <c r="M188" i="3315"/>
  <c r="N188" i="3315" s="1"/>
  <c r="M192" i="3315"/>
  <c r="N192" i="3315" s="1"/>
  <c r="M196" i="3315"/>
  <c r="N196" i="3315" s="1"/>
  <c r="M200" i="3315"/>
  <c r="N200" i="3315" s="1"/>
  <c r="M203" i="3315"/>
  <c r="N203" i="3315" s="1"/>
  <c r="M206" i="3315"/>
  <c r="N206" i="3315" s="1"/>
  <c r="M61" i="3315"/>
  <c r="N61" i="3315" s="1"/>
  <c r="M64" i="3315"/>
  <c r="N64" i="3315" s="1"/>
  <c r="M67" i="3315"/>
  <c r="N67" i="3315" s="1"/>
  <c r="M71" i="3315"/>
  <c r="N71" i="3315" s="1"/>
  <c r="M73" i="3315"/>
  <c r="N73" i="3315" s="1"/>
  <c r="M77" i="3315"/>
  <c r="N77" i="3315" s="1"/>
  <c r="M81" i="3315"/>
  <c r="N81" i="3315" s="1"/>
  <c r="M85" i="3315"/>
  <c r="N85" i="3315" s="1"/>
  <c r="M92" i="3315"/>
  <c r="N92" i="3315" s="1"/>
  <c r="M884" i="3315"/>
  <c r="N884" i="3315" s="1"/>
  <c r="V884" i="3315" s="1"/>
  <c r="X884" i="3315" s="1"/>
  <c r="M510" i="3315"/>
  <c r="N510" i="3315" s="1"/>
  <c r="M547" i="3315"/>
  <c r="N547" i="3315" s="1"/>
  <c r="M590" i="3315"/>
  <c r="N590" i="3315" s="1"/>
  <c r="M633" i="3315"/>
  <c r="N633" i="3315" s="1"/>
  <c r="M664" i="3315"/>
  <c r="N664" i="3315" s="1"/>
  <c r="M678" i="3315"/>
  <c r="N678" i="3315" s="1"/>
  <c r="M693" i="3315"/>
  <c r="N693" i="3315" s="1"/>
  <c r="M715" i="3315"/>
  <c r="N715" i="3315" s="1"/>
  <c r="M746" i="3315"/>
  <c r="N746" i="3315" s="1"/>
  <c r="M762" i="3315"/>
  <c r="N762" i="3315" s="1"/>
  <c r="M773" i="3315"/>
  <c r="N773" i="3315" s="1"/>
  <c r="M786" i="3315"/>
  <c r="N786" i="3315" s="1"/>
  <c r="M799" i="3315"/>
  <c r="N799" i="3315" s="1"/>
  <c r="M817" i="3315"/>
  <c r="N817" i="3315" s="1"/>
  <c r="M832" i="3315"/>
  <c r="M842" i="3315"/>
  <c r="N842" i="3315" s="1"/>
  <c r="M847" i="3315"/>
  <c r="N847" i="3315" s="1"/>
  <c r="M468" i="3315"/>
  <c r="N468" i="3315" s="1"/>
  <c r="M364" i="3315"/>
  <c r="N364" i="3315" s="1"/>
  <c r="M390" i="3315"/>
  <c r="N390" i="3315" s="1"/>
  <c r="M405" i="3315"/>
  <c r="N405" i="3315" s="1"/>
  <c r="M283" i="3315"/>
  <c r="N283" i="3315" s="1"/>
  <c r="M296" i="3315"/>
  <c r="N296" i="3315" s="1"/>
  <c r="M312" i="3315"/>
  <c r="N312" i="3315" s="1"/>
  <c r="M326" i="3315"/>
  <c r="N326" i="3315" s="1"/>
  <c r="M333" i="3315"/>
  <c r="N333" i="3315" s="1"/>
  <c r="M243" i="3315"/>
  <c r="N243" i="3315" s="1"/>
  <c r="M251" i="3315"/>
  <c r="N251" i="3315" s="1"/>
  <c r="M259" i="3315"/>
  <c r="N259" i="3315" s="1"/>
  <c r="M213" i="3315"/>
  <c r="N213" i="3315" s="1"/>
  <c r="M220" i="3315"/>
  <c r="N220" i="3315" s="1"/>
  <c r="M228" i="3315"/>
  <c r="N228" i="3315" s="1"/>
  <c r="M146" i="3315"/>
  <c r="N146" i="3315" s="1"/>
  <c r="M153" i="3315"/>
  <c r="N153" i="3315" s="1"/>
  <c r="M158" i="3315"/>
  <c r="N158" i="3315" s="1"/>
  <c r="M161" i="3315"/>
  <c r="N161" i="3315" s="1"/>
  <c r="M164" i="3315"/>
  <c r="N164" i="3315" s="1"/>
  <c r="M170" i="3315"/>
  <c r="N170" i="3315" s="1"/>
  <c r="M175" i="3315"/>
  <c r="N175" i="3315" s="1"/>
  <c r="M180" i="3315"/>
  <c r="N180" i="3315" s="1"/>
  <c r="M185" i="3315"/>
  <c r="N185" i="3315" s="1"/>
  <c r="M190" i="3315"/>
  <c r="N190" i="3315" s="1"/>
  <c r="M195" i="3315"/>
  <c r="N195" i="3315" s="1"/>
  <c r="M201" i="3315"/>
  <c r="N201" i="3315" s="1"/>
  <c r="M60" i="3315"/>
  <c r="N60" i="3315" s="1"/>
  <c r="M69" i="3315"/>
  <c r="N69" i="3315" s="1"/>
  <c r="M72" i="3315"/>
  <c r="N72" i="3315" s="1"/>
  <c r="M78" i="3315"/>
  <c r="N78" i="3315" s="1"/>
  <c r="M83" i="3315"/>
  <c r="N83" i="3315" s="1"/>
  <c r="M88" i="3315"/>
  <c r="M91" i="3315"/>
  <c r="N91" i="3315" s="1"/>
  <c r="M96" i="3315"/>
  <c r="N96" i="3315" s="1"/>
  <c r="M100" i="3315"/>
  <c r="N100" i="3315" s="1"/>
  <c r="M104" i="3315"/>
  <c r="N104" i="3315" s="1"/>
  <c r="M108" i="3315"/>
  <c r="N108" i="3315" s="1"/>
  <c r="M112" i="3315"/>
  <c r="N112" i="3315" s="1"/>
  <c r="M116" i="3315"/>
  <c r="N116" i="3315" s="1"/>
  <c r="M120" i="3315"/>
  <c r="N120" i="3315" s="1"/>
  <c r="M124" i="3315"/>
  <c r="N124" i="3315" s="1"/>
  <c r="M129" i="3315"/>
  <c r="N129" i="3315" s="1"/>
  <c r="M132" i="3315"/>
  <c r="N132" i="3315" s="1"/>
  <c r="M42" i="3315"/>
  <c r="N42" i="3315" s="1"/>
  <c r="M45" i="3315"/>
  <c r="N45" i="3315" s="1"/>
  <c r="M48" i="3315"/>
  <c r="N48" i="3315" s="1"/>
  <c r="M51" i="3315"/>
  <c r="N51" i="3315" s="1"/>
  <c r="M54" i="3315"/>
  <c r="N54" i="3315" s="1"/>
  <c r="M606" i="3315"/>
  <c r="N606" i="3315" s="1"/>
  <c r="M641" i="3315"/>
  <c r="N641" i="3315" s="1"/>
  <c r="M669" i="3315"/>
  <c r="N669" i="3315" s="1"/>
  <c r="M697" i="3315"/>
  <c r="N697" i="3315" s="1"/>
  <c r="M730" i="3315"/>
  <c r="N730" i="3315" s="1"/>
  <c r="M752" i="3315"/>
  <c r="N752" i="3315" s="1"/>
  <c r="M776" i="3315"/>
  <c r="N776" i="3315" s="1"/>
  <c r="M792" i="3315"/>
  <c r="N792" i="3315" s="1"/>
  <c r="M803" i="3315"/>
  <c r="N803" i="3315" s="1"/>
  <c r="M826" i="3315"/>
  <c r="N826" i="3315" s="1"/>
  <c r="M836" i="3315"/>
  <c r="N836" i="3315" s="1"/>
  <c r="M850" i="3315"/>
  <c r="N850" i="3315" s="1"/>
  <c r="M472" i="3315"/>
  <c r="N472" i="3315" s="1"/>
  <c r="M357" i="3315"/>
  <c r="N357" i="3315" s="1"/>
  <c r="M371" i="3315"/>
  <c r="N371" i="3315" s="1"/>
  <c r="M394" i="3315"/>
  <c r="N394" i="3315" s="1"/>
  <c r="M409" i="3315"/>
  <c r="N409" i="3315" s="1"/>
  <c r="M271" i="3315"/>
  <c r="N271" i="3315" s="1"/>
  <c r="M287" i="3315"/>
  <c r="N287" i="3315" s="1"/>
  <c r="M300" i="3315"/>
  <c r="N300" i="3315" s="1"/>
  <c r="M316" i="3315"/>
  <c r="N316" i="3315" s="1"/>
  <c r="M329" i="3315"/>
  <c r="N329" i="3315" s="1"/>
  <c r="M339" i="3315"/>
  <c r="N339" i="3315" s="1"/>
  <c r="M245" i="3315"/>
  <c r="N245" i="3315" s="1"/>
  <c r="M253" i="3315"/>
  <c r="N253" i="3315" s="1"/>
  <c r="M261" i="3315"/>
  <c r="N261" i="3315" s="1"/>
  <c r="M214" i="3315"/>
  <c r="N214" i="3315" s="1"/>
  <c r="M222" i="3315"/>
  <c r="N222" i="3315" s="1"/>
  <c r="M230" i="3315"/>
  <c r="N230" i="3315" s="1"/>
  <c r="M140" i="3315"/>
  <c r="N140" i="3315" s="1"/>
  <c r="M148" i="3315"/>
  <c r="N148" i="3315" s="1"/>
  <c r="M154" i="3315"/>
  <c r="N154" i="3315" s="1"/>
  <c r="M166" i="3315"/>
  <c r="N166" i="3315" s="1"/>
  <c r="M171" i="3315"/>
  <c r="N171" i="3315" s="1"/>
  <c r="M176" i="3315"/>
  <c r="N176" i="3315" s="1"/>
  <c r="M182" i="3315"/>
  <c r="N182" i="3315" s="1"/>
  <c r="M186" i="3315"/>
  <c r="N186" i="3315" s="1"/>
  <c r="M191" i="3315"/>
  <c r="N191" i="3315" s="1"/>
  <c r="M197" i="3315"/>
  <c r="N197" i="3315" s="1"/>
  <c r="M202" i="3315"/>
  <c r="N202" i="3315" s="1"/>
  <c r="M205" i="3315"/>
  <c r="N205" i="3315" s="1"/>
  <c r="M62" i="3315"/>
  <c r="N62" i="3315" s="1"/>
  <c r="M65" i="3315"/>
  <c r="N65" i="3315" s="1"/>
  <c r="M70" i="3315"/>
  <c r="N70" i="3315" s="1"/>
  <c r="M74" i="3315"/>
  <c r="N74" i="3315" s="1"/>
  <c r="M79" i="3315"/>
  <c r="N79" i="3315" s="1"/>
  <c r="M84" i="3315"/>
  <c r="N84" i="3315" s="1"/>
  <c r="M93" i="3315"/>
  <c r="N93" i="3315" s="1"/>
  <c r="M97" i="3315"/>
  <c r="N97" i="3315" s="1"/>
  <c r="M101" i="3315"/>
  <c r="N101" i="3315" s="1"/>
  <c r="M105" i="3315"/>
  <c r="N105" i="3315" s="1"/>
  <c r="M109" i="3315"/>
  <c r="N109" i="3315" s="1"/>
  <c r="M113" i="3315"/>
  <c r="N113" i="3315" s="1"/>
  <c r="M117" i="3315"/>
  <c r="N117" i="3315" s="1"/>
  <c r="M121" i="3315"/>
  <c r="N121" i="3315" s="1"/>
  <c r="M127" i="3315"/>
  <c r="N127" i="3315" s="1"/>
  <c r="M130" i="3315"/>
  <c r="N130" i="3315" s="1"/>
  <c r="M133" i="3315"/>
  <c r="N133" i="3315" s="1"/>
  <c r="M46" i="3315"/>
  <c r="N46" i="3315" s="1"/>
  <c r="M49" i="3315"/>
  <c r="N52" i="3315"/>
  <c r="M523" i="3315"/>
  <c r="N523" i="3315" s="1"/>
  <c r="M558" i="3315"/>
  <c r="N558" i="3315" s="1"/>
  <c r="M617" i="3315"/>
  <c r="N617" i="3315" s="1"/>
  <c r="M649" i="3315"/>
  <c r="N649" i="3315" s="1"/>
  <c r="M682" i="3315"/>
  <c r="N682" i="3315" s="1"/>
  <c r="M706" i="3315"/>
  <c r="N706" i="3315" s="1"/>
  <c r="M720" i="3315"/>
  <c r="N720" i="3315" s="1"/>
  <c r="M727" i="3315"/>
  <c r="N727" i="3315" s="1"/>
  <c r="M735" i="3315"/>
  <c r="N735" i="3315" s="1"/>
  <c r="M765" i="3315"/>
  <c r="N765" i="3315" s="1"/>
  <c r="M780" i="3315"/>
  <c r="N780" i="3315" s="1"/>
  <c r="M796" i="3315"/>
  <c r="N796" i="3315" s="1"/>
  <c r="M807" i="3315"/>
  <c r="N807" i="3315" s="1"/>
  <c r="M820" i="3315"/>
  <c r="N820" i="3315" s="1"/>
  <c r="M845" i="3315"/>
  <c r="N845" i="3315" s="1"/>
  <c r="M854" i="3315"/>
  <c r="N854" i="3315" s="1"/>
  <c r="M478" i="3315"/>
  <c r="N478" i="3315" s="1"/>
  <c r="M383" i="3315"/>
  <c r="N383" i="3315" s="1"/>
  <c r="M398" i="3315"/>
  <c r="N398" i="3315" s="1"/>
  <c r="M413" i="3315"/>
  <c r="N413" i="3315" s="1"/>
  <c r="M275" i="3315"/>
  <c r="N275" i="3315" s="1"/>
  <c r="M289" i="3315"/>
  <c r="N289" i="3315" s="1"/>
  <c r="M304" i="3315"/>
  <c r="N304" i="3315" s="1"/>
  <c r="M319" i="3315"/>
  <c r="N319" i="3315" s="1"/>
  <c r="M334" i="3315"/>
  <c r="N334" i="3315" s="1"/>
  <c r="M247" i="3315"/>
  <c r="N247" i="3315" s="1"/>
  <c r="M255" i="3315"/>
  <c r="N255" i="3315" s="1"/>
  <c r="M263" i="3315"/>
  <c r="N263" i="3315" s="1"/>
  <c r="M216" i="3315"/>
  <c r="N216" i="3315" s="1"/>
  <c r="M224" i="3315"/>
  <c r="N224" i="3315" s="1"/>
  <c r="M232" i="3315"/>
  <c r="N232" i="3315" s="1"/>
  <c r="M142" i="3315"/>
  <c r="N142" i="3315" s="1"/>
  <c r="M150" i="3315"/>
  <c r="N150" i="3315" s="1"/>
  <c r="M156" i="3315"/>
  <c r="N156" i="3315" s="1"/>
  <c r="M159" i="3315"/>
  <c r="N159" i="3315" s="1"/>
  <c r="M162" i="3315"/>
  <c r="N162" i="3315" s="1"/>
  <c r="M167" i="3315"/>
  <c r="N167" i="3315" s="1"/>
  <c r="M172" i="3315"/>
  <c r="N172" i="3315" s="1"/>
  <c r="M178" i="3315"/>
  <c r="N178" i="3315" s="1"/>
  <c r="M183" i="3315"/>
  <c r="N183" i="3315" s="1"/>
  <c r="M187" i="3315"/>
  <c r="N187" i="3315" s="1"/>
  <c r="M193" i="3315"/>
  <c r="N193" i="3315" s="1"/>
  <c r="M198" i="3315"/>
  <c r="N198" i="3315" s="1"/>
  <c r="M207" i="3315"/>
  <c r="N207" i="3315" s="1"/>
  <c r="M63" i="3315"/>
  <c r="N63" i="3315" s="1"/>
  <c r="M66" i="3315"/>
  <c r="N66" i="3315" s="1"/>
  <c r="M75" i="3315"/>
  <c r="N75" i="3315" s="1"/>
  <c r="M80" i="3315"/>
  <c r="N80" i="3315" s="1"/>
  <c r="M86" i="3315"/>
  <c r="N86" i="3315" s="1"/>
  <c r="M89" i="3315"/>
  <c r="M94" i="3315"/>
  <c r="N94" i="3315" s="1"/>
  <c r="M98" i="3315"/>
  <c r="N98" i="3315" s="1"/>
  <c r="M102" i="3315"/>
  <c r="N102" i="3315" s="1"/>
  <c r="M106" i="3315"/>
  <c r="N106" i="3315" s="1"/>
  <c r="M110" i="3315"/>
  <c r="N110" i="3315" s="1"/>
  <c r="M114" i="3315"/>
  <c r="N114" i="3315" s="1"/>
  <c r="M118" i="3315"/>
  <c r="N118" i="3315" s="1"/>
  <c r="M122" i="3315"/>
  <c r="N122" i="3315" s="1"/>
  <c r="M125" i="3315"/>
  <c r="N125" i="3315" s="1"/>
  <c r="M128" i="3315"/>
  <c r="N128" i="3315" s="1"/>
  <c r="M131" i="3315"/>
  <c r="N131" i="3315" s="1"/>
  <c r="M134" i="3315"/>
  <c r="N134" i="3315" s="1"/>
  <c r="N43" i="3315"/>
  <c r="M47" i="3315"/>
  <c r="N47" i="3315" s="1"/>
  <c r="M50" i="3315"/>
  <c r="N50" i="3315" s="1"/>
  <c r="M55" i="3315"/>
  <c r="N55" i="3315" s="1"/>
  <c r="M184" i="3315"/>
  <c r="N184" i="3315" s="1"/>
  <c r="M189" i="3315"/>
  <c r="N189" i="3315" s="1"/>
  <c r="M194" i="3315"/>
  <c r="N194" i="3315" s="1"/>
  <c r="M199" i="3315"/>
  <c r="N199" i="3315" s="1"/>
  <c r="M204" i="3315"/>
  <c r="N204" i="3315" s="1"/>
  <c r="M208" i="3315"/>
  <c r="N208" i="3315" s="1"/>
  <c r="M68" i="3315"/>
  <c r="N68" i="3315" s="1"/>
  <c r="M76" i="3315"/>
  <c r="N76" i="3315" s="1"/>
  <c r="M82" i="3315"/>
  <c r="N82" i="3315" s="1"/>
  <c r="M87" i="3315"/>
  <c r="N87" i="3315" s="1"/>
  <c r="M90" i="3315"/>
  <c r="N90" i="3315" s="1"/>
  <c r="M95" i="3315"/>
  <c r="N95" i="3315" s="1"/>
  <c r="M99" i="3315"/>
  <c r="N99" i="3315" s="1"/>
  <c r="M103" i="3315"/>
  <c r="N103" i="3315" s="1"/>
  <c r="M107" i="3315"/>
  <c r="N107" i="3315" s="1"/>
  <c r="M111" i="3315"/>
  <c r="N111" i="3315" s="1"/>
  <c r="M115" i="3315"/>
  <c r="N115" i="3315" s="1"/>
  <c r="M119" i="3315"/>
  <c r="N119" i="3315" s="1"/>
  <c r="M123" i="3315"/>
  <c r="N123" i="3315" s="1"/>
  <c r="M126" i="3315"/>
  <c r="N126" i="3315" s="1"/>
  <c r="M41" i="3315"/>
  <c r="N41" i="3315" s="1"/>
  <c r="M44" i="3315"/>
  <c r="N44" i="3315" s="1"/>
  <c r="M53" i="3315"/>
  <c r="N53" i="3315" s="1"/>
  <c r="M574" i="3315"/>
  <c r="N574" i="3315" s="1"/>
  <c r="M625" i="3315"/>
  <c r="N625" i="3315" s="1"/>
  <c r="M656" i="3315"/>
  <c r="N656" i="3315" s="1"/>
  <c r="M672" i="3315"/>
  <c r="N672" i="3315" s="1"/>
  <c r="M687" i="3315"/>
  <c r="N687" i="3315" s="1"/>
  <c r="M711" i="3315"/>
  <c r="N711" i="3315" s="1"/>
  <c r="M741" i="3315"/>
  <c r="N741" i="3315" s="1"/>
  <c r="M756" i="3315"/>
  <c r="N756" i="3315" s="1"/>
  <c r="M769" i="3315"/>
  <c r="N769" i="3315" s="1"/>
  <c r="M823" i="3315"/>
  <c r="N823" i="3315" s="1"/>
  <c r="M828" i="3315"/>
  <c r="N828" i="3315" s="1"/>
  <c r="M839" i="3315"/>
  <c r="N839" i="3315" s="1"/>
  <c r="M858" i="3315"/>
  <c r="N858" i="3315" s="1"/>
  <c r="M360" i="3315"/>
  <c r="N360" i="3315" s="1"/>
  <c r="M377" i="3315"/>
  <c r="N377" i="3315" s="1"/>
  <c r="M386" i="3315"/>
  <c r="N386" i="3315" s="1"/>
  <c r="M402" i="3315"/>
  <c r="N402" i="3315" s="1"/>
  <c r="M279" i="3315"/>
  <c r="N279" i="3315" s="1"/>
  <c r="M292" i="3315"/>
  <c r="N292" i="3315" s="1"/>
  <c r="M308" i="3315"/>
  <c r="N308" i="3315" s="1"/>
  <c r="M323" i="3315"/>
  <c r="N323" i="3315" s="1"/>
  <c r="M330" i="3315"/>
  <c r="N330" i="3315" s="1"/>
  <c r="M340" i="3315"/>
  <c r="N340" i="3315" s="1"/>
  <c r="M241" i="3315"/>
  <c r="N241" i="3315" s="1"/>
  <c r="M249" i="3315"/>
  <c r="N249" i="3315" s="1"/>
  <c r="M257" i="3315"/>
  <c r="N257" i="3315" s="1"/>
  <c r="M265" i="3315"/>
  <c r="N265" i="3315" s="1"/>
  <c r="M218" i="3315"/>
  <c r="N218" i="3315" s="1"/>
  <c r="M226" i="3315"/>
  <c r="N226" i="3315" s="1"/>
  <c r="M144" i="3315"/>
  <c r="N144" i="3315" s="1"/>
  <c r="M152" i="3315"/>
  <c r="N152" i="3315" s="1"/>
  <c r="M157" i="3315"/>
  <c r="N157" i="3315" s="1"/>
  <c r="M160" i="3315"/>
  <c r="N160" i="3315" s="1"/>
  <c r="M163" i="3315"/>
  <c r="N163" i="3315" s="1"/>
  <c r="M168" i="3315"/>
  <c r="N168" i="3315" s="1"/>
  <c r="M174" i="3315"/>
  <c r="N174" i="3315" s="1"/>
  <c r="M179" i="3315"/>
  <c r="N179" i="3315" s="1"/>
  <c r="N89" i="3315" l="1"/>
  <c r="N832" i="3315"/>
  <c r="N49" i="3315"/>
  <c r="N88" i="3315"/>
  <c r="AE1093" i="3315"/>
  <c r="AE877" i="3315"/>
  <c r="AE878" i="3315"/>
  <c r="AE874" i="3315"/>
  <c r="AE886" i="3315"/>
  <c r="AE873" i="3315"/>
  <c r="AE887" i="3315"/>
  <c r="AE875" i="3315"/>
  <c r="AE884" i="3315"/>
  <c r="AE880" i="3315"/>
  <c r="AE883" i="3315"/>
  <c r="AE882" i="3315"/>
  <c r="AE885" i="3315"/>
  <c r="AE872" i="3315"/>
  <c r="AE879" i="3315"/>
  <c r="AE876" i="3315"/>
  <c r="AE881" i="3315"/>
  <c r="N236" i="3315"/>
  <c r="N237" i="3315" s="1"/>
  <c r="N488" i="3315"/>
  <c r="M490" i="3315"/>
  <c r="V487" i="3315"/>
  <c r="M902" i="3315"/>
  <c r="N902" i="3315" s="1"/>
  <c r="M964" i="3315"/>
  <c r="N964" i="3315" s="1"/>
  <c r="M968" i="3315"/>
  <c r="N968" i="3315" s="1"/>
  <c r="M894" i="3315"/>
  <c r="N894" i="3315" s="1"/>
  <c r="M903" i="3315"/>
  <c r="N903" i="3315" s="1"/>
  <c r="M963" i="3315"/>
  <c r="N963" i="3315" s="1"/>
  <c r="M967" i="3315"/>
  <c r="N967" i="3315" s="1"/>
  <c r="M971" i="3315"/>
  <c r="N971" i="3315" s="1"/>
  <c r="M962" i="3315"/>
  <c r="N962" i="3315" s="1"/>
  <c r="M965" i="3315"/>
  <c r="N965" i="3315" s="1"/>
  <c r="M966" i="3315"/>
  <c r="N966" i="3315" s="1"/>
  <c r="M969" i="3315"/>
  <c r="N969" i="3315" s="1"/>
  <c r="M970" i="3315"/>
  <c r="N970" i="3315" s="1"/>
  <c r="M973" i="3315"/>
  <c r="N973" i="3315" s="1"/>
  <c r="M974" i="3315"/>
  <c r="N974" i="3315" s="1"/>
  <c r="M914" i="3315"/>
  <c r="N914" i="3315" s="1"/>
  <c r="M916" i="3315"/>
  <c r="N916" i="3315" s="1"/>
  <c r="M917" i="3315"/>
  <c r="N917" i="3315" s="1"/>
  <c r="M918" i="3315"/>
  <c r="N918" i="3315" s="1"/>
  <c r="M919" i="3315"/>
  <c r="N919" i="3315" s="1"/>
  <c r="M922" i="3315"/>
  <c r="N922" i="3315" s="1"/>
  <c r="M927" i="3315"/>
  <c r="N927" i="3315" s="1"/>
  <c r="M934" i="3315"/>
  <c r="N934" i="3315" s="1"/>
  <c r="M935" i="3315"/>
  <c r="N935" i="3315" s="1"/>
  <c r="M943" i="3315"/>
  <c r="N943" i="3315" s="1"/>
  <c r="M944" i="3315"/>
  <c r="N944" i="3315" s="1"/>
  <c r="M951" i="3315"/>
  <c r="N951" i="3315" s="1"/>
  <c r="M954" i="3315"/>
  <c r="N954" i="3315" s="1"/>
  <c r="M959" i="3315"/>
  <c r="N959" i="3315" s="1"/>
  <c r="M908" i="3315"/>
  <c r="N908" i="3315" s="1"/>
  <c r="M911" i="3315"/>
  <c r="N911" i="3315" s="1"/>
  <c r="M982" i="3315"/>
  <c r="M895" i="3315"/>
  <c r="N895" i="3315" s="1"/>
  <c r="M896" i="3315"/>
  <c r="N896" i="3315" s="1"/>
  <c r="M897" i="3315"/>
  <c r="N897" i="3315" s="1"/>
  <c r="M975" i="3315"/>
  <c r="N975" i="3315" s="1"/>
  <c r="M924" i="3315"/>
  <c r="N924" i="3315" s="1"/>
  <c r="M928" i="3315"/>
  <c r="N928" i="3315" s="1"/>
  <c r="M929" i="3315"/>
  <c r="N929" i="3315" s="1"/>
  <c r="M937" i="3315"/>
  <c r="N937" i="3315" s="1"/>
  <c r="M939" i="3315"/>
  <c r="N939" i="3315" s="1"/>
  <c r="M941" i="3315"/>
  <c r="N941" i="3315" s="1"/>
  <c r="M946" i="3315"/>
  <c r="N946" i="3315" s="1"/>
  <c r="M949" i="3315"/>
  <c r="N949" i="3315" s="1"/>
  <c r="M950" i="3315"/>
  <c r="N950" i="3315" s="1"/>
  <c r="M958" i="3315"/>
  <c r="N958" i="3315" s="1"/>
  <c r="M960" i="3315"/>
  <c r="N960" i="3315" s="1"/>
  <c r="M981" i="3315"/>
  <c r="N981" i="3315" s="1"/>
  <c r="M987" i="3315"/>
  <c r="M990" i="3315"/>
  <c r="N990" i="3315" s="1"/>
  <c r="M992" i="3315"/>
  <c r="N992" i="3315" s="1"/>
  <c r="M993" i="3315"/>
  <c r="M996" i="3315"/>
  <c r="N996" i="3315" s="1"/>
  <c r="M998" i="3315"/>
  <c r="M1001" i="3315"/>
  <c r="M1005" i="3315"/>
  <c r="M1011" i="3315"/>
  <c r="M1019" i="3315"/>
  <c r="N1019" i="3315" s="1"/>
  <c r="M1020" i="3315"/>
  <c r="M915" i="3315"/>
  <c r="N915" i="3315" s="1"/>
  <c r="M920" i="3315"/>
  <c r="N920" i="3315" s="1"/>
  <c r="M926" i="3315"/>
  <c r="N926" i="3315" s="1"/>
  <c r="M931" i="3315"/>
  <c r="N931" i="3315" s="1"/>
  <c r="M952" i="3315"/>
  <c r="N952" i="3315" s="1"/>
  <c r="M956" i="3315"/>
  <c r="N956" i="3315" s="1"/>
  <c r="M961" i="3315"/>
  <c r="N961" i="3315" s="1"/>
  <c r="M909" i="3315"/>
  <c r="N909" i="3315" s="1"/>
  <c r="M913" i="3315"/>
  <c r="N913" i="3315" s="1"/>
  <c r="M988" i="3315"/>
  <c r="M994" i="3315"/>
  <c r="M997" i="3315"/>
  <c r="N997" i="3315" s="1"/>
  <c r="M1002" i="3315"/>
  <c r="N1002" i="3315" s="1"/>
  <c r="M1007" i="3315"/>
  <c r="N1007" i="3315" s="1"/>
  <c r="M1014" i="3315"/>
  <c r="M1015" i="3315"/>
  <c r="N1015" i="3315" s="1"/>
  <c r="M1018" i="3315"/>
  <c r="M1021" i="3315"/>
  <c r="M1023" i="3315"/>
  <c r="M1025" i="3315"/>
  <c r="M972" i="3315"/>
  <c r="N972" i="3315" s="1"/>
  <c r="M921" i="3315"/>
  <c r="N921" i="3315" s="1"/>
  <c r="M923" i="3315"/>
  <c r="N923" i="3315" s="1"/>
  <c r="M925" i="3315"/>
  <c r="N925" i="3315" s="1"/>
  <c r="M930" i="3315"/>
  <c r="N930" i="3315" s="1"/>
  <c r="M932" i="3315"/>
  <c r="N932" i="3315" s="1"/>
  <c r="M933" i="3315"/>
  <c r="N933" i="3315" s="1"/>
  <c r="M936" i="3315"/>
  <c r="N936" i="3315" s="1"/>
  <c r="M938" i="3315"/>
  <c r="N938" i="3315" s="1"/>
  <c r="M947" i="3315"/>
  <c r="N947" i="3315" s="1"/>
  <c r="M953" i="3315"/>
  <c r="N953" i="3315" s="1"/>
  <c r="M910" i="3315"/>
  <c r="N910" i="3315" s="1"/>
  <c r="M985" i="3315"/>
  <c r="N985" i="3315" s="1"/>
  <c r="M989" i="3315"/>
  <c r="M995" i="3315"/>
  <c r="M999" i="3315"/>
  <c r="M1000" i="3315"/>
  <c r="M1003" i="3315"/>
  <c r="N1003" i="3315" s="1"/>
  <c r="M1006" i="3315"/>
  <c r="N1006" i="3315" s="1"/>
  <c r="M1008" i="3315"/>
  <c r="M1009" i="3315"/>
  <c r="N1009" i="3315" s="1"/>
  <c r="M1013" i="3315"/>
  <c r="M1016" i="3315"/>
  <c r="M1017" i="3315"/>
  <c r="M940" i="3315"/>
  <c r="N940" i="3315" s="1"/>
  <c r="M942" i="3315"/>
  <c r="N942" i="3315" s="1"/>
  <c r="M945" i="3315"/>
  <c r="N945" i="3315" s="1"/>
  <c r="M948" i="3315"/>
  <c r="N948" i="3315" s="1"/>
  <c r="M955" i="3315"/>
  <c r="N955" i="3315" s="1"/>
  <c r="M957" i="3315"/>
  <c r="N957" i="3315" s="1"/>
  <c r="M912" i="3315"/>
  <c r="N912" i="3315" s="1"/>
  <c r="M980" i="3315"/>
  <c r="M1012" i="3315"/>
  <c r="M1022" i="3315"/>
  <c r="N1022" i="3315" s="1"/>
  <c r="M984" i="3315"/>
  <c r="M1010" i="3315"/>
  <c r="M1024" i="3315"/>
  <c r="M986" i="3315"/>
  <c r="M983" i="3315"/>
  <c r="M991" i="3315"/>
  <c r="N991" i="3315" s="1"/>
  <c r="M1004" i="3315"/>
  <c r="N1004" i="3315" s="1"/>
  <c r="M1026" i="3315"/>
  <c r="N1024" i="3315" l="1"/>
  <c r="N1012" i="3315"/>
  <c r="N1000" i="3315"/>
  <c r="N1018" i="3315"/>
  <c r="N1005" i="3315"/>
  <c r="N993" i="3315"/>
  <c r="N982" i="3315"/>
  <c r="N1010" i="3315"/>
  <c r="N980" i="3315"/>
  <c r="N1017" i="3315"/>
  <c r="N1008" i="3315"/>
  <c r="N999" i="3315"/>
  <c r="N1025" i="3315"/>
  <c r="N1020" i="3315"/>
  <c r="N1001" i="3315"/>
  <c r="N983" i="3315"/>
  <c r="N984" i="3315"/>
  <c r="N1016" i="3315"/>
  <c r="N995" i="3315"/>
  <c r="N1023" i="3315"/>
  <c r="N1014" i="3315"/>
  <c r="N994" i="3315"/>
  <c r="N998" i="3315"/>
  <c r="N1026" i="3315"/>
  <c r="N986" i="3315"/>
  <c r="N1013" i="3315"/>
  <c r="N989" i="3315"/>
  <c r="N1021" i="3315"/>
  <c r="N988" i="3315"/>
  <c r="N1011" i="3315"/>
  <c r="N987" i="3315"/>
  <c r="V236" i="3315"/>
  <c r="V237" i="3315" s="1"/>
  <c r="V488" i="3315"/>
  <c r="N490" i="3315"/>
  <c r="AD1098" i="3315"/>
  <c r="AD1038" i="3315"/>
  <c r="AE1038" i="3315" l="1"/>
  <c r="AE1098" i="3315"/>
  <c r="X236" i="3315"/>
  <c r="V490" i="3315"/>
  <c r="AE236" i="3315" l="1"/>
  <c r="X237" i="3315"/>
  <c r="Z1095" i="3315"/>
  <c r="AD1095" i="3315" s="1"/>
  <c r="R1095" i="3315"/>
  <c r="W1095" i="3315" s="1"/>
  <c r="Q1095" i="3315"/>
  <c r="N1095" i="3315"/>
  <c r="V1095" i="3315" s="1"/>
  <c r="M1095" i="3315"/>
  <c r="J1095" i="3315"/>
  <c r="I1095" i="3315"/>
  <c r="AG1095" i="3315" s="1"/>
  <c r="Z1094" i="3315"/>
  <c r="AD1094" i="3315" s="1"/>
  <c r="R1094" i="3315"/>
  <c r="W1094" i="3315" s="1"/>
  <c r="Q1094" i="3315"/>
  <c r="N1094" i="3315"/>
  <c r="V1094" i="3315" s="1"/>
  <c r="M1094" i="3315"/>
  <c r="AF1094" i="3315"/>
  <c r="AG1094" i="3315"/>
  <c r="AF1095" i="3315" l="1"/>
  <c r="AE237" i="3315"/>
  <c r="U1095" i="3315"/>
  <c r="X1095" i="3315" s="1"/>
  <c r="AE1095" i="3315" s="1"/>
  <c r="U1094" i="3315"/>
  <c r="X1094" i="3315" s="1"/>
  <c r="AE1094" i="3315" s="1"/>
  <c r="AD1045" i="3315" l="1"/>
  <c r="AB1099" i="3315" l="1"/>
  <c r="AF1045" i="3315"/>
  <c r="AG1045" i="3315"/>
  <c r="AE1045" i="3315" l="1"/>
  <c r="AA1099" i="3315" l="1"/>
  <c r="Q418" i="3315" l="1"/>
  <c r="M418" i="3315"/>
  <c r="I418" i="3315"/>
  <c r="AG418" i="3315" s="1"/>
  <c r="Q1069" i="3315"/>
  <c r="Q1068" i="3315"/>
  <c r="Q1067" i="3315"/>
  <c r="Q1066" i="3315"/>
  <c r="Q344" i="3315"/>
  <c r="M1069" i="3315"/>
  <c r="M1068" i="3315"/>
  <c r="M1067" i="3315"/>
  <c r="M1066" i="3315"/>
  <c r="M344" i="3315"/>
  <c r="I1069" i="3315"/>
  <c r="AG1069" i="3315" s="1"/>
  <c r="I1068" i="3315"/>
  <c r="AG1068" i="3315" s="1"/>
  <c r="I1067" i="3315"/>
  <c r="AG1067" i="3315" s="1"/>
  <c r="I1066" i="3315"/>
  <c r="AG1066" i="3315" s="1"/>
  <c r="AG344" i="3315"/>
  <c r="Q1051" i="3315"/>
  <c r="Q1052" i="3315"/>
  <c r="Q1053" i="3315"/>
  <c r="Q1054" i="3315"/>
  <c r="Q1055" i="3315"/>
  <c r="Q1056" i="3315"/>
  <c r="Q1057" i="3315"/>
  <c r="Q1058" i="3315"/>
  <c r="Q1059" i="3315"/>
  <c r="Q1060" i="3315"/>
  <c r="Q1061" i="3315"/>
  <c r="Q1062" i="3315"/>
  <c r="Q1063" i="3315"/>
  <c r="Q1064" i="3315"/>
  <c r="Q1065" i="3315"/>
  <c r="Q1070" i="3315"/>
  <c r="Q1071" i="3315"/>
  <c r="Q1072" i="3315"/>
  <c r="Q1073" i="3315"/>
  <c r="Q1074" i="3315"/>
  <c r="Q1075" i="3315"/>
  <c r="Q1076" i="3315"/>
  <c r="Q1077" i="3315"/>
  <c r="Q1078" i="3315"/>
  <c r="Q1079" i="3315"/>
  <c r="Q1080" i="3315"/>
  <c r="Q1081" i="3315"/>
  <c r="Q1082" i="3315"/>
  <c r="Q1083" i="3315"/>
  <c r="Q1084" i="3315"/>
  <c r="Q1085" i="3315"/>
  <c r="Q1086" i="3315"/>
  <c r="Q1087" i="3315"/>
  <c r="Q1088" i="3315"/>
  <c r="Q1089" i="3315"/>
  <c r="Q1090" i="3315"/>
  <c r="Q1091" i="3315"/>
  <c r="Q1092" i="3315"/>
  <c r="M1051" i="3315"/>
  <c r="M1052" i="3315"/>
  <c r="M1053" i="3315"/>
  <c r="M1054" i="3315"/>
  <c r="M1055" i="3315"/>
  <c r="M1056" i="3315"/>
  <c r="M1057" i="3315"/>
  <c r="M1058" i="3315"/>
  <c r="M1059" i="3315"/>
  <c r="M1060" i="3315"/>
  <c r="M1061" i="3315"/>
  <c r="M1062" i="3315"/>
  <c r="M1063" i="3315"/>
  <c r="M1064" i="3315"/>
  <c r="M1065" i="3315"/>
  <c r="M1070" i="3315"/>
  <c r="M1071" i="3315"/>
  <c r="M1072" i="3315"/>
  <c r="M1073" i="3315"/>
  <c r="M1074" i="3315"/>
  <c r="M1075" i="3315"/>
  <c r="M1076" i="3315"/>
  <c r="M1077" i="3315"/>
  <c r="M1078" i="3315"/>
  <c r="M1079" i="3315"/>
  <c r="M1080" i="3315"/>
  <c r="M1081" i="3315"/>
  <c r="M1082" i="3315"/>
  <c r="M1083" i="3315"/>
  <c r="M1084" i="3315"/>
  <c r="M1085" i="3315"/>
  <c r="M1086" i="3315"/>
  <c r="M1087" i="3315"/>
  <c r="M1088" i="3315"/>
  <c r="M1089" i="3315"/>
  <c r="M1090" i="3315"/>
  <c r="M1091" i="3315"/>
  <c r="M1092" i="3315"/>
  <c r="I1051" i="3315"/>
  <c r="AG1051" i="3315" s="1"/>
  <c r="I1052" i="3315"/>
  <c r="AG1052" i="3315" s="1"/>
  <c r="AG1053" i="3315"/>
  <c r="AG1054" i="3315"/>
  <c r="I1055" i="3315"/>
  <c r="AG1055" i="3315" s="1"/>
  <c r="I1056" i="3315"/>
  <c r="AG1056" i="3315" s="1"/>
  <c r="I1057" i="3315"/>
  <c r="AG1058" i="3315"/>
  <c r="AG1059" i="3315"/>
  <c r="AG1060" i="3315"/>
  <c r="I1061" i="3315"/>
  <c r="AG1061" i="3315" s="1"/>
  <c r="I1062" i="3315"/>
  <c r="AG1062" i="3315" s="1"/>
  <c r="I1063" i="3315"/>
  <c r="AG1063" i="3315" s="1"/>
  <c r="I1064" i="3315"/>
  <c r="AG1064" i="3315" s="1"/>
  <c r="I1065" i="3315"/>
  <c r="AG1065" i="3315" s="1"/>
  <c r="I1070" i="3315"/>
  <c r="AG1070" i="3315" s="1"/>
  <c r="I1071" i="3315"/>
  <c r="AG1071" i="3315" s="1"/>
  <c r="I1072" i="3315"/>
  <c r="AG1072" i="3315" s="1"/>
  <c r="I1073" i="3315"/>
  <c r="AG1073" i="3315" s="1"/>
  <c r="I1074" i="3315"/>
  <c r="AG1074" i="3315" s="1"/>
  <c r="I1075" i="3315"/>
  <c r="AG1075" i="3315" s="1"/>
  <c r="I1076" i="3315"/>
  <c r="AG1076" i="3315" s="1"/>
  <c r="I1077" i="3315"/>
  <c r="AG1077" i="3315" s="1"/>
  <c r="I1078" i="3315"/>
  <c r="AG1078" i="3315" s="1"/>
  <c r="I1079" i="3315"/>
  <c r="AG1079" i="3315" s="1"/>
  <c r="I1080" i="3315"/>
  <c r="AG1080" i="3315" s="1"/>
  <c r="I1081" i="3315"/>
  <c r="AG1081" i="3315" s="1"/>
  <c r="I1082" i="3315"/>
  <c r="AG1082" i="3315" s="1"/>
  <c r="I1083" i="3315"/>
  <c r="AG1083" i="3315" s="1"/>
  <c r="I1084" i="3315"/>
  <c r="AG1084" i="3315" s="1"/>
  <c r="I1085" i="3315"/>
  <c r="AG1085" i="3315" s="1"/>
  <c r="I1086" i="3315"/>
  <c r="I1087" i="3315"/>
  <c r="AG1087" i="3315" s="1"/>
  <c r="I1088" i="3315"/>
  <c r="AG1088" i="3315" s="1"/>
  <c r="AG1089" i="3315"/>
  <c r="AG1090" i="3315"/>
  <c r="AG1091" i="3315"/>
  <c r="AG1092" i="3315"/>
  <c r="AG1086" i="3315" l="1"/>
  <c r="J1086" i="3315"/>
  <c r="AG1057" i="3315"/>
  <c r="J1057" i="3315"/>
  <c r="AG464" i="3315"/>
  <c r="AG351" i="3315"/>
  <c r="AB36" i="3315" l="1"/>
  <c r="AC36" i="3315" l="1"/>
  <c r="D890" i="3315"/>
  <c r="AB890" i="3315"/>
  <c r="AC890" i="3315" l="1"/>
  <c r="D1036" i="3315"/>
  <c r="I10" i="3315"/>
  <c r="AG10" i="3315" s="1"/>
  <c r="AC1036" i="3315" l="1"/>
  <c r="Z979" i="3315"/>
  <c r="Q979" i="3315"/>
  <c r="M979" i="3315"/>
  <c r="I979" i="3315"/>
  <c r="Z907" i="3315"/>
  <c r="AD907" i="3315" s="1"/>
  <c r="Q907" i="3315"/>
  <c r="M907" i="3315"/>
  <c r="N907" i="3315" s="1"/>
  <c r="Z901" i="3315"/>
  <c r="AD901" i="3315" s="1"/>
  <c r="Q901" i="3315"/>
  <c r="M901" i="3315"/>
  <c r="AG901" i="3315"/>
  <c r="AG904" i="3315" s="1"/>
  <c r="Z344" i="3315"/>
  <c r="AD344" i="3315" s="1"/>
  <c r="R344" i="3315"/>
  <c r="N344" i="3315"/>
  <c r="M59" i="3315"/>
  <c r="N901" i="3315" l="1"/>
  <c r="N904" i="3315" s="1"/>
  <c r="N979" i="3315"/>
  <c r="N1027" i="3315" s="1"/>
  <c r="J979" i="3315"/>
  <c r="AG979" i="3315"/>
  <c r="AG1027" i="3315" s="1"/>
  <c r="J907" i="3315"/>
  <c r="AG907" i="3315"/>
  <c r="AG976" i="3315" s="1"/>
  <c r="Q1027" i="3315"/>
  <c r="I1027" i="3315"/>
  <c r="AD979" i="3315"/>
  <c r="Z1027" i="3315"/>
  <c r="AD1027" i="3315" s="1"/>
  <c r="M1027" i="3315"/>
  <c r="R979" i="3315"/>
  <c r="Q976" i="3315"/>
  <c r="I976" i="3315"/>
  <c r="Z976" i="3315"/>
  <c r="AD976" i="3315" s="1"/>
  <c r="N976" i="3315"/>
  <c r="M976" i="3315"/>
  <c r="R907" i="3315"/>
  <c r="I904" i="3315"/>
  <c r="Q904" i="3315"/>
  <c r="J901" i="3315"/>
  <c r="R901" i="3315"/>
  <c r="M904" i="3315"/>
  <c r="Z904" i="3315"/>
  <c r="AD904" i="3315" s="1"/>
  <c r="I351" i="3315"/>
  <c r="M351" i="3315"/>
  <c r="Q351" i="3315"/>
  <c r="R351" i="3315"/>
  <c r="J344" i="3315"/>
  <c r="N351" i="3315"/>
  <c r="Z351" i="3315"/>
  <c r="AF907" i="3315" l="1"/>
  <c r="AF979" i="3315"/>
  <c r="AF344" i="3315"/>
  <c r="J1027" i="3315"/>
  <c r="J976" i="3315"/>
  <c r="R1027" i="3315"/>
  <c r="R976" i="3315"/>
  <c r="R904" i="3315"/>
  <c r="AF901" i="3315"/>
  <c r="J904" i="3315"/>
  <c r="J351" i="3315"/>
  <c r="AF351" i="3315" l="1"/>
  <c r="AF976" i="3315"/>
  <c r="AF1027" i="3315"/>
  <c r="AF904" i="3315"/>
  <c r="Z1043" i="3315"/>
  <c r="Z1047" i="3315" s="1"/>
  <c r="AD1043" i="3315" l="1"/>
  <c r="I1043" i="3315"/>
  <c r="Z1092" i="3315"/>
  <c r="AD1092" i="3315" s="1"/>
  <c r="R1092" i="3315"/>
  <c r="N1092" i="3315"/>
  <c r="J1092" i="3315"/>
  <c r="Z494" i="3315"/>
  <c r="AD494" i="3315" s="1"/>
  <c r="AD1047" i="3315" l="1"/>
  <c r="AG1043" i="3315"/>
  <c r="I1047" i="3315"/>
  <c r="J1043" i="3315"/>
  <c r="AF1092" i="3315"/>
  <c r="L1099" i="3315"/>
  <c r="Z1091" i="3315"/>
  <c r="AD1091" i="3315" s="1"/>
  <c r="R1091" i="3315"/>
  <c r="N1091" i="3315"/>
  <c r="J1091" i="3315"/>
  <c r="Z1090" i="3315"/>
  <c r="AD1090" i="3315" s="1"/>
  <c r="R1090" i="3315"/>
  <c r="N1090" i="3315"/>
  <c r="J1090" i="3315"/>
  <c r="Z1089" i="3315"/>
  <c r="AD1089" i="3315" s="1"/>
  <c r="R1089" i="3315"/>
  <c r="N1089" i="3315"/>
  <c r="J1089" i="3315"/>
  <c r="Z1088" i="3315"/>
  <c r="AD1088" i="3315" s="1"/>
  <c r="R1088" i="3315"/>
  <c r="N1088" i="3315"/>
  <c r="J1088" i="3315"/>
  <c r="Z1087" i="3315"/>
  <c r="AD1087" i="3315" s="1"/>
  <c r="R1087" i="3315"/>
  <c r="N1087" i="3315"/>
  <c r="J1087" i="3315"/>
  <c r="Z1086" i="3315"/>
  <c r="AD1086" i="3315" s="1"/>
  <c r="R1086" i="3315"/>
  <c r="N1086" i="3315"/>
  <c r="Z1085" i="3315"/>
  <c r="AD1085" i="3315" s="1"/>
  <c r="R1085" i="3315"/>
  <c r="N1085" i="3315"/>
  <c r="J1085" i="3315"/>
  <c r="Z1084" i="3315"/>
  <c r="AD1084" i="3315" s="1"/>
  <c r="R1084" i="3315"/>
  <c r="N1084" i="3315"/>
  <c r="J1084" i="3315"/>
  <c r="Z1083" i="3315"/>
  <c r="AD1083" i="3315" s="1"/>
  <c r="R1083" i="3315"/>
  <c r="N1083" i="3315"/>
  <c r="J1083" i="3315"/>
  <c r="Z1082" i="3315"/>
  <c r="AD1082" i="3315" s="1"/>
  <c r="R1082" i="3315"/>
  <c r="N1082" i="3315"/>
  <c r="J1082" i="3315"/>
  <c r="Z1081" i="3315"/>
  <c r="AD1081" i="3315" s="1"/>
  <c r="R1081" i="3315"/>
  <c r="N1081" i="3315"/>
  <c r="J1081" i="3315"/>
  <c r="Z1080" i="3315"/>
  <c r="AD1080" i="3315" s="1"/>
  <c r="R1080" i="3315"/>
  <c r="N1080" i="3315"/>
  <c r="J1080" i="3315"/>
  <c r="Z1079" i="3315"/>
  <c r="AD1079" i="3315" s="1"/>
  <c r="R1079" i="3315"/>
  <c r="N1079" i="3315"/>
  <c r="J1079" i="3315"/>
  <c r="Z1078" i="3315"/>
  <c r="AD1078" i="3315" s="1"/>
  <c r="R1078" i="3315"/>
  <c r="N1078" i="3315"/>
  <c r="J1078" i="3315"/>
  <c r="Z1077" i="3315"/>
  <c r="AD1077" i="3315" s="1"/>
  <c r="R1077" i="3315"/>
  <c r="N1077" i="3315"/>
  <c r="J1077" i="3315"/>
  <c r="Z1076" i="3315"/>
  <c r="AD1076" i="3315" s="1"/>
  <c r="R1076" i="3315"/>
  <c r="N1076" i="3315"/>
  <c r="J1076" i="3315"/>
  <c r="Z1075" i="3315"/>
  <c r="AD1075" i="3315" s="1"/>
  <c r="R1075" i="3315"/>
  <c r="N1075" i="3315"/>
  <c r="J1075" i="3315"/>
  <c r="Z1074" i="3315"/>
  <c r="AD1074" i="3315" s="1"/>
  <c r="R1074" i="3315"/>
  <c r="N1074" i="3315"/>
  <c r="J1074" i="3315"/>
  <c r="Z1073" i="3315"/>
  <c r="AD1073" i="3315" s="1"/>
  <c r="R1073" i="3315"/>
  <c r="N1073" i="3315"/>
  <c r="J1073" i="3315"/>
  <c r="Z1072" i="3315"/>
  <c r="AD1072" i="3315" s="1"/>
  <c r="R1072" i="3315"/>
  <c r="N1072" i="3315"/>
  <c r="J1072" i="3315"/>
  <c r="Z1071" i="3315"/>
  <c r="AD1071" i="3315" s="1"/>
  <c r="R1071" i="3315"/>
  <c r="N1071" i="3315"/>
  <c r="J1071" i="3315"/>
  <c r="Z1070" i="3315"/>
  <c r="AD1070" i="3315" s="1"/>
  <c r="R1070" i="3315"/>
  <c r="N1070" i="3315"/>
  <c r="J1070" i="3315"/>
  <c r="Z1069" i="3315"/>
  <c r="AD1069" i="3315" s="1"/>
  <c r="R1069" i="3315"/>
  <c r="N1069" i="3315"/>
  <c r="J1069" i="3315"/>
  <c r="Z1068" i="3315"/>
  <c r="AD1068" i="3315" s="1"/>
  <c r="R1068" i="3315"/>
  <c r="N1068" i="3315"/>
  <c r="J1068" i="3315"/>
  <c r="Z1067" i="3315"/>
  <c r="AD1067" i="3315" s="1"/>
  <c r="R1067" i="3315"/>
  <c r="N1067" i="3315"/>
  <c r="J1067" i="3315"/>
  <c r="Z1066" i="3315"/>
  <c r="AD1066" i="3315" s="1"/>
  <c r="R1066" i="3315"/>
  <c r="N1066" i="3315"/>
  <c r="J1066" i="3315"/>
  <c r="Z1065" i="3315"/>
  <c r="AD1065" i="3315" s="1"/>
  <c r="R1065" i="3315"/>
  <c r="N1065" i="3315"/>
  <c r="J1065" i="3315"/>
  <c r="Z1064" i="3315"/>
  <c r="AD1064" i="3315" s="1"/>
  <c r="R1064" i="3315"/>
  <c r="N1064" i="3315"/>
  <c r="J1064" i="3315"/>
  <c r="Z1063" i="3315"/>
  <c r="AD1063" i="3315" s="1"/>
  <c r="R1063" i="3315"/>
  <c r="N1063" i="3315"/>
  <c r="J1063" i="3315"/>
  <c r="Z1062" i="3315"/>
  <c r="AD1062" i="3315" s="1"/>
  <c r="R1062" i="3315"/>
  <c r="N1062" i="3315"/>
  <c r="J1062" i="3315"/>
  <c r="Z1061" i="3315"/>
  <c r="AD1061" i="3315" s="1"/>
  <c r="R1061" i="3315"/>
  <c r="N1061" i="3315"/>
  <c r="J1061" i="3315"/>
  <c r="Z1060" i="3315"/>
  <c r="AD1060" i="3315" s="1"/>
  <c r="R1060" i="3315"/>
  <c r="N1060" i="3315"/>
  <c r="J1060" i="3315"/>
  <c r="Z1059" i="3315"/>
  <c r="AD1059" i="3315" s="1"/>
  <c r="R1059" i="3315"/>
  <c r="N1059" i="3315"/>
  <c r="J1059" i="3315"/>
  <c r="Z1058" i="3315"/>
  <c r="AD1058" i="3315" s="1"/>
  <c r="R1058" i="3315"/>
  <c r="N1058" i="3315"/>
  <c r="J1058" i="3315"/>
  <c r="Z1057" i="3315"/>
  <c r="AD1057" i="3315" s="1"/>
  <c r="R1057" i="3315"/>
  <c r="N1057" i="3315"/>
  <c r="AF1057" i="3315"/>
  <c r="Z1056" i="3315"/>
  <c r="AD1056" i="3315" s="1"/>
  <c r="R1056" i="3315"/>
  <c r="N1056" i="3315"/>
  <c r="J1056" i="3315"/>
  <c r="Z1055" i="3315"/>
  <c r="AD1055" i="3315" s="1"/>
  <c r="R1055" i="3315"/>
  <c r="N1055" i="3315"/>
  <c r="J1055" i="3315"/>
  <c r="Z1054" i="3315"/>
  <c r="Z1053" i="3315"/>
  <c r="AD1053" i="3315" s="1"/>
  <c r="R1053" i="3315"/>
  <c r="N1053" i="3315"/>
  <c r="J1053" i="3315"/>
  <c r="Z1052" i="3315"/>
  <c r="AD1052" i="3315" s="1"/>
  <c r="R1052" i="3315"/>
  <c r="N1052" i="3315"/>
  <c r="J1052" i="3315"/>
  <c r="Z1051" i="3315"/>
  <c r="AD1051" i="3315" s="1"/>
  <c r="R1051" i="3315"/>
  <c r="N1051" i="3315"/>
  <c r="J1051" i="3315"/>
  <c r="Z1050" i="3315"/>
  <c r="Q1050" i="3315"/>
  <c r="R1050" i="3315" s="1"/>
  <c r="M1050" i="3315"/>
  <c r="I1050" i="3315"/>
  <c r="AG1050" i="3315" s="1"/>
  <c r="AG1096" i="3315" s="1"/>
  <c r="AF1058" i="3315" l="1"/>
  <c r="AF1059" i="3315"/>
  <c r="AF1067" i="3315"/>
  <c r="AF1063" i="3315"/>
  <c r="AF1051" i="3315"/>
  <c r="AF1052" i="3315"/>
  <c r="AF1055" i="3315"/>
  <c r="AF1056" i="3315"/>
  <c r="AF1043" i="3315"/>
  <c r="AG1047" i="3315"/>
  <c r="J1047" i="3315"/>
  <c r="U1043" i="3315"/>
  <c r="J1054" i="3315"/>
  <c r="R1054" i="3315"/>
  <c r="R1096" i="3315" s="1"/>
  <c r="R1099" i="3315" s="1"/>
  <c r="AD1054" i="3315"/>
  <c r="N1054" i="3315"/>
  <c r="M1096" i="3315"/>
  <c r="M1099" i="3315" s="1"/>
  <c r="AF1066" i="3315"/>
  <c r="AF1062" i="3315"/>
  <c r="AF1061" i="3315"/>
  <c r="AF1065" i="3315"/>
  <c r="AF1073" i="3315"/>
  <c r="AF1077" i="3315"/>
  <c r="AF1079" i="3315"/>
  <c r="AF1084" i="3315"/>
  <c r="Z1096" i="3315"/>
  <c r="Z1099" i="3315" s="1"/>
  <c r="AD1050" i="3315"/>
  <c r="AF1053" i="3315"/>
  <c r="AF1060" i="3315"/>
  <c r="AF1064" i="3315"/>
  <c r="AF1068" i="3315"/>
  <c r="AF1070" i="3315"/>
  <c r="AF1071" i="3315"/>
  <c r="AF1072" i="3315"/>
  <c r="AF1075" i="3315"/>
  <c r="AF1078" i="3315"/>
  <c r="AF1081" i="3315"/>
  <c r="AF1082" i="3315"/>
  <c r="AF1085" i="3315"/>
  <c r="AF1086" i="3315"/>
  <c r="AF1069" i="3315"/>
  <c r="AF1074" i="3315"/>
  <c r="AF1076" i="3315"/>
  <c r="AF1080" i="3315"/>
  <c r="AF1083" i="3315"/>
  <c r="N1050" i="3315"/>
  <c r="AF1089" i="3315"/>
  <c r="I1096" i="3315"/>
  <c r="J1050" i="3315"/>
  <c r="AF1088" i="3315"/>
  <c r="AF1090" i="3315"/>
  <c r="AF1087" i="3315"/>
  <c r="AF1091" i="3315"/>
  <c r="Q1096" i="3315"/>
  <c r="Q1099" i="3315" s="1"/>
  <c r="AC1099" i="3315"/>
  <c r="AF1047" i="3315" l="1"/>
  <c r="U1047" i="3315"/>
  <c r="X1043" i="3315"/>
  <c r="I1099" i="3315"/>
  <c r="AD1096" i="3315"/>
  <c r="AF1054" i="3315"/>
  <c r="J1096" i="3315"/>
  <c r="AF1050" i="3315"/>
  <c r="N1096" i="3315"/>
  <c r="N1099" i="3315" s="1"/>
  <c r="X1047" i="3315" l="1"/>
  <c r="AD1099" i="3315"/>
  <c r="AF1096" i="3315"/>
  <c r="J1099" i="3315"/>
  <c r="AE1047" i="3315" l="1"/>
  <c r="AG1099" i="3315"/>
  <c r="AF1099" i="3315"/>
  <c r="W839" i="3315" l="1"/>
  <c r="W308" i="3315"/>
  <c r="V308" i="3315"/>
  <c r="U308" i="3315"/>
  <c r="V839" i="3315"/>
  <c r="U263" i="3315" l="1"/>
  <c r="U848" i="3315"/>
  <c r="U789" i="3315"/>
  <c r="U849" i="3315"/>
  <c r="U304" i="3315"/>
  <c r="U850" i="3315"/>
  <c r="U808" i="3315"/>
  <c r="U841" i="3315"/>
  <c r="U797" i="3315"/>
  <c r="U303" i="3315"/>
  <c r="U843" i="3315"/>
  <c r="U788" i="3315"/>
  <c r="U807" i="3315"/>
  <c r="U846" i="3315"/>
  <c r="U845" i="3315"/>
  <c r="U847" i="3315"/>
  <c r="U782" i="3315"/>
  <c r="U810" i="3315"/>
  <c r="U796" i="3315"/>
  <c r="U791" i="3315"/>
  <c r="U795" i="3315"/>
  <c r="U790" i="3315"/>
  <c r="U786" i="3315"/>
  <c r="U844" i="3315"/>
  <c r="U792" i="3315"/>
  <c r="U793" i="3315"/>
  <c r="U784" i="3315"/>
  <c r="U781" i="3315"/>
  <c r="U787" i="3315"/>
  <c r="U851" i="3315"/>
  <c r="U780" i="3315"/>
  <c r="U305" i="3315"/>
  <c r="U809" i="3315"/>
  <c r="U798" i="3315"/>
  <c r="U785" i="3315"/>
  <c r="U794" i="3315"/>
  <c r="U783" i="3315"/>
  <c r="U811" i="3315"/>
  <c r="U842" i="3315"/>
  <c r="W314" i="3315"/>
  <c r="W198" i="3315"/>
  <c r="W196" i="3315"/>
  <c r="W192" i="3315"/>
  <c r="W187" i="3315"/>
  <c r="W184" i="3315"/>
  <c r="W246" i="3315"/>
  <c r="W176" i="3315"/>
  <c r="W168" i="3315"/>
  <c r="W382" i="3315"/>
  <c r="W124" i="3315"/>
  <c r="W80" i="3315"/>
  <c r="W361" i="3315"/>
  <c r="W422" i="3315"/>
  <c r="W326" i="3315"/>
  <c r="W319" i="3315"/>
  <c r="W288" i="3315"/>
  <c r="W280" i="3315"/>
  <c r="W432" i="3315"/>
  <c r="W425" i="3315"/>
  <c r="W190" i="3315"/>
  <c r="W186" i="3315"/>
  <c r="W183" i="3315"/>
  <c r="W139" i="3315"/>
  <c r="W182" i="3315"/>
  <c r="W194" i="3315"/>
  <c r="W189" i="3315"/>
  <c r="W185" i="3315"/>
  <c r="W177" i="3315"/>
  <c r="W424" i="3315"/>
  <c r="W247" i="3315"/>
  <c r="W359" i="3315"/>
  <c r="W426" i="3315"/>
  <c r="W328" i="3315"/>
  <c r="W324" i="3315"/>
  <c r="W306" i="3315"/>
  <c r="W278" i="3315"/>
  <c r="W193" i="3315"/>
  <c r="W188" i="3315"/>
  <c r="W191" i="3315"/>
  <c r="W175" i="3315"/>
  <c r="W167" i="3315"/>
  <c r="W133" i="3315"/>
  <c r="W113" i="3315"/>
  <c r="W81" i="3315"/>
  <c r="W358" i="3315"/>
  <c r="W301" i="3315"/>
  <c r="W277" i="3315"/>
  <c r="W423" i="3315"/>
  <c r="W83" i="3315"/>
  <c r="W320" i="3315"/>
  <c r="W273" i="3315"/>
  <c r="V1009" i="3315"/>
  <c r="V929" i="3315"/>
  <c r="V980" i="3315"/>
  <c r="V998" i="3315"/>
  <c r="V1022" i="3315"/>
  <c r="V1005" i="3315"/>
  <c r="V1008" i="3315"/>
  <c r="V996" i="3315"/>
  <c r="V922" i="3315"/>
  <c r="V931" i="3315"/>
  <c r="V960" i="3315"/>
  <c r="V945" i="3315"/>
  <c r="V987" i="3315"/>
  <c r="V1020" i="3315"/>
  <c r="V1021" i="3315"/>
  <c r="V973" i="3315"/>
  <c r="V933" i="3315"/>
  <c r="V1002" i="3315"/>
  <c r="V1003" i="3315"/>
  <c r="V1026" i="3315"/>
  <c r="V981" i="3315"/>
  <c r="X308" i="3315"/>
  <c r="U411" i="3315"/>
  <c r="U413" i="3315"/>
  <c r="U414" i="3315"/>
  <c r="U381" i="3315"/>
  <c r="U374" i="3315"/>
  <c r="V198" i="3315"/>
  <c r="V314" i="3315"/>
  <c r="W776" i="3315"/>
  <c r="W717" i="3315"/>
  <c r="W713" i="3315"/>
  <c r="W708" i="3315"/>
  <c r="W695" i="3315"/>
  <c r="W607" i="3315"/>
  <c r="W625" i="3315"/>
  <c r="W593" i="3315"/>
  <c r="W577" i="3315"/>
  <c r="W370" i="3315"/>
  <c r="W509" i="3315"/>
  <c r="W505" i="3315"/>
  <c r="W544" i="3315"/>
  <c r="W715" i="3315"/>
  <c r="W711" i="3315"/>
  <c r="W679" i="3315"/>
  <c r="W598" i="3315"/>
  <c r="W648" i="3315"/>
  <c r="W24" i="3315"/>
  <c r="W514" i="3315"/>
  <c r="W676" i="3315"/>
  <c r="W673" i="3315"/>
  <c r="W822" i="3315"/>
  <c r="W345" i="3315"/>
  <c r="W567" i="3315"/>
  <c r="W362" i="3315"/>
  <c r="W60" i="3315"/>
  <c r="W201" i="3315"/>
  <c r="W254" i="3315"/>
  <c r="W428" i="3315"/>
  <c r="W773" i="3315"/>
  <c r="W742" i="3315"/>
  <c r="W738" i="3315"/>
  <c r="W730" i="3315"/>
  <c r="W722" i="3315"/>
  <c r="W552" i="3315"/>
  <c r="W266" i="3315"/>
  <c r="W251" i="3315"/>
  <c r="W699" i="3315"/>
  <c r="W691" i="3315"/>
  <c r="W666" i="3315"/>
  <c r="W642" i="3315"/>
  <c r="W634" i="3315"/>
  <c r="W586" i="3315"/>
  <c r="W566" i="3315"/>
  <c r="W692" i="3315"/>
  <c r="W654" i="3315"/>
  <c r="W604" i="3315"/>
  <c r="W589" i="3315"/>
  <c r="W580" i="3315"/>
  <c r="W15" i="3315"/>
  <c r="W379" i="3315"/>
  <c r="W368" i="3315"/>
  <c r="W499" i="3315"/>
  <c r="W495" i="3315"/>
  <c r="W129" i="3315"/>
  <c r="W120" i="3315"/>
  <c r="W116" i="3315"/>
  <c r="W112" i="3315"/>
  <c r="W100" i="3315"/>
  <c r="W96" i="3315"/>
  <c r="W92" i="3315"/>
  <c r="W84" i="3315"/>
  <c r="W76" i="3315"/>
  <c r="W72" i="3315"/>
  <c r="W334" i="3315"/>
  <c r="W330" i="3315"/>
  <c r="W463" i="3315"/>
  <c r="W437" i="3315"/>
  <c r="W429" i="3315"/>
  <c r="W292" i="3315"/>
  <c r="W346" i="3315"/>
  <c r="W440" i="3315"/>
  <c r="W858" i="3315"/>
  <c r="W854" i="3315"/>
  <c r="W834" i="3315"/>
  <c r="W830" i="3315"/>
  <c r="W819" i="3315"/>
  <c r="W803" i="3315"/>
  <c r="W550" i="3315"/>
  <c r="W534" i="3315"/>
  <c r="W530" i="3315"/>
  <c r="W221" i="3315"/>
  <c r="W260" i="3315"/>
  <c r="W252" i="3315"/>
  <c r="W461" i="3315"/>
  <c r="W435" i="3315"/>
  <c r="W769" i="3315"/>
  <c r="W757" i="3315"/>
  <c r="W745" i="3315"/>
  <c r="W737" i="3315"/>
  <c r="W733" i="3315"/>
  <c r="W729" i="3315"/>
  <c r="W725" i="3315"/>
  <c r="W705" i="3315"/>
  <c r="W205" i="3315"/>
  <c r="W199" i="3315"/>
  <c r="W258" i="3315"/>
  <c r="W250" i="3315"/>
  <c r="W242" i="3315"/>
  <c r="W779" i="3315"/>
  <c r="W775" i="3315"/>
  <c r="W760" i="3315"/>
  <c r="W756" i="3315"/>
  <c r="W752" i="3315"/>
  <c r="W748" i="3315"/>
  <c r="W740" i="3315"/>
  <c r="W720" i="3315"/>
  <c r="W716" i="3315"/>
  <c r="W704" i="3315"/>
  <c r="W222" i="3315"/>
  <c r="W662" i="3315"/>
  <c r="W646" i="3315"/>
  <c r="W630" i="3315"/>
  <c r="W622" i="3315"/>
  <c r="W582" i="3315"/>
  <c r="W555" i="3315"/>
  <c r="W657" i="3315"/>
  <c r="W633" i="3315"/>
  <c r="W584" i="3315"/>
  <c r="W388" i="3315"/>
  <c r="W497" i="3315"/>
  <c r="W25" i="3315"/>
  <c r="W134" i="3315"/>
  <c r="W131" i="3315"/>
  <c r="W122" i="3315"/>
  <c r="W118" i="3315"/>
  <c r="W102" i="3315"/>
  <c r="W94" i="3315"/>
  <c r="W86" i="3315"/>
  <c r="W78" i="3315"/>
  <c r="W74" i="3315"/>
  <c r="W347" i="3315"/>
  <c r="W363" i="3315"/>
  <c r="W441" i="3315"/>
  <c r="W433" i="3315"/>
  <c r="W64" i="3315"/>
  <c r="W321" i="3315"/>
  <c r="W318" i="3315"/>
  <c r="W274" i="3315"/>
  <c r="W350" i="3315"/>
  <c r="W462" i="3315"/>
  <c r="W436" i="3315"/>
  <c r="W421" i="3315"/>
  <c r="W470" i="3315"/>
  <c r="W860" i="3315"/>
  <c r="W852" i="3315"/>
  <c r="W832" i="3315"/>
  <c r="W817" i="3315"/>
  <c r="W813" i="3315"/>
  <c r="W548" i="3315"/>
  <c r="W524" i="3315"/>
  <c r="W61" i="3315"/>
  <c r="W248" i="3315"/>
  <c r="W439" i="3315"/>
  <c r="W431" i="3315"/>
  <c r="W763" i="3315"/>
  <c r="W759" i="3315"/>
  <c r="W755" i="3315"/>
  <c r="W751" i="3315"/>
  <c r="W743" i="3315"/>
  <c r="W735" i="3315"/>
  <c r="W727" i="3315"/>
  <c r="W723" i="3315"/>
  <c r="W707" i="3315"/>
  <c r="W261" i="3315"/>
  <c r="W701" i="3315"/>
  <c r="W684" i="3315"/>
  <c r="W668" i="3315"/>
  <c r="W636" i="3315"/>
  <c r="W620" i="3315"/>
  <c r="W588" i="3315"/>
  <c r="W572" i="3315"/>
  <c r="W563" i="3315"/>
  <c r="W694" i="3315"/>
  <c r="W615" i="3315"/>
  <c r="W373" i="3315"/>
  <c r="W460" i="3315"/>
  <c r="W512" i="3315"/>
  <c r="W504" i="3315"/>
  <c r="W496" i="3315"/>
  <c r="W127" i="3315"/>
  <c r="W105" i="3315"/>
  <c r="W366" i="3315"/>
  <c r="W317" i="3315"/>
  <c r="W293" i="3315"/>
  <c r="W859" i="3315"/>
  <c r="W835" i="3315"/>
  <c r="W812" i="3315"/>
  <c r="W551" i="3315"/>
  <c r="W535" i="3315"/>
  <c r="W520" i="3315"/>
  <c r="W249" i="3315"/>
  <c r="W696" i="3315"/>
  <c r="W561" i="3315"/>
  <c r="W627" i="3315"/>
  <c r="W594" i="3315"/>
  <c r="W578" i="3315"/>
  <c r="W348" i="3315"/>
  <c r="W408" i="3315"/>
  <c r="W378" i="3315"/>
  <c r="W371" i="3315"/>
  <c r="W438" i="3315"/>
  <c r="W126" i="3315"/>
  <c r="W119" i="3315"/>
  <c r="W103" i="3315"/>
  <c r="W356" i="3315"/>
  <c r="W329" i="3315"/>
  <c r="W283" i="3315"/>
  <c r="W478" i="3315"/>
  <c r="W471" i="3315"/>
  <c r="W857" i="3315"/>
  <c r="W833" i="3315"/>
  <c r="W549" i="3315"/>
  <c r="W541" i="3315"/>
  <c r="W655" i="3315"/>
  <c r="W592" i="3315"/>
  <c r="W635" i="3315"/>
  <c r="W570" i="3315"/>
  <c r="W115" i="3315"/>
  <c r="W65" i="3315"/>
  <c r="W287" i="3315"/>
  <c r="W861" i="3315"/>
  <c r="W829" i="3315"/>
  <c r="W537" i="3315"/>
  <c r="W522" i="3315"/>
  <c r="W559" i="3315"/>
  <c r="W686" i="3315"/>
  <c r="W623" i="3315"/>
  <c r="W434" i="3315"/>
  <c r="W281" i="3315"/>
  <c r="W855" i="3315"/>
  <c r="W640" i="3315"/>
  <c r="W576" i="3315"/>
  <c r="W557" i="3315"/>
  <c r="W683" i="3315"/>
  <c r="W651" i="3315"/>
  <c r="W430" i="3315"/>
  <c r="W107" i="3315"/>
  <c r="W91" i="3315"/>
  <c r="W75" i="3315"/>
  <c r="W311" i="3315"/>
  <c r="W853" i="3315"/>
  <c r="W837" i="3315"/>
  <c r="W693" i="3315"/>
  <c r="W659" i="3315"/>
  <c r="W702" i="3315"/>
  <c r="W639" i="3315"/>
  <c r="W574" i="3315"/>
  <c r="W419" i="3315"/>
  <c r="W500" i="3315"/>
  <c r="W117" i="3315"/>
  <c r="W101" i="3315"/>
  <c r="W85" i="3315"/>
  <c r="W67" i="3315"/>
  <c r="W469" i="3315"/>
  <c r="W831" i="3315"/>
  <c r="W800" i="3315"/>
  <c r="W539" i="3315"/>
  <c r="W523" i="3315"/>
  <c r="W1089" i="3315"/>
  <c r="W1057" i="3315"/>
  <c r="W1083" i="3315"/>
  <c r="W1059" i="3315"/>
  <c r="W1078" i="3315"/>
  <c r="W1069" i="3315"/>
  <c r="W1091" i="3315"/>
  <c r="W1073" i="3315"/>
  <c r="W1074" i="3315"/>
  <c r="W1058" i="3315"/>
  <c r="W1077" i="3315"/>
  <c r="W1053" i="3315"/>
  <c r="W1064" i="3315"/>
  <c r="W1061" i="3315"/>
  <c r="W1079" i="3315"/>
  <c r="W1068" i="3315"/>
  <c r="W1054" i="3315"/>
  <c r="U301" i="3315"/>
  <c r="U277" i="3315"/>
  <c r="U280" i="3315"/>
  <c r="U190" i="3315"/>
  <c r="U182" i="3315"/>
  <c r="U328" i="3315"/>
  <c r="U113" i="3315"/>
  <c r="U423" i="3315"/>
  <c r="U358" i="3315"/>
  <c r="U288" i="3315"/>
  <c r="U183" i="3315"/>
  <c r="U186" i="3315"/>
  <c r="U185" i="3315"/>
  <c r="U189" i="3315"/>
  <c r="U167" i="3315"/>
  <c r="U326" i="3315"/>
  <c r="U278" i="3315"/>
  <c r="U192" i="3315"/>
  <c r="U426" i="3315"/>
  <c r="U359" i="3315"/>
  <c r="U184" i="3315"/>
  <c r="U80" i="3315"/>
  <c r="U191" i="3315"/>
  <c r="U422" i="3315"/>
  <c r="U177" i="3315"/>
  <c r="U432" i="3315"/>
  <c r="U424" i="3315"/>
  <c r="U361" i="3315"/>
  <c r="U306" i="3315"/>
  <c r="U273" i="3315"/>
  <c r="U187" i="3315"/>
  <c r="U176" i="3315"/>
  <c r="U139" i="3315"/>
  <c r="U188" i="3315"/>
  <c r="U246" i="3315"/>
  <c r="U124" i="3315"/>
  <c r="U168" i="3315"/>
  <c r="U324" i="3315"/>
  <c r="U247" i="3315"/>
  <c r="U81" i="3315"/>
  <c r="U320" i="3315"/>
  <c r="U196" i="3315"/>
  <c r="U193" i="3315"/>
  <c r="U425" i="3315"/>
  <c r="U382" i="3315"/>
  <c r="U194" i="3315"/>
  <c r="U83" i="3315"/>
  <c r="U133" i="3315"/>
  <c r="U319" i="3315"/>
  <c r="U175" i="3315"/>
  <c r="W316" i="3315"/>
  <c r="W840" i="3315"/>
  <c r="W264" i="3315"/>
  <c r="W652" i="3315"/>
  <c r="W285" i="3315"/>
  <c r="W376" i="3315"/>
  <c r="X839" i="3315"/>
  <c r="V345" i="3315"/>
  <c r="V24" i="3315"/>
  <c r="V673" i="3315"/>
  <c r="V514" i="3315"/>
  <c r="V715" i="3315"/>
  <c r="V648" i="3315"/>
  <c r="V695" i="3315"/>
  <c r="V717" i="3315"/>
  <c r="V509" i="3315"/>
  <c r="V593" i="3315"/>
  <c r="V607" i="3315"/>
  <c r="V711" i="3315"/>
  <c r="V776" i="3315"/>
  <c r="V362" i="3315"/>
  <c r="V708" i="3315"/>
  <c r="V567" i="3315"/>
  <c r="V598" i="3315"/>
  <c r="V544" i="3315"/>
  <c r="V679" i="3315"/>
  <c r="V625" i="3315"/>
  <c r="V713" i="3315"/>
  <c r="V676" i="3315"/>
  <c r="V822" i="3315"/>
  <c r="V577" i="3315"/>
  <c r="V370" i="3315"/>
  <c r="V505" i="3315"/>
  <c r="W413" i="3315"/>
  <c r="W411" i="3315"/>
  <c r="W381" i="3315"/>
  <c r="W374" i="3315"/>
  <c r="W414" i="3315"/>
  <c r="W208" i="3315"/>
  <c r="W181" i="3315"/>
  <c r="W173" i="3315"/>
  <c r="W165" i="3315"/>
  <c r="W157" i="3315"/>
  <c r="W149" i="3315"/>
  <c r="W141" i="3315"/>
  <c r="W231" i="3315"/>
  <c r="W223" i="3315"/>
  <c r="W215" i="3315"/>
  <c r="W262" i="3315"/>
  <c r="W420" i="3315"/>
  <c r="W777" i="3315"/>
  <c r="W770" i="3315"/>
  <c r="W766" i="3315"/>
  <c r="W750" i="3315"/>
  <c r="W746" i="3315"/>
  <c r="W734" i="3315"/>
  <c r="W718" i="3315"/>
  <c r="W714" i="3315"/>
  <c r="W710" i="3315"/>
  <c r="W160" i="3315"/>
  <c r="W152" i="3315"/>
  <c r="W144" i="3315"/>
  <c r="W226" i="3315"/>
  <c r="W218" i="3315"/>
  <c r="W259" i="3315"/>
  <c r="W243" i="3315"/>
  <c r="W340" i="3315"/>
  <c r="W442" i="3315"/>
  <c r="W682" i="3315"/>
  <c r="W674" i="3315"/>
  <c r="W626" i="3315"/>
  <c r="W618" i="3315"/>
  <c r="W610" i="3315"/>
  <c r="W603" i="3315"/>
  <c r="W595" i="3315"/>
  <c r="W677" i="3315"/>
  <c r="W669" i="3315"/>
  <c r="W645" i="3315"/>
  <c r="W637" i="3315"/>
  <c r="W621" i="3315"/>
  <c r="W613" i="3315"/>
  <c r="W596" i="3315"/>
  <c r="W339" i="3315"/>
  <c r="W375" i="3315"/>
  <c r="W515" i="3315"/>
  <c r="W507" i="3315"/>
  <c r="W503" i="3315"/>
  <c r="W55" i="3315"/>
  <c r="W52" i="3315"/>
  <c r="W49" i="3315"/>
  <c r="W46" i="3315"/>
  <c r="W132" i="3315"/>
  <c r="W108" i="3315"/>
  <c r="W104" i="3315"/>
  <c r="W88" i="3315"/>
  <c r="W457" i="3315"/>
  <c r="W448" i="3315"/>
  <c r="W443" i="3315"/>
  <c r="W70" i="3315"/>
  <c r="W66" i="3315"/>
  <c r="W323" i="3315"/>
  <c r="W300" i="3315"/>
  <c r="W296" i="3315"/>
  <c r="W276" i="3315"/>
  <c r="W272" i="3315"/>
  <c r="W454" i="3315"/>
  <c r="W450" i="3315"/>
  <c r="W479" i="3315"/>
  <c r="W475" i="3315"/>
  <c r="W472" i="3315"/>
  <c r="W468" i="3315"/>
  <c r="W823" i="3315"/>
  <c r="W815" i="3315"/>
  <c r="W546" i="3315"/>
  <c r="W542" i="3315"/>
  <c r="W526" i="3315"/>
  <c r="W519" i="3315"/>
  <c r="W207" i="3315"/>
  <c r="W202" i="3315"/>
  <c r="W195" i="3315"/>
  <c r="W206" i="3315"/>
  <c r="W200" i="3315"/>
  <c r="W179" i="3315"/>
  <c r="W171" i="3315"/>
  <c r="W155" i="3315"/>
  <c r="W147" i="3315"/>
  <c r="W229" i="3315"/>
  <c r="W214" i="3315"/>
  <c r="W244" i="3315"/>
  <c r="W452" i="3315"/>
  <c r="W765" i="3315"/>
  <c r="W761" i="3315"/>
  <c r="W753" i="3315"/>
  <c r="W749" i="3315"/>
  <c r="W741" i="3315"/>
  <c r="W709" i="3315"/>
  <c r="W174" i="3315"/>
  <c r="W166" i="3315"/>
  <c r="W158" i="3315"/>
  <c r="W150" i="3315"/>
  <c r="W142" i="3315"/>
  <c r="W232" i="3315"/>
  <c r="W63" i="3315"/>
  <c r="W197" i="3315"/>
  <c r="W169" i="3315"/>
  <c r="W161" i="3315"/>
  <c r="W153" i="3315"/>
  <c r="W227" i="3315"/>
  <c r="W219" i="3315"/>
  <c r="W213" i="3315"/>
  <c r="W458" i="3315"/>
  <c r="W768" i="3315"/>
  <c r="W712" i="3315"/>
  <c r="W180" i="3315"/>
  <c r="W172" i="3315"/>
  <c r="W164" i="3315"/>
  <c r="W156" i="3315"/>
  <c r="W148" i="3315"/>
  <c r="W140" i="3315"/>
  <c r="W230" i="3315"/>
  <c r="W255" i="3315"/>
  <c r="W349" i="3315"/>
  <c r="W687" i="3315"/>
  <c r="W678" i="3315"/>
  <c r="W671" i="3315"/>
  <c r="W653" i="3315"/>
  <c r="W614" i="3315"/>
  <c r="W599" i="3315"/>
  <c r="W564" i="3315"/>
  <c r="W697" i="3315"/>
  <c r="W688" i="3315"/>
  <c r="W681" i="3315"/>
  <c r="W672" i="3315"/>
  <c r="W649" i="3315"/>
  <c r="W641" i="3315"/>
  <c r="W617" i="3315"/>
  <c r="W609" i="3315"/>
  <c r="W600" i="3315"/>
  <c r="W377" i="3315"/>
  <c r="W513" i="3315"/>
  <c r="W501" i="3315"/>
  <c r="W53" i="3315"/>
  <c r="W128" i="3315"/>
  <c r="W125" i="3315"/>
  <c r="W114" i="3315"/>
  <c r="W110" i="3315"/>
  <c r="W106" i="3315"/>
  <c r="W98" i="3315"/>
  <c r="W90" i="3315"/>
  <c r="W82" i="3315"/>
  <c r="W337" i="3315"/>
  <c r="W335" i="3315"/>
  <c r="W332" i="3315"/>
  <c r="W459" i="3315"/>
  <c r="W455" i="3315"/>
  <c r="W445" i="3315"/>
  <c r="W68" i="3315"/>
  <c r="W310" i="3315"/>
  <c r="W298" i="3315"/>
  <c r="W294" i="3315"/>
  <c r="W286" i="3315"/>
  <c r="W447" i="3315"/>
  <c r="W474" i="3315"/>
  <c r="W836" i="3315"/>
  <c r="W828" i="3315"/>
  <c r="W825" i="3315"/>
  <c r="W821" i="3315"/>
  <c r="W536" i="3315"/>
  <c r="W532" i="3315"/>
  <c r="W528" i="3315"/>
  <c r="W517" i="3315"/>
  <c r="W62" i="3315"/>
  <c r="W204" i="3315"/>
  <c r="W203" i="3315"/>
  <c r="W159" i="3315"/>
  <c r="W151" i="3315"/>
  <c r="W143" i="3315"/>
  <c r="W225" i="3315"/>
  <c r="W217" i="3315"/>
  <c r="W256" i="3315"/>
  <c r="W456" i="3315"/>
  <c r="W446" i="3315"/>
  <c r="W778" i="3315"/>
  <c r="W774" i="3315"/>
  <c r="W747" i="3315"/>
  <c r="W731" i="3315"/>
  <c r="W178" i="3315"/>
  <c r="W170" i="3315"/>
  <c r="W162" i="3315"/>
  <c r="W154" i="3315"/>
  <c r="W228" i="3315"/>
  <c r="W220" i="3315"/>
  <c r="W224" i="3315"/>
  <c r="W253" i="3315"/>
  <c r="W605" i="3315"/>
  <c r="W647" i="3315"/>
  <c r="W451" i="3315"/>
  <c r="W427" i="3315"/>
  <c r="W121" i="3315"/>
  <c r="W97" i="3315"/>
  <c r="W89" i="3315"/>
  <c r="W71" i="3315"/>
  <c r="W309" i="3315"/>
  <c r="W480" i="3315"/>
  <c r="W473" i="3315"/>
  <c r="W827" i="3315"/>
  <c r="W804" i="3315"/>
  <c r="W543" i="3315"/>
  <c r="W527" i="3315"/>
  <c r="W216" i="3315"/>
  <c r="W680" i="3315"/>
  <c r="W616" i="3315"/>
  <c r="W601" i="3315"/>
  <c r="W675" i="3315"/>
  <c r="W611" i="3315"/>
  <c r="W449" i="3315"/>
  <c r="W510" i="3315"/>
  <c r="W502" i="3315"/>
  <c r="W51" i="3315"/>
  <c r="W111" i="3315"/>
  <c r="W87" i="3315"/>
  <c r="W79" i="3315"/>
  <c r="W333" i="3315"/>
  <c r="W364" i="3315"/>
  <c r="W69" i="3315"/>
  <c r="W307" i="3315"/>
  <c r="W299" i="3315"/>
  <c r="W291" i="3315"/>
  <c r="W533" i="3315"/>
  <c r="W518" i="3315"/>
  <c r="W257" i="3315"/>
  <c r="W689" i="3315"/>
  <c r="W624" i="3315"/>
  <c r="W565" i="3315"/>
  <c r="W698" i="3315"/>
  <c r="W412" i="3315"/>
  <c r="W367" i="3315"/>
  <c r="W48" i="3315"/>
  <c r="W360" i="3315"/>
  <c r="W271" i="3315"/>
  <c r="W814" i="3315"/>
  <c r="W245" i="3315"/>
  <c r="W444" i="3315"/>
  <c r="W591" i="3315"/>
  <c r="W508" i="3315"/>
  <c r="W109" i="3315"/>
  <c r="W77" i="3315"/>
  <c r="W331" i="3315"/>
  <c r="W355" i="3315"/>
  <c r="W327" i="3315"/>
  <c r="W313" i="3315"/>
  <c r="W297" i="3315"/>
  <c r="W476" i="3315"/>
  <c r="W824" i="3315"/>
  <c r="W547" i="3315"/>
  <c r="W531" i="3315"/>
  <c r="W516" i="3315"/>
  <c r="W241" i="3315"/>
  <c r="W608" i="3315"/>
  <c r="W619" i="3315"/>
  <c r="W338" i="3315"/>
  <c r="W453" i="3315"/>
  <c r="W506" i="3315"/>
  <c r="W54" i="3315"/>
  <c r="W123" i="3315"/>
  <c r="W325" i="3315"/>
  <c r="W295" i="3315"/>
  <c r="W279" i="3315"/>
  <c r="W545" i="3315"/>
  <c r="W597" i="3315"/>
  <c r="W670" i="3315"/>
  <c r="W606" i="3315"/>
  <c r="W369" i="3315"/>
  <c r="W50" i="3315"/>
  <c r="W130" i="3315"/>
  <c r="W289" i="3315"/>
  <c r="W816" i="3315"/>
  <c r="W1055" i="3315"/>
  <c r="W1063" i="3315"/>
  <c r="W1081" i="3315"/>
  <c r="W1087" i="3315"/>
  <c r="W1065" i="3315"/>
  <c r="W1070" i="3315"/>
  <c r="W1076" i="3315"/>
  <c r="W1050" i="3315"/>
  <c r="W1088" i="3315"/>
  <c r="W1086" i="3315"/>
  <c r="W1066" i="3315"/>
  <c r="W1071" i="3315"/>
  <c r="W1084" i="3315"/>
  <c r="W1052" i="3315"/>
  <c r="W1067" i="3315"/>
  <c r="W1085" i="3315"/>
  <c r="W1075" i="3315"/>
  <c r="W1062" i="3315"/>
  <c r="W1080" i="3315"/>
  <c r="W1051" i="3315"/>
  <c r="V16" i="3315"/>
  <c r="V656" i="3315"/>
  <c r="V632" i="3315"/>
  <c r="V736" i="3315"/>
  <c r="V638" i="3315"/>
  <c r="V571" i="3315"/>
  <c r="V44" i="3315"/>
  <c r="V820" i="3315"/>
  <c r="V357" i="3315"/>
  <c r="V664" i="3315"/>
  <c r="V806" i="3315"/>
  <c r="V724" i="3315"/>
  <c r="V628" i="3315"/>
  <c r="V568" i="3315"/>
  <c r="V583" i="3315"/>
  <c r="V265" i="3315"/>
  <c r="V41" i="3315"/>
  <c r="V312" i="3315"/>
  <c r="V802" i="3315"/>
  <c r="V739" i="3315"/>
  <c r="V805" i="3315"/>
  <c r="V365" i="3315"/>
  <c r="V758" i="3315"/>
  <c r="V661" i="3315"/>
  <c r="V315" i="3315"/>
  <c r="V602" i="3315"/>
  <c r="V302" i="3315"/>
  <c r="V700" i="3315"/>
  <c r="V575" i="3315"/>
  <c r="V511" i="3315"/>
  <c r="V99" i="3315"/>
  <c r="V284" i="3315"/>
  <c r="V665" i="3315"/>
  <c r="V569" i="3315"/>
  <c r="V706" i="3315"/>
  <c r="V690" i="3315"/>
  <c r="V538" i="3315"/>
  <c r="V540" i="3315"/>
  <c r="V728" i="3315"/>
  <c r="V521" i="3315"/>
  <c r="V579" i="3315"/>
  <c r="V145" i="3315"/>
  <c r="V573" i="3315"/>
  <c r="V838" i="3315"/>
  <c r="V585" i="3315"/>
  <c r="V556" i="3315"/>
  <c r="V826" i="3315"/>
  <c r="V322" i="3315"/>
  <c r="V732" i="3315"/>
  <c r="V498" i="3315"/>
  <c r="V45" i="3315"/>
  <c r="V146" i="3315"/>
  <c r="V703" i="3315"/>
  <c r="V721" i="3315"/>
  <c r="V744" i="3315"/>
  <c r="V73" i="3315"/>
  <c r="V772" i="3315"/>
  <c r="V771" i="3315"/>
  <c r="V726" i="3315"/>
  <c r="V658" i="3315"/>
  <c r="V560" i="3315"/>
  <c r="V47" i="3315"/>
  <c r="V762" i="3315"/>
  <c r="V767" i="3315"/>
  <c r="V799" i="3315"/>
  <c r="V719" i="3315"/>
  <c r="V581" i="3315"/>
  <c r="V554" i="3315"/>
  <c r="V685" i="3315"/>
  <c r="V562" i="3315"/>
  <c r="V282" i="3315"/>
  <c r="V660" i="3315"/>
  <c r="V553" i="3315"/>
  <c r="V587" i="3315"/>
  <c r="V650" i="3315"/>
  <c r="V275" i="3315"/>
  <c r="V612" i="3315"/>
  <c r="V42" i="3315"/>
  <c r="V590" i="3315"/>
  <c r="V801" i="3315"/>
  <c r="V558" i="3315"/>
  <c r="V525" i="3315"/>
  <c r="V754" i="3315"/>
  <c r="V663" i="3315"/>
  <c r="V93" i="3315"/>
  <c r="V667" i="3315"/>
  <c r="V95" i="3315"/>
  <c r="V764" i="3315"/>
  <c r="V818" i="3315"/>
  <c r="V643" i="3315"/>
  <c r="V644" i="3315"/>
  <c r="V336" i="3315"/>
  <c r="V856" i="3315"/>
  <c r="V43" i="3315"/>
  <c r="V631" i="3315"/>
  <c r="V290" i="3315"/>
  <c r="V629" i="3315"/>
  <c r="V529" i="3315"/>
  <c r="V344" i="3315"/>
  <c r="V1092" i="3315"/>
  <c r="V1072" i="3315"/>
  <c r="V1060" i="3315"/>
  <c r="V1090" i="3315"/>
  <c r="V1056" i="3315"/>
  <c r="V1082" i="3315"/>
  <c r="W762" i="3315"/>
  <c r="W758" i="3315"/>
  <c r="W754" i="3315"/>
  <c r="W726" i="3315"/>
  <c r="W706" i="3315"/>
  <c r="W658" i="3315"/>
  <c r="W650" i="3315"/>
  <c r="W579" i="3315"/>
  <c r="W571" i="3315"/>
  <c r="W562" i="3315"/>
  <c r="W558" i="3315"/>
  <c r="W553" i="3315"/>
  <c r="W700" i="3315"/>
  <c r="W685" i="3315"/>
  <c r="W661" i="3315"/>
  <c r="W629" i="3315"/>
  <c r="W573" i="3315"/>
  <c r="W511" i="3315"/>
  <c r="W42" i="3315"/>
  <c r="W365" i="3315"/>
  <c r="W357" i="3315"/>
  <c r="W312" i="3315"/>
  <c r="W284" i="3315"/>
  <c r="W838" i="3315"/>
  <c r="W799" i="3315"/>
  <c r="W538" i="3315"/>
  <c r="W772" i="3315"/>
  <c r="W721" i="3315"/>
  <c r="W145" i="3315"/>
  <c r="W771" i="3315"/>
  <c r="W764" i="3315"/>
  <c r="W744" i="3315"/>
  <c r="W736" i="3315"/>
  <c r="W732" i="3315"/>
  <c r="W728" i="3315"/>
  <c r="W724" i="3315"/>
  <c r="W638" i="3315"/>
  <c r="W590" i="3315"/>
  <c r="W575" i="3315"/>
  <c r="W568" i="3315"/>
  <c r="W560" i="3315"/>
  <c r="W665" i="3315"/>
  <c r="W556" i="3315"/>
  <c r="W44" i="3315"/>
  <c r="W302" i="3315"/>
  <c r="W290" i="3315"/>
  <c r="W282" i="3315"/>
  <c r="W856" i="3315"/>
  <c r="W805" i="3315"/>
  <c r="W801" i="3315"/>
  <c r="W540" i="3315"/>
  <c r="W521" i="3315"/>
  <c r="W767" i="3315"/>
  <c r="W739" i="3315"/>
  <c r="W719" i="3315"/>
  <c r="W703" i="3315"/>
  <c r="W146" i="3315"/>
  <c r="W554" i="3315"/>
  <c r="W663" i="3315"/>
  <c r="W631" i="3315"/>
  <c r="W583" i="3315"/>
  <c r="W47" i="3315"/>
  <c r="W73" i="3315"/>
  <c r="W820" i="3315"/>
  <c r="W664" i="3315"/>
  <c r="W632" i="3315"/>
  <c r="W585" i="3315"/>
  <c r="W569" i="3315"/>
  <c r="W690" i="3315"/>
  <c r="W660" i="3315"/>
  <c r="W643" i="3315"/>
  <c r="W45" i="3315"/>
  <c r="W95" i="3315"/>
  <c r="W322" i="3315"/>
  <c r="W315" i="3315"/>
  <c r="W275" i="3315"/>
  <c r="W826" i="3315"/>
  <c r="W818" i="3315"/>
  <c r="W802" i="3315"/>
  <c r="W525" i="3315"/>
  <c r="W667" i="3315"/>
  <c r="W602" i="3315"/>
  <c r="W498" i="3315"/>
  <c r="W99" i="3315"/>
  <c r="W644" i="3315"/>
  <c r="W612" i="3315"/>
  <c r="W581" i="3315"/>
  <c r="W656" i="3315"/>
  <c r="W16" i="3315"/>
  <c r="W43" i="3315"/>
  <c r="W93" i="3315"/>
  <c r="W587" i="3315"/>
  <c r="W41" i="3315"/>
  <c r="W806" i="3315"/>
  <c r="W529" i="3315"/>
  <c r="W265" i="3315"/>
  <c r="W628" i="3315"/>
  <c r="W336" i="3315"/>
  <c r="W344" i="3315"/>
  <c r="W1092" i="3315"/>
  <c r="W1060" i="3315"/>
  <c r="W1090" i="3315"/>
  <c r="W1072" i="3315"/>
  <c r="W1056" i="3315"/>
  <c r="W1082" i="3315"/>
  <c r="U198" i="3315"/>
  <c r="U1020" i="3315"/>
  <c r="U960" i="3315"/>
  <c r="U945" i="3315"/>
  <c r="U1005" i="3315"/>
  <c r="U1008" i="3315"/>
  <c r="U998" i="3315"/>
  <c r="U1003" i="3315"/>
  <c r="U987" i="3315"/>
  <c r="U1022" i="3315"/>
  <c r="U933" i="3315"/>
  <c r="U922" i="3315"/>
  <c r="U929" i="3315"/>
  <c r="U931" i="3315"/>
  <c r="U973" i="3315"/>
  <c r="U996" i="3315"/>
  <c r="U1002" i="3315"/>
  <c r="U981" i="3315"/>
  <c r="U980" i="3315"/>
  <c r="U1021" i="3315"/>
  <c r="U1009" i="3315"/>
  <c r="U1026" i="3315"/>
  <c r="U953" i="3315"/>
  <c r="U1006" i="3315"/>
  <c r="U896" i="3315"/>
  <c r="U897" i="3315"/>
  <c r="U895" i="3315"/>
  <c r="U1017" i="3315"/>
  <c r="U42" i="3315"/>
  <c r="U685" i="3315"/>
  <c r="U667" i="3315"/>
  <c r="U665" i="3315"/>
  <c r="U690" i="3315"/>
  <c r="U700" i="3315"/>
  <c r="U703" i="3315"/>
  <c r="U658" i="3315"/>
  <c r="U856" i="3315"/>
  <c r="U45" i="3315"/>
  <c r="U41" i="3315"/>
  <c r="U656" i="3315"/>
  <c r="U650" i="3315"/>
  <c r="U47" i="3315"/>
  <c r="U660" i="3315"/>
  <c r="U43" i="3315"/>
  <c r="U643" i="3315"/>
  <c r="U511" i="3315"/>
  <c r="U275" i="3315"/>
  <c r="U290" i="3315"/>
  <c r="U282" i="3315"/>
  <c r="U145" i="3315"/>
  <c r="U44" i="3315"/>
  <c r="U525" i="3315"/>
  <c r="U302" i="3315"/>
  <c r="U146" i="3315"/>
  <c r="U365" i="3315"/>
  <c r="U638" i="3315"/>
  <c r="U663" i="3315"/>
  <c r="U529" i="3315"/>
  <c r="U498" i="3315"/>
  <c r="U73" i="3315"/>
  <c r="U661" i="3315"/>
  <c r="U664" i="3315"/>
  <c r="U728" i="3315"/>
  <c r="U265" i="3315"/>
  <c r="U357" i="3315"/>
  <c r="U556" i="3315"/>
  <c r="U802" i="3315"/>
  <c r="U632" i="3315"/>
  <c r="U818" i="3315"/>
  <c r="U706" i="3315"/>
  <c r="U612" i="3315"/>
  <c r="U602" i="3315"/>
  <c r="U569" i="3315"/>
  <c r="U767" i="3315"/>
  <c r="U772" i="3315"/>
  <c r="U801" i="3315"/>
  <c r="U739" i="3315"/>
  <c r="U628" i="3315"/>
  <c r="U579" i="3315"/>
  <c r="U560" i="3315"/>
  <c r="U568" i="3315"/>
  <c r="U571" i="3315"/>
  <c r="U744" i="3315"/>
  <c r="U732" i="3315"/>
  <c r="U764" i="3315"/>
  <c r="U736" i="3315"/>
  <c r="U771" i="3315"/>
  <c r="U799" i="3315"/>
  <c r="U95" i="3315"/>
  <c r="U99" i="3315"/>
  <c r="U93" i="3315"/>
  <c r="U754" i="3315"/>
  <c r="U719" i="3315"/>
  <c r="U573" i="3315"/>
  <c r="U724" i="3315"/>
  <c r="U629" i="3315"/>
  <c r="U558" i="3315"/>
  <c r="U538" i="3315"/>
  <c r="U805" i="3315"/>
  <c r="U806" i="3315"/>
  <c r="U336" i="3315"/>
  <c r="U644" i="3315"/>
  <c r="U312" i="3315"/>
  <c r="U820" i="3315"/>
  <c r="U590" i="3315"/>
  <c r="U726" i="3315"/>
  <c r="U762" i="3315"/>
  <c r="U631" i="3315"/>
  <c r="U838" i="3315"/>
  <c r="U540" i="3315"/>
  <c r="U581" i="3315"/>
  <c r="U585" i="3315"/>
  <c r="U322" i="3315"/>
  <c r="U315" i="3315"/>
  <c r="U721" i="3315"/>
  <c r="U562" i="3315"/>
  <c r="U521" i="3315"/>
  <c r="U284" i="3315"/>
  <c r="U583" i="3315"/>
  <c r="U758" i="3315"/>
  <c r="U826" i="3315"/>
  <c r="U575" i="3315"/>
  <c r="U587" i="3315"/>
  <c r="U554" i="3315"/>
  <c r="U553" i="3315"/>
  <c r="U345" i="3315"/>
  <c r="U673" i="3315"/>
  <c r="U679" i="3315"/>
  <c r="U676" i="3315"/>
  <c r="U514" i="3315"/>
  <c r="U370" i="3315"/>
  <c r="U695" i="3315"/>
  <c r="U607" i="3315"/>
  <c r="U598" i="3315"/>
  <c r="U362" i="3315"/>
  <c r="U776" i="3315"/>
  <c r="U717" i="3315"/>
  <c r="U544" i="3315"/>
  <c r="U567" i="3315"/>
  <c r="U822" i="3315"/>
  <c r="U509" i="3315"/>
  <c r="U648" i="3315"/>
  <c r="U577" i="3315"/>
  <c r="U505" i="3315"/>
  <c r="U715" i="3315"/>
  <c r="U625" i="3315"/>
  <c r="U708" i="3315"/>
  <c r="U593" i="3315"/>
  <c r="U713" i="3315"/>
  <c r="U711" i="3315"/>
  <c r="AE308" i="3315" l="1"/>
  <c r="AE839" i="3315"/>
  <c r="X764" i="3315"/>
  <c r="X661" i="3315"/>
  <c r="X663" i="3315"/>
  <c r="X713" i="3315"/>
  <c r="X509" i="3315"/>
  <c r="X676" i="3315"/>
  <c r="X644" i="3315"/>
  <c r="X573" i="3315"/>
  <c r="X706" i="3315"/>
  <c r="X345" i="3315"/>
  <c r="X581" i="3315"/>
  <c r="X802" i="3315"/>
  <c r="X728" i="3315"/>
  <c r="X660" i="3315"/>
  <c r="X370" i="3315"/>
  <c r="X690" i="3315"/>
  <c r="X708" i="3315"/>
  <c r="X362" i="3315"/>
  <c r="X673" i="3315"/>
  <c r="X758" i="3315"/>
  <c r="X585" i="3315"/>
  <c r="X631" i="3315"/>
  <c r="X806" i="3315"/>
  <c r="X629" i="3315"/>
  <c r="X754" i="3315"/>
  <c r="X799" i="3315"/>
  <c r="X732" i="3315"/>
  <c r="X560" i="3315"/>
  <c r="X632" i="3315"/>
  <c r="X638" i="3315"/>
  <c r="X665" i="3315"/>
  <c r="X598" i="3315"/>
  <c r="X583" i="3315"/>
  <c r="X762" i="3315"/>
  <c r="X312" i="3315"/>
  <c r="X771" i="3315"/>
  <c r="X498" i="3315"/>
  <c r="X667" i="3315"/>
  <c r="X724" i="3315"/>
  <c r="X579" i="3315"/>
  <c r="X612" i="3315"/>
  <c r="X365" i="3315"/>
  <c r="X44" i="3315"/>
  <c r="X275" i="3315"/>
  <c r="X41" i="3315"/>
  <c r="X703" i="3315"/>
  <c r="X198" i="3315"/>
  <c r="W351" i="3315"/>
  <c r="X587" i="3315"/>
  <c r="X721" i="3315"/>
  <c r="X805" i="3315"/>
  <c r="X93" i="3315"/>
  <c r="X744" i="3315"/>
  <c r="X772" i="3315"/>
  <c r="X715" i="3315"/>
  <c r="X717" i="3315"/>
  <c r="X607" i="3315"/>
  <c r="X575" i="3315"/>
  <c r="X315" i="3315"/>
  <c r="X726" i="3315"/>
  <c r="X538" i="3315"/>
  <c r="X99" i="3315"/>
  <c r="X628" i="3315"/>
  <c r="X45" i="3315"/>
  <c r="X685" i="3315"/>
  <c r="X822" i="3315"/>
  <c r="X776" i="3315"/>
  <c r="X695" i="3315"/>
  <c r="X679" i="3315"/>
  <c r="X553" i="3315"/>
  <c r="X826" i="3315"/>
  <c r="X521" i="3315"/>
  <c r="X322" i="3315"/>
  <c r="X838" i="3315"/>
  <c r="X590" i="3315"/>
  <c r="X336" i="3315"/>
  <c r="X558" i="3315"/>
  <c r="X95" i="3315"/>
  <c r="X739" i="3315"/>
  <c r="X818" i="3315"/>
  <c r="X357" i="3315"/>
  <c r="X302" i="3315"/>
  <c r="X282" i="3315"/>
  <c r="X650" i="3315"/>
  <c r="X856" i="3315"/>
  <c r="V23" i="3315"/>
  <c r="V26" i="3315"/>
  <c r="V399" i="3315"/>
  <c r="V405" i="3315"/>
  <c r="V400" i="3315"/>
  <c r="V410" i="3315"/>
  <c r="V394" i="3315"/>
  <c r="V396" i="3315"/>
  <c r="V393" i="3315"/>
  <c r="V403" i="3315"/>
  <c r="V398" i="3315"/>
  <c r="V389" i="3315"/>
  <c r="V380" i="3315"/>
  <c r="V401" i="3315"/>
  <c r="V384" i="3315"/>
  <c r="V395" i="3315"/>
  <c r="V390" i="3315"/>
  <c r="V397" i="3315"/>
  <c r="V406" i="3315"/>
  <c r="V387" i="3315"/>
  <c r="V404" i="3315"/>
  <c r="V385" i="3315"/>
  <c r="V163" i="3315"/>
  <c r="V391" i="3315"/>
  <c r="V407" i="3315"/>
  <c r="V372" i="3315"/>
  <c r="V477" i="3315"/>
  <c r="V392" i="3315"/>
  <c r="V402" i="3315"/>
  <c r="V383" i="3315"/>
  <c r="V409" i="3315"/>
  <c r="V386" i="3315"/>
  <c r="V424" i="3315"/>
  <c r="X424" i="3315" s="1"/>
  <c r="V425" i="3315"/>
  <c r="X425" i="3315" s="1"/>
  <c r="V432" i="3315"/>
  <c r="X432" i="3315" s="1"/>
  <c r="V423" i="3315"/>
  <c r="X423" i="3315" s="1"/>
  <c r="V422" i="3315"/>
  <c r="X422" i="3315" s="1"/>
  <c r="V426" i="3315"/>
  <c r="X426" i="3315" s="1"/>
  <c r="V187" i="3315"/>
  <c r="X187" i="3315" s="1"/>
  <c r="V192" i="3315"/>
  <c r="X192" i="3315" s="1"/>
  <c r="V83" i="3315"/>
  <c r="X83" i="3315" s="1"/>
  <c r="V324" i="3315"/>
  <c r="X324" i="3315" s="1"/>
  <c r="V319" i="3315"/>
  <c r="X319" i="3315" s="1"/>
  <c r="V191" i="3315"/>
  <c r="X191" i="3315" s="1"/>
  <c r="V124" i="3315"/>
  <c r="X124" i="3315" s="1"/>
  <c r="V80" i="3315"/>
  <c r="X80" i="3315" s="1"/>
  <c r="V246" i="3315"/>
  <c r="X246" i="3315" s="1"/>
  <c r="V168" i="3315"/>
  <c r="X168" i="3315" s="1"/>
  <c r="V194" i="3315"/>
  <c r="X194" i="3315" s="1"/>
  <c r="V288" i="3315"/>
  <c r="X288" i="3315" s="1"/>
  <c r="V184" i="3315"/>
  <c r="X184" i="3315" s="1"/>
  <c r="V167" i="3315"/>
  <c r="X167" i="3315" s="1"/>
  <c r="V113" i="3315"/>
  <c r="X113" i="3315" s="1"/>
  <c r="V186" i="3315"/>
  <c r="X186" i="3315" s="1"/>
  <c r="V177" i="3315"/>
  <c r="X177" i="3315" s="1"/>
  <c r="V277" i="3315"/>
  <c r="X277" i="3315" s="1"/>
  <c r="V183" i="3315"/>
  <c r="X183" i="3315" s="1"/>
  <c r="V188" i="3315"/>
  <c r="X188" i="3315" s="1"/>
  <c r="V133" i="3315"/>
  <c r="X133" i="3315" s="1"/>
  <c r="V306" i="3315"/>
  <c r="X306" i="3315" s="1"/>
  <c r="V320" i="3315"/>
  <c r="X320" i="3315" s="1"/>
  <c r="V301" i="3315"/>
  <c r="X301" i="3315" s="1"/>
  <c r="V175" i="3315"/>
  <c r="X175" i="3315" s="1"/>
  <c r="V182" i="3315"/>
  <c r="X182" i="3315" s="1"/>
  <c r="V190" i="3315"/>
  <c r="X190" i="3315" s="1"/>
  <c r="V81" i="3315"/>
  <c r="X81" i="3315" s="1"/>
  <c r="V382" i="3315"/>
  <c r="X382" i="3315" s="1"/>
  <c r="V189" i="3315"/>
  <c r="X189" i="3315" s="1"/>
  <c r="V273" i="3315"/>
  <c r="X273" i="3315" s="1"/>
  <c r="V247" i="3315"/>
  <c r="X247" i="3315" s="1"/>
  <c r="V278" i="3315"/>
  <c r="X278" i="3315" s="1"/>
  <c r="V185" i="3315"/>
  <c r="X185" i="3315" s="1"/>
  <c r="V328" i="3315"/>
  <c r="X328" i="3315" s="1"/>
  <c r="V139" i="3315"/>
  <c r="X139" i="3315" s="1"/>
  <c r="V358" i="3315"/>
  <c r="X358" i="3315" s="1"/>
  <c r="V326" i="3315"/>
  <c r="X326" i="3315" s="1"/>
  <c r="V359" i="3315"/>
  <c r="X359" i="3315" s="1"/>
  <c r="V193" i="3315"/>
  <c r="X193" i="3315" s="1"/>
  <c r="V196" i="3315"/>
  <c r="X196" i="3315" s="1"/>
  <c r="V361" i="3315"/>
  <c r="X361" i="3315" s="1"/>
  <c r="V280" i="3315"/>
  <c r="X280" i="3315" s="1"/>
  <c r="V176" i="3315"/>
  <c r="X176" i="3315" s="1"/>
  <c r="V349" i="3315"/>
  <c r="V458" i="3315"/>
  <c r="V444" i="3315"/>
  <c r="V447" i="3315"/>
  <c r="V456" i="3315"/>
  <c r="V452" i="3315"/>
  <c r="V446" i="3315"/>
  <c r="V442" i="3315"/>
  <c r="V420" i="3315"/>
  <c r="V454" i="3315"/>
  <c r="V449" i="3315"/>
  <c r="V455" i="3315"/>
  <c r="V445" i="3315"/>
  <c r="V450" i="3315"/>
  <c r="V443" i="3315"/>
  <c r="V451" i="3315"/>
  <c r="V427" i="3315"/>
  <c r="V448" i="3315"/>
  <c r="V459" i="3315"/>
  <c r="V457" i="3315"/>
  <c r="V453" i="3315"/>
  <c r="V160" i="3315"/>
  <c r="V50" i="3315"/>
  <c r="V823" i="3315"/>
  <c r="V204" i="3315"/>
  <c r="V114" i="3315"/>
  <c r="V253" i="3315"/>
  <c r="V836" i="3315"/>
  <c r="V132" i="3315"/>
  <c r="V69" i="3315"/>
  <c r="V228" i="3315"/>
  <c r="V468" i="3315"/>
  <c r="V547" i="3315"/>
  <c r="V325" i="3315"/>
  <c r="V298" i="3315"/>
  <c r="V375" i="3315"/>
  <c r="V313" i="3315"/>
  <c r="V473" i="3315"/>
  <c r="V712" i="3315"/>
  <c r="V601" i="3315"/>
  <c r="V532" i="3315"/>
  <c r="V516" i="3315"/>
  <c r="V507" i="3315"/>
  <c r="V218" i="3315"/>
  <c r="V125" i="3315"/>
  <c r="V46" i="3315"/>
  <c r="V70" i="3315"/>
  <c r="V48" i="3315"/>
  <c r="V153" i="3315"/>
  <c r="V203" i="3315"/>
  <c r="V335" i="3315"/>
  <c r="V474" i="3315"/>
  <c r="V645" i="3315"/>
  <c r="V219" i="3315"/>
  <c r="V355" i="3315"/>
  <c r="V613" i="3315"/>
  <c r="V543" i="3315"/>
  <c r="V519" i="3315"/>
  <c r="V90" i="3315"/>
  <c r="V66" i="3315"/>
  <c r="V232" i="3315"/>
  <c r="V148" i="3315"/>
  <c r="V606" i="3315"/>
  <c r="V164" i="3315"/>
  <c r="V200" i="3315"/>
  <c r="V229" i="3315"/>
  <c r="V331" i="3315"/>
  <c r="V412" i="3315"/>
  <c r="V637" i="3315"/>
  <c r="V231" i="3315"/>
  <c r="V276" i="3315"/>
  <c r="V821" i="3315"/>
  <c r="V596" i="3315"/>
  <c r="V611" i="3315"/>
  <c r="V172" i="3315"/>
  <c r="V259" i="3315"/>
  <c r="V181" i="3315"/>
  <c r="V710" i="3315"/>
  <c r="V475" i="3315"/>
  <c r="V610" i="3315"/>
  <c r="V677" i="3315"/>
  <c r="V605" i="3315"/>
  <c r="V828" i="3315"/>
  <c r="V279" i="3315"/>
  <c r="V97" i="3315"/>
  <c r="V271" i="3315"/>
  <c r="V104" i="3315"/>
  <c r="V333" i="3315"/>
  <c r="V71" i="3315"/>
  <c r="V768" i="3315"/>
  <c r="V533" i="3315"/>
  <c r="V476" i="3315"/>
  <c r="V141" i="3315"/>
  <c r="V603" i="3315"/>
  <c r="V323" i="3315"/>
  <c r="V111" i="3315"/>
  <c r="V109" i="3315"/>
  <c r="V243" i="3315"/>
  <c r="V173" i="3315"/>
  <c r="V307" i="3315"/>
  <c r="V294" i="3315"/>
  <c r="V244" i="3315"/>
  <c r="V515" i="3315"/>
  <c r="V647" i="3315"/>
  <c r="V672" i="3315"/>
  <c r="V178" i="3315"/>
  <c r="V197" i="3315"/>
  <c r="V169" i="3315"/>
  <c r="V369" i="3315"/>
  <c r="V774" i="3315"/>
  <c r="V564" i="3315"/>
  <c r="V63" i="3315"/>
  <c r="V79" i="3315"/>
  <c r="V296" i="3315"/>
  <c r="V338" i="3315"/>
  <c r="V480" i="3315"/>
  <c r="V674" i="3315"/>
  <c r="V709" i="3315"/>
  <c r="V608" i="3315"/>
  <c r="V226" i="3315"/>
  <c r="V128" i="3315"/>
  <c r="V216" i="3315"/>
  <c r="V49" i="3315"/>
  <c r="V230" i="3315"/>
  <c r="V51" i="3315"/>
  <c r="V377" i="3315"/>
  <c r="V87" i="3315"/>
  <c r="V174" i="3315"/>
  <c r="V98" i="3315"/>
  <c r="V195" i="3315"/>
  <c r="V262" i="3315"/>
  <c r="V675" i="3315"/>
  <c r="V297" i="3315"/>
  <c r="V777" i="3315"/>
  <c r="V527" i="3315"/>
  <c r="V501" i="3315"/>
  <c r="V179" i="3315"/>
  <c r="V241" i="3315"/>
  <c r="V110" i="3315"/>
  <c r="V765" i="3315"/>
  <c r="V202" i="3315"/>
  <c r="V245" i="3315"/>
  <c r="V220" i="3315"/>
  <c r="V510" i="3315"/>
  <c r="V217" i="3315"/>
  <c r="V718" i="3315"/>
  <c r="V624" i="3315"/>
  <c r="V310" i="3315"/>
  <c r="V614" i="3315"/>
  <c r="V309" i="3315"/>
  <c r="V597" i="3315"/>
  <c r="V526" i="3315"/>
  <c r="V618" i="3315"/>
  <c r="V340" i="3315"/>
  <c r="V68" i="3315"/>
  <c r="V255" i="3315"/>
  <c r="V214" i="3315"/>
  <c r="V472" i="3315"/>
  <c r="V714" i="3315"/>
  <c r="V616" i="3315"/>
  <c r="V215" i="3315"/>
  <c r="V479" i="3315"/>
  <c r="V804" i="3315"/>
  <c r="V680" i="3315"/>
  <c r="V609" i="3315"/>
  <c r="V595" i="3315"/>
  <c r="V528" i="3315"/>
  <c r="V156" i="3315"/>
  <c r="V649" i="3315"/>
  <c r="V171" i="3315"/>
  <c r="V697" i="3315"/>
  <c r="V108" i="3315"/>
  <c r="V180" i="3315"/>
  <c r="V165" i="3315"/>
  <c r="V299" i="3315"/>
  <c r="V827" i="3315"/>
  <c r="V536" i="3315"/>
  <c r="V517" i="3315"/>
  <c r="V626" i="3315"/>
  <c r="V257" i="3315"/>
  <c r="V208" i="3315"/>
  <c r="V157" i="3315"/>
  <c r="V150" i="3315"/>
  <c r="V617" i="3315"/>
  <c r="V166" i="3315"/>
  <c r="V669" i="3315"/>
  <c r="V155" i="3315"/>
  <c r="V295" i="3315"/>
  <c r="V825" i="3315"/>
  <c r="V681" i="3315"/>
  <c r="V542" i="3315"/>
  <c r="V687" i="3315"/>
  <c r="V55" i="3315"/>
  <c r="V162" i="3315"/>
  <c r="V289" i="3315"/>
  <c r="V778" i="3315"/>
  <c r="V689" i="3315"/>
  <c r="V600" i="3315"/>
  <c r="V123" i="3315"/>
  <c r="V106" i="3315"/>
  <c r="V121" i="3315"/>
  <c r="V339" i="3315"/>
  <c r="V213" i="3315"/>
  <c r="V77" i="3315"/>
  <c r="V256" i="3315"/>
  <c r="V508" i="3315"/>
  <c r="V513" i="3315"/>
  <c r="V224" i="3315"/>
  <c r="V52" i="3315"/>
  <c r="V140" i="3315"/>
  <c r="V54" i="3315"/>
  <c r="V161" i="3315"/>
  <c r="V143" i="3315"/>
  <c r="V815" i="3315"/>
  <c r="V770" i="3315"/>
  <c r="V502" i="3315"/>
  <c r="V546" i="3315"/>
  <c r="V545" i="3315"/>
  <c r="V741" i="3315"/>
  <c r="V360" i="3315"/>
  <c r="V82" i="3315"/>
  <c r="V207" i="3315"/>
  <c r="V88" i="3315"/>
  <c r="V206" i="3315"/>
  <c r="V142" i="3315"/>
  <c r="V154" i="3315"/>
  <c r="V170" i="3315"/>
  <c r="V151" i="3315"/>
  <c r="V670" i="3315"/>
  <c r="V367" i="3315"/>
  <c r="V761" i="3315"/>
  <c r="V300" i="3315"/>
  <c r="V149" i="3315"/>
  <c r="V130" i="3315"/>
  <c r="V332" i="3315"/>
  <c r="V531" i="3315"/>
  <c r="V750" i="3315"/>
  <c r="V223" i="3315"/>
  <c r="V688" i="3315"/>
  <c r="V152" i="3315"/>
  <c r="V746" i="3315"/>
  <c r="V747" i="3315"/>
  <c r="V89" i="3315"/>
  <c r="V749" i="3315"/>
  <c r="V225" i="3315"/>
  <c r="V327" i="3315"/>
  <c r="V619" i="3315"/>
  <c r="V753" i="3315"/>
  <c r="V599" i="3315"/>
  <c r="V159" i="3315"/>
  <c r="V816" i="3315"/>
  <c r="V503" i="3315"/>
  <c r="V814" i="3315"/>
  <c r="V158" i="3315"/>
  <c r="V621" i="3315"/>
  <c r="V653" i="3315"/>
  <c r="V824" i="3315"/>
  <c r="V698" i="3315"/>
  <c r="V144" i="3315"/>
  <c r="V682" i="3315"/>
  <c r="V286" i="3315"/>
  <c r="V671" i="3315"/>
  <c r="V766" i="3315"/>
  <c r="V62" i="3315"/>
  <c r="V272" i="3315"/>
  <c r="V591" i="3315"/>
  <c r="V641" i="3315"/>
  <c r="V291" i="3315"/>
  <c r="V337" i="3315"/>
  <c r="V506" i="3315"/>
  <c r="V678" i="3315"/>
  <c r="V731" i="3315"/>
  <c r="V518" i="3315"/>
  <c r="V565" i="3315"/>
  <c r="V53" i="3315"/>
  <c r="V147" i="3315"/>
  <c r="V364" i="3315"/>
  <c r="V734" i="3315"/>
  <c r="V227" i="3315"/>
  <c r="V1052" i="3315"/>
  <c r="V1063" i="3315"/>
  <c r="V1081" i="3315"/>
  <c r="V1087" i="3315"/>
  <c r="V1055" i="3315"/>
  <c r="V1067" i="3315"/>
  <c r="V1085" i="3315"/>
  <c r="V1086" i="3315"/>
  <c r="V1076" i="3315"/>
  <c r="V1051" i="3315"/>
  <c r="V1075" i="3315"/>
  <c r="V1088" i="3315"/>
  <c r="V1066" i="3315"/>
  <c r="V1071" i="3315"/>
  <c r="V1084" i="3315"/>
  <c r="V1065" i="3315"/>
  <c r="V1070" i="3315"/>
  <c r="V1062" i="3315"/>
  <c r="V1080" i="3315"/>
  <c r="V1050" i="3315"/>
  <c r="V927" i="3315"/>
  <c r="V928" i="3315"/>
  <c r="V923" i="3315"/>
  <c r="V1001" i="3315"/>
  <c r="X577" i="3315"/>
  <c r="X567" i="3315"/>
  <c r="X719" i="3315"/>
  <c r="X568" i="3315"/>
  <c r="X569" i="3315"/>
  <c r="X643" i="3315"/>
  <c r="X42" i="3315"/>
  <c r="V25" i="3315"/>
  <c r="V346" i="3315"/>
  <c r="V436" i="3315"/>
  <c r="V462" i="3315"/>
  <c r="V439" i="3315"/>
  <c r="V431" i="3315"/>
  <c r="V15" i="3315"/>
  <c r="V440" i="3315"/>
  <c r="V461" i="3315"/>
  <c r="V435" i="3315"/>
  <c r="V428" i="3315"/>
  <c r="V350" i="3315"/>
  <c r="V421" i="3315"/>
  <c r="V438" i="3315"/>
  <c r="V347" i="3315"/>
  <c r="V433" i="3315"/>
  <c r="V434" i="3315"/>
  <c r="V419" i="3315"/>
  <c r="V463" i="3315"/>
  <c r="V429" i="3315"/>
  <c r="V441" i="3315"/>
  <c r="V348" i="3315"/>
  <c r="V460" i="3315"/>
  <c r="V437" i="3315"/>
  <c r="V430" i="3315"/>
  <c r="V292" i="3315"/>
  <c r="V103" i="3315"/>
  <c r="V249" i="3315"/>
  <c r="V127" i="3315"/>
  <c r="V205" i="3315"/>
  <c r="V221" i="3315"/>
  <c r="V857" i="3315"/>
  <c r="V729" i="3315"/>
  <c r="V696" i="3315"/>
  <c r="V566" i="3315"/>
  <c r="V594" i="3315"/>
  <c r="V572" i="3315"/>
  <c r="V858" i="3315"/>
  <c r="V76" i="3315"/>
  <c r="V222" i="3315"/>
  <c r="V274" i="3315"/>
  <c r="V745" i="3315"/>
  <c r="V655" i="3315"/>
  <c r="V733" i="3315"/>
  <c r="V748" i="3315"/>
  <c r="V684" i="3315"/>
  <c r="V634" i="3315"/>
  <c r="V134" i="3315"/>
  <c r="V478" i="3315"/>
  <c r="V523" i="3315"/>
  <c r="V84" i="3315"/>
  <c r="V96" i="3315"/>
  <c r="V471" i="3315"/>
  <c r="V321" i="3315"/>
  <c r="V470" i="3315"/>
  <c r="V725" i="3315"/>
  <c r="V742" i="3315"/>
  <c r="V651" i="3315"/>
  <c r="V627" i="3315"/>
  <c r="V561" i="3315"/>
  <c r="V534" i="3315"/>
  <c r="V548" i="3315"/>
  <c r="V102" i="3315"/>
  <c r="V727" i="3315"/>
  <c r="V117" i="3315"/>
  <c r="V201" i="3315"/>
  <c r="V832" i="3315"/>
  <c r="V92" i="3315"/>
  <c r="V266" i="3315"/>
  <c r="V379" i="3315"/>
  <c r="V582" i="3315"/>
  <c r="V317" i="3315"/>
  <c r="V800" i="3315"/>
  <c r="V740" i="3315"/>
  <c r="V535" i="3315"/>
  <c r="V642" i="3315"/>
  <c r="V576" i="3315"/>
  <c r="V520" i="3315"/>
  <c r="V738" i="3315"/>
  <c r="V829" i="3315"/>
  <c r="V705" i="3315"/>
  <c r="V604" i="3315"/>
  <c r="V94" i="3315"/>
  <c r="V116" i="3315"/>
  <c r="V835" i="3315"/>
  <c r="V701" i="3315"/>
  <c r="V837" i="3315"/>
  <c r="V293" i="3315"/>
  <c r="V551" i="3315"/>
  <c r="V735" i="3315"/>
  <c r="V803" i="3315"/>
  <c r="V831" i="3315"/>
  <c r="V692" i="3315"/>
  <c r="V859" i="3315"/>
  <c r="V702" i="3315"/>
  <c r="V854" i="3315"/>
  <c r="V91" i="3315"/>
  <c r="V61" i="3315"/>
  <c r="V356" i="3315"/>
  <c r="V755" i="3315"/>
  <c r="V500" i="3315"/>
  <c r="V743" i="3315"/>
  <c r="V833" i="3315"/>
  <c r="V119" i="3315"/>
  <c r="V330" i="3315"/>
  <c r="V115" i="3315"/>
  <c r="V720" i="3315"/>
  <c r="V329" i="3315"/>
  <c r="V120" i="3315"/>
  <c r="V251" i="3315"/>
  <c r="V817" i="3315"/>
  <c r="V85" i="3315"/>
  <c r="V311" i="3315"/>
  <c r="V704" i="3315"/>
  <c r="V586" i="3315"/>
  <c r="V759" i="3315"/>
  <c r="V496" i="3315"/>
  <c r="V248" i="3315"/>
  <c r="V694" i="3315"/>
  <c r="V723" i="3315"/>
  <c r="V654" i="3315"/>
  <c r="V512" i="3315"/>
  <c r="V622" i="3315"/>
  <c r="V555" i="3315"/>
  <c r="V769" i="3315"/>
  <c r="V126" i="3315"/>
  <c r="V199" i="3315"/>
  <c r="V129" i="3315"/>
  <c r="V60" i="3315"/>
  <c r="V853" i="3315"/>
  <c r="V852" i="3315"/>
  <c r="V260" i="3315"/>
  <c r="V469" i="3315"/>
  <c r="V707" i="3315"/>
  <c r="V578" i="3315"/>
  <c r="V666" i="3315"/>
  <c r="V552" i="3315"/>
  <c r="V497" i="3315"/>
  <c r="V756" i="3315"/>
  <c r="V131" i="3315"/>
  <c r="V122" i="3315"/>
  <c r="V65" i="3315"/>
  <c r="V78" i="3315"/>
  <c r="V633" i="3315"/>
  <c r="V620" i="3315"/>
  <c r="V539" i="3315"/>
  <c r="V646" i="3315"/>
  <c r="V580" i="3315"/>
  <c r="V86" i="3315"/>
  <c r="V101" i="3315"/>
  <c r="V287" i="3315"/>
  <c r="V773" i="3315"/>
  <c r="V250" i="3315"/>
  <c r="V686" i="3315"/>
  <c r="V281" i="3315"/>
  <c r="V366" i="3315"/>
  <c r="V830" i="3315"/>
  <c r="V530" i="3315"/>
  <c r="V252" i="3315"/>
  <c r="V855" i="3315"/>
  <c r="V699" i="3315"/>
  <c r="V589" i="3315"/>
  <c r="V504" i="3315"/>
  <c r="V559" i="3315"/>
  <c r="V812" i="3315"/>
  <c r="V368" i="3315"/>
  <c r="V757" i="3315"/>
  <c r="V635" i="3315"/>
  <c r="V499" i="3315"/>
  <c r="V541" i="3315"/>
  <c r="V752" i="3315"/>
  <c r="V258" i="3315"/>
  <c r="V779" i="3315"/>
  <c r="V570" i="3315"/>
  <c r="V373" i="3315"/>
  <c r="V550" i="3315"/>
  <c r="V378" i="3315"/>
  <c r="V615" i="3315"/>
  <c r="V334" i="3315"/>
  <c r="V254" i="3315"/>
  <c r="V775" i="3315"/>
  <c r="V834" i="3315"/>
  <c r="V662" i="3315"/>
  <c r="V630" i="3315"/>
  <c r="V693" i="3315"/>
  <c r="V813" i="3315"/>
  <c r="V668" i="3315"/>
  <c r="V763" i="3315"/>
  <c r="V639" i="3315"/>
  <c r="V74" i="3315"/>
  <c r="V371" i="3315"/>
  <c r="V636" i="3315"/>
  <c r="V574" i="3315"/>
  <c r="V819" i="3315"/>
  <c r="V537" i="3315"/>
  <c r="V107" i="3315"/>
  <c r="V760" i="3315"/>
  <c r="V716" i="3315"/>
  <c r="V118" i="3315"/>
  <c r="V408" i="3315"/>
  <c r="V640" i="3315"/>
  <c r="V737" i="3315"/>
  <c r="V623" i="3315"/>
  <c r="V283" i="3315"/>
  <c r="V112" i="3315"/>
  <c r="V363" i="3315"/>
  <c r="V683" i="3315"/>
  <c r="V657" i="3315"/>
  <c r="V67" i="3315"/>
  <c r="V659" i="3315"/>
  <c r="V563" i="3315"/>
  <c r="V860" i="3315"/>
  <c r="V592" i="3315"/>
  <c r="V388" i="3315"/>
  <c r="V751" i="3315"/>
  <c r="V522" i="3315"/>
  <c r="V242" i="3315"/>
  <c r="V584" i="3315"/>
  <c r="V730" i="3315"/>
  <c r="V549" i="3315"/>
  <c r="V72" i="3315"/>
  <c r="V861" i="3315"/>
  <c r="V318" i="3315"/>
  <c r="V722" i="3315"/>
  <c r="V557" i="3315"/>
  <c r="V588" i="3315"/>
  <c r="V105" i="3315"/>
  <c r="V64" i="3315"/>
  <c r="V495" i="3315"/>
  <c r="V261" i="3315"/>
  <c r="V524" i="3315"/>
  <c r="V75" i="3315"/>
  <c r="V100" i="3315"/>
  <c r="V691" i="3315"/>
  <c r="V1091" i="3315"/>
  <c r="V1057" i="3315"/>
  <c r="V1074" i="3315"/>
  <c r="V1089" i="3315"/>
  <c r="V1064" i="3315"/>
  <c r="V1069" i="3315"/>
  <c r="V1061" i="3315"/>
  <c r="V1073" i="3315"/>
  <c r="V1079" i="3315"/>
  <c r="V1058" i="3315"/>
  <c r="V1077" i="3315"/>
  <c r="V1059" i="3315"/>
  <c r="V1078" i="3315"/>
  <c r="V1053" i="3315"/>
  <c r="V1083" i="3315"/>
  <c r="V1068" i="3315"/>
  <c r="V1054" i="3315"/>
  <c r="X711" i="3315"/>
  <c r="X625" i="3315"/>
  <c r="X648" i="3315"/>
  <c r="X544" i="3315"/>
  <c r="X514" i="3315"/>
  <c r="X554" i="3315"/>
  <c r="X562" i="3315"/>
  <c r="X820" i="3315"/>
  <c r="X801" i="3315"/>
  <c r="X602" i="3315"/>
  <c r="X265" i="3315"/>
  <c r="X73" i="3315"/>
  <c r="X525" i="3315"/>
  <c r="X290" i="3315"/>
  <c r="X43" i="3315"/>
  <c r="X656" i="3315"/>
  <c r="X658" i="3315"/>
  <c r="W793" i="3315"/>
  <c r="W789" i="3315"/>
  <c r="W785" i="3315"/>
  <c r="W781" i="3315"/>
  <c r="W304" i="3315"/>
  <c r="W850" i="3315"/>
  <c r="W846" i="3315"/>
  <c r="W842" i="3315"/>
  <c r="W811" i="3315"/>
  <c r="W807" i="3315"/>
  <c r="W796" i="3315"/>
  <c r="W792" i="3315"/>
  <c r="W788" i="3315"/>
  <c r="W784" i="3315"/>
  <c r="W780" i="3315"/>
  <c r="W795" i="3315"/>
  <c r="W791" i="3315"/>
  <c r="W787" i="3315"/>
  <c r="W783" i="3315"/>
  <c r="W263" i="3315"/>
  <c r="W848" i="3315"/>
  <c r="W844" i="3315"/>
  <c r="W809" i="3315"/>
  <c r="W797" i="3315"/>
  <c r="W794" i="3315"/>
  <c r="W790" i="3315"/>
  <c r="W786" i="3315"/>
  <c r="W782" i="3315"/>
  <c r="W851" i="3315"/>
  <c r="W843" i="3315"/>
  <c r="W849" i="3315"/>
  <c r="W841" i="3315"/>
  <c r="W810" i="3315"/>
  <c r="W303" i="3315"/>
  <c r="W845" i="3315"/>
  <c r="W798" i="3315"/>
  <c r="W808" i="3315"/>
  <c r="W305" i="3315"/>
  <c r="W847" i="3315"/>
  <c r="W1096" i="3315"/>
  <c r="W1099" i="3315" s="1"/>
  <c r="V897" i="3315"/>
  <c r="V953" i="3315"/>
  <c r="V896" i="3315"/>
  <c r="V1017" i="3315"/>
  <c r="V1006" i="3315"/>
  <c r="V895" i="3315"/>
  <c r="V381" i="3315"/>
  <c r="X381" i="3315" s="1"/>
  <c r="V413" i="3315"/>
  <c r="X413" i="3315" s="1"/>
  <c r="V414" i="3315"/>
  <c r="X414" i="3315" s="1"/>
  <c r="V411" i="3315"/>
  <c r="X411" i="3315" s="1"/>
  <c r="V374" i="3315"/>
  <c r="X374" i="3315" s="1"/>
  <c r="W409" i="3315"/>
  <c r="W405" i="3315"/>
  <c r="W402" i="3315"/>
  <c r="W398" i="3315"/>
  <c r="W394" i="3315"/>
  <c r="W390" i="3315"/>
  <c r="W386" i="3315"/>
  <c r="W372" i="3315"/>
  <c r="W163" i="3315"/>
  <c r="W23" i="3315"/>
  <c r="W407" i="3315"/>
  <c r="W404" i="3315"/>
  <c r="W400" i="3315"/>
  <c r="W396" i="3315"/>
  <c r="W392" i="3315"/>
  <c r="W384" i="3315"/>
  <c r="W380" i="3315"/>
  <c r="W477" i="3315"/>
  <c r="W410" i="3315"/>
  <c r="W403" i="3315"/>
  <c r="W395" i="3315"/>
  <c r="W387" i="3315"/>
  <c r="W401" i="3315"/>
  <c r="W393" i="3315"/>
  <c r="W385" i="3315"/>
  <c r="W26" i="3315"/>
  <c r="W397" i="3315"/>
  <c r="W406" i="3315"/>
  <c r="W391" i="3315"/>
  <c r="W389" i="3315"/>
  <c r="W399" i="3315"/>
  <c r="W383" i="3315"/>
  <c r="V264" i="3315"/>
  <c r="V316" i="3315"/>
  <c r="V376" i="3315"/>
  <c r="V652" i="3315"/>
  <c r="V285" i="3315"/>
  <c r="V840" i="3315"/>
  <c r="V780" i="3315"/>
  <c r="V795" i="3315"/>
  <c r="V841" i="3315"/>
  <c r="V781" i="3315"/>
  <c r="V793" i="3315"/>
  <c r="V263" i="3315"/>
  <c r="V809" i="3315"/>
  <c r="V808" i="3315"/>
  <c r="V792" i="3315"/>
  <c r="V844" i="3315"/>
  <c r="V785" i="3315"/>
  <c r="V846" i="3315"/>
  <c r="V784" i="3315"/>
  <c r="V843" i="3315"/>
  <c r="V842" i="3315"/>
  <c r="V303" i="3315"/>
  <c r="V305" i="3315"/>
  <c r="V304" i="3315"/>
  <c r="V782" i="3315"/>
  <c r="V851" i="3315"/>
  <c r="V847" i="3315"/>
  <c r="V791" i="3315"/>
  <c r="V794" i="3315"/>
  <c r="V790" i="3315"/>
  <c r="V807" i="3315"/>
  <c r="V849" i="3315"/>
  <c r="V789" i="3315"/>
  <c r="V848" i="3315"/>
  <c r="V788" i="3315"/>
  <c r="V783" i="3315"/>
  <c r="V787" i="3315"/>
  <c r="V845" i="3315"/>
  <c r="V850" i="3315"/>
  <c r="V810" i="3315"/>
  <c r="V786" i="3315"/>
  <c r="V811" i="3315"/>
  <c r="V798" i="3315"/>
  <c r="V797" i="3315"/>
  <c r="V796" i="3315"/>
  <c r="V994" i="3315"/>
  <c r="V1000" i="3315"/>
  <c r="V999" i="3315"/>
  <c r="V955" i="3315"/>
  <c r="V925" i="3315"/>
  <c r="V940" i="3315"/>
  <c r="V954" i="3315"/>
  <c r="V993" i="3315"/>
  <c r="V963" i="3315"/>
  <c r="V914" i="3315"/>
  <c r="V902" i="3315"/>
  <c r="V907" i="3315"/>
  <c r="V970" i="3315"/>
  <c r="V997" i="3315"/>
  <c r="V992" i="3315"/>
  <c r="V989" i="3315"/>
  <c r="V972" i="3315"/>
  <c r="V916" i="3315"/>
  <c r="V947" i="3315"/>
  <c r="V985" i="3315"/>
  <c r="V966" i="3315"/>
  <c r="V951" i="3315"/>
  <c r="V1016" i="3315"/>
  <c r="V962" i="3315"/>
  <c r="V919" i="3315"/>
  <c r="V930" i="3315"/>
  <c r="V934" i="3315"/>
  <c r="V921" i="3315"/>
  <c r="V988" i="3315"/>
  <c r="V913" i="3315"/>
  <c r="V924" i="3315"/>
  <c r="V917" i="3315"/>
  <c r="V946" i="3315"/>
  <c r="V920" i="3315"/>
  <c r="V1004" i="3315"/>
  <c r="V1007" i="3315"/>
  <c r="V979" i="3315"/>
  <c r="V974" i="3315"/>
  <c r="V983" i="3315"/>
  <c r="V961" i="3315"/>
  <c r="V1024" i="3315"/>
  <c r="V1018" i="3315"/>
  <c r="V915" i="3315"/>
  <c r="V950" i="3315"/>
  <c r="V959" i="3315"/>
  <c r="V956" i="3315"/>
  <c r="V964" i="3315"/>
  <c r="V1013" i="3315"/>
  <c r="V932" i="3315"/>
  <c r="V937" i="3315"/>
  <c r="V935" i="3315"/>
  <c r="V971" i="3315"/>
  <c r="V912" i="3315"/>
  <c r="V948" i="3315"/>
  <c r="V990" i="3315"/>
  <c r="V982" i="3315"/>
  <c r="V968" i="3315"/>
  <c r="V1014" i="3315"/>
  <c r="V910" i="3315"/>
  <c r="V908" i="3315"/>
  <c r="V941" i="3315"/>
  <c r="V1010" i="3315"/>
  <c r="V986" i="3315"/>
  <c r="V926" i="3315"/>
  <c r="V911" i="3315"/>
  <c r="V984" i="3315"/>
  <c r="V938" i="3315"/>
  <c r="V1019" i="3315"/>
  <c r="V958" i="3315"/>
  <c r="V1011" i="3315"/>
  <c r="V939" i="3315"/>
  <c r="V943" i="3315"/>
  <c r="V936" i="3315"/>
  <c r="V944" i="3315"/>
  <c r="V991" i="3315"/>
  <c r="V957" i="3315"/>
  <c r="V909" i="3315"/>
  <c r="V975" i="3315"/>
  <c r="V894" i="3315"/>
  <c r="V1012" i="3315"/>
  <c r="V967" i="3315"/>
  <c r="V903" i="3315"/>
  <c r="V942" i="3315"/>
  <c r="V1025" i="3315"/>
  <c r="V1023" i="3315"/>
  <c r="V918" i="3315"/>
  <c r="V995" i="3315"/>
  <c r="V952" i="3315"/>
  <c r="V965" i="3315"/>
  <c r="V1015" i="3315"/>
  <c r="V949" i="3315"/>
  <c r="V969" i="3315"/>
  <c r="V901" i="3315"/>
  <c r="X593" i="3315"/>
  <c r="X505" i="3315"/>
  <c r="X284" i="3315"/>
  <c r="X540" i="3315"/>
  <c r="X736" i="3315"/>
  <c r="X571" i="3315"/>
  <c r="X767" i="3315"/>
  <c r="X556" i="3315"/>
  <c r="X664" i="3315"/>
  <c r="X529" i="3315"/>
  <c r="X146" i="3315"/>
  <c r="X145" i="3315"/>
  <c r="X511" i="3315"/>
  <c r="X47" i="3315"/>
  <c r="X700" i="3315"/>
  <c r="X314" i="3315"/>
  <c r="U376" i="3315"/>
  <c r="X848" i="3315" l="1"/>
  <c r="X851" i="3315"/>
  <c r="X808" i="3315"/>
  <c r="X782" i="3315"/>
  <c r="X841" i="3315"/>
  <c r="X842" i="3315"/>
  <c r="AE414" i="3315"/>
  <c r="AE568" i="3315"/>
  <c r="AE358" i="3315"/>
  <c r="AE382" i="3315"/>
  <c r="AE133" i="3315"/>
  <c r="AE184" i="3315"/>
  <c r="AE319" i="3315"/>
  <c r="AE432" i="3315"/>
  <c r="AE818" i="3315"/>
  <c r="AE521" i="3315"/>
  <c r="AE695" i="3315"/>
  <c r="AE726" i="3315"/>
  <c r="AE579" i="3315"/>
  <c r="AE598" i="3315"/>
  <c r="AE632" i="3315"/>
  <c r="AE585" i="3315"/>
  <c r="AE708" i="3315"/>
  <c r="AE728" i="3315"/>
  <c r="AE706" i="3315"/>
  <c r="AE511" i="3315"/>
  <c r="AE664" i="3315"/>
  <c r="AE736" i="3315"/>
  <c r="AE593" i="3315"/>
  <c r="AE658" i="3315"/>
  <c r="AE525" i="3315"/>
  <c r="AE801" i="3315"/>
  <c r="AE514" i="3315"/>
  <c r="AE711" i="3315"/>
  <c r="AE719" i="3315"/>
  <c r="AE193" i="3315"/>
  <c r="AE247" i="3315"/>
  <c r="AE301" i="3315"/>
  <c r="AE186" i="3315"/>
  <c r="AE80" i="3315"/>
  <c r="AE426" i="3315"/>
  <c r="AE282" i="3315"/>
  <c r="AE590" i="3315"/>
  <c r="AE776" i="3315"/>
  <c r="AE315" i="3315"/>
  <c r="AE312" i="3315"/>
  <c r="AE560" i="3315"/>
  <c r="AE758" i="3315"/>
  <c r="AE802" i="3315"/>
  <c r="AE509" i="3315"/>
  <c r="AE764" i="3315"/>
  <c r="AE314" i="3315"/>
  <c r="AE145" i="3315"/>
  <c r="AE556" i="3315"/>
  <c r="AE540" i="3315"/>
  <c r="AE381" i="3315"/>
  <c r="AE656" i="3315"/>
  <c r="AE820" i="3315"/>
  <c r="AE643" i="3315"/>
  <c r="AE567" i="3315"/>
  <c r="AE280" i="3315"/>
  <c r="AE359" i="3315"/>
  <c r="AE328" i="3315"/>
  <c r="AE273" i="3315"/>
  <c r="AE190" i="3315"/>
  <c r="AE320" i="3315"/>
  <c r="AE183" i="3315"/>
  <c r="AE113" i="3315"/>
  <c r="AE194" i="3315"/>
  <c r="AE124" i="3315"/>
  <c r="AE83" i="3315"/>
  <c r="AE422" i="3315"/>
  <c r="AE424" i="3315"/>
  <c r="AE302" i="3315"/>
  <c r="AE95" i="3315"/>
  <c r="AE838" i="3315"/>
  <c r="AE553" i="3315"/>
  <c r="AE822" i="3315"/>
  <c r="AE99" i="3315"/>
  <c r="AE575" i="3315"/>
  <c r="AE772" i="3315"/>
  <c r="AE721" i="3315"/>
  <c r="AE703" i="3315"/>
  <c r="AE365" i="3315"/>
  <c r="AE667" i="3315"/>
  <c r="AE762" i="3315"/>
  <c r="AE665" i="3315"/>
  <c r="AE732" i="3315"/>
  <c r="AE806" i="3315"/>
  <c r="AE673" i="3315"/>
  <c r="AE370" i="3315"/>
  <c r="AE581" i="3315"/>
  <c r="AE644" i="3315"/>
  <c r="AE713" i="3315"/>
  <c r="AE529" i="3315"/>
  <c r="AE571" i="3315"/>
  <c r="AE505" i="3315"/>
  <c r="AE290" i="3315"/>
  <c r="AE602" i="3315"/>
  <c r="AE554" i="3315"/>
  <c r="AE625" i="3315"/>
  <c r="AE196" i="3315"/>
  <c r="AE278" i="3315"/>
  <c r="AE175" i="3315"/>
  <c r="AE177" i="3315"/>
  <c r="AE246" i="3315"/>
  <c r="AE187" i="3315"/>
  <c r="AE650" i="3315"/>
  <c r="AE336" i="3315"/>
  <c r="AE717" i="3315"/>
  <c r="AE93" i="3315"/>
  <c r="AE275" i="3315"/>
  <c r="AE771" i="3315"/>
  <c r="AE754" i="3315"/>
  <c r="AE661" i="3315"/>
  <c r="AE413" i="3315"/>
  <c r="AE176" i="3315"/>
  <c r="AE139" i="3315"/>
  <c r="AE81" i="3315"/>
  <c r="AE188" i="3315"/>
  <c r="AE288" i="3315"/>
  <c r="AE324" i="3315"/>
  <c r="AE425" i="3315"/>
  <c r="AE739" i="3315"/>
  <c r="AE826" i="3315"/>
  <c r="AE628" i="3315"/>
  <c r="AE715" i="3315"/>
  <c r="AE805" i="3315"/>
  <c r="AE198" i="3315"/>
  <c r="AE724" i="3315"/>
  <c r="AE629" i="3315"/>
  <c r="AE690" i="3315"/>
  <c r="AE573" i="3315"/>
  <c r="AE374" i="3315"/>
  <c r="AE73" i="3315"/>
  <c r="AE544" i="3315"/>
  <c r="AE700" i="3315"/>
  <c r="AE146" i="3315"/>
  <c r="AE767" i="3315"/>
  <c r="AE284" i="3315"/>
  <c r="AE411" i="3315"/>
  <c r="AE265" i="3315"/>
  <c r="AE562" i="3315"/>
  <c r="AE648" i="3315"/>
  <c r="AE569" i="3315"/>
  <c r="AE577" i="3315"/>
  <c r="AE361" i="3315"/>
  <c r="AE326" i="3315"/>
  <c r="AE185" i="3315"/>
  <c r="AE189" i="3315"/>
  <c r="AE182" i="3315"/>
  <c r="AE306" i="3315"/>
  <c r="AE277" i="3315"/>
  <c r="AE167" i="3315"/>
  <c r="AE168" i="3315"/>
  <c r="AE191" i="3315"/>
  <c r="AE192" i="3315"/>
  <c r="AE423" i="3315"/>
  <c r="AE856" i="3315"/>
  <c r="AE357" i="3315"/>
  <c r="AE558" i="3315"/>
  <c r="AE322" i="3315"/>
  <c r="AE679" i="3315"/>
  <c r="AE685" i="3315"/>
  <c r="AE538" i="3315"/>
  <c r="AE607" i="3315"/>
  <c r="AE744" i="3315"/>
  <c r="AE587" i="3315"/>
  <c r="AE612" i="3315"/>
  <c r="AE498" i="3315"/>
  <c r="AE583" i="3315"/>
  <c r="AE638" i="3315"/>
  <c r="AE799" i="3315"/>
  <c r="AE631" i="3315"/>
  <c r="AE362" i="3315"/>
  <c r="AE660" i="3315"/>
  <c r="AE345" i="3315"/>
  <c r="AE676" i="3315"/>
  <c r="AE663" i="3315"/>
  <c r="AE45" i="3315"/>
  <c r="AE42" i="3315"/>
  <c r="AE44" i="3315"/>
  <c r="AE47" i="3315"/>
  <c r="AE43" i="3315"/>
  <c r="AE41" i="3315"/>
  <c r="X811" i="3315"/>
  <c r="X795" i="3315"/>
  <c r="X781" i="3315"/>
  <c r="X285" i="3315"/>
  <c r="X797" i="3315"/>
  <c r="X263" i="3315"/>
  <c r="X798" i="3315"/>
  <c r="X792" i="3315"/>
  <c r="X794" i="3315"/>
  <c r="X376" i="3315"/>
  <c r="X847" i="3315"/>
  <c r="X780" i="3315"/>
  <c r="X652" i="3315"/>
  <c r="X790" i="3315"/>
  <c r="X303" i="3315"/>
  <c r="X264" i="3315"/>
  <c r="V904" i="3315"/>
  <c r="X810" i="3315"/>
  <c r="X791" i="3315"/>
  <c r="X304" i="3315"/>
  <c r="V351" i="3315"/>
  <c r="X850" i="3315"/>
  <c r="X788" i="3315"/>
  <c r="X807" i="3315"/>
  <c r="X305" i="3315"/>
  <c r="X784" i="3315"/>
  <c r="X793" i="3315"/>
  <c r="V1096" i="3315"/>
  <c r="V1099" i="3315" s="1"/>
  <c r="X845" i="3315"/>
  <c r="V976" i="3315"/>
  <c r="X796" i="3315"/>
  <c r="X786" i="3315"/>
  <c r="X787" i="3315"/>
  <c r="X789" i="3315"/>
  <c r="X785" i="3315"/>
  <c r="X809" i="3315"/>
  <c r="X846" i="3315"/>
  <c r="V1027" i="3315"/>
  <c r="X783" i="3315"/>
  <c r="X849" i="3315"/>
  <c r="X843" i="3315"/>
  <c r="X844" i="3315"/>
  <c r="W954" i="3315"/>
  <c r="W994" i="3315"/>
  <c r="W999" i="3315"/>
  <c r="W1000" i="3315"/>
  <c r="W902" i="3315"/>
  <c r="W955" i="3315"/>
  <c r="W940" i="3315"/>
  <c r="W963" i="3315"/>
  <c r="W993" i="3315"/>
  <c r="W914" i="3315"/>
  <c r="W925" i="3315"/>
  <c r="W907" i="3315"/>
  <c r="X840" i="3315"/>
  <c r="W953" i="3315"/>
  <c r="X953" i="3315" s="1"/>
  <c r="W895" i="3315"/>
  <c r="X895" i="3315" s="1"/>
  <c r="W896" i="3315"/>
  <c r="X896" i="3315" s="1"/>
  <c r="W1017" i="3315"/>
  <c r="X1017" i="3315" s="1"/>
  <c r="W897" i="3315"/>
  <c r="X897" i="3315" s="1"/>
  <c r="W1006" i="3315"/>
  <c r="X1006" i="3315" s="1"/>
  <c r="W920" i="3315"/>
  <c r="W985" i="3315"/>
  <c r="W997" i="3315"/>
  <c r="W1004" i="3315"/>
  <c r="W972" i="3315"/>
  <c r="W946" i="3315"/>
  <c r="W919" i="3315"/>
  <c r="W988" i="3315"/>
  <c r="W924" i="3315"/>
  <c r="W966" i="3315"/>
  <c r="W930" i="3315"/>
  <c r="W992" i="3315"/>
  <c r="W921" i="3315"/>
  <c r="W913" i="3315"/>
  <c r="W917" i="3315"/>
  <c r="W951" i="3315"/>
  <c r="W970" i="3315"/>
  <c r="W916" i="3315"/>
  <c r="W947" i="3315"/>
  <c r="W1007" i="3315"/>
  <c r="W989" i="3315"/>
  <c r="W934" i="3315"/>
  <c r="W1016" i="3315"/>
  <c r="W962" i="3315"/>
  <c r="W979" i="3315"/>
  <c r="W998" i="3315"/>
  <c r="X998" i="3315" s="1"/>
  <c r="W1008" i="3315"/>
  <c r="X1008" i="3315" s="1"/>
  <c r="W1022" i="3315"/>
  <c r="X1022" i="3315" s="1"/>
  <c r="W1002" i="3315"/>
  <c r="X1002" i="3315" s="1"/>
  <c r="W1026" i="3315"/>
  <c r="X1026" i="3315" s="1"/>
  <c r="W960" i="3315"/>
  <c r="X960" i="3315" s="1"/>
  <c r="W1005" i="3315"/>
  <c r="X1005" i="3315" s="1"/>
  <c r="W1009" i="3315"/>
  <c r="X1009" i="3315" s="1"/>
  <c r="W922" i="3315"/>
  <c r="X922" i="3315" s="1"/>
  <c r="W980" i="3315"/>
  <c r="X980" i="3315" s="1"/>
  <c r="W929" i="3315"/>
  <c r="X929" i="3315" s="1"/>
  <c r="W996" i="3315"/>
  <c r="X996" i="3315" s="1"/>
  <c r="W1021" i="3315"/>
  <c r="X1021" i="3315" s="1"/>
  <c r="W973" i="3315"/>
  <c r="X973" i="3315" s="1"/>
  <c r="W987" i="3315"/>
  <c r="X987" i="3315" s="1"/>
  <c r="W945" i="3315"/>
  <c r="X945" i="3315" s="1"/>
  <c r="W931" i="3315"/>
  <c r="X931" i="3315" s="1"/>
  <c r="W1003" i="3315"/>
  <c r="X1003" i="3315" s="1"/>
  <c r="W981" i="3315"/>
  <c r="X981" i="3315" s="1"/>
  <c r="W933" i="3315"/>
  <c r="X933" i="3315" s="1"/>
  <c r="W1020" i="3315"/>
  <c r="X1020" i="3315" s="1"/>
  <c r="W1011" i="3315"/>
  <c r="W949" i="3315"/>
  <c r="W1013" i="3315"/>
  <c r="W1025" i="3315"/>
  <c r="W938" i="3315"/>
  <c r="W1024" i="3315"/>
  <c r="W944" i="3315"/>
  <c r="W918" i="3315"/>
  <c r="W975" i="3315"/>
  <c r="W936" i="3315"/>
  <c r="W941" i="3315"/>
  <c r="W967" i="3315"/>
  <c r="W943" i="3315"/>
  <c r="W969" i="3315"/>
  <c r="W1010" i="3315"/>
  <c r="W915" i="3315"/>
  <c r="W932" i="3315"/>
  <c r="W939" i="3315"/>
  <c r="W968" i="3315"/>
  <c r="W1015" i="3315"/>
  <c r="W983" i="3315"/>
  <c r="W903" i="3315"/>
  <c r="W926" i="3315"/>
  <c r="W982" i="3315"/>
  <c r="W952" i="3315"/>
  <c r="W894" i="3315"/>
  <c r="W1023" i="3315"/>
  <c r="W1012" i="3315"/>
  <c r="W986" i="3315"/>
  <c r="W957" i="3315"/>
  <c r="W964" i="3315"/>
  <c r="W912" i="3315"/>
  <c r="W948" i="3315"/>
  <c r="W909" i="3315"/>
  <c r="W991" i="3315"/>
  <c r="W974" i="3315"/>
  <c r="W1018" i="3315"/>
  <c r="W961" i="3315"/>
  <c r="W990" i="3315"/>
  <c r="W937" i="3315"/>
  <c r="W911" i="3315"/>
  <c r="W908" i="3315"/>
  <c r="W1014" i="3315"/>
  <c r="W959" i="3315"/>
  <c r="W971" i="3315"/>
  <c r="W1019" i="3315"/>
  <c r="W950" i="3315"/>
  <c r="W935" i="3315"/>
  <c r="W910" i="3315"/>
  <c r="W958" i="3315"/>
  <c r="W995" i="3315"/>
  <c r="W956" i="3315"/>
  <c r="W984" i="3315"/>
  <c r="W965" i="3315"/>
  <c r="W942" i="3315"/>
  <c r="W901" i="3315"/>
  <c r="W927" i="3315"/>
  <c r="W923" i="3315"/>
  <c r="W1001" i="3315"/>
  <c r="W928" i="3315"/>
  <c r="X316" i="3315"/>
  <c r="U901" i="3315"/>
  <c r="AE848" i="3315" l="1"/>
  <c r="AE851" i="3315"/>
  <c r="AE841" i="3315"/>
  <c r="AE808" i="3315"/>
  <c r="AE782" i="3315"/>
  <c r="AE842" i="3315"/>
  <c r="AE996" i="3315"/>
  <c r="AE1009" i="3315"/>
  <c r="AE1002" i="3315"/>
  <c r="AE849" i="3315"/>
  <c r="AE809" i="3315"/>
  <c r="AE786" i="3315"/>
  <c r="AE807" i="3315"/>
  <c r="AE304" i="3315"/>
  <c r="AE264" i="3315"/>
  <c r="AE780" i="3315"/>
  <c r="AE792" i="3315"/>
  <c r="AE285" i="3315"/>
  <c r="AE981" i="3315"/>
  <c r="AE987" i="3315"/>
  <c r="AE1005" i="3315"/>
  <c r="AE1022" i="3315"/>
  <c r="AE1017" i="3315"/>
  <c r="AE840" i="3315"/>
  <c r="AE783" i="3315"/>
  <c r="AE785" i="3315"/>
  <c r="AE796" i="3315"/>
  <c r="AE793" i="3315"/>
  <c r="AE788" i="3315"/>
  <c r="AE791" i="3315"/>
  <c r="AE303" i="3315"/>
  <c r="AE847" i="3315"/>
  <c r="AE798" i="3315"/>
  <c r="AE781" i="3315"/>
  <c r="AE316" i="3315"/>
  <c r="AE1003" i="3315"/>
  <c r="AE980" i="3315"/>
  <c r="AE1008" i="3315"/>
  <c r="AE844" i="3315"/>
  <c r="AE789" i="3315"/>
  <c r="AE784" i="3315"/>
  <c r="AE850" i="3315"/>
  <c r="AE810" i="3315"/>
  <c r="AE790" i="3315"/>
  <c r="AE376" i="3315"/>
  <c r="AE263" i="3315"/>
  <c r="AE795" i="3315"/>
  <c r="AE1020" i="3315"/>
  <c r="AE1021" i="3315"/>
  <c r="AE1026" i="3315"/>
  <c r="AE998" i="3315"/>
  <c r="AE1006" i="3315"/>
  <c r="AE843" i="3315"/>
  <c r="AE846" i="3315"/>
  <c r="AE787" i="3315"/>
  <c r="AE845" i="3315"/>
  <c r="AE305" i="3315"/>
  <c r="AE652" i="3315"/>
  <c r="AE794" i="3315"/>
  <c r="AE797" i="3315"/>
  <c r="AE811" i="3315"/>
  <c r="AE973" i="3315"/>
  <c r="AE931" i="3315"/>
  <c r="AE922" i="3315"/>
  <c r="AE933" i="3315"/>
  <c r="AE945" i="3315"/>
  <c r="AE953" i="3315"/>
  <c r="AE960" i="3315"/>
  <c r="AE929" i="3315"/>
  <c r="AE895" i="3315"/>
  <c r="AE897" i="3315"/>
  <c r="AE896" i="3315"/>
  <c r="W904" i="3315"/>
  <c r="W976" i="3315"/>
  <c r="W1027" i="3315"/>
  <c r="U339" i="3315"/>
  <c r="X339" i="3315" s="1"/>
  <c r="U54" i="3315"/>
  <c r="X54" i="3315" s="1"/>
  <c r="U50" i="3315"/>
  <c r="X50" i="3315" s="1"/>
  <c r="U46" i="3315"/>
  <c r="X46" i="3315" s="1"/>
  <c r="U253" i="3315"/>
  <c r="X253" i="3315" s="1"/>
  <c r="U340" i="3315"/>
  <c r="X340" i="3315" s="1"/>
  <c r="U547" i="3315"/>
  <c r="X547" i="3315" s="1"/>
  <c r="U476" i="3315"/>
  <c r="X476" i="3315" s="1"/>
  <c r="U472" i="3315"/>
  <c r="X472" i="3315" s="1"/>
  <c r="U669" i="3315"/>
  <c r="X669" i="3315" s="1"/>
  <c r="U606" i="3315"/>
  <c r="X606" i="3315" s="1"/>
  <c r="U675" i="3315"/>
  <c r="X675" i="3315" s="1"/>
  <c r="U624" i="3315"/>
  <c r="X624" i="3315" s="1"/>
  <c r="U682" i="3315"/>
  <c r="X682" i="3315" s="1"/>
  <c r="U49" i="3315"/>
  <c r="X49" i="3315" s="1"/>
  <c r="U114" i="3315"/>
  <c r="X114" i="3315" s="1"/>
  <c r="U245" i="3315"/>
  <c r="X245" i="3315" s="1"/>
  <c r="U110" i="3315"/>
  <c r="X110" i="3315" s="1"/>
  <c r="U333" i="3315"/>
  <c r="X333" i="3315" s="1"/>
  <c r="U325" i="3315"/>
  <c r="X325" i="3315" s="1"/>
  <c r="U475" i="3315"/>
  <c r="X475" i="3315" s="1"/>
  <c r="U697" i="3315"/>
  <c r="X697" i="3315" s="1"/>
  <c r="U649" i="3315"/>
  <c r="X649" i="3315" s="1"/>
  <c r="U674" i="3315"/>
  <c r="X674" i="3315" s="1"/>
  <c r="U109" i="3315"/>
  <c r="X109" i="3315" s="1"/>
  <c r="U680" i="3315"/>
  <c r="X680" i="3315" s="1"/>
  <c r="U672" i="3315"/>
  <c r="X672" i="3315" s="1"/>
  <c r="U453" i="3315"/>
  <c r="X453" i="3315" s="1"/>
  <c r="U459" i="3315"/>
  <c r="X459" i="3315" s="1"/>
  <c r="U256" i="3315"/>
  <c r="X256" i="3315" s="1"/>
  <c r="U241" i="3315"/>
  <c r="X241" i="3315" s="1"/>
  <c r="U479" i="3315"/>
  <c r="X479" i="3315" s="1"/>
  <c r="U468" i="3315"/>
  <c r="X468" i="3315" s="1"/>
  <c r="U681" i="3315"/>
  <c r="X681" i="3315" s="1"/>
  <c r="U599" i="3315"/>
  <c r="X599" i="3315" s="1"/>
  <c r="U688" i="3315"/>
  <c r="X688" i="3315" s="1"/>
  <c r="U647" i="3315"/>
  <c r="X647" i="3315" s="1"/>
  <c r="U507" i="3315"/>
  <c r="X507" i="3315" s="1"/>
  <c r="U519" i="3315"/>
  <c r="X519" i="3315" s="1"/>
  <c r="U503" i="3315"/>
  <c r="X503" i="3315" s="1"/>
  <c r="U448" i="3315"/>
  <c r="X448" i="3315" s="1"/>
  <c r="U51" i="3315"/>
  <c r="X51" i="3315" s="1"/>
  <c r="U111" i="3315"/>
  <c r="X111" i="3315" s="1"/>
  <c r="U601" i="3315"/>
  <c r="X601" i="3315" s="1"/>
  <c r="U473" i="3315"/>
  <c r="X473" i="3315" s="1"/>
  <c r="U671" i="3315"/>
  <c r="X671" i="3315" s="1"/>
  <c r="U687" i="3315"/>
  <c r="X687" i="3315" s="1"/>
  <c r="U678" i="3315"/>
  <c r="X678" i="3315" s="1"/>
  <c r="U515" i="3315"/>
  <c r="X515" i="3315" s="1"/>
  <c r="U452" i="3315"/>
  <c r="X452" i="3315" s="1"/>
  <c r="U446" i="3315"/>
  <c r="X446" i="3315" s="1"/>
  <c r="U444" i="3315"/>
  <c r="X444" i="3315" s="1"/>
  <c r="U442" i="3315"/>
  <c r="X442" i="3315" s="1"/>
  <c r="U367" i="3315"/>
  <c r="X367" i="3315" s="1"/>
  <c r="U369" i="3315"/>
  <c r="X369" i="3315" s="1"/>
  <c r="U299" i="3315"/>
  <c r="X299" i="3315" s="1"/>
  <c r="U307" i="3315"/>
  <c r="X307" i="3315" s="1"/>
  <c r="U289" i="3315"/>
  <c r="X289" i="3315" s="1"/>
  <c r="U298" i="3315"/>
  <c r="X298" i="3315" s="1"/>
  <c r="U230" i="3315"/>
  <c r="X230" i="3315" s="1"/>
  <c r="U220" i="3315"/>
  <c r="X220" i="3315" s="1"/>
  <c r="U229" i="3315"/>
  <c r="X229" i="3315" s="1"/>
  <c r="U225" i="3315"/>
  <c r="X225" i="3315" s="1"/>
  <c r="U217" i="3315"/>
  <c r="X217" i="3315" s="1"/>
  <c r="U214" i="3315"/>
  <c r="X214" i="3315" s="1"/>
  <c r="U203" i="3315"/>
  <c r="X203" i="3315" s="1"/>
  <c r="U208" i="3315"/>
  <c r="X208" i="3315" s="1"/>
  <c r="U204" i="3315"/>
  <c r="X204" i="3315" s="1"/>
  <c r="U179" i="3315"/>
  <c r="X179" i="3315" s="1"/>
  <c r="U180" i="3315"/>
  <c r="X180" i="3315" s="1"/>
  <c r="U161" i="3315"/>
  <c r="X161" i="3315" s="1"/>
  <c r="U171" i="3315"/>
  <c r="X171" i="3315" s="1"/>
  <c r="U164" i="3315"/>
  <c r="X164" i="3315" s="1"/>
  <c r="U148" i="3315"/>
  <c r="X148" i="3315" s="1"/>
  <c r="U69" i="3315"/>
  <c r="X69" i="3315" s="1"/>
  <c r="U62" i="3315"/>
  <c r="X62" i="3315" s="1"/>
  <c r="U77" i="3315"/>
  <c r="X77" i="3315" s="1"/>
  <c r="U349" i="3315"/>
  <c r="X349" i="3315" s="1"/>
  <c r="U48" i="3315"/>
  <c r="X48" i="3315" s="1"/>
  <c r="U257" i="3315"/>
  <c r="X257" i="3315" s="1"/>
  <c r="U480" i="3315"/>
  <c r="X480" i="3315" s="1"/>
  <c r="U670" i="3315"/>
  <c r="X670" i="3315" s="1"/>
  <c r="U698" i="3315"/>
  <c r="X698" i="3315" s="1"/>
  <c r="U502" i="3315"/>
  <c r="X502" i="3315" s="1"/>
  <c r="U454" i="3315"/>
  <c r="X454" i="3315" s="1"/>
  <c r="U443" i="3315"/>
  <c r="X443" i="3315" s="1"/>
  <c r="U377" i="3315"/>
  <c r="X377" i="3315" s="1"/>
  <c r="U310" i="3315"/>
  <c r="X310" i="3315" s="1"/>
  <c r="U271" i="3315"/>
  <c r="X271" i="3315" s="1"/>
  <c r="U297" i="3315"/>
  <c r="X297" i="3315" s="1"/>
  <c r="U231" i="3315"/>
  <c r="X231" i="3315" s="1"/>
  <c r="U215" i="3315"/>
  <c r="X215" i="3315" s="1"/>
  <c r="U159" i="3315"/>
  <c r="X159" i="3315" s="1"/>
  <c r="U151" i="3315"/>
  <c r="X151" i="3315" s="1"/>
  <c r="U143" i="3315"/>
  <c r="X143" i="3315" s="1"/>
  <c r="U162" i="3315"/>
  <c r="X162" i="3315" s="1"/>
  <c r="U154" i="3315"/>
  <c r="X154" i="3315" s="1"/>
  <c r="U89" i="3315"/>
  <c r="X89" i="3315" s="1"/>
  <c r="U88" i="3315"/>
  <c r="X88" i="3315" s="1"/>
  <c r="U87" i="3315"/>
  <c r="X87" i="3315" s="1"/>
  <c r="U71" i="3315"/>
  <c r="X71" i="3315" s="1"/>
  <c r="U474" i="3315"/>
  <c r="X474" i="3315" s="1"/>
  <c r="U375" i="3315"/>
  <c r="X375" i="3315" s="1"/>
  <c r="U364" i="3315"/>
  <c r="X364" i="3315" s="1"/>
  <c r="U232" i="3315"/>
  <c r="X232" i="3315" s="1"/>
  <c r="U216" i="3315"/>
  <c r="X216" i="3315" s="1"/>
  <c r="U219" i="3315"/>
  <c r="X219" i="3315" s="1"/>
  <c r="U207" i="3315"/>
  <c r="X207" i="3315" s="1"/>
  <c r="U169" i="3315"/>
  <c r="X169" i="3315" s="1"/>
  <c r="U178" i="3315"/>
  <c r="X178" i="3315" s="1"/>
  <c r="U172" i="3315"/>
  <c r="X172" i="3315" s="1"/>
  <c r="U244" i="3315"/>
  <c r="X244" i="3315" s="1"/>
  <c r="U653" i="3315"/>
  <c r="X653" i="3315" s="1"/>
  <c r="U616" i="3315"/>
  <c r="X616" i="3315" s="1"/>
  <c r="U611" i="3315"/>
  <c r="X611" i="3315" s="1"/>
  <c r="U527" i="3315"/>
  <c r="X527" i="3315" s="1"/>
  <c r="U518" i="3315"/>
  <c r="X518" i="3315" s="1"/>
  <c r="U510" i="3315"/>
  <c r="X510" i="3315" s="1"/>
  <c r="U291" i="3315"/>
  <c r="X291" i="3315" s="1"/>
  <c r="U309" i="3315"/>
  <c r="X309" i="3315" s="1"/>
  <c r="U295" i="3315"/>
  <c r="X295" i="3315" s="1"/>
  <c r="U279" i="3315"/>
  <c r="X279" i="3315" s="1"/>
  <c r="U294" i="3315"/>
  <c r="X294" i="3315" s="1"/>
  <c r="U223" i="3315"/>
  <c r="X223" i="3315" s="1"/>
  <c r="U170" i="3315"/>
  <c r="X170" i="3315" s="1"/>
  <c r="U156" i="3315"/>
  <c r="X156" i="3315" s="1"/>
  <c r="U155" i="3315"/>
  <c r="X155" i="3315" s="1"/>
  <c r="U147" i="3315"/>
  <c r="X147" i="3315" s="1"/>
  <c r="U166" i="3315"/>
  <c r="X166" i="3315" s="1"/>
  <c r="U158" i="3315"/>
  <c r="X158" i="3315" s="1"/>
  <c r="U150" i="3315"/>
  <c r="X150" i="3315" s="1"/>
  <c r="U142" i="3315"/>
  <c r="X142" i="3315" s="1"/>
  <c r="U98" i="3315"/>
  <c r="X98" i="3315" s="1"/>
  <c r="U79" i="3315"/>
  <c r="X79" i="3315" s="1"/>
  <c r="U63" i="3315"/>
  <c r="X63" i="3315" s="1"/>
  <c r="U52" i="3315"/>
  <c r="X52" i="3315" s="1"/>
  <c r="U677" i="3315"/>
  <c r="X677" i="3315" s="1"/>
  <c r="U458" i="3315"/>
  <c r="X458" i="3315" s="1"/>
  <c r="U608" i="3315"/>
  <c r="X608" i="3315" s="1"/>
  <c r="U603" i="3315"/>
  <c r="X603" i="3315" s="1"/>
  <c r="U456" i="3315"/>
  <c r="X456" i="3315" s="1"/>
  <c r="U420" i="3315"/>
  <c r="X420" i="3315" s="1"/>
  <c r="AE420" i="3315" s="1"/>
  <c r="U427" i="3315"/>
  <c r="X427" i="3315" s="1"/>
  <c r="U412" i="3315"/>
  <c r="X412" i="3315" s="1"/>
  <c r="U355" i="3315"/>
  <c r="X355" i="3315" s="1"/>
  <c r="U296" i="3315"/>
  <c r="X296" i="3315" s="1"/>
  <c r="U228" i="3315"/>
  <c r="X228" i="3315" s="1"/>
  <c r="U218" i="3315"/>
  <c r="X218" i="3315" s="1"/>
  <c r="U227" i="3315"/>
  <c r="X227" i="3315" s="1"/>
  <c r="U213" i="3315"/>
  <c r="X213" i="3315" s="1"/>
  <c r="U206" i="3315"/>
  <c r="X206" i="3315" s="1"/>
  <c r="U181" i="3315"/>
  <c r="X181" i="3315" s="1"/>
  <c r="U165" i="3315"/>
  <c r="X165" i="3315" s="1"/>
  <c r="U174" i="3315"/>
  <c r="X174" i="3315" s="1"/>
  <c r="U160" i="3315"/>
  <c r="X160" i="3315" s="1"/>
  <c r="U70" i="3315"/>
  <c r="X70" i="3315" s="1"/>
  <c r="U689" i="3315"/>
  <c r="X689" i="3315" s="1"/>
  <c r="U600" i="3315"/>
  <c r="X600" i="3315" s="1"/>
  <c r="U445" i="3315"/>
  <c r="X445" i="3315" s="1"/>
  <c r="U457" i="3315"/>
  <c r="X457" i="3315" s="1"/>
  <c r="U360" i="3315"/>
  <c r="X360" i="3315" s="1"/>
  <c r="U286" i="3315"/>
  <c r="X286" i="3315" s="1"/>
  <c r="U224" i="3315"/>
  <c r="X224" i="3315" s="1"/>
  <c r="U141" i="3315"/>
  <c r="X141" i="3315" s="1"/>
  <c r="U149" i="3315"/>
  <c r="X149" i="3315" s="1"/>
  <c r="U153" i="3315"/>
  <c r="X153" i="3315" s="1"/>
  <c r="U140" i="3315"/>
  <c r="X140" i="3315" s="1"/>
  <c r="U532" i="3315"/>
  <c r="X532" i="3315" s="1"/>
  <c r="U734" i="3315"/>
  <c r="X734" i="3315" s="1"/>
  <c r="U761" i="3315"/>
  <c r="X761" i="3315" s="1"/>
  <c r="U609" i="3315"/>
  <c r="X609" i="3315" s="1"/>
  <c r="U300" i="3315"/>
  <c r="X300" i="3315" s="1"/>
  <c r="U128" i="3315"/>
  <c r="X128" i="3315" s="1"/>
  <c r="U528" i="3315"/>
  <c r="X528" i="3315" s="1"/>
  <c r="U53" i="3315"/>
  <c r="X53" i="3315" s="1"/>
  <c r="U770" i="3315"/>
  <c r="X770" i="3315" s="1"/>
  <c r="U157" i="3315"/>
  <c r="X157" i="3315" s="1"/>
  <c r="U255" i="3315"/>
  <c r="X255" i="3315" s="1"/>
  <c r="U546" i="3315"/>
  <c r="X546" i="3315" s="1"/>
  <c r="U804" i="3315"/>
  <c r="X804" i="3315" s="1"/>
  <c r="U828" i="3315"/>
  <c r="X828" i="3315" s="1"/>
  <c r="U746" i="3315"/>
  <c r="X746" i="3315" s="1"/>
  <c r="U66" i="3315"/>
  <c r="X66" i="3315" s="1"/>
  <c r="U564" i="3315"/>
  <c r="X564" i="3315" s="1"/>
  <c r="U614" i="3315"/>
  <c r="X614" i="3315" s="1"/>
  <c r="U313" i="3315"/>
  <c r="X313" i="3315" s="1"/>
  <c r="U106" i="3315"/>
  <c r="X106" i="3315" s="1"/>
  <c r="U595" i="3315"/>
  <c r="X595" i="3315" s="1"/>
  <c r="U768" i="3315"/>
  <c r="X768" i="3315" s="1"/>
  <c r="U823" i="3315"/>
  <c r="X823" i="3315" s="1"/>
  <c r="U449" i="3315"/>
  <c r="X449" i="3315" s="1"/>
  <c r="U450" i="3315"/>
  <c r="X450" i="3315" s="1"/>
  <c r="U323" i="3315"/>
  <c r="X323" i="3315" s="1"/>
  <c r="U200" i="3315"/>
  <c r="X200" i="3315" s="1"/>
  <c r="U741" i="3315"/>
  <c r="X741" i="3315" s="1"/>
  <c r="U825" i="3315"/>
  <c r="X825" i="3315" s="1"/>
  <c r="U90" i="3315"/>
  <c r="X90" i="3315" s="1"/>
  <c r="U259" i="3315"/>
  <c r="X259" i="3315" s="1"/>
  <c r="U508" i="3315"/>
  <c r="X508" i="3315" s="1"/>
  <c r="U132" i="3315"/>
  <c r="X132" i="3315" s="1"/>
  <c r="U619" i="3315"/>
  <c r="X619" i="3315" s="1"/>
  <c r="U55" i="3315"/>
  <c r="X55" i="3315" s="1"/>
  <c r="U226" i="3315"/>
  <c r="X226" i="3315" s="1"/>
  <c r="U125" i="3315"/>
  <c r="X125" i="3315" s="1"/>
  <c r="U531" i="3315"/>
  <c r="X531" i="3315" s="1"/>
  <c r="U821" i="3315"/>
  <c r="X821" i="3315" s="1"/>
  <c r="U513" i="3315"/>
  <c r="X513" i="3315" s="1"/>
  <c r="U774" i="3315"/>
  <c r="X774" i="3315" s="1"/>
  <c r="U121" i="3315"/>
  <c r="X121" i="3315" s="1"/>
  <c r="U536" i="3315"/>
  <c r="X536" i="3315" s="1"/>
  <c r="U123" i="3315"/>
  <c r="X123" i="3315" s="1"/>
  <c r="U712" i="3315"/>
  <c r="X712" i="3315" s="1"/>
  <c r="U335" i="3315"/>
  <c r="X335" i="3315" s="1"/>
  <c r="U455" i="3315"/>
  <c r="X455" i="3315" s="1"/>
  <c r="U814" i="3315"/>
  <c r="X814" i="3315" s="1"/>
  <c r="U714" i="3315"/>
  <c r="X714" i="3315" s="1"/>
  <c r="U331" i="3315"/>
  <c r="X331" i="3315" s="1"/>
  <c r="U836" i="3315"/>
  <c r="X836" i="3315" s="1"/>
  <c r="U626" i="3315"/>
  <c r="X626" i="3315" s="1"/>
  <c r="U501" i="3315"/>
  <c r="X501" i="3315" s="1"/>
  <c r="U82" i="3315"/>
  <c r="X82" i="3315" s="1"/>
  <c r="U197" i="3315"/>
  <c r="X197" i="3315" s="1"/>
  <c r="U621" i="3315"/>
  <c r="X621" i="3315" s="1"/>
  <c r="U597" i="3315"/>
  <c r="X597" i="3315" s="1"/>
  <c r="U108" i="3315"/>
  <c r="X108" i="3315" s="1"/>
  <c r="U104" i="3315"/>
  <c r="X104" i="3315" s="1"/>
  <c r="U542" i="3315"/>
  <c r="X542" i="3315" s="1"/>
  <c r="U202" i="3315"/>
  <c r="X202" i="3315" s="1"/>
  <c r="U243" i="3315"/>
  <c r="X243" i="3315" s="1"/>
  <c r="U533" i="3315"/>
  <c r="X533" i="3315" s="1"/>
  <c r="U610" i="3315"/>
  <c r="X610" i="3315" s="1"/>
  <c r="U262" i="3315"/>
  <c r="X262" i="3315" s="1"/>
  <c r="U617" i="3315"/>
  <c r="X617" i="3315" s="1"/>
  <c r="U276" i="3315"/>
  <c r="X276" i="3315" s="1"/>
  <c r="U130" i="3315"/>
  <c r="X130" i="3315" s="1"/>
  <c r="U338" i="3315"/>
  <c r="X338" i="3315" s="1"/>
  <c r="U332" i="3315"/>
  <c r="X332" i="3315" s="1"/>
  <c r="U618" i="3315"/>
  <c r="X618" i="3315" s="1"/>
  <c r="U506" i="3315"/>
  <c r="X506" i="3315" s="1"/>
  <c r="U747" i="3315"/>
  <c r="X747" i="3315" s="1"/>
  <c r="U731" i="3315"/>
  <c r="X731" i="3315" s="1"/>
  <c r="U718" i="3315"/>
  <c r="X718" i="3315" s="1"/>
  <c r="U68" i="3315"/>
  <c r="X68" i="3315" s="1"/>
  <c r="U753" i="3315"/>
  <c r="X753" i="3315" s="1"/>
  <c r="U591" i="3315"/>
  <c r="X591" i="3315" s="1"/>
  <c r="U815" i="3315"/>
  <c r="X815" i="3315" s="1"/>
  <c r="U543" i="3315"/>
  <c r="X543" i="3315" s="1"/>
  <c r="U545" i="3315"/>
  <c r="X545" i="3315" s="1"/>
  <c r="U451" i="3315"/>
  <c r="X451" i="3315" s="1"/>
  <c r="U447" i="3315"/>
  <c r="X447" i="3315" s="1"/>
  <c r="U173" i="3315"/>
  <c r="X173" i="3315" s="1"/>
  <c r="U97" i="3315"/>
  <c r="X97" i="3315" s="1"/>
  <c r="U777" i="3315"/>
  <c r="X777" i="3315" s="1"/>
  <c r="U709" i="3315"/>
  <c r="X709" i="3315" s="1"/>
  <c r="U750" i="3315"/>
  <c r="X750" i="3315" s="1"/>
  <c r="U641" i="3315"/>
  <c r="X641" i="3315" s="1"/>
  <c r="U272" i="3315"/>
  <c r="X272" i="3315" s="1"/>
  <c r="U526" i="3315"/>
  <c r="X526" i="3315" s="1"/>
  <c r="U152" i="3315"/>
  <c r="X152" i="3315" s="1"/>
  <c r="U327" i="3315"/>
  <c r="X327" i="3315" s="1"/>
  <c r="U778" i="3315"/>
  <c r="X778" i="3315" s="1"/>
  <c r="U824" i="3315"/>
  <c r="X824" i="3315" s="1"/>
  <c r="U337" i="3315"/>
  <c r="X337" i="3315" s="1"/>
  <c r="U827" i="3315"/>
  <c r="X827" i="3315" s="1"/>
  <c r="U144" i="3315"/>
  <c r="X144" i="3315" s="1"/>
  <c r="U517" i="3315"/>
  <c r="X517" i="3315" s="1"/>
  <c r="U596" i="3315"/>
  <c r="X596" i="3315" s="1"/>
  <c r="U766" i="3315"/>
  <c r="X766" i="3315" s="1"/>
  <c r="U749" i="3315"/>
  <c r="X749" i="3315" s="1"/>
  <c r="U710" i="3315"/>
  <c r="X710" i="3315" s="1"/>
  <c r="U516" i="3315"/>
  <c r="X516" i="3315" s="1"/>
  <c r="U765" i="3315"/>
  <c r="X765" i="3315" s="1"/>
  <c r="U816" i="3315"/>
  <c r="X816" i="3315" s="1"/>
  <c r="U645" i="3315"/>
  <c r="X645" i="3315" s="1"/>
  <c r="U637" i="3315"/>
  <c r="X637" i="3315" s="1"/>
  <c r="U613" i="3315"/>
  <c r="X613" i="3315" s="1"/>
  <c r="U605" i="3315"/>
  <c r="X605" i="3315" s="1"/>
  <c r="U565" i="3315"/>
  <c r="X565" i="3315" s="1"/>
  <c r="U195" i="3315"/>
  <c r="X195" i="3315" s="1"/>
  <c r="U1052" i="3315"/>
  <c r="X1052" i="3315" s="1"/>
  <c r="U1066" i="3315"/>
  <c r="X1066" i="3315" s="1"/>
  <c r="U1070" i="3315"/>
  <c r="X1070" i="3315" s="1"/>
  <c r="U380" i="3315"/>
  <c r="X380" i="3315" s="1"/>
  <c r="U404" i="3315"/>
  <c r="X404" i="3315" s="1"/>
  <c r="U402" i="3315"/>
  <c r="X402" i="3315" s="1"/>
  <c r="U396" i="3315"/>
  <c r="X396" i="3315" s="1"/>
  <c r="U395" i="3315"/>
  <c r="X395" i="3315" s="1"/>
  <c r="U383" i="3315"/>
  <c r="X383" i="3315" s="1"/>
  <c r="U163" i="3315"/>
  <c r="X163" i="3315" s="1"/>
  <c r="U410" i="3315"/>
  <c r="X410" i="3315" s="1"/>
  <c r="U406" i="3315"/>
  <c r="X406" i="3315" s="1"/>
  <c r="U403" i="3315"/>
  <c r="X403" i="3315" s="1"/>
  <c r="U401" i="3315"/>
  <c r="X401" i="3315" s="1"/>
  <c r="U399" i="3315"/>
  <c r="X399" i="3315" s="1"/>
  <c r="U397" i="3315"/>
  <c r="X397" i="3315" s="1"/>
  <c r="U393" i="3315"/>
  <c r="X393" i="3315" s="1"/>
  <c r="U385" i="3315"/>
  <c r="X385" i="3315" s="1"/>
  <c r="U409" i="3315"/>
  <c r="X409" i="3315" s="1"/>
  <c r="U407" i="3315"/>
  <c r="X407" i="3315" s="1"/>
  <c r="U405" i="3315"/>
  <c r="X405" i="3315" s="1"/>
  <c r="U400" i="3315"/>
  <c r="X400" i="3315" s="1"/>
  <c r="U398" i="3315"/>
  <c r="X398" i="3315" s="1"/>
  <c r="U387" i="3315"/>
  <c r="X387" i="3315" s="1"/>
  <c r="U392" i="3315"/>
  <c r="X392" i="3315" s="1"/>
  <c r="U394" i="3315"/>
  <c r="X394" i="3315" s="1"/>
  <c r="U391" i="3315"/>
  <c r="X391" i="3315" s="1"/>
  <c r="U372" i="3315"/>
  <c r="X372" i="3315" s="1"/>
  <c r="U389" i="3315"/>
  <c r="X389" i="3315" s="1"/>
  <c r="U384" i="3315"/>
  <c r="X384" i="3315" s="1"/>
  <c r="U386" i="3315"/>
  <c r="X386" i="3315" s="1"/>
  <c r="U390" i="3315"/>
  <c r="X390" i="3315" s="1"/>
  <c r="U477" i="3315"/>
  <c r="X477" i="3315" s="1"/>
  <c r="U1025" i="3315"/>
  <c r="X1025" i="3315" s="1"/>
  <c r="U974" i="3315"/>
  <c r="X974" i="3315" s="1"/>
  <c r="U903" i="3315"/>
  <c r="X903" i="3315" s="1"/>
  <c r="U959" i="3315"/>
  <c r="X959" i="3315" s="1"/>
  <c r="U984" i="3315"/>
  <c r="X984" i="3315" s="1"/>
  <c r="U986" i="3315"/>
  <c r="X986" i="3315" s="1"/>
  <c r="U1014" i="3315"/>
  <c r="X1014" i="3315" s="1"/>
  <c r="U995" i="3315"/>
  <c r="X995" i="3315" s="1"/>
  <c r="U971" i="3315"/>
  <c r="X971" i="3315" s="1"/>
  <c r="U912" i="3315"/>
  <c r="X912" i="3315" s="1"/>
  <c r="U938" i="3315"/>
  <c r="X938" i="3315" s="1"/>
  <c r="U942" i="3315"/>
  <c r="X942" i="3315" s="1"/>
  <c r="U944" i="3315"/>
  <c r="X944" i="3315" s="1"/>
  <c r="U936" i="3315"/>
  <c r="X936" i="3315" s="1"/>
  <c r="U939" i="3315"/>
  <c r="X939" i="3315" s="1"/>
  <c r="U911" i="3315"/>
  <c r="X911" i="3315" s="1"/>
  <c r="U908" i="3315"/>
  <c r="X908" i="3315" s="1"/>
  <c r="U956" i="3315"/>
  <c r="X956" i="3315" s="1"/>
  <c r="U952" i="3315"/>
  <c r="X952" i="3315" s="1"/>
  <c r="U950" i="3315"/>
  <c r="X950" i="3315" s="1"/>
  <c r="U915" i="3315"/>
  <c r="X915" i="3315" s="1"/>
  <c r="U918" i="3315"/>
  <c r="X918" i="3315" s="1"/>
  <c r="U1018" i="3315"/>
  <c r="X1018" i="3315" s="1"/>
  <c r="U991" i="3315"/>
  <c r="X991" i="3315" s="1"/>
  <c r="U957" i="3315"/>
  <c r="X957" i="3315" s="1"/>
  <c r="U958" i="3315"/>
  <c r="X958" i="3315" s="1"/>
  <c r="U910" i="3315"/>
  <c r="X910" i="3315" s="1"/>
  <c r="U969" i="3315"/>
  <c r="X969" i="3315" s="1"/>
  <c r="U961" i="3315"/>
  <c r="X961" i="3315" s="1"/>
  <c r="U937" i="3315"/>
  <c r="X937" i="3315" s="1"/>
  <c r="U932" i="3315"/>
  <c r="X932" i="3315" s="1"/>
  <c r="U935" i="3315"/>
  <c r="X935" i="3315" s="1"/>
  <c r="U967" i="3315"/>
  <c r="X967" i="3315" s="1"/>
  <c r="U1024" i="3315"/>
  <c r="X1024" i="3315" s="1"/>
  <c r="U965" i="3315"/>
  <c r="X965" i="3315" s="1"/>
  <c r="U949" i="3315"/>
  <c r="X949" i="3315" s="1"/>
  <c r="U948" i="3315"/>
  <c r="X948" i="3315" s="1"/>
  <c r="U943" i="3315"/>
  <c r="X943" i="3315" s="1"/>
  <c r="U1010" i="3315"/>
  <c r="X1010" i="3315" s="1"/>
  <c r="U983" i="3315"/>
  <c r="X983" i="3315" s="1"/>
  <c r="U894" i="3315"/>
  <c r="X894" i="3315" s="1"/>
  <c r="U926" i="3315"/>
  <c r="X926" i="3315" s="1"/>
  <c r="U1015" i="3315"/>
  <c r="X1015" i="3315" s="1"/>
  <c r="U1013" i="3315"/>
  <c r="X1013" i="3315" s="1"/>
  <c r="U1019" i="3315"/>
  <c r="X1019" i="3315" s="1"/>
  <c r="U941" i="3315"/>
  <c r="X941" i="3315" s="1"/>
  <c r="U975" i="3315"/>
  <c r="X975" i="3315" s="1"/>
  <c r="U990" i="3315"/>
  <c r="X990" i="3315" s="1"/>
  <c r="U1011" i="3315"/>
  <c r="X1011" i="3315" s="1"/>
  <c r="U909" i="3315"/>
  <c r="X909" i="3315" s="1"/>
  <c r="U982" i="3315"/>
  <c r="X982" i="3315" s="1"/>
  <c r="U1012" i="3315"/>
  <c r="X1012" i="3315" s="1"/>
  <c r="U1023" i="3315"/>
  <c r="X1023" i="3315" s="1"/>
  <c r="U968" i="3315"/>
  <c r="X968" i="3315" s="1"/>
  <c r="U964" i="3315"/>
  <c r="X964" i="3315" s="1"/>
  <c r="U1060" i="3315"/>
  <c r="X1060" i="3315" s="1"/>
  <c r="U1088" i="3315"/>
  <c r="X1088" i="3315" s="1"/>
  <c r="U1081" i="3315"/>
  <c r="X1081" i="3315" s="1"/>
  <c r="AE1081" i="3315" s="1"/>
  <c r="U1080" i="3315"/>
  <c r="X1080" i="3315" s="1"/>
  <c r="U1075" i="3315"/>
  <c r="X1075" i="3315" s="1"/>
  <c r="U1082" i="3315"/>
  <c r="X1082" i="3315" s="1"/>
  <c r="U1076" i="3315"/>
  <c r="X1076" i="3315" s="1"/>
  <c r="U1085" i="3315"/>
  <c r="X1085" i="3315" s="1"/>
  <c r="U1055" i="3315"/>
  <c r="X1055" i="3315" s="1"/>
  <c r="U1087" i="3315"/>
  <c r="X1087" i="3315" s="1"/>
  <c r="U1062" i="3315"/>
  <c r="X1062" i="3315" s="1"/>
  <c r="U1086" i="3315"/>
  <c r="X1086" i="3315" s="1"/>
  <c r="U1084" i="3315"/>
  <c r="X1084" i="3315" s="1"/>
  <c r="U1090" i="3315"/>
  <c r="X1090" i="3315" s="1"/>
  <c r="U1050" i="3315"/>
  <c r="X901" i="3315"/>
  <c r="AE1024" i="3315" l="1"/>
  <c r="AE986" i="3315"/>
  <c r="AE386" i="3315"/>
  <c r="AE391" i="3315"/>
  <c r="AE398" i="3315"/>
  <c r="AE409" i="3315"/>
  <c r="AE399" i="3315"/>
  <c r="AE410" i="3315"/>
  <c r="AE396" i="3315"/>
  <c r="AE613" i="3315"/>
  <c r="AE765" i="3315"/>
  <c r="AE766" i="3315"/>
  <c r="AE827" i="3315"/>
  <c r="AE327" i="3315"/>
  <c r="AE641" i="3315"/>
  <c r="AE97" i="3315"/>
  <c r="AE545" i="3315"/>
  <c r="AE753" i="3315"/>
  <c r="AE747" i="3315"/>
  <c r="AE338" i="3315"/>
  <c r="AE262" i="3315"/>
  <c r="AE202" i="3315"/>
  <c r="AE597" i="3315"/>
  <c r="AE501" i="3315"/>
  <c r="AE714" i="3315"/>
  <c r="AE712" i="3315"/>
  <c r="AE774" i="3315"/>
  <c r="AE125" i="3315"/>
  <c r="AE132" i="3315"/>
  <c r="AE825" i="3315"/>
  <c r="AE450" i="3315"/>
  <c r="AE595" i="3315"/>
  <c r="AE564" i="3315"/>
  <c r="AE804" i="3315"/>
  <c r="AE770" i="3315"/>
  <c r="AE300" i="3315"/>
  <c r="AE532" i="3315"/>
  <c r="AE141" i="3315"/>
  <c r="AE457" i="3315"/>
  <c r="AE70" i="3315"/>
  <c r="AE181" i="3315"/>
  <c r="AE218" i="3315"/>
  <c r="AE412" i="3315"/>
  <c r="AE603" i="3315"/>
  <c r="AE142" i="3315"/>
  <c r="AE147" i="3315"/>
  <c r="AE223" i="3315"/>
  <c r="AE309" i="3315"/>
  <c r="AE527" i="3315"/>
  <c r="AE244" i="3315"/>
  <c r="AE207" i="3315"/>
  <c r="AE364" i="3315"/>
  <c r="AE87" i="3315"/>
  <c r="AE162" i="3315"/>
  <c r="AE215" i="3315"/>
  <c r="AE310" i="3315"/>
  <c r="AE502" i="3315"/>
  <c r="AE257" i="3315"/>
  <c r="AE62" i="3315"/>
  <c r="AE171" i="3315"/>
  <c r="AE204" i="3315"/>
  <c r="AE217" i="3315"/>
  <c r="AE230" i="3315"/>
  <c r="AE299" i="3315"/>
  <c r="AE444" i="3315"/>
  <c r="AE678" i="3315"/>
  <c r="AE601" i="3315"/>
  <c r="AE503" i="3315"/>
  <c r="AE688" i="3315"/>
  <c r="AE453" i="3315"/>
  <c r="AE674" i="3315"/>
  <c r="AE325" i="3315"/>
  <c r="AE114" i="3315"/>
  <c r="AE675" i="3315"/>
  <c r="AE1023" i="3315"/>
  <c r="AE1011" i="3315"/>
  <c r="AE1019" i="3315"/>
  <c r="AE984" i="3315"/>
  <c r="AE1025" i="3315"/>
  <c r="AE384" i="3315"/>
  <c r="AE394" i="3315"/>
  <c r="AE400" i="3315"/>
  <c r="AE385" i="3315"/>
  <c r="AE401" i="3315"/>
  <c r="AE163" i="3315"/>
  <c r="AE402" i="3315"/>
  <c r="AE195" i="3315"/>
  <c r="AE637" i="3315"/>
  <c r="AE516" i="3315"/>
  <c r="AE596" i="3315"/>
  <c r="AE337" i="3315"/>
  <c r="AE152" i="3315"/>
  <c r="AE750" i="3315"/>
  <c r="AE173" i="3315"/>
  <c r="AE543" i="3315"/>
  <c r="AE68" i="3315"/>
  <c r="AE506" i="3315"/>
  <c r="AE130" i="3315"/>
  <c r="AE610" i="3315"/>
  <c r="AE542" i="3315"/>
  <c r="AE621" i="3315"/>
  <c r="AE626" i="3315"/>
  <c r="AE814" i="3315"/>
  <c r="AE123" i="3315"/>
  <c r="AE513" i="3315"/>
  <c r="AE226" i="3315"/>
  <c r="AE508" i="3315"/>
  <c r="AE741" i="3315"/>
  <c r="AE449" i="3315"/>
  <c r="AE106" i="3315"/>
  <c r="AE66" i="3315"/>
  <c r="AE546" i="3315"/>
  <c r="AE609" i="3315"/>
  <c r="AE140" i="3315"/>
  <c r="AE224" i="3315"/>
  <c r="AE445" i="3315"/>
  <c r="AE160" i="3315"/>
  <c r="AE206" i="3315"/>
  <c r="AE228" i="3315"/>
  <c r="AE427" i="3315"/>
  <c r="AE608" i="3315"/>
  <c r="AE63" i="3315"/>
  <c r="AE150" i="3315"/>
  <c r="AE155" i="3315"/>
  <c r="AE294" i="3315"/>
  <c r="AE291" i="3315"/>
  <c r="AE611" i="3315"/>
  <c r="AE172" i="3315"/>
  <c r="AE219" i="3315"/>
  <c r="AE375" i="3315"/>
  <c r="AE88" i="3315"/>
  <c r="AE143" i="3315"/>
  <c r="AE231" i="3315"/>
  <c r="AE377" i="3315"/>
  <c r="AE698" i="3315"/>
  <c r="AE69" i="3315"/>
  <c r="AE161" i="3315"/>
  <c r="AE208" i="3315"/>
  <c r="AE225" i="3315"/>
  <c r="AE298" i="3315"/>
  <c r="AE369" i="3315"/>
  <c r="AE446" i="3315"/>
  <c r="AE687" i="3315"/>
  <c r="AE111" i="3315"/>
  <c r="AE519" i="3315"/>
  <c r="AE599" i="3315"/>
  <c r="AE241" i="3315"/>
  <c r="AE672" i="3315"/>
  <c r="AE649" i="3315"/>
  <c r="AE333" i="3315"/>
  <c r="AE606" i="3315"/>
  <c r="AE547" i="3315"/>
  <c r="AE1012" i="3315"/>
  <c r="AE990" i="3315"/>
  <c r="AE1013" i="3315"/>
  <c r="AE983" i="3315"/>
  <c r="AE991" i="3315"/>
  <c r="AE995" i="3315"/>
  <c r="AE389" i="3315"/>
  <c r="AE392" i="3315"/>
  <c r="AE405" i="3315"/>
  <c r="AE393" i="3315"/>
  <c r="AE403" i="3315"/>
  <c r="AE383" i="3315"/>
  <c r="AE404" i="3315"/>
  <c r="AE565" i="3315"/>
  <c r="AE645" i="3315"/>
  <c r="AE710" i="3315"/>
  <c r="AE517" i="3315"/>
  <c r="AE824" i="3315"/>
  <c r="AE526" i="3315"/>
  <c r="AE709" i="3315"/>
  <c r="AE447" i="3315"/>
  <c r="AE815" i="3315"/>
  <c r="AE718" i="3315"/>
  <c r="AE618" i="3315"/>
  <c r="AE276" i="3315"/>
  <c r="AE533" i="3315"/>
  <c r="AE104" i="3315"/>
  <c r="AE197" i="3315"/>
  <c r="AE836" i="3315"/>
  <c r="AE455" i="3315"/>
  <c r="AE536" i="3315"/>
  <c r="AE821" i="3315"/>
  <c r="AE259" i="3315"/>
  <c r="AE200" i="3315"/>
  <c r="AE823" i="3315"/>
  <c r="AE313" i="3315"/>
  <c r="AE746" i="3315"/>
  <c r="AE255" i="3315"/>
  <c r="AE528" i="3315"/>
  <c r="AE761" i="3315"/>
  <c r="AE153" i="3315"/>
  <c r="AE286" i="3315"/>
  <c r="AE600" i="3315"/>
  <c r="AE174" i="3315"/>
  <c r="AE213" i="3315"/>
  <c r="AE296" i="3315"/>
  <c r="AE458" i="3315"/>
  <c r="AE79" i="3315"/>
  <c r="AE158" i="3315"/>
  <c r="AE156" i="3315"/>
  <c r="AE279" i="3315"/>
  <c r="AE510" i="3315"/>
  <c r="AE616" i="3315"/>
  <c r="AE178" i="3315"/>
  <c r="AE216" i="3315"/>
  <c r="AE89" i="3315"/>
  <c r="AE151" i="3315"/>
  <c r="AE297" i="3315"/>
  <c r="AE443" i="3315"/>
  <c r="AE670" i="3315"/>
  <c r="AE349" i="3315"/>
  <c r="AE148" i="3315"/>
  <c r="AE180" i="3315"/>
  <c r="AE203" i="3315"/>
  <c r="AE229" i="3315"/>
  <c r="AE289" i="3315"/>
  <c r="AE367" i="3315"/>
  <c r="AE452" i="3315"/>
  <c r="AE671" i="3315"/>
  <c r="AE507" i="3315"/>
  <c r="AE681" i="3315"/>
  <c r="AE256" i="3315"/>
  <c r="AE680" i="3315"/>
  <c r="AE697" i="3315"/>
  <c r="AE110" i="3315"/>
  <c r="AE682" i="3315"/>
  <c r="AE669" i="3315"/>
  <c r="AE340" i="3315"/>
  <c r="AE982" i="3315"/>
  <c r="AE1015" i="3315"/>
  <c r="AE1010" i="3315"/>
  <c r="AE1018" i="3315"/>
  <c r="AE1014" i="3315"/>
  <c r="AE390" i="3315"/>
  <c r="AE372" i="3315"/>
  <c r="AE387" i="3315"/>
  <c r="AE407" i="3315"/>
  <c r="AE397" i="3315"/>
  <c r="AE406" i="3315"/>
  <c r="AE395" i="3315"/>
  <c r="AE380" i="3315"/>
  <c r="AE605" i="3315"/>
  <c r="AE816" i="3315"/>
  <c r="AE749" i="3315"/>
  <c r="AE144" i="3315"/>
  <c r="AE778" i="3315"/>
  <c r="AE272" i="3315"/>
  <c r="AE777" i="3315"/>
  <c r="AE451" i="3315"/>
  <c r="AE591" i="3315"/>
  <c r="AE731" i="3315"/>
  <c r="AE332" i="3315"/>
  <c r="AE617" i="3315"/>
  <c r="AE243" i="3315"/>
  <c r="AE108" i="3315"/>
  <c r="AE82" i="3315"/>
  <c r="AE331" i="3315"/>
  <c r="AE335" i="3315"/>
  <c r="AE121" i="3315"/>
  <c r="AE531" i="3315"/>
  <c r="AE619" i="3315"/>
  <c r="AE90" i="3315"/>
  <c r="AE323" i="3315"/>
  <c r="AE768" i="3315"/>
  <c r="AE614" i="3315"/>
  <c r="AE828" i="3315"/>
  <c r="AE157" i="3315"/>
  <c r="AE128" i="3315"/>
  <c r="AE734" i="3315"/>
  <c r="AE149" i="3315"/>
  <c r="AE360" i="3315"/>
  <c r="AE689" i="3315"/>
  <c r="AE165" i="3315"/>
  <c r="AE227" i="3315"/>
  <c r="AE355" i="3315"/>
  <c r="AE456" i="3315"/>
  <c r="AE677" i="3315"/>
  <c r="AE98" i="3315"/>
  <c r="AE166" i="3315"/>
  <c r="AE170" i="3315"/>
  <c r="AE295" i="3315"/>
  <c r="AE518" i="3315"/>
  <c r="AE653" i="3315"/>
  <c r="AE169" i="3315"/>
  <c r="AE232" i="3315"/>
  <c r="AE71" i="3315"/>
  <c r="AE154" i="3315"/>
  <c r="AE159" i="3315"/>
  <c r="AE271" i="3315"/>
  <c r="AE454" i="3315"/>
  <c r="AE77" i="3315"/>
  <c r="AE164" i="3315"/>
  <c r="AE179" i="3315"/>
  <c r="AE214" i="3315"/>
  <c r="AE220" i="3315"/>
  <c r="AE307" i="3315"/>
  <c r="AE442" i="3315"/>
  <c r="AE515" i="3315"/>
  <c r="AE448" i="3315"/>
  <c r="AE647" i="3315"/>
  <c r="AE459" i="3315"/>
  <c r="AE109" i="3315"/>
  <c r="AE245" i="3315"/>
  <c r="AE624" i="3315"/>
  <c r="AE253" i="3315"/>
  <c r="AE339" i="3315"/>
  <c r="AE1085" i="3315"/>
  <c r="AE1066" i="3315"/>
  <c r="AE1062" i="3315"/>
  <c r="AE1084" i="3315"/>
  <c r="AE1055" i="3315"/>
  <c r="AE1075" i="3315"/>
  <c r="AE1060" i="3315"/>
  <c r="AE1070" i="3315"/>
  <c r="AE1086" i="3315"/>
  <c r="AE1080" i="3315"/>
  <c r="AE1076" i="3315"/>
  <c r="AE1052" i="3315"/>
  <c r="AE1090" i="3315"/>
  <c r="AE1087" i="3315"/>
  <c r="AE1082" i="3315"/>
  <c r="AE1088" i="3315"/>
  <c r="AE964" i="3315"/>
  <c r="AE932" i="3315"/>
  <c r="AE952" i="3315"/>
  <c r="AE938" i="3315"/>
  <c r="AE968" i="3315"/>
  <c r="AE941" i="3315"/>
  <c r="AE943" i="3315"/>
  <c r="AE958" i="3315"/>
  <c r="AE956" i="3315"/>
  <c r="AE912" i="3315"/>
  <c r="AE948" i="3315"/>
  <c r="AE949" i="3315"/>
  <c r="AE935" i="3315"/>
  <c r="AE969" i="3315"/>
  <c r="AE950" i="3315"/>
  <c r="AE911" i="3315"/>
  <c r="AE942" i="3315"/>
  <c r="AE959" i="3315"/>
  <c r="AE975" i="3315"/>
  <c r="AE965" i="3315"/>
  <c r="AE910" i="3315"/>
  <c r="AE939" i="3315"/>
  <c r="AE909" i="3315"/>
  <c r="AE926" i="3315"/>
  <c r="AE937" i="3315"/>
  <c r="AE918" i="3315"/>
  <c r="AE936" i="3315"/>
  <c r="AE974" i="3315"/>
  <c r="AE967" i="3315"/>
  <c r="AE961" i="3315"/>
  <c r="AE957" i="3315"/>
  <c r="AE915" i="3315"/>
  <c r="AE908" i="3315"/>
  <c r="AE944" i="3315"/>
  <c r="AE971" i="3315"/>
  <c r="AE903" i="3315"/>
  <c r="AE894" i="3315"/>
  <c r="AE474" i="3315"/>
  <c r="AE473" i="3315"/>
  <c r="AE479" i="3315"/>
  <c r="AE476" i="3315"/>
  <c r="AE477" i="3315"/>
  <c r="AE480" i="3315"/>
  <c r="AE468" i="3315"/>
  <c r="AE475" i="3315"/>
  <c r="AE472" i="3315"/>
  <c r="AE52" i="3315"/>
  <c r="AE53" i="3315"/>
  <c r="AE48" i="3315"/>
  <c r="AE49" i="3315"/>
  <c r="AE55" i="3315"/>
  <c r="AE51" i="3315"/>
  <c r="AE54" i="3315"/>
  <c r="AE46" i="3315"/>
  <c r="AE50" i="3315"/>
  <c r="X1050" i="3315"/>
  <c r="AE901" i="3315"/>
  <c r="AE1050" i="3315" l="1"/>
  <c r="U923" i="3315" l="1"/>
  <c r="X923" i="3315" s="1"/>
  <c r="U928" i="3315"/>
  <c r="X928" i="3315" s="1"/>
  <c r="U1001" i="3315"/>
  <c r="X1001" i="3315" s="1"/>
  <c r="U927" i="3315"/>
  <c r="X927" i="3315" s="1"/>
  <c r="AE1001" i="3315" l="1"/>
  <c r="AE928" i="3315"/>
  <c r="AE927" i="3315"/>
  <c r="AE923" i="3315"/>
  <c r="U946" i="3315"/>
  <c r="X946" i="3315" s="1"/>
  <c r="U951" i="3315"/>
  <c r="X951" i="3315" s="1"/>
  <c r="U920" i="3315"/>
  <c r="X920" i="3315" s="1"/>
  <c r="U989" i="3315"/>
  <c r="X989" i="3315" s="1"/>
  <c r="U992" i="3315"/>
  <c r="X992" i="3315" s="1"/>
  <c r="U985" i="3315"/>
  <c r="X985" i="3315" s="1"/>
  <c r="U970" i="3315"/>
  <c r="X970" i="3315" s="1"/>
  <c r="U916" i="3315"/>
  <c r="X916" i="3315" s="1"/>
  <c r="U919" i="3315"/>
  <c r="X919" i="3315" s="1"/>
  <c r="U917" i="3315"/>
  <c r="X917" i="3315" s="1"/>
  <c r="U1016" i="3315"/>
  <c r="X1016" i="3315" s="1"/>
  <c r="U966" i="3315"/>
  <c r="X966" i="3315" s="1"/>
  <c r="U921" i="3315"/>
  <c r="X921" i="3315" s="1"/>
  <c r="U997" i="3315"/>
  <c r="X997" i="3315" s="1"/>
  <c r="U988" i="3315"/>
  <c r="X988" i="3315" s="1"/>
  <c r="U962" i="3315"/>
  <c r="X962" i="3315" s="1"/>
  <c r="U934" i="3315"/>
  <c r="X934" i="3315" s="1"/>
  <c r="U1004" i="3315"/>
  <c r="X1004" i="3315" s="1"/>
  <c r="U1007" i="3315"/>
  <c r="X1007" i="3315" s="1"/>
  <c r="U930" i="3315"/>
  <c r="X930" i="3315" s="1"/>
  <c r="U972" i="3315"/>
  <c r="X972" i="3315" s="1"/>
  <c r="U924" i="3315"/>
  <c r="X924" i="3315" s="1"/>
  <c r="U947" i="3315"/>
  <c r="X947" i="3315" s="1"/>
  <c r="U913" i="3315"/>
  <c r="X913" i="3315" s="1"/>
  <c r="U979" i="3315"/>
  <c r="X979" i="3315" s="1"/>
  <c r="AE979" i="3315" l="1"/>
  <c r="AE1007" i="3315"/>
  <c r="AE985" i="3315"/>
  <c r="AE1004" i="3315"/>
  <c r="AE988" i="3315"/>
  <c r="AE1016" i="3315"/>
  <c r="AE992" i="3315"/>
  <c r="AE997" i="3315"/>
  <c r="AE989" i="3315"/>
  <c r="AE930" i="3315"/>
  <c r="AE917" i="3315"/>
  <c r="AE921" i="3315"/>
  <c r="AE920" i="3315"/>
  <c r="AE913" i="3315"/>
  <c r="AE972" i="3315"/>
  <c r="AE970" i="3315"/>
  <c r="AE946" i="3315"/>
  <c r="AE947" i="3315"/>
  <c r="AE934" i="3315"/>
  <c r="AE924" i="3315"/>
  <c r="AE919" i="3315"/>
  <c r="AE962" i="3315"/>
  <c r="AE966" i="3315"/>
  <c r="AE916" i="3315"/>
  <c r="AE951" i="3315"/>
  <c r="U963" i="3315" l="1"/>
  <c r="X963" i="3315" s="1"/>
  <c r="U902" i="3315"/>
  <c r="X902" i="3315" s="1"/>
  <c r="U955" i="3315"/>
  <c r="X955" i="3315" s="1"/>
  <c r="U1000" i="3315"/>
  <c r="X1000" i="3315" s="1"/>
  <c r="U954" i="3315"/>
  <c r="X954" i="3315" s="1"/>
  <c r="U925" i="3315"/>
  <c r="X925" i="3315" s="1"/>
  <c r="U994" i="3315"/>
  <c r="X994" i="3315" s="1"/>
  <c r="U999" i="3315"/>
  <c r="X999" i="3315" s="1"/>
  <c r="U940" i="3315"/>
  <c r="X940" i="3315" s="1"/>
  <c r="U914" i="3315"/>
  <c r="X914" i="3315" s="1"/>
  <c r="U993" i="3315"/>
  <c r="X993" i="3315" s="1"/>
  <c r="U907" i="3315"/>
  <c r="AE1043" i="3315"/>
  <c r="AE999" i="3315" l="1"/>
  <c r="AE993" i="3315"/>
  <c r="AE994" i="3315"/>
  <c r="AE1000" i="3315"/>
  <c r="AE955" i="3315"/>
  <c r="AE925" i="3315"/>
  <c r="AE940" i="3315"/>
  <c r="AE954" i="3315"/>
  <c r="AE914" i="3315"/>
  <c r="AE963" i="3315"/>
  <c r="AE902" i="3315"/>
  <c r="U976" i="3315"/>
  <c r="X907" i="3315"/>
  <c r="U115" i="3315"/>
  <c r="X115" i="3315" s="1"/>
  <c r="U260" i="3315"/>
  <c r="X260" i="3315" s="1"/>
  <c r="U248" i="3315"/>
  <c r="X248" i="3315" s="1"/>
  <c r="U334" i="3315"/>
  <c r="X334" i="3315" s="1"/>
  <c r="U329" i="3315"/>
  <c r="X329" i="3315" s="1"/>
  <c r="U659" i="3315"/>
  <c r="X659" i="3315" s="1"/>
  <c r="U702" i="3315"/>
  <c r="X702" i="3315" s="1"/>
  <c r="U686" i="3315"/>
  <c r="X686" i="3315" s="1"/>
  <c r="U655" i="3315"/>
  <c r="X655" i="3315" s="1"/>
  <c r="U701" i="3315"/>
  <c r="X701" i="3315" s="1"/>
  <c r="U654" i="3315"/>
  <c r="X654" i="3315" s="1"/>
  <c r="U691" i="3315"/>
  <c r="X691" i="3315" s="1"/>
  <c r="U636" i="3315"/>
  <c r="X636" i="3315" s="1"/>
  <c r="U852" i="3315"/>
  <c r="X852" i="3315" s="1"/>
  <c r="U854" i="3315"/>
  <c r="X854" i="3315" s="1"/>
  <c r="U258" i="3315"/>
  <c r="X258" i="3315" s="1"/>
  <c r="U252" i="3315"/>
  <c r="X252" i="3315" s="1"/>
  <c r="U350" i="3315"/>
  <c r="X350" i="3315" s="1"/>
  <c r="U470" i="3315"/>
  <c r="X470" i="3315" s="1"/>
  <c r="U693" i="3315"/>
  <c r="X693" i="3315" s="1"/>
  <c r="U696" i="3315"/>
  <c r="X696" i="3315" s="1"/>
  <c r="U668" i="3315"/>
  <c r="X668" i="3315" s="1"/>
  <c r="U662" i="3315"/>
  <c r="X662" i="3315" s="1"/>
  <c r="U639" i="3315"/>
  <c r="X639" i="3315" s="1"/>
  <c r="U119" i="3315"/>
  <c r="X119" i="3315" s="1"/>
  <c r="U858" i="3315"/>
  <c r="X858" i="3315" s="1"/>
  <c r="U635" i="3315"/>
  <c r="X635" i="3315" s="1"/>
  <c r="U520" i="3315"/>
  <c r="X520" i="3315" s="1"/>
  <c r="U463" i="3315"/>
  <c r="X463" i="3315" s="1"/>
  <c r="U462" i="3315"/>
  <c r="X462" i="3315" s="1"/>
  <c r="U116" i="3315"/>
  <c r="X116" i="3315" s="1"/>
  <c r="U651" i="3315"/>
  <c r="X651" i="3315" s="1"/>
  <c r="U683" i="3315"/>
  <c r="X683" i="3315" s="1"/>
  <c r="U623" i="3315"/>
  <c r="X623" i="3315" s="1"/>
  <c r="U535" i="3315"/>
  <c r="X535" i="3315" s="1"/>
  <c r="U261" i="3315"/>
  <c r="X261" i="3315" s="1"/>
  <c r="U249" i="3315"/>
  <c r="X249" i="3315" s="1"/>
  <c r="U348" i="3315"/>
  <c r="X348" i="3315" s="1"/>
  <c r="U117" i="3315"/>
  <c r="X117" i="3315" s="1"/>
  <c r="U694" i="3315"/>
  <c r="X694" i="3315" s="1"/>
  <c r="U530" i="3315"/>
  <c r="X530" i="3315" s="1"/>
  <c r="U499" i="3315"/>
  <c r="X499" i="3315" s="1"/>
  <c r="U495" i="3315"/>
  <c r="X495" i="3315" s="1"/>
  <c r="U461" i="3315"/>
  <c r="X461" i="3315" s="1"/>
  <c r="U439" i="3315"/>
  <c r="X439" i="3315" s="1"/>
  <c r="U366" i="3315"/>
  <c r="X366" i="3315" s="1"/>
  <c r="U274" i="3315"/>
  <c r="X274" i="3315" s="1"/>
  <c r="U221" i="3315"/>
  <c r="X221" i="3315" s="1"/>
  <c r="U78" i="3315"/>
  <c r="X78" i="3315" s="1"/>
  <c r="U118" i="3315"/>
  <c r="X118" i="3315" s="1"/>
  <c r="U102" i="3315"/>
  <c r="X102" i="3315" s="1"/>
  <c r="U699" i="3315"/>
  <c r="X699" i="3315" s="1"/>
  <c r="U630" i="3315"/>
  <c r="X630" i="3315" s="1"/>
  <c r="U684" i="3315"/>
  <c r="X684" i="3315" s="1"/>
  <c r="U853" i="3315"/>
  <c r="X853" i="3315" s="1"/>
  <c r="U725" i="3315"/>
  <c r="X725" i="3315" s="1"/>
  <c r="U496" i="3315"/>
  <c r="X496" i="3315" s="1"/>
  <c r="U436" i="3315"/>
  <c r="X436" i="3315" s="1"/>
  <c r="U287" i="3315"/>
  <c r="X287" i="3315" s="1"/>
  <c r="U61" i="3315"/>
  <c r="X61" i="3315" s="1"/>
  <c r="U96" i="3315"/>
  <c r="X96" i="3315" s="1"/>
  <c r="U86" i="3315"/>
  <c r="X86" i="3315" s="1"/>
  <c r="U94" i="3315"/>
  <c r="X94" i="3315" s="1"/>
  <c r="U72" i="3315"/>
  <c r="X72" i="3315" s="1"/>
  <c r="U112" i="3315"/>
  <c r="X112" i="3315" s="1"/>
  <c r="U250" i="3315"/>
  <c r="X250" i="3315" s="1"/>
  <c r="U330" i="3315"/>
  <c r="X330" i="3315" s="1"/>
  <c r="U430" i="3315"/>
  <c r="X430" i="3315" s="1"/>
  <c r="U371" i="3315"/>
  <c r="X371" i="3315" s="1"/>
  <c r="U469" i="3315"/>
  <c r="X469" i="3315" s="1"/>
  <c r="U657" i="3315"/>
  <c r="X657" i="3315" s="1"/>
  <c r="U692" i="3315"/>
  <c r="X692" i="3315" s="1"/>
  <c r="U704" i="3315"/>
  <c r="X704" i="3315" s="1"/>
  <c r="U860" i="3315"/>
  <c r="X860" i="3315" s="1"/>
  <c r="U504" i="3315"/>
  <c r="X504" i="3315" s="1"/>
  <c r="U431" i="3315"/>
  <c r="X431" i="3315" s="1"/>
  <c r="U460" i="3315"/>
  <c r="X460" i="3315" s="1"/>
  <c r="U435" i="3315"/>
  <c r="X435" i="3315" s="1"/>
  <c r="U373" i="3315"/>
  <c r="X373" i="3315" s="1"/>
  <c r="U293" i="3315"/>
  <c r="X293" i="3315" s="1"/>
  <c r="U205" i="3315"/>
  <c r="X205" i="3315" s="1"/>
  <c r="U100" i="3315"/>
  <c r="X100" i="3315" s="1"/>
  <c r="U85" i="3315"/>
  <c r="X85" i="3315" s="1"/>
  <c r="U64" i="3315"/>
  <c r="X64" i="3315" s="1"/>
  <c r="U346" i="3315"/>
  <c r="X346" i="3315" s="1"/>
  <c r="U666" i="3315"/>
  <c r="X666" i="3315" s="1"/>
  <c r="U861" i="3315"/>
  <c r="X861" i="3315" s="1"/>
  <c r="U857" i="3315"/>
  <c r="X857" i="3315" s="1"/>
  <c r="U441" i="3315"/>
  <c r="X441" i="3315" s="1"/>
  <c r="U434" i="3315"/>
  <c r="X434" i="3315" s="1"/>
  <c r="U419" i="3315"/>
  <c r="X419" i="3315" s="1"/>
  <c r="U429" i="3315"/>
  <c r="X429" i="3315" s="1"/>
  <c r="U408" i="3315"/>
  <c r="X408" i="3315" s="1"/>
  <c r="U368" i="3315"/>
  <c r="X368" i="3315" s="1"/>
  <c r="U378" i="3315"/>
  <c r="X378" i="3315" s="1"/>
  <c r="U363" i="3315"/>
  <c r="X363" i="3315" s="1"/>
  <c r="U379" i="3315"/>
  <c r="X379" i="3315" s="1"/>
  <c r="U356" i="3315"/>
  <c r="X356" i="3315" s="1"/>
  <c r="U281" i="3315"/>
  <c r="X281" i="3315" s="1"/>
  <c r="U266" i="3315"/>
  <c r="X266" i="3315" s="1"/>
  <c r="U859" i="3315"/>
  <c r="X859" i="3315" s="1"/>
  <c r="U433" i="3315"/>
  <c r="X433" i="3315" s="1"/>
  <c r="U222" i="3315"/>
  <c r="X222" i="3315" s="1"/>
  <c r="U134" i="3315"/>
  <c r="X134" i="3315" s="1"/>
  <c r="U60" i="3315"/>
  <c r="X60" i="3315" s="1"/>
  <c r="U829" i="3315"/>
  <c r="X829" i="3315" s="1"/>
  <c r="U76" i="3315"/>
  <c r="X76" i="3315" s="1"/>
  <c r="U833" i="3315"/>
  <c r="X833" i="3315" s="1"/>
  <c r="U586" i="3315"/>
  <c r="X586" i="3315" s="1"/>
  <c r="U67" i="3315"/>
  <c r="X67" i="3315" s="1"/>
  <c r="U561" i="3315"/>
  <c r="X561" i="3315" s="1"/>
  <c r="U254" i="3315"/>
  <c r="X254" i="3315" s="1"/>
  <c r="U620" i="3315"/>
  <c r="X620" i="3315" s="1"/>
  <c r="U633" i="3315"/>
  <c r="X633" i="3315" s="1"/>
  <c r="U74" i="3315"/>
  <c r="X74" i="3315" s="1"/>
  <c r="U730" i="3315"/>
  <c r="X730" i="3315" s="1"/>
  <c r="U437" i="3315"/>
  <c r="X437" i="3315" s="1"/>
  <c r="U578" i="3315"/>
  <c r="X578" i="3315" s="1"/>
  <c r="U559" i="3315"/>
  <c r="X559" i="3315" s="1"/>
  <c r="U707" i="3315"/>
  <c r="X707" i="3315" s="1"/>
  <c r="U292" i="3315"/>
  <c r="X292" i="3315" s="1"/>
  <c r="U729" i="3315"/>
  <c r="X729" i="3315" s="1"/>
  <c r="U832" i="3315"/>
  <c r="X832" i="3315" s="1"/>
  <c r="U500" i="3315"/>
  <c r="X500" i="3315" s="1"/>
  <c r="U84" i="3315"/>
  <c r="X84" i="3315" s="1"/>
  <c r="U563" i="3315"/>
  <c r="X563" i="3315" s="1"/>
  <c r="U548" i="3315"/>
  <c r="X548" i="3315" s="1"/>
  <c r="U584" i="3315"/>
  <c r="X584" i="3315" s="1"/>
  <c r="U803" i="3315"/>
  <c r="X803" i="3315" s="1"/>
  <c r="U834" i="3315"/>
  <c r="X834" i="3315" s="1"/>
  <c r="U830" i="3315"/>
  <c r="X830" i="3315" s="1"/>
  <c r="AE830" i="3315" s="1"/>
  <c r="U775" i="3315"/>
  <c r="X775" i="3315" s="1"/>
  <c r="U541" i="3315"/>
  <c r="X541" i="3315" s="1"/>
  <c r="U537" i="3315"/>
  <c r="X537" i="3315" s="1"/>
  <c r="U740" i="3315"/>
  <c r="X740" i="3315" s="1"/>
  <c r="U438" i="3315"/>
  <c r="X438" i="3315" s="1"/>
  <c r="U440" i="3315"/>
  <c r="X440" i="3315" s="1"/>
  <c r="U759" i="3315"/>
  <c r="X759" i="3315" s="1"/>
  <c r="U570" i="3315"/>
  <c r="X570" i="3315" s="1"/>
  <c r="U722" i="3315"/>
  <c r="X722" i="3315" s="1"/>
  <c r="U835" i="3315"/>
  <c r="X835" i="3315" s="1"/>
  <c r="U347" i="3315"/>
  <c r="X347" i="3315" s="1"/>
  <c r="U727" i="3315"/>
  <c r="X727" i="3315" s="1"/>
  <c r="U512" i="3315"/>
  <c r="X512" i="3315" s="1"/>
  <c r="U122" i="3315"/>
  <c r="X122" i="3315" s="1"/>
  <c r="U745" i="3315"/>
  <c r="X745" i="3315" s="1"/>
  <c r="U716" i="3315"/>
  <c r="X716" i="3315" s="1"/>
  <c r="U817" i="3315"/>
  <c r="X817" i="3315" s="1"/>
  <c r="U800" i="3315"/>
  <c r="X800" i="3315" s="1"/>
  <c r="U751" i="3315"/>
  <c r="X751" i="3315" s="1"/>
  <c r="U576" i="3315"/>
  <c r="X576" i="3315" s="1"/>
  <c r="U92" i="3315"/>
  <c r="X92" i="3315" s="1"/>
  <c r="U555" i="3315"/>
  <c r="X555" i="3315" s="1"/>
  <c r="U580" i="3315"/>
  <c r="X580" i="3315" s="1"/>
  <c r="U733" i="3315"/>
  <c r="X733" i="3315" s="1"/>
  <c r="U755" i="3315"/>
  <c r="X755" i="3315" s="1"/>
  <c r="U566" i="3315"/>
  <c r="X566" i="3315" s="1"/>
  <c r="U557" i="3315"/>
  <c r="X557" i="3315" s="1"/>
  <c r="U549" i="3315"/>
  <c r="X549" i="3315" s="1"/>
  <c r="U321" i="3315"/>
  <c r="X321" i="3315" s="1"/>
  <c r="U318" i="3315"/>
  <c r="X318" i="3315" s="1"/>
  <c r="U627" i="3315"/>
  <c r="X627" i="3315" s="1"/>
  <c r="U131" i="3315"/>
  <c r="X131" i="3315" s="1"/>
  <c r="U523" i="3315"/>
  <c r="X523" i="3315" s="1"/>
  <c r="U129" i="3315"/>
  <c r="X129" i="3315" s="1"/>
  <c r="U421" i="3315"/>
  <c r="X421" i="3315" s="1"/>
  <c r="U534" i="3315"/>
  <c r="X534" i="3315" s="1"/>
  <c r="U855" i="3315"/>
  <c r="X855" i="3315" s="1"/>
  <c r="U615" i="3315"/>
  <c r="X615" i="3315" s="1"/>
  <c r="U75" i="3315"/>
  <c r="X75" i="3315" s="1"/>
  <c r="U813" i="3315"/>
  <c r="X813" i="3315" s="1"/>
  <c r="U837" i="3315"/>
  <c r="X837" i="3315" s="1"/>
  <c r="U283" i="3315"/>
  <c r="X283" i="3315" s="1"/>
  <c r="U735" i="3315"/>
  <c r="X735" i="3315" s="1"/>
  <c r="U311" i="3315"/>
  <c r="X311" i="3315" s="1"/>
  <c r="U743" i="3315"/>
  <c r="X743" i="3315" s="1"/>
  <c r="U773" i="3315"/>
  <c r="X773" i="3315" s="1"/>
  <c r="U720" i="3315"/>
  <c r="X720" i="3315" s="1"/>
  <c r="U642" i="3315"/>
  <c r="X642" i="3315" s="1"/>
  <c r="U831" i="3315"/>
  <c r="X831" i="3315" s="1"/>
  <c r="U604" i="3315"/>
  <c r="X604" i="3315" s="1"/>
  <c r="U769" i="3315"/>
  <c r="X769" i="3315" s="1"/>
  <c r="U742" i="3315"/>
  <c r="X742" i="3315" s="1"/>
  <c r="U594" i="3315"/>
  <c r="X594" i="3315" s="1"/>
  <c r="U199" i="3315"/>
  <c r="X199" i="3315" s="1"/>
  <c r="U634" i="3315"/>
  <c r="X634" i="3315" s="1"/>
  <c r="U572" i="3315"/>
  <c r="X572" i="3315" s="1"/>
  <c r="U646" i="3315"/>
  <c r="X646" i="3315" s="1"/>
  <c r="U582" i="3315"/>
  <c r="X582" i="3315" s="1"/>
  <c r="U592" i="3315"/>
  <c r="X592" i="3315" s="1"/>
  <c r="U622" i="3315"/>
  <c r="X622" i="3315" s="1"/>
  <c r="U760" i="3315"/>
  <c r="X760" i="3315" s="1"/>
  <c r="U539" i="3315"/>
  <c r="X539" i="3315" s="1"/>
  <c r="U748" i="3315"/>
  <c r="X748" i="3315" s="1"/>
  <c r="U752" i="3315"/>
  <c r="X752" i="3315" s="1"/>
  <c r="U819" i="3315"/>
  <c r="X819" i="3315" s="1"/>
  <c r="U589" i="3315"/>
  <c r="X589" i="3315" s="1"/>
  <c r="U779" i="3315"/>
  <c r="X779" i="3315" s="1"/>
  <c r="U756" i="3315"/>
  <c r="X756" i="3315" s="1"/>
  <c r="U388" i="3315"/>
  <c r="X388" i="3315" s="1"/>
  <c r="U317" i="3315"/>
  <c r="X317" i="3315" s="1"/>
  <c r="U91" i="3315"/>
  <c r="X91" i="3315" s="1"/>
  <c r="U101" i="3315"/>
  <c r="X101" i="3315" s="1"/>
  <c r="U126" i="3315"/>
  <c r="X126" i="3315" s="1"/>
  <c r="U551" i="3315"/>
  <c r="X551" i="3315" s="1"/>
  <c r="U127" i="3315"/>
  <c r="X127" i="3315" s="1"/>
  <c r="U120" i="3315"/>
  <c r="X120" i="3315" s="1"/>
  <c r="U524" i="3315"/>
  <c r="X524" i="3315" s="1"/>
  <c r="U763" i="3315"/>
  <c r="X763" i="3315" s="1"/>
  <c r="U552" i="3315"/>
  <c r="X552" i="3315" s="1"/>
  <c r="U478" i="3315"/>
  <c r="X478" i="3315" s="1"/>
  <c r="U497" i="3315"/>
  <c r="X497" i="3315" s="1"/>
  <c r="U251" i="3315"/>
  <c r="X251" i="3315" s="1"/>
  <c r="U242" i="3315"/>
  <c r="X242" i="3315" s="1"/>
  <c r="U471" i="3315"/>
  <c r="X471" i="3315" s="1"/>
  <c r="U723" i="3315"/>
  <c r="X723" i="3315" s="1"/>
  <c r="U428" i="3315"/>
  <c r="X428" i="3315" s="1"/>
  <c r="U757" i="3315"/>
  <c r="X757" i="3315" s="1"/>
  <c r="U812" i="3315"/>
  <c r="X812" i="3315" s="1"/>
  <c r="U705" i="3315"/>
  <c r="X705" i="3315" s="1"/>
  <c r="U738" i="3315"/>
  <c r="X738" i="3315" s="1"/>
  <c r="U522" i="3315"/>
  <c r="X522" i="3315" s="1"/>
  <c r="U737" i="3315"/>
  <c r="X737" i="3315" s="1"/>
  <c r="U65" i="3315"/>
  <c r="X65" i="3315" s="1"/>
  <c r="U640" i="3315"/>
  <c r="X640" i="3315" s="1"/>
  <c r="U550" i="3315"/>
  <c r="X550" i="3315" s="1"/>
  <c r="U574" i="3315"/>
  <c r="X574" i="3315" s="1"/>
  <c r="U201" i="3315"/>
  <c r="X201" i="3315" s="1"/>
  <c r="U105" i="3315"/>
  <c r="X105" i="3315" s="1"/>
  <c r="U103" i="3315"/>
  <c r="X103" i="3315" s="1"/>
  <c r="U107" i="3315"/>
  <c r="X107" i="3315" s="1"/>
  <c r="U588" i="3315"/>
  <c r="X588" i="3315" s="1"/>
  <c r="U1061" i="3315"/>
  <c r="X1061" i="3315" s="1"/>
  <c r="U1057" i="3315"/>
  <c r="X1057" i="3315" s="1"/>
  <c r="U1074" i="3315"/>
  <c r="X1074" i="3315" s="1"/>
  <c r="U1064" i="3315"/>
  <c r="X1064" i="3315" s="1"/>
  <c r="U1077" i="3315"/>
  <c r="X1077" i="3315" s="1"/>
  <c r="U1059" i="3315"/>
  <c r="X1059" i="3315" s="1"/>
  <c r="U1078" i="3315"/>
  <c r="X1078" i="3315" s="1"/>
  <c r="U1053" i="3315"/>
  <c r="X1053" i="3315" s="1"/>
  <c r="U1089" i="3315"/>
  <c r="X1089" i="3315" s="1"/>
  <c r="U1079" i="3315"/>
  <c r="X1079" i="3315" s="1"/>
  <c r="U1058" i="3315"/>
  <c r="X1058" i="3315" s="1"/>
  <c r="U1083" i="3315"/>
  <c r="X1083" i="3315" s="1"/>
  <c r="U1091" i="3315"/>
  <c r="X1091" i="3315" s="1"/>
  <c r="U1027" i="3315"/>
  <c r="U344" i="3315"/>
  <c r="U1092" i="3315"/>
  <c r="X1092" i="3315" s="1"/>
  <c r="U1065" i="3315"/>
  <c r="X1065" i="3315" s="1"/>
  <c r="U1073" i="3315"/>
  <c r="X1073" i="3315" s="1"/>
  <c r="U1056" i="3315"/>
  <c r="X1056" i="3315" s="1"/>
  <c r="U1067" i="3315"/>
  <c r="X1067" i="3315" s="1"/>
  <c r="U1071" i="3315"/>
  <c r="X1071" i="3315" s="1"/>
  <c r="U1051" i="3315"/>
  <c r="U1072" i="3315"/>
  <c r="X1072" i="3315" s="1"/>
  <c r="U1069" i="3315"/>
  <c r="X1069" i="3315" s="1"/>
  <c r="U1063" i="3315"/>
  <c r="X1063" i="3315" s="1"/>
  <c r="U1068" i="3315"/>
  <c r="X1068" i="3315" s="1"/>
  <c r="U1054" i="3315"/>
  <c r="X1054" i="3315" s="1"/>
  <c r="U904" i="3315"/>
  <c r="AE550" i="3315" l="1"/>
  <c r="AE757" i="3315"/>
  <c r="AE552" i="3315"/>
  <c r="AE91" i="3315"/>
  <c r="AE748" i="3315"/>
  <c r="AE634" i="3315"/>
  <c r="AE720" i="3315"/>
  <c r="AE75" i="3315"/>
  <c r="AE627" i="3315"/>
  <c r="AE580" i="3315"/>
  <c r="AE745" i="3315"/>
  <c r="AE759" i="3315"/>
  <c r="AE834" i="3315"/>
  <c r="AE729" i="3315"/>
  <c r="AE633" i="3315"/>
  <c r="AE829" i="3315"/>
  <c r="AE356" i="3315"/>
  <c r="AE368" i="3315"/>
  <c r="AE666" i="3315"/>
  <c r="AE435" i="3315"/>
  <c r="AE86" i="3315"/>
  <c r="AE684" i="3315"/>
  <c r="AE499" i="3315"/>
  <c r="AE623" i="3315"/>
  <c r="AE858" i="3315"/>
  <c r="AE350" i="3315"/>
  <c r="AE701" i="3315"/>
  <c r="AE260" i="3315"/>
  <c r="AE640" i="3315"/>
  <c r="AE251" i="3315"/>
  <c r="AE763" i="3315"/>
  <c r="AE317" i="3315"/>
  <c r="AE539" i="3315"/>
  <c r="AE199" i="3315"/>
  <c r="AE773" i="3315"/>
  <c r="AE615" i="3315"/>
  <c r="AE318" i="3315"/>
  <c r="AE555" i="3315"/>
  <c r="AE122" i="3315"/>
  <c r="AE440" i="3315"/>
  <c r="AE803" i="3315"/>
  <c r="AE292" i="3315"/>
  <c r="AE620" i="3315"/>
  <c r="AE60" i="3315"/>
  <c r="AE379" i="3315"/>
  <c r="AE441" i="3315"/>
  <c r="AE205" i="3315"/>
  <c r="AE704" i="3315"/>
  <c r="AE112" i="3315"/>
  <c r="AE496" i="3315"/>
  <c r="AE78" i="3315"/>
  <c r="AE530" i="3315"/>
  <c r="AE683" i="3315"/>
  <c r="AE119" i="3315"/>
  <c r="AE252" i="3315"/>
  <c r="AE655" i="3315"/>
  <c r="AE115" i="3315"/>
  <c r="AE588" i="3315"/>
  <c r="AE201" i="3315"/>
  <c r="AE65" i="3315"/>
  <c r="AE705" i="3315"/>
  <c r="AE723" i="3315"/>
  <c r="AE497" i="3315"/>
  <c r="AE524" i="3315"/>
  <c r="AE126" i="3315"/>
  <c r="AE388" i="3315"/>
  <c r="AE819" i="3315"/>
  <c r="AE760" i="3315"/>
  <c r="AE646" i="3315"/>
  <c r="AE594" i="3315"/>
  <c r="AE831" i="3315"/>
  <c r="AE743" i="3315"/>
  <c r="AE837" i="3315"/>
  <c r="AE855" i="3315"/>
  <c r="AE523" i="3315"/>
  <c r="AE321" i="3315"/>
  <c r="AE755" i="3315"/>
  <c r="AE92" i="3315"/>
  <c r="AE817" i="3315"/>
  <c r="AE512" i="3315"/>
  <c r="AE722" i="3315"/>
  <c r="AE438" i="3315"/>
  <c r="AE775" i="3315"/>
  <c r="AE584" i="3315"/>
  <c r="AE500" i="3315"/>
  <c r="AE707" i="3315"/>
  <c r="AE730" i="3315"/>
  <c r="AE254" i="3315"/>
  <c r="AE833" i="3315"/>
  <c r="AE134" i="3315"/>
  <c r="AE266" i="3315"/>
  <c r="AE363" i="3315"/>
  <c r="AE429" i="3315"/>
  <c r="AE857" i="3315"/>
  <c r="AE64" i="3315"/>
  <c r="AE293" i="3315"/>
  <c r="AE431" i="3315"/>
  <c r="AE692" i="3315"/>
  <c r="AE430" i="3315"/>
  <c r="AE72" i="3315"/>
  <c r="AE61" i="3315"/>
  <c r="AE725" i="3315"/>
  <c r="AE699" i="3315"/>
  <c r="AE221" i="3315"/>
  <c r="AE461" i="3315"/>
  <c r="AE694" i="3315"/>
  <c r="AE261" i="3315"/>
  <c r="AE651" i="3315"/>
  <c r="AE520" i="3315"/>
  <c r="AE639" i="3315"/>
  <c r="AE693" i="3315"/>
  <c r="AE258" i="3315"/>
  <c r="AE691" i="3315"/>
  <c r="AE686" i="3315"/>
  <c r="AE334" i="3315"/>
  <c r="AE103" i="3315"/>
  <c r="AE522" i="3315"/>
  <c r="AE242" i="3315"/>
  <c r="AE127" i="3315"/>
  <c r="AE779" i="3315"/>
  <c r="AE592" i="3315"/>
  <c r="AE769" i="3315"/>
  <c r="AE735" i="3315"/>
  <c r="AE421" i="3315"/>
  <c r="AE557" i="3315"/>
  <c r="AE751" i="3315"/>
  <c r="AE347" i="3315"/>
  <c r="AE537" i="3315"/>
  <c r="AE563" i="3315"/>
  <c r="AE578" i="3315"/>
  <c r="AE67" i="3315"/>
  <c r="AE433" i="3315"/>
  <c r="AE434" i="3315"/>
  <c r="AE100" i="3315"/>
  <c r="AE860" i="3315"/>
  <c r="AE250" i="3315"/>
  <c r="AE436" i="3315"/>
  <c r="AE118" i="3315"/>
  <c r="AE366" i="3315"/>
  <c r="AE348" i="3315"/>
  <c r="AE462" i="3315"/>
  <c r="AE668" i="3315"/>
  <c r="AE852" i="3315"/>
  <c r="AE659" i="3315"/>
  <c r="AE105" i="3315"/>
  <c r="AE738" i="3315"/>
  <c r="AE428" i="3315"/>
  <c r="AE551" i="3315"/>
  <c r="AE589" i="3315"/>
  <c r="AE582" i="3315"/>
  <c r="AE604" i="3315"/>
  <c r="AE283" i="3315"/>
  <c r="AE129" i="3315"/>
  <c r="AE566" i="3315"/>
  <c r="AE800" i="3315"/>
  <c r="AE835" i="3315"/>
  <c r="AE541" i="3315"/>
  <c r="AE84" i="3315"/>
  <c r="AE437" i="3315"/>
  <c r="AE586" i="3315"/>
  <c r="AE859" i="3315"/>
  <c r="AE408" i="3315"/>
  <c r="AE346" i="3315"/>
  <c r="AE460" i="3315"/>
  <c r="AE371" i="3315"/>
  <c r="AE96" i="3315"/>
  <c r="AE630" i="3315"/>
  <c r="AE439" i="3315"/>
  <c r="AE249" i="3315"/>
  <c r="AE463" i="3315"/>
  <c r="AE696" i="3315"/>
  <c r="AE636" i="3315"/>
  <c r="AE329" i="3315"/>
  <c r="AE107" i="3315"/>
  <c r="AE574" i="3315"/>
  <c r="AE737" i="3315"/>
  <c r="AE812" i="3315"/>
  <c r="AE120" i="3315"/>
  <c r="AE101" i="3315"/>
  <c r="AE756" i="3315"/>
  <c r="AE752" i="3315"/>
  <c r="AE622" i="3315"/>
  <c r="AE572" i="3315"/>
  <c r="AE742" i="3315"/>
  <c r="AE642" i="3315"/>
  <c r="AE311" i="3315"/>
  <c r="AE813" i="3315"/>
  <c r="AE534" i="3315"/>
  <c r="AE131" i="3315"/>
  <c r="AE549" i="3315"/>
  <c r="AE733" i="3315"/>
  <c r="AE576" i="3315"/>
  <c r="AE716" i="3315"/>
  <c r="AE727" i="3315"/>
  <c r="AE570" i="3315"/>
  <c r="AE740" i="3315"/>
  <c r="AE548" i="3315"/>
  <c r="AE832" i="3315"/>
  <c r="AE559" i="3315"/>
  <c r="AE74" i="3315"/>
  <c r="AE561" i="3315"/>
  <c r="AE76" i="3315"/>
  <c r="AE222" i="3315"/>
  <c r="AE281" i="3315"/>
  <c r="AE378" i="3315"/>
  <c r="AE419" i="3315"/>
  <c r="AE861" i="3315"/>
  <c r="AE85" i="3315"/>
  <c r="AE373" i="3315"/>
  <c r="AE504" i="3315"/>
  <c r="AE657" i="3315"/>
  <c r="AE330" i="3315"/>
  <c r="AE94" i="3315"/>
  <c r="AE287" i="3315"/>
  <c r="AE853" i="3315"/>
  <c r="AE102" i="3315"/>
  <c r="AE274" i="3315"/>
  <c r="AE495" i="3315"/>
  <c r="AE117" i="3315"/>
  <c r="AE535" i="3315"/>
  <c r="AE116" i="3315"/>
  <c r="AE635" i="3315"/>
  <c r="AE662" i="3315"/>
  <c r="AE854" i="3315"/>
  <c r="AE654" i="3315"/>
  <c r="AE702" i="3315"/>
  <c r="AE248" i="3315"/>
  <c r="AE1079" i="3315"/>
  <c r="AE1057" i="3315"/>
  <c r="AE1071" i="3315"/>
  <c r="AE1091" i="3315"/>
  <c r="AE1077" i="3315"/>
  <c r="AE1069" i="3315"/>
  <c r="AE1067" i="3315"/>
  <c r="AE1092" i="3315"/>
  <c r="AE1083" i="3315"/>
  <c r="AE1053" i="3315"/>
  <c r="AE1064" i="3315"/>
  <c r="AE1068" i="3315"/>
  <c r="AE1073" i="3315"/>
  <c r="AE1059" i="3315"/>
  <c r="AE1063" i="3315"/>
  <c r="AE1065" i="3315"/>
  <c r="AE1089" i="3315"/>
  <c r="AE1061" i="3315"/>
  <c r="AE1054" i="3315"/>
  <c r="AE1072" i="3315"/>
  <c r="AE1056" i="3315"/>
  <c r="AE1058" i="3315"/>
  <c r="AE1078" i="3315"/>
  <c r="AE1074" i="3315"/>
  <c r="AE471" i="3315"/>
  <c r="AE478" i="3315"/>
  <c r="AE470" i="3315"/>
  <c r="AE469" i="3315"/>
  <c r="X976" i="3315"/>
  <c r="AE907" i="3315"/>
  <c r="X1051" i="3315"/>
  <c r="U1096" i="3315"/>
  <c r="U1099" i="3315" s="1"/>
  <c r="U351" i="3315"/>
  <c r="X344" i="3315"/>
  <c r="X904" i="3315"/>
  <c r="X1027" i="3315"/>
  <c r="AE1027" i="3315" l="1"/>
  <c r="AE976" i="3315"/>
  <c r="AE904" i="3315"/>
  <c r="AE344" i="3315"/>
  <c r="X351" i="3315"/>
  <c r="AE1051" i="3315"/>
  <c r="X1096" i="3315"/>
  <c r="X1099" i="3315" l="1"/>
  <c r="AE1096" i="3315"/>
  <c r="AE1099" i="3315" l="1"/>
  <c r="Q467" i="3315"/>
  <c r="M467" i="3315"/>
  <c r="I467" i="3315"/>
  <c r="AG467" i="3315" s="1"/>
  <c r="AG481" i="3315" s="1"/>
  <c r="Q893" i="3315" l="1"/>
  <c r="Q59" i="3315"/>
  <c r="M871" i="3315"/>
  <c r="I893" i="3315"/>
  <c r="I871" i="3315"/>
  <c r="AG871" i="3315" s="1"/>
  <c r="AG888" i="3315" s="1"/>
  <c r="AG893" i="3315" l="1"/>
  <c r="AG898" i="3315" s="1"/>
  <c r="J893" i="3315"/>
  <c r="M893" i="3315"/>
  <c r="AD488" i="3315"/>
  <c r="AD490" i="3315" l="1"/>
  <c r="Z467" i="3315" l="1"/>
  <c r="AD467" i="3315" s="1"/>
  <c r="R467" i="3315"/>
  <c r="N467" i="3315"/>
  <c r="J467" i="3315"/>
  <c r="M270" i="3315"/>
  <c r="I270" i="3315"/>
  <c r="AG270" i="3315" s="1"/>
  <c r="AG341" i="3315" s="1"/>
  <c r="AF467" i="3315" l="1"/>
  <c r="N865" i="3315"/>
  <c r="AF481" i="3315" l="1"/>
  <c r="W467" i="3315" l="1"/>
  <c r="V467" i="3315" l="1"/>
  <c r="U467" i="3315" l="1"/>
  <c r="X467" i="3315" l="1"/>
  <c r="U481" i="3315"/>
  <c r="N871" i="3315"/>
  <c r="J871" i="3315"/>
  <c r="J270" i="3315"/>
  <c r="N270" i="3315"/>
  <c r="R865" i="3315"/>
  <c r="M866" i="3315"/>
  <c r="Z865" i="3315"/>
  <c r="AD865" i="3315" s="1"/>
  <c r="N866" i="3315"/>
  <c r="Z893" i="3315"/>
  <c r="AD893" i="3315" s="1"/>
  <c r="Z871" i="3315"/>
  <c r="Z270" i="3315"/>
  <c r="AD270" i="3315" s="1"/>
  <c r="Z40" i="3315"/>
  <c r="AD40" i="3315" s="1"/>
  <c r="Z354" i="3315"/>
  <c r="AD354" i="3315" s="1"/>
  <c r="Z59" i="3315"/>
  <c r="AD59" i="3315" s="1"/>
  <c r="Z240" i="3315"/>
  <c r="AD240" i="3315" s="1"/>
  <c r="Z138" i="3315"/>
  <c r="AD138" i="3315" s="1"/>
  <c r="Z418" i="3315"/>
  <c r="AD418" i="3315" s="1"/>
  <c r="Z212" i="3315"/>
  <c r="AD212" i="3315" s="1"/>
  <c r="Q10" i="3315"/>
  <c r="M10" i="3315"/>
  <c r="Q865" i="3315"/>
  <c r="I865" i="3315"/>
  <c r="AG865" i="3315" s="1"/>
  <c r="D8" i="3315"/>
  <c r="N10" i="3315"/>
  <c r="I494" i="3315"/>
  <c r="I481" i="3315"/>
  <c r="R893" i="3315"/>
  <c r="Q871" i="3315"/>
  <c r="R871" i="3315" s="1"/>
  <c r="Q40" i="3315"/>
  <c r="R40" i="3315" s="1"/>
  <c r="Q494" i="3315"/>
  <c r="R494" i="3315" s="1"/>
  <c r="W494" i="3315" s="1"/>
  <c r="R418" i="3315"/>
  <c r="Q354" i="3315"/>
  <c r="R354" i="3315" s="1"/>
  <c r="Q270" i="3315"/>
  <c r="R270" i="3315" s="1"/>
  <c r="Q240" i="3315"/>
  <c r="R240" i="3315" s="1"/>
  <c r="Q212" i="3315"/>
  <c r="R212" i="3315" s="1"/>
  <c r="Q138" i="3315"/>
  <c r="R138" i="3315" s="1"/>
  <c r="R59" i="3315"/>
  <c r="N893" i="3315"/>
  <c r="I40" i="3315"/>
  <c r="I138" i="3315"/>
  <c r="M494" i="3315"/>
  <c r="N494" i="3315" s="1"/>
  <c r="V494" i="3315" s="1"/>
  <c r="N418" i="3315"/>
  <c r="M354" i="3315"/>
  <c r="N354" i="3315" s="1"/>
  <c r="M240" i="3315"/>
  <c r="N240" i="3315" s="1"/>
  <c r="M212" i="3315"/>
  <c r="N212" i="3315" s="1"/>
  <c r="M138" i="3315"/>
  <c r="N138" i="3315" s="1"/>
  <c r="N59" i="3315"/>
  <c r="M40" i="3315"/>
  <c r="N40" i="3315" s="1"/>
  <c r="AF893" i="3315"/>
  <c r="I354" i="3315"/>
  <c r="Q898" i="3315"/>
  <c r="J418" i="3315"/>
  <c r="M341" i="3315"/>
  <c r="AF418" i="3315" l="1"/>
  <c r="AF871" i="3315"/>
  <c r="AF270" i="3315"/>
  <c r="AE467" i="3315"/>
  <c r="AG1032" i="3315"/>
  <c r="I1032" i="3315"/>
  <c r="D1039" i="3315"/>
  <c r="D1115" i="3315" s="1"/>
  <c r="AB1036" i="3315"/>
  <c r="AB1039" i="3315" s="1"/>
  <c r="AB1115" i="3315" s="1"/>
  <c r="AG866" i="3315"/>
  <c r="I862" i="3315"/>
  <c r="AG494" i="3315"/>
  <c r="AG862" i="3315" s="1"/>
  <c r="J354" i="3315"/>
  <c r="AG354" i="3315"/>
  <c r="AG415" i="3315" s="1"/>
  <c r="J138" i="3315"/>
  <c r="AG138" i="3315"/>
  <c r="AG209" i="3315" s="1"/>
  <c r="J40" i="3315"/>
  <c r="AG40" i="3315"/>
  <c r="AG56" i="3315" s="1"/>
  <c r="J1032" i="3315"/>
  <c r="N1032" i="3315"/>
  <c r="Q36" i="3315"/>
  <c r="M36" i="3315"/>
  <c r="L36" i="3315"/>
  <c r="L890" i="3315" s="1"/>
  <c r="J494" i="3315"/>
  <c r="AF898" i="3315"/>
  <c r="AF865" i="3315"/>
  <c r="R209" i="3315"/>
  <c r="Q888" i="3315"/>
  <c r="I888" i="3315"/>
  <c r="M898" i="3315"/>
  <c r="R1032" i="3315"/>
  <c r="M481" i="3315"/>
  <c r="Z862" i="3315"/>
  <c r="J866" i="3315"/>
  <c r="M209" i="3315"/>
  <c r="N888" i="3315"/>
  <c r="Q481" i="3315"/>
  <c r="M862" i="3315"/>
  <c r="M868" i="3315" s="1"/>
  <c r="Q415" i="3315"/>
  <c r="R898" i="3315"/>
  <c r="Q1032" i="3315"/>
  <c r="Q1034" i="3315" s="1"/>
  <c r="Q233" i="3315"/>
  <c r="Q267" i="3315"/>
  <c r="Z866" i="3315"/>
  <c r="N341" i="3315"/>
  <c r="R56" i="3315"/>
  <c r="L8" i="3315"/>
  <c r="I866" i="3315"/>
  <c r="R888" i="3315"/>
  <c r="Q464" i="3315"/>
  <c r="M415" i="3315"/>
  <c r="Q135" i="3315"/>
  <c r="M233" i="3315"/>
  <c r="M888" i="3315"/>
  <c r="M1032" i="3315"/>
  <c r="Q209" i="3315"/>
  <c r="Q341" i="3315"/>
  <c r="P8" i="3315"/>
  <c r="R866" i="3315"/>
  <c r="J888" i="3315"/>
  <c r="Q56" i="3315"/>
  <c r="I56" i="3315"/>
  <c r="R267" i="3315"/>
  <c r="I415" i="3315"/>
  <c r="M267" i="3315"/>
  <c r="Z464" i="3315"/>
  <c r="AD464" i="3315" s="1"/>
  <c r="Q866" i="3315"/>
  <c r="J481" i="3315"/>
  <c r="Q862" i="3315"/>
  <c r="N209" i="3315"/>
  <c r="N267" i="3315"/>
  <c r="M464" i="3315"/>
  <c r="Z415" i="3315"/>
  <c r="AD415" i="3315" s="1"/>
  <c r="AD351" i="3315"/>
  <c r="Z56" i="3315"/>
  <c r="AD56" i="3315" s="1"/>
  <c r="Z341" i="3315"/>
  <c r="AD341" i="3315" s="1"/>
  <c r="Z898" i="3315"/>
  <c r="AD898" i="3315" s="1"/>
  <c r="Z1032" i="3315"/>
  <c r="I212" i="3315"/>
  <c r="AG212" i="3315" s="1"/>
  <c r="AG233" i="3315" s="1"/>
  <c r="I341" i="3315"/>
  <c r="M135" i="3315"/>
  <c r="M56" i="3315"/>
  <c r="N415" i="3315"/>
  <c r="AD866" i="3315"/>
  <c r="R862" i="3315"/>
  <c r="Z209" i="3315"/>
  <c r="AD209" i="3315" s="1"/>
  <c r="Z267" i="3315"/>
  <c r="Z135" i="3315"/>
  <c r="AD135" i="3315" s="1"/>
  <c r="R481" i="3315"/>
  <c r="Z233" i="3315"/>
  <c r="AD233" i="3315" s="1"/>
  <c r="N464" i="3315"/>
  <c r="N898" i="3315"/>
  <c r="I898" i="3315"/>
  <c r="R135" i="3315"/>
  <c r="R341" i="3315"/>
  <c r="R415" i="3315"/>
  <c r="N862" i="3315"/>
  <c r="N868" i="3315" s="1"/>
  <c r="N481" i="3315"/>
  <c r="R233" i="3315"/>
  <c r="R464" i="3315"/>
  <c r="AF10" i="3315"/>
  <c r="V212" i="3315"/>
  <c r="R10" i="3315"/>
  <c r="J341" i="3315"/>
  <c r="N233" i="3315"/>
  <c r="J898" i="3315"/>
  <c r="N56" i="3315"/>
  <c r="N135" i="3315"/>
  <c r="Z481" i="3315"/>
  <c r="Z888" i="3315"/>
  <c r="AD871" i="3315"/>
  <c r="I59" i="3315"/>
  <c r="AG59" i="3315" s="1"/>
  <c r="AG135" i="3315" s="1"/>
  <c r="I240" i="3315"/>
  <c r="AG240" i="3315" s="1"/>
  <c r="AG267" i="3315" s="1"/>
  <c r="Z10" i="3315"/>
  <c r="AD10" i="3315" s="1"/>
  <c r="AF341" i="3315" l="1"/>
  <c r="J862" i="3315"/>
  <c r="J868" i="3315" s="1"/>
  <c r="AF40" i="3315"/>
  <c r="AF354" i="3315"/>
  <c r="AF888" i="3315"/>
  <c r="AF138" i="3315"/>
  <c r="AG1034" i="3315"/>
  <c r="I1034" i="3315"/>
  <c r="AG868" i="3315"/>
  <c r="R868" i="3315"/>
  <c r="Q868" i="3315"/>
  <c r="I868" i="3315"/>
  <c r="AD862" i="3315"/>
  <c r="Z868" i="3315"/>
  <c r="AA1115" i="3315"/>
  <c r="Z484" i="3315"/>
  <c r="M484" i="3315"/>
  <c r="M890" i="3315" s="1"/>
  <c r="R484" i="3315"/>
  <c r="Q484" i="3315"/>
  <c r="N484" i="3315"/>
  <c r="AG484" i="3315"/>
  <c r="J415" i="3315"/>
  <c r="J56" i="3315"/>
  <c r="R36" i="3315"/>
  <c r="N36" i="3315"/>
  <c r="AD36" i="3315"/>
  <c r="Z36" i="3315"/>
  <c r="P1036" i="3315"/>
  <c r="P1039" i="3315" s="1"/>
  <c r="P1115" i="3315" s="1"/>
  <c r="L1036" i="3315"/>
  <c r="L1039" i="3315" s="1"/>
  <c r="L1115" i="3315" s="1"/>
  <c r="AD888" i="3315"/>
  <c r="J1034" i="3315"/>
  <c r="N1034" i="3315"/>
  <c r="M1034" i="3315"/>
  <c r="R1034" i="3315"/>
  <c r="AD1032" i="3315"/>
  <c r="Z1034" i="3315"/>
  <c r="AF494" i="3315"/>
  <c r="U494" i="3315"/>
  <c r="X494" i="3315" s="1"/>
  <c r="AF866" i="3315"/>
  <c r="AD267" i="3315"/>
  <c r="J212" i="3315"/>
  <c r="I233" i="3315"/>
  <c r="I464" i="3315"/>
  <c r="U865" i="3315"/>
  <c r="W865" i="3315"/>
  <c r="J240" i="3315"/>
  <c r="I267" i="3315"/>
  <c r="I135" i="3315"/>
  <c r="J59" i="3315"/>
  <c r="I209" i="3315"/>
  <c r="AD481" i="3315"/>
  <c r="W212" i="3315"/>
  <c r="AF415" i="3315" l="1"/>
  <c r="AF209" i="3315"/>
  <c r="AF56" i="3315"/>
  <c r="AF240" i="3315"/>
  <c r="AF59" i="3315"/>
  <c r="AF212" i="3315"/>
  <c r="AD868" i="3315"/>
  <c r="AE494" i="3315"/>
  <c r="AD1034" i="3315"/>
  <c r="N890" i="3315"/>
  <c r="N1036" i="3315" s="1"/>
  <c r="N1039" i="3315" s="1"/>
  <c r="N1115" i="3315" s="1"/>
  <c r="Q890" i="3315"/>
  <c r="Q1036" i="3315" s="1"/>
  <c r="Q1039" i="3315" s="1"/>
  <c r="Q1115" i="3315" s="1"/>
  <c r="R890" i="3315"/>
  <c r="R1036" i="3315" s="1"/>
  <c r="R1039" i="3315" s="1"/>
  <c r="R1115" i="3315" s="1"/>
  <c r="Z890" i="3315"/>
  <c r="Z1036" i="3315" s="1"/>
  <c r="Z1039" i="3315" s="1"/>
  <c r="Z1115" i="3315" s="1"/>
  <c r="AD484" i="3315"/>
  <c r="I484" i="3315"/>
  <c r="M1036" i="3315"/>
  <c r="M1039" i="3315" s="1"/>
  <c r="M1115" i="3315" s="1"/>
  <c r="AF862" i="3315"/>
  <c r="AF464" i="3315"/>
  <c r="J267" i="3315"/>
  <c r="U866" i="3315"/>
  <c r="J464" i="3315"/>
  <c r="U212" i="3315"/>
  <c r="X212" i="3315" s="1"/>
  <c r="J233" i="3315"/>
  <c r="W866" i="3315"/>
  <c r="J209" i="3315"/>
  <c r="U59" i="3315"/>
  <c r="J135" i="3315"/>
  <c r="AF267" i="3315" l="1"/>
  <c r="AF233" i="3315"/>
  <c r="AF135" i="3315"/>
  <c r="AF868" i="3315"/>
  <c r="AD890" i="3315"/>
  <c r="J484" i="3315"/>
  <c r="AC1039" i="3315"/>
  <c r="AF1034" i="3315"/>
  <c r="W59" i="3315"/>
  <c r="AE212" i="3315"/>
  <c r="AF484" i="3315" l="1"/>
  <c r="AC1115" i="3315"/>
  <c r="AD1036" i="3315"/>
  <c r="U40" i="3315"/>
  <c r="U138" i="3315"/>
  <c r="U354" i="3315"/>
  <c r="U10" i="3315"/>
  <c r="AD1039" i="3315" l="1"/>
  <c r="U209" i="3315"/>
  <c r="V865" i="3315"/>
  <c r="X865" i="3315" s="1"/>
  <c r="U56" i="3315"/>
  <c r="U233" i="3315"/>
  <c r="AE865" i="3315" l="1"/>
  <c r="AD1115" i="3315"/>
  <c r="W10" i="3315"/>
  <c r="W354" i="3315"/>
  <c r="W138" i="3315"/>
  <c r="W40" i="3315"/>
  <c r="X866" i="3315"/>
  <c r="V866" i="3315"/>
  <c r="U893" i="3315"/>
  <c r="W56" i="3315" l="1"/>
  <c r="W481" i="3315"/>
  <c r="V59" i="3315"/>
  <c r="W233" i="3315"/>
  <c r="W209" i="3315"/>
  <c r="AE866" i="3315"/>
  <c r="W893" i="3315" l="1"/>
  <c r="X59" i="3315"/>
  <c r="AE59" i="3315" l="1"/>
  <c r="U871" i="3315" l="1"/>
  <c r="V40" i="3315"/>
  <c r="V10" i="3315"/>
  <c r="V354" i="3315"/>
  <c r="X354" i="3315" s="1"/>
  <c r="V138" i="3315"/>
  <c r="V893" i="3315"/>
  <c r="X893" i="3315" s="1"/>
  <c r="AE893" i="3315" l="1"/>
  <c r="X10" i="3315"/>
  <c r="U888" i="3315"/>
  <c r="V209" i="3315"/>
  <c r="X138" i="3315"/>
  <c r="V56" i="3315"/>
  <c r="X40" i="3315"/>
  <c r="V481" i="3315"/>
  <c r="AE354" i="3315"/>
  <c r="V233" i="3315"/>
  <c r="AE10" i="3315" l="1"/>
  <c r="X481" i="3315"/>
  <c r="AE40" i="3315"/>
  <c r="X56" i="3315"/>
  <c r="AE138" i="3315"/>
  <c r="X209" i="3315"/>
  <c r="X233" i="3315"/>
  <c r="AE209" i="3315" l="1"/>
  <c r="AE233" i="3315"/>
  <c r="AE56" i="3315"/>
  <c r="W36" i="3315"/>
  <c r="AE481" i="3315"/>
  <c r="U240" i="3315"/>
  <c r="U270" i="3315"/>
  <c r="U418" i="3315"/>
  <c r="U135" i="3315" l="1"/>
  <c r="U415" i="3315"/>
  <c r="U267" i="3315"/>
  <c r="U862" i="3315"/>
  <c r="U868" i="3315" s="1"/>
  <c r="U464" i="3315"/>
  <c r="U341" i="3315"/>
  <c r="U484" i="3315" l="1"/>
  <c r="V36" i="3315" l="1"/>
  <c r="W270" i="3315" l="1"/>
  <c r="W240" i="3315"/>
  <c r="W418" i="3315"/>
  <c r="U898" i="3315"/>
  <c r="U1032" i="3315"/>
  <c r="U1034" i="3315" l="1"/>
  <c r="W267" i="3315"/>
  <c r="W135" i="3315"/>
  <c r="W464" i="3315"/>
  <c r="W862" i="3315"/>
  <c r="W868" i="3315" s="1"/>
  <c r="W871" i="3315"/>
  <c r="W341" i="3315"/>
  <c r="W898" i="3315" l="1"/>
  <c r="W888" i="3315"/>
  <c r="W1032" i="3315"/>
  <c r="W1034" i="3315" l="1"/>
  <c r="V270" i="3315"/>
  <c r="X270" i="3315" s="1"/>
  <c r="V240" i="3315"/>
  <c r="V418" i="3315"/>
  <c r="V871" i="3315"/>
  <c r="V888" i="3315" l="1"/>
  <c r="X871" i="3315"/>
  <c r="V464" i="3315"/>
  <c r="X418" i="3315"/>
  <c r="AE270" i="3315"/>
  <c r="V898" i="3315"/>
  <c r="W415" i="3315"/>
  <c r="W484" i="3315" s="1"/>
  <c r="W890" i="3315" s="1"/>
  <c r="V135" i="3315"/>
  <c r="V341" i="3315"/>
  <c r="V862" i="3315"/>
  <c r="V868" i="3315" s="1"/>
  <c r="X240" i="3315"/>
  <c r="V267" i="3315"/>
  <c r="V1032" i="3315"/>
  <c r="W1036" i="3315" l="1"/>
  <c r="W1039" i="3315" s="1"/>
  <c r="W1115" i="3315" s="1"/>
  <c r="V1034" i="3315"/>
  <c r="X267" i="3315"/>
  <c r="AE240" i="3315"/>
  <c r="X1032" i="3315"/>
  <c r="X862" i="3315"/>
  <c r="AE351" i="3315"/>
  <c r="X135" i="3315"/>
  <c r="X898" i="3315"/>
  <c r="X464" i="3315"/>
  <c r="AE418" i="3315"/>
  <c r="X888" i="3315"/>
  <c r="AE871" i="3315"/>
  <c r="X341" i="3315"/>
  <c r="X868" i="3315" l="1"/>
  <c r="AE341" i="3315"/>
  <c r="AE135" i="3315"/>
  <c r="AE898" i="3315"/>
  <c r="AE888" i="3315"/>
  <c r="X1034" i="3315"/>
  <c r="AE464" i="3315"/>
  <c r="AE1032" i="3315"/>
  <c r="AE267" i="3315"/>
  <c r="AE862" i="3315"/>
  <c r="AE868" i="3315" s="1"/>
  <c r="AE1034" i="3315" l="1"/>
  <c r="V415" i="3315"/>
  <c r="V484" i="3315" s="1"/>
  <c r="V890" i="3315" s="1"/>
  <c r="V1036" i="3315" l="1"/>
  <c r="V1039" i="3315" s="1"/>
  <c r="V1115" i="3315" s="1"/>
  <c r="X415" i="3315"/>
  <c r="X484" i="3315" l="1"/>
  <c r="AE415" i="3315"/>
  <c r="AE484" i="3315" l="1"/>
  <c r="I16" i="3315" l="1"/>
  <c r="AG16" i="3315" s="1"/>
  <c r="I27" i="3315"/>
  <c r="AG27" i="3315" s="1"/>
  <c r="I18" i="3315"/>
  <c r="AG18" i="3315" s="1"/>
  <c r="I24" i="3315"/>
  <c r="AG24" i="3315" s="1"/>
  <c r="I23" i="3315"/>
  <c r="AG23" i="3315" s="1"/>
  <c r="E27" i="3315"/>
  <c r="J27" i="3315" s="1"/>
  <c r="E25" i="3315"/>
  <c r="J25" i="3315" s="1"/>
  <c r="I25" i="3315"/>
  <c r="AG25" i="3315" s="1"/>
  <c r="I17" i="3315"/>
  <c r="AG17" i="3315" s="1"/>
  <c r="E24" i="3315"/>
  <c r="J24" i="3315" s="1"/>
  <c r="I19" i="3315"/>
  <c r="AG19" i="3315" s="1"/>
  <c r="E18" i="3315"/>
  <c r="J18" i="3315" s="1"/>
  <c r="E19" i="3315"/>
  <c r="J19" i="3315" s="1"/>
  <c r="E26" i="3315"/>
  <c r="J26" i="3315" s="1"/>
  <c r="I26" i="3315"/>
  <c r="AG26" i="3315" s="1"/>
  <c r="E23" i="3315"/>
  <c r="J23" i="3315" s="1"/>
  <c r="E16" i="3315"/>
  <c r="J16" i="3315" s="1"/>
  <c r="E17" i="3315"/>
  <c r="J17" i="3315" s="1"/>
  <c r="H36" i="3315"/>
  <c r="E15" i="3315"/>
  <c r="J15" i="3315" s="1"/>
  <c r="U23" i="3315" l="1"/>
  <c r="X23" i="3315" s="1"/>
  <c r="AE23" i="3315" s="1"/>
  <c r="AF17" i="3315"/>
  <c r="U26" i="3315"/>
  <c r="X26" i="3315" s="1"/>
  <c r="U15" i="3315"/>
  <c r="X15" i="3315" s="1"/>
  <c r="AF15" i="3315"/>
  <c r="I36" i="3315"/>
  <c r="U16" i="3315"/>
  <c r="X16" i="3315" s="1"/>
  <c r="AF16" i="3315"/>
  <c r="U24" i="3315"/>
  <c r="X24" i="3315" s="1"/>
  <c r="AF24" i="3315"/>
  <c r="AF23" i="3315"/>
  <c r="AG15" i="3315"/>
  <c r="AG36" i="3315" s="1"/>
  <c r="AF19" i="3315"/>
  <c r="U19" i="3315"/>
  <c r="X19" i="3315" s="1"/>
  <c r="J36" i="3315"/>
  <c r="U25" i="3315"/>
  <c r="X25" i="3315" s="1"/>
  <c r="AF25" i="3315"/>
  <c r="AF27" i="3315"/>
  <c r="U27" i="3315"/>
  <c r="X27" i="3315" s="1"/>
  <c r="AF18" i="3315"/>
  <c r="U18" i="3315"/>
  <c r="X18" i="3315" s="1"/>
  <c r="E36" i="3315"/>
  <c r="U17" i="3315"/>
  <c r="X17" i="3315" s="1"/>
  <c r="AF26" i="3315"/>
  <c r="AE26" i="3315" l="1"/>
  <c r="AE24" i="3315"/>
  <c r="AE16" i="3315"/>
  <c r="AE18" i="3315"/>
  <c r="AE25" i="3315"/>
  <c r="U36" i="3315"/>
  <c r="AE19" i="3315"/>
  <c r="X36" i="3315"/>
  <c r="AE15" i="3315"/>
  <c r="AF36" i="3315"/>
  <c r="AE17" i="3315"/>
  <c r="AE27" i="3315"/>
  <c r="AE36" i="3315" l="1"/>
  <c r="E487" i="3315" l="1"/>
  <c r="E488" i="3315" s="1"/>
  <c r="H488" i="3315"/>
  <c r="H490" i="3315" s="1"/>
  <c r="H890" i="3315" s="1"/>
  <c r="H1036" i="3315" s="1"/>
  <c r="H1039" i="3315" s="1"/>
  <c r="H1115" i="3315" s="1"/>
  <c r="I488" i="3315"/>
  <c r="J488" i="3315" s="1"/>
  <c r="J490" i="3315" s="1"/>
  <c r="AG487" i="3315"/>
  <c r="AG488" i="3315" s="1"/>
  <c r="AG490" i="3315" s="1"/>
  <c r="U487" i="3315"/>
  <c r="X487" i="3315" s="1"/>
  <c r="AF487" i="3315"/>
  <c r="I490" i="3315" l="1"/>
  <c r="U488" i="3315"/>
  <c r="X488" i="3315" s="1"/>
  <c r="J890" i="3315"/>
  <c r="J1036" i="3315" s="1"/>
  <c r="J1039" i="3315" s="1"/>
  <c r="J1115" i="3315" s="1"/>
  <c r="AF488" i="3315"/>
  <c r="AG890" i="3315"/>
  <c r="AG1036" i="3315" s="1"/>
  <c r="AG1039" i="3315" s="1"/>
  <c r="AG1115" i="3315" s="1"/>
  <c r="AE487" i="3315"/>
  <c r="I890" i="3315" l="1"/>
  <c r="I1036" i="3315" s="1"/>
  <c r="I1039" i="3315" s="1"/>
  <c r="I1115" i="3315" s="1"/>
  <c r="U490" i="3315"/>
  <c r="U890" i="3315" s="1"/>
  <c r="U1036" i="3315" s="1"/>
  <c r="U1039" i="3315" s="1"/>
  <c r="U1115" i="3315" s="1"/>
  <c r="AF490" i="3315"/>
  <c r="X490" i="3315"/>
  <c r="AE488" i="3315"/>
  <c r="X890" i="3315" l="1"/>
  <c r="AE490" i="3315"/>
  <c r="AE890" i="3315" s="1"/>
  <c r="AE1036" i="3315" s="1"/>
  <c r="AE1039" i="3315" s="1"/>
  <c r="AF890" i="3315"/>
  <c r="AE1115" i="3315" l="1"/>
  <c r="X1036" i="3315"/>
  <c r="AF1036" i="3315"/>
  <c r="X1039" i="3315" l="1"/>
  <c r="AF1039" i="3315"/>
  <c r="X1115" i="3315" l="1"/>
  <c r="AF1115" i="3315"/>
</calcChain>
</file>

<file path=xl/sharedStrings.xml><?xml version="1.0" encoding="utf-8"?>
<sst xmlns="http://schemas.openxmlformats.org/spreadsheetml/2006/main" count="2332" uniqueCount="1221">
  <si>
    <t>Revised Gross Annual gas Savings</t>
  </si>
  <si>
    <t>Revised Gross kWh</t>
  </si>
  <si>
    <t>Water savings</t>
  </si>
  <si>
    <t>Program</t>
  </si>
  <si>
    <t>Total</t>
  </si>
  <si>
    <t>Calculated</t>
  </si>
  <si>
    <t>Free rider %</t>
  </si>
  <si>
    <t>Annual unit gas savings</t>
  </si>
  <si>
    <t>Net annual gas savings</t>
  </si>
  <si>
    <t>Measure Life</t>
  </si>
  <si>
    <t>NPV Gas</t>
  </si>
  <si>
    <t>NPV Electric</t>
  </si>
  <si>
    <t>NPV Water</t>
  </si>
  <si>
    <t>discount rate</t>
  </si>
  <si>
    <t>water heating</t>
  </si>
  <si>
    <t>gas</t>
  </si>
  <si>
    <t>energy</t>
  </si>
  <si>
    <t>year</t>
  </si>
  <si>
    <t>NPV</t>
  </si>
  <si>
    <t>space heating</t>
  </si>
  <si>
    <t>combined space &amp;</t>
  </si>
  <si>
    <t xml:space="preserve">  water heating</t>
  </si>
  <si>
    <t>industrial</t>
  </si>
  <si>
    <t>Total TRC Costs</t>
  </si>
  <si>
    <t>Agriculture</t>
  </si>
  <si>
    <t>DSM O&amp;M</t>
  </si>
  <si>
    <t>Multi-Residential</t>
  </si>
  <si>
    <t>Large New Construction</t>
  </si>
  <si>
    <t>Unit Incremental costs</t>
  </si>
  <si>
    <t>electricity</t>
  </si>
  <si>
    <t>Space &amp; Water Heating</t>
  </si>
  <si>
    <t>¢/Kwh</t>
  </si>
  <si>
    <t>FY</t>
  </si>
  <si>
    <t>wholesale</t>
  </si>
  <si>
    <t>$ / 1000 litres</t>
  </si>
  <si>
    <t>Energy Recovery Ventilators (ERV)</t>
  </si>
  <si>
    <t>Heat Recovery Ventilator (HRV)</t>
  </si>
  <si>
    <t>Infrared Heaters</t>
  </si>
  <si>
    <t>Gross annual gas savings</t>
  </si>
  <si>
    <t>Gross kWh</t>
  </si>
  <si>
    <t>Actual Costs per EFS/DARTS</t>
  </si>
  <si>
    <t>Total Net Incremental costs</t>
  </si>
  <si>
    <t>Multi - Residential Private</t>
  </si>
  <si>
    <t>Multi - Residential Non Profit</t>
  </si>
  <si>
    <t>Universities</t>
  </si>
  <si>
    <t>Retail</t>
  </si>
  <si>
    <t>Total Multi-Residential</t>
  </si>
  <si>
    <t>Total Industrial</t>
  </si>
  <si>
    <t>S.BM.CM.NC</t>
  </si>
  <si>
    <t>w</t>
  </si>
  <si>
    <t>Electricity  savings</t>
  </si>
  <si>
    <t xml:space="preserve"> </t>
  </si>
  <si>
    <t>Total Business Markets</t>
  </si>
  <si>
    <t>Schools</t>
  </si>
  <si>
    <t>Program codes</t>
  </si>
  <si>
    <t>Other Commercial</t>
  </si>
  <si>
    <t>Total Residential</t>
  </si>
  <si>
    <t>Demand Side Management</t>
  </si>
  <si>
    <t>Hampton Methodologies - Unit Cost Saved ($/E3M3)</t>
  </si>
  <si>
    <t>Water Heating</t>
  </si>
  <si>
    <t>Fiscal Year</t>
  </si>
  <si>
    <t>Industrial Process</t>
  </si>
  <si>
    <t>Space Heating</t>
  </si>
  <si>
    <t>Unit kWh</t>
  </si>
  <si>
    <t>Net kWh</t>
  </si>
  <si>
    <t xml:space="preserve">"Direct" Program costs </t>
  </si>
  <si>
    <t>Water</t>
  </si>
  <si>
    <t>Rates</t>
  </si>
  <si>
    <t>Total Low Income</t>
  </si>
  <si>
    <t>MARKET TRANSFORMATION</t>
  </si>
  <si>
    <t>Nominal Growth Rate, Dec 2004</t>
  </si>
  <si>
    <t>LOW INCOME</t>
  </si>
  <si>
    <t>Government</t>
  </si>
  <si>
    <t>Total Large Commercial</t>
  </si>
  <si>
    <t>Multi-Residential Water Conservation</t>
  </si>
  <si>
    <t>Gas Savings</t>
  </si>
  <si>
    <t>Name</t>
  </si>
  <si>
    <t>Net TRC Benefits</t>
  </si>
  <si>
    <t>Condensing Boiler</t>
  </si>
  <si>
    <t>Unit water m3</t>
  </si>
  <si>
    <t>Gross water m3</t>
  </si>
  <si>
    <t>Revised Gross water m3</t>
  </si>
  <si>
    <t>Avoided Cost Benefits</t>
  </si>
  <si>
    <t>Ozone Laundry</t>
  </si>
  <si>
    <t>Reduction Factor % for non-installs and removals</t>
  </si>
  <si>
    <t>Household</t>
  </si>
  <si>
    <t>Participant Definition for Prescriptive     Address for Custom</t>
  </si>
  <si>
    <t>SC High Efficiency Boiler under 300 MBH (Space)</t>
  </si>
  <si>
    <t>Total Commercial Prescriptive</t>
  </si>
  <si>
    <t>Adjustment Factor per Engineering Review</t>
  </si>
  <si>
    <t>Cumulative Cubic Metres (CCM)</t>
  </si>
  <si>
    <t>RA.UNIV.EX</t>
  </si>
  <si>
    <t>RA.GOV.EX</t>
  </si>
  <si>
    <t>RA.HC.EX</t>
  </si>
  <si>
    <t>Health Care</t>
  </si>
  <si>
    <t>Commercial - Hospitals - RA.HC.EX</t>
  </si>
  <si>
    <t>Commercial - Government - RA.GOV.EX</t>
  </si>
  <si>
    <t>Commercial - College/University - RA.UNIV.EX</t>
  </si>
  <si>
    <t xml:space="preserve"> RA.ACC.EX</t>
  </si>
  <si>
    <t>Accommodation</t>
  </si>
  <si>
    <t>Commercial - Multi-Res Non-Profit - LW.MR.PART3</t>
  </si>
  <si>
    <t>LW.MR.PART3</t>
  </si>
  <si>
    <t>Commercial - Multi-Res Private - RA.MR.EX</t>
  </si>
  <si>
    <t>RA.MR.EX</t>
  </si>
  <si>
    <t>LW.SH</t>
  </si>
  <si>
    <t>Low Income Showerheads</t>
  </si>
  <si>
    <t>Load type</t>
  </si>
  <si>
    <t>Residential Low Income</t>
  </si>
  <si>
    <t>Weatherization</t>
  </si>
  <si>
    <t xml:space="preserve"> RA.PRO.EX</t>
  </si>
  <si>
    <t>Professional</t>
  </si>
  <si>
    <t>Commercial - Other Commercial - RA.COM.EX</t>
  </si>
  <si>
    <t xml:space="preserve"> RA.COM.EX</t>
  </si>
  <si>
    <t>RA.RIREC</t>
  </si>
  <si>
    <t>Commercial - Other Commercial - RA.RIREC</t>
  </si>
  <si>
    <t>Commercial - Recreational Non-Government - RA.REC.EX</t>
  </si>
  <si>
    <t>RA.REC.EX</t>
  </si>
  <si>
    <t xml:space="preserve">Recreational Non-Government </t>
  </si>
  <si>
    <t>Commercial - Retail - RA.RET.EX</t>
  </si>
  <si>
    <t>RA.RET.EX</t>
  </si>
  <si>
    <t>Commercial - School - RA.SCH.EX</t>
  </si>
  <si>
    <t xml:space="preserve"> RA.SCH.EX</t>
  </si>
  <si>
    <t>RA.LOG.EX</t>
  </si>
  <si>
    <t>Logistics</t>
  </si>
  <si>
    <t>RA.RE.CER</t>
  </si>
  <si>
    <t>RA.AIR</t>
  </si>
  <si>
    <t>Air Curtains - Single Door</t>
  </si>
  <si>
    <t>RA.AIR.2</t>
  </si>
  <si>
    <t>Air Curtains - Double Door</t>
  </si>
  <si>
    <t>RA.AIR.3</t>
  </si>
  <si>
    <t>Air Curtains - 8x8</t>
  </si>
  <si>
    <t>RA.AIR.4</t>
  </si>
  <si>
    <t>Air Curtains - 8x10</t>
  </si>
  <si>
    <t>RA.AIR.5</t>
  </si>
  <si>
    <t>Air Curtains - 10x10</t>
  </si>
  <si>
    <t>Total Commercial</t>
  </si>
  <si>
    <t>RA.DCKV.1</t>
  </si>
  <si>
    <t>Demand Control Kitchen Vent 0 to 4999</t>
  </si>
  <si>
    <t>RA.DCKV.2</t>
  </si>
  <si>
    <t>Demand Control Kitchen Vent 5000 to 9999</t>
  </si>
  <si>
    <t>RA.DCKV.3</t>
  </si>
  <si>
    <t>Demand Control Kitchen Vent 10000-15000</t>
  </si>
  <si>
    <t>RA.FS.EX</t>
  </si>
  <si>
    <t>Food Services</t>
  </si>
  <si>
    <t>RA.OZ</t>
  </si>
  <si>
    <t>RA.CB (Space Htg)</t>
  </si>
  <si>
    <t>RA.CB (Water Htg)</t>
  </si>
  <si>
    <t>RA.ERV</t>
  </si>
  <si>
    <t>RA.HEB.299</t>
  </si>
  <si>
    <t>RA.HRV</t>
  </si>
  <si>
    <t>RA.INFRD</t>
  </si>
  <si>
    <t>RA.DISH.HT</t>
  </si>
  <si>
    <t>RA.FS.FRYER</t>
  </si>
  <si>
    <t>RA.DISH.ST.RACK.HT</t>
  </si>
  <si>
    <t>RA.DISH.ST.RACK.LT</t>
  </si>
  <si>
    <t>RA.DISH.RACKCON.SINGL</t>
  </si>
  <si>
    <t>RA.FS.UFB</t>
  </si>
  <si>
    <t>Participants (# Units for Prescriptive and # Addresses for Custom)</t>
  </si>
  <si>
    <t>Home Rating</t>
  </si>
  <si>
    <t>Residential</t>
  </si>
  <si>
    <t>MT.RE.LABEL</t>
  </si>
  <si>
    <t>MT.RN.DWHR</t>
  </si>
  <si>
    <t>Residential New Construction DWHR</t>
  </si>
  <si>
    <t>MT.RN.SBD</t>
  </si>
  <si>
    <t>Residential - Residential</t>
  </si>
  <si>
    <t>MT.CN.SBD</t>
  </si>
  <si>
    <t>Commercial New Construction SBD</t>
  </si>
  <si>
    <t>Large New Construction - Other Commercial</t>
  </si>
  <si>
    <t>Total MT</t>
  </si>
  <si>
    <t>Market Transformation</t>
  </si>
  <si>
    <t>Total Resource Acquisition</t>
  </si>
  <si>
    <t xml:space="preserve">Industrial </t>
  </si>
  <si>
    <t>Commercial Custom</t>
  </si>
  <si>
    <t>Commercial Prescriptive</t>
  </si>
  <si>
    <t>Commercial - Hotel/Motel - RA.ACC.EX</t>
  </si>
  <si>
    <t>Showerheads Rental</t>
  </si>
  <si>
    <t>Commercial - Office - RA.PRO.EX</t>
  </si>
  <si>
    <t>Dishwasher Under Counter High Temp</t>
  </si>
  <si>
    <t>ES Dishwasher Rack Conv Single Tank</t>
  </si>
  <si>
    <t>Dishwasher Stationary Rack High Temp</t>
  </si>
  <si>
    <t>ES Dishwasher Stationary Rack Low Temp</t>
  </si>
  <si>
    <t>Commercial - Restaurants - RA.FS.EX</t>
  </si>
  <si>
    <t>Energy Star Fryer</t>
  </si>
  <si>
    <t>RA.FS.STCOOK</t>
  </si>
  <si>
    <t>ES Steam Cooker</t>
  </si>
  <si>
    <t>ES Under Fired Broilers</t>
  </si>
  <si>
    <t>Commercial - Warehouses - RA.LOG.EX</t>
  </si>
  <si>
    <t>Large New Construction - Large New Construction - RA.COM.NC</t>
  </si>
  <si>
    <t>DSM Low Income</t>
  </si>
  <si>
    <t>DSM Market Transformation</t>
  </si>
  <si>
    <t>DSM Resource Acquisition</t>
  </si>
  <si>
    <t>Gross actual CCM</t>
  </si>
  <si>
    <t>LW.SH.2.0</t>
  </si>
  <si>
    <t>Low Income Showerheads 2.0</t>
  </si>
  <si>
    <t>Market Transformation Administration</t>
  </si>
  <si>
    <t>Low Income Administration</t>
  </si>
  <si>
    <t>Resource Acquisition Administration</t>
  </si>
  <si>
    <t>Net Water m3</t>
  </si>
  <si>
    <t>Column AF</t>
  </si>
  <si>
    <t>Column AG</t>
  </si>
  <si>
    <t>RA.UNIV.EX.001.13</t>
  </si>
  <si>
    <t>S</t>
  </si>
  <si>
    <t>RA.UNIV.EX.002.13</t>
  </si>
  <si>
    <t>RA.UNIV.EX.003.13</t>
  </si>
  <si>
    <t>RA.UNIV.EX.004.13HEBO</t>
  </si>
  <si>
    <t>RA.UNIV.EX.005.13</t>
  </si>
  <si>
    <t>RA.UNIV.EX.006.13DCV Campaign</t>
  </si>
  <si>
    <t>RA.UNIV.EX.007.13</t>
  </si>
  <si>
    <t>RA.UNIV.EX.008.13</t>
  </si>
  <si>
    <t>RA.UNIV.EX.010.13</t>
  </si>
  <si>
    <t>RA.UNIV.EX.011.13</t>
  </si>
  <si>
    <t>RA.UNIV.EX.012.13HRV-A</t>
  </si>
  <si>
    <t>RA.UNIV.EX.012.13M</t>
  </si>
  <si>
    <t>RA.UNIV.EX.013.13A</t>
  </si>
  <si>
    <t>RA.UNIV.EX.013.13M</t>
  </si>
  <si>
    <t/>
  </si>
  <si>
    <t>RA.GOV.EX.001.13A</t>
  </si>
  <si>
    <t>W</t>
  </si>
  <si>
    <t>RA.GOV.EX.001.13M</t>
  </si>
  <si>
    <t>RA.GOV.EX.003.13</t>
  </si>
  <si>
    <t>RA.GOV.EX.004.13HEBO</t>
  </si>
  <si>
    <t>RA.GOV.EX.005.13</t>
  </si>
  <si>
    <t>RA.GOV.EX.006.13</t>
  </si>
  <si>
    <t>RA.GOV.EX.007.13</t>
  </si>
  <si>
    <t>RA.GOV.EX.008.13</t>
  </si>
  <si>
    <t>RA.GOV.EX.009.13</t>
  </si>
  <si>
    <t>RA.GOV.EX.010.13</t>
  </si>
  <si>
    <t>RA.GOV.EX.011.13</t>
  </si>
  <si>
    <t>RA.GOV.EX.012.13A</t>
  </si>
  <si>
    <t>RA.GOV.EX.012.13M</t>
  </si>
  <si>
    <t>RA.GOV.EX.013.13A</t>
  </si>
  <si>
    <t>RA.GOV.EX.013.13M</t>
  </si>
  <si>
    <t>RA.GOV.EX.014.13</t>
  </si>
  <si>
    <t>RA.GOV.EX.015.13</t>
  </si>
  <si>
    <t>RA.GOV.EX.016.13</t>
  </si>
  <si>
    <t>RA.GOV.EX.017.13</t>
  </si>
  <si>
    <t>RA.GOV.EX.018.13</t>
  </si>
  <si>
    <t>RA.GOV.EX.020.13</t>
  </si>
  <si>
    <t>RA.GOV.EX.021.13</t>
  </si>
  <si>
    <t>RA.GOV.EX.022.13A</t>
  </si>
  <si>
    <t>RA.GOV.EX.022.13M</t>
  </si>
  <si>
    <t>RA.GOV.EX.023.13</t>
  </si>
  <si>
    <t>RA.GOV.EX.024.13</t>
  </si>
  <si>
    <t>RA.GOV.EX.026.13</t>
  </si>
  <si>
    <t>RA.GOV.EX.027.13</t>
  </si>
  <si>
    <t>RA.GOV.EX.028.13</t>
  </si>
  <si>
    <t>RA.GOV.EX.029.13</t>
  </si>
  <si>
    <t>RA.GOV.EX.030.13</t>
  </si>
  <si>
    <t>RA.GOV.EX.031.13</t>
  </si>
  <si>
    <t>RA.GOV.EX.032.13</t>
  </si>
  <si>
    <t>RA.GOV.EX.033.13</t>
  </si>
  <si>
    <t>RA.GOV.EX.034.13</t>
  </si>
  <si>
    <t>RA.GOV.EX.035.13</t>
  </si>
  <si>
    <t>RA.GOV.EX.036.13</t>
  </si>
  <si>
    <t>RA.GOV.EX.037.13</t>
  </si>
  <si>
    <t>RA.GOV.EX.038.13</t>
  </si>
  <si>
    <t>RA.GOV.EX.039.13</t>
  </si>
  <si>
    <t>RA.GOV.EX.040.13</t>
  </si>
  <si>
    <t>RA.GOV.EX.041.13</t>
  </si>
  <si>
    <t>RA.GOV.EX.042.13</t>
  </si>
  <si>
    <t>RA.GOV.EX.043.13</t>
  </si>
  <si>
    <t>RA.GOV.EX.044.13</t>
  </si>
  <si>
    <t>RA.GOV.EX.045.13</t>
  </si>
  <si>
    <t>RA.GOV.EX.046.13</t>
  </si>
  <si>
    <t>RA.GOV.EX.047.13</t>
  </si>
  <si>
    <t>RA.GOV.EX.048.13</t>
  </si>
  <si>
    <t>RA.GOV.EX.049.13</t>
  </si>
  <si>
    <t>RA.GOV.EX.050.13</t>
  </si>
  <si>
    <t>RA.GOV.EX.052.13</t>
  </si>
  <si>
    <t>RA.GOV.EX.053.13</t>
  </si>
  <si>
    <t>RA.GOV.EX.054.13</t>
  </si>
  <si>
    <t>RA.GOV.EX.055.13</t>
  </si>
  <si>
    <t>RA.GOV.EX.056.13</t>
  </si>
  <si>
    <t>RA.GOV.EX.057.13</t>
  </si>
  <si>
    <t>RA.GOV.EX.058.13</t>
  </si>
  <si>
    <t>RA.GOV.EX.059.13</t>
  </si>
  <si>
    <t>RA.GOV.EX.060.14</t>
  </si>
  <si>
    <t>RA.GOV.EX.061.13</t>
  </si>
  <si>
    <t>RA.HC.EX.001.13A</t>
  </si>
  <si>
    <t>RA.HC.EX.001.13M</t>
  </si>
  <si>
    <t>RA.HC.EX.002.13</t>
  </si>
  <si>
    <t>RA.HC.EX.003.13</t>
  </si>
  <si>
    <t>RA.HC.EX.004.13</t>
  </si>
  <si>
    <t>RA.HC.EX.005.13</t>
  </si>
  <si>
    <t>RA.HC.EX.006.13</t>
  </si>
  <si>
    <t>RA.HC.EX.007.13</t>
  </si>
  <si>
    <t>RA.HC.EX.008.13</t>
  </si>
  <si>
    <t>RA.HC.EX.009.13</t>
  </si>
  <si>
    <t>RA.HC.EX.010.13</t>
  </si>
  <si>
    <t>RA.HC.EX.011.13HEBO</t>
  </si>
  <si>
    <t>RA.HC.EX.012.13HEBO</t>
  </si>
  <si>
    <t>RA.HC.EX.013.13HEBO</t>
  </si>
  <si>
    <t>RA.HC.EX.014.13HEBO</t>
  </si>
  <si>
    <t>RA.HC.EX.015.13</t>
  </si>
  <si>
    <t>RA.HC.EX.016.13A</t>
  </si>
  <si>
    <t>RA.HC.EX.016.13M</t>
  </si>
  <si>
    <t>RA.HC.EX.017.13</t>
  </si>
  <si>
    <t>RA.HC.EX.018.13</t>
  </si>
  <si>
    <t>RA.HC.EX.019.13A</t>
  </si>
  <si>
    <t>RA.HC.EX.019.13B</t>
  </si>
  <si>
    <t>RA.HC.EX.019.13M</t>
  </si>
  <si>
    <t>RA.HC.EX.021.13</t>
  </si>
  <si>
    <t>RA.HC.EX.022.13A</t>
  </si>
  <si>
    <t>RA.HC.EX.022.13B</t>
  </si>
  <si>
    <t>RA.HC.EX.022.13C</t>
  </si>
  <si>
    <t>RA.HC.EX.022.13M</t>
  </si>
  <si>
    <t>RA.HC.EX.023.13</t>
  </si>
  <si>
    <t>RA.HC.EX.024.13</t>
  </si>
  <si>
    <t>RA.HC.EX.025.13</t>
  </si>
  <si>
    <t>RA.HC.EX.026.13</t>
  </si>
  <si>
    <t>RA.HC.EX.027.13</t>
  </si>
  <si>
    <t>RA.HC.EX.028.13</t>
  </si>
  <si>
    <t>RA.HC.EX.029.13</t>
  </si>
  <si>
    <t>RA.HC.EX.030.13</t>
  </si>
  <si>
    <t>RA.HC.EX.031.13</t>
  </si>
  <si>
    <t>RA.HC.EX.032.13</t>
  </si>
  <si>
    <t>RA.HC.EX.033.13A</t>
  </si>
  <si>
    <t>RA.HC.EX.033.13M</t>
  </si>
  <si>
    <t>RA.HC.EX.034.13</t>
  </si>
  <si>
    <t>RA.HC.EX.035.13</t>
  </si>
  <si>
    <t>RA.HC.EX.036.13</t>
  </si>
  <si>
    <t>RA.HC.EX.037.13A</t>
  </si>
  <si>
    <t>RA.HC.EX.037.13B</t>
  </si>
  <si>
    <t>RA.HC.EX.037.13C</t>
  </si>
  <si>
    <t>RA.HC.EX.037.13M</t>
  </si>
  <si>
    <t>RA.HC.EX.038.13</t>
  </si>
  <si>
    <t>RA.HC.EX.039.13</t>
  </si>
  <si>
    <t>RA.HC.EX.041.13</t>
  </si>
  <si>
    <t>RA.HC.EX.042.13</t>
  </si>
  <si>
    <t>RA.HC.EX.043.13A</t>
  </si>
  <si>
    <t>RA.HC.EX.043.13B</t>
  </si>
  <si>
    <t>RA.HC.EX.043.13M</t>
  </si>
  <si>
    <t>RA.HC.EX.045.13</t>
  </si>
  <si>
    <t>RA.HC.EX.046.13</t>
  </si>
  <si>
    <t>RA.HC.EX.047.13A</t>
  </si>
  <si>
    <t>RA.HC.EX.047.13M</t>
  </si>
  <si>
    <t>RA.HC.EX.048.13</t>
  </si>
  <si>
    <t>RA.HC.EX.049.13A</t>
  </si>
  <si>
    <t>RA.HC.EX.049.13M</t>
  </si>
  <si>
    <t>RA.HC.EX.050.13</t>
  </si>
  <si>
    <t>RA.HC.EX.051.13A</t>
  </si>
  <si>
    <t>RA.HC.EX.051.13B</t>
  </si>
  <si>
    <t>RA.HC.EX.051.13M</t>
  </si>
  <si>
    <t>RA.HC.EX.053.13DCV Campaign</t>
  </si>
  <si>
    <t>RA.HC.EX.056.13</t>
  </si>
  <si>
    <t>RA.HC.EX.057.13</t>
  </si>
  <si>
    <t>RA.HC.EX.061.13DCV Campaign</t>
  </si>
  <si>
    <t>RA.HC.EX.062.13A</t>
  </si>
  <si>
    <t>RA.HC.EX.062.13M</t>
  </si>
  <si>
    <t>RA.ACC.EX.001.13</t>
  </si>
  <si>
    <t>RA.ACC.EX.002.13</t>
  </si>
  <si>
    <t>RA.ACC.EX.003.13</t>
  </si>
  <si>
    <t>RA.ACC.EX.004.13</t>
  </si>
  <si>
    <t>RA.ACC.EX.005.13</t>
  </si>
  <si>
    <t>RA.ACC.EX.006.13</t>
  </si>
  <si>
    <t>RA.ACC.EX.007.13</t>
  </si>
  <si>
    <t>RA.ACC.EX.008.13</t>
  </si>
  <si>
    <t>RA.ACC.EX.010.13DCV Campaign</t>
  </si>
  <si>
    <t>RA.ACC.EX.011.13DCV Campaign</t>
  </si>
  <si>
    <t>RA.ACC.EX.012.13DCV Campaign</t>
  </si>
  <si>
    <t>RA.ACC.EX.014.13</t>
  </si>
  <si>
    <t>RA.ACC.EX.015.13</t>
  </si>
  <si>
    <t>RA.ACC.EX.017.13</t>
  </si>
  <si>
    <t>RA.ACC.EX.018.13</t>
  </si>
  <si>
    <t>RA.ACC.EX.019.13DCV Campaign</t>
  </si>
  <si>
    <t>LW.MR.PART3.002.13</t>
  </si>
  <si>
    <t>LW.MR.PART3.003.13</t>
  </si>
  <si>
    <t>LW.MR.PART3.004.13</t>
  </si>
  <si>
    <t>LW.MR.PART3.005.13HEBO</t>
  </si>
  <si>
    <t>LW.MR.PART3.006.13CB</t>
  </si>
  <si>
    <t>LW.MR.PART3.007.13</t>
  </si>
  <si>
    <t>LW.MR.PART3.008.13A</t>
  </si>
  <si>
    <t>LW.MR.PART3.008.13M</t>
  </si>
  <si>
    <t>LW.MR.PART3.009.13HEBO</t>
  </si>
  <si>
    <t>LW.MR.PART3.010.13HEBO</t>
  </si>
  <si>
    <t>LW.MR.PART3.011.13CB</t>
  </si>
  <si>
    <t>LW.MR.PART3.012.13</t>
  </si>
  <si>
    <t>LW.MR.PART3.013.13</t>
  </si>
  <si>
    <t>LW.MR.PART3.014.13</t>
  </si>
  <si>
    <t>LW.MR.PART3.015.13A</t>
  </si>
  <si>
    <t>LW.MR.PART3.015.13M</t>
  </si>
  <si>
    <t>LW.MR.PART3.016.13</t>
  </si>
  <si>
    <t>LW.MR.PART3.017.13</t>
  </si>
  <si>
    <t>LW.MR.PART3.028.13</t>
  </si>
  <si>
    <t>LW.MR.PART3.030.13</t>
  </si>
  <si>
    <t>LW.MR.PART3.031.13</t>
  </si>
  <si>
    <t>LW.MR.PART3.032.13</t>
  </si>
  <si>
    <t>LW.MR.PART3.033.13</t>
  </si>
  <si>
    <t>LW.MR.PART3.035.13</t>
  </si>
  <si>
    <t>LW.MR.PART3.036.13</t>
  </si>
  <si>
    <t>LW.MR.PART3.038.13</t>
  </si>
  <si>
    <t>LW.MR.PART3.039.13</t>
  </si>
  <si>
    <t>LW.MR.PART3.040.13A</t>
  </si>
  <si>
    <t>LW.MR.PART3.040.13M</t>
  </si>
  <si>
    <t>LW.MR.PART3.042.13A</t>
  </si>
  <si>
    <t>LW.MR.PART3.042.13M</t>
  </si>
  <si>
    <t>LW.MR.PART3.043.13</t>
  </si>
  <si>
    <t>LW.MR.PART3.044.14A</t>
  </si>
  <si>
    <t>LW.MR.PART3.044.14M</t>
  </si>
  <si>
    <t>LW.MR.PART3.045.13</t>
  </si>
  <si>
    <t>LW.MR.PART3.046.13</t>
  </si>
  <si>
    <t>LW.MR.PART3.047.13</t>
  </si>
  <si>
    <t>LW.MR.PART3.048.13</t>
  </si>
  <si>
    <t>LW.MR.PART3.049.13</t>
  </si>
  <si>
    <t>LW.MR.PART3.050.14HEBO</t>
  </si>
  <si>
    <t>LW.MR.PART3.051.14HEBO</t>
  </si>
  <si>
    <t>LW.MR.PART3.052.14HEBO</t>
  </si>
  <si>
    <t>LW.MR.PART3.053.14HEBO</t>
  </si>
  <si>
    <t>RA.MR.EX.001.13A</t>
  </si>
  <si>
    <t>RA.MR.EX.001.13M</t>
  </si>
  <si>
    <t>RA.MR.EX.002.13</t>
  </si>
  <si>
    <t>RA.MR.EX.003.13</t>
  </si>
  <si>
    <t>RA.MR.EX.004.13A</t>
  </si>
  <si>
    <t>RA.MR.EX.004.13M</t>
  </si>
  <si>
    <t>RA.MR.EX.005.13</t>
  </si>
  <si>
    <t>RA.MR.EX.006.13</t>
  </si>
  <si>
    <t>RA.MR.EX.007.13</t>
  </si>
  <si>
    <t>RA.MR.EX.008.13</t>
  </si>
  <si>
    <t>RA.MR.EX.009.13</t>
  </si>
  <si>
    <t>RA.MR.EX.010.13A</t>
  </si>
  <si>
    <t>RA.MR.EX.010.13B</t>
  </si>
  <si>
    <t>RA.MR.EX.010.13M</t>
  </si>
  <si>
    <t>RA.MR.EX.011.13A</t>
  </si>
  <si>
    <t>RA.MR.EX.011.13B</t>
  </si>
  <si>
    <t>RA.MR.EX.011.13M</t>
  </si>
  <si>
    <t>RA.MR.EX.012.13</t>
  </si>
  <si>
    <t>RA.MR.EX.013.13</t>
  </si>
  <si>
    <t>RA.MR.EX.014.13A</t>
  </si>
  <si>
    <t>RA.MR.EX.014.13B</t>
  </si>
  <si>
    <t>RA.MR.EX.014.13M</t>
  </si>
  <si>
    <t>RA.MR.EX.015.13</t>
  </si>
  <si>
    <t>RA.MR.EX.016.13</t>
  </si>
  <si>
    <t>RA.MR.EX.017.13</t>
  </si>
  <si>
    <t>RA.MR.EX.018.13</t>
  </si>
  <si>
    <t>RA.MR.EX.019.13</t>
  </si>
  <si>
    <t>RA.MR.EX.020.13</t>
  </si>
  <si>
    <t>RA.MR.EX.021.13</t>
  </si>
  <si>
    <t>RA.MR.EX.023.13</t>
  </si>
  <si>
    <t>RA.MR.EX.024.13</t>
  </si>
  <si>
    <t>RA.MR.EX.025.13</t>
  </si>
  <si>
    <t>RA.MR.EX.026.13</t>
  </si>
  <si>
    <t>RA.MR.EX.027.13</t>
  </si>
  <si>
    <t>RA.MR.EX.029.13</t>
  </si>
  <si>
    <t>RA.MR.EX.030.13A</t>
  </si>
  <si>
    <t>RA.MR.EX.030.13M</t>
  </si>
  <si>
    <t>RA.MR.EX.031.13</t>
  </si>
  <si>
    <t>RA.MR.EX.032.13</t>
  </si>
  <si>
    <t>RA.MR.EX.033.13</t>
  </si>
  <si>
    <t>RA.MR.EX.034.13</t>
  </si>
  <si>
    <t>RA.MR.EX.035.13</t>
  </si>
  <si>
    <t>RA.MR.EX.036.13A</t>
  </si>
  <si>
    <t>RA.MR.EX.036.13M</t>
  </si>
  <si>
    <t>RA.MR.EX.037.13A</t>
  </si>
  <si>
    <t>RA.MR.EX.037.13M</t>
  </si>
  <si>
    <t>RA.MR.EX.038.13</t>
  </si>
  <si>
    <t>RA.MR.EX.039.13HEBO</t>
  </si>
  <si>
    <t>RA.MR.EX.040.13</t>
  </si>
  <si>
    <t>RA.MR.EX.041.13A</t>
  </si>
  <si>
    <t>RA.MR.EX.041.13B</t>
  </si>
  <si>
    <t>RA.MR.EX.041.13M</t>
  </si>
  <si>
    <t>RA.MR.EX.042.13</t>
  </si>
  <si>
    <t>RA.MR.EX.043.13</t>
  </si>
  <si>
    <t>RA.MR.EX.044.13</t>
  </si>
  <si>
    <t>RA.MR.EX.045.13</t>
  </si>
  <si>
    <t>RA.MR.EX.046.13</t>
  </si>
  <si>
    <t>RA.MR.EX.048.13</t>
  </si>
  <si>
    <t>RA.MR.EX.049.13</t>
  </si>
  <si>
    <t>RA.MR.EX.050.13</t>
  </si>
  <si>
    <t>RA.MR.EX.051.13A</t>
  </si>
  <si>
    <t>RA.MR.EX.051.13M</t>
  </si>
  <si>
    <t>RA.MR.EX.052.13A</t>
  </si>
  <si>
    <t>RA.MR.EX.052.13M</t>
  </si>
  <si>
    <t>RA.MR.EX.053.13A</t>
  </si>
  <si>
    <t>RA.MR.EX.053.13M</t>
  </si>
  <si>
    <t>RA.MR.EX.054.13A</t>
  </si>
  <si>
    <t>RA.MR.EX.054.13M</t>
  </si>
  <si>
    <t>RA.MR.EX.055.13A</t>
  </si>
  <si>
    <t>RA.MR.EX.055.13M</t>
  </si>
  <si>
    <t>RA.MR.EX.056.13</t>
  </si>
  <si>
    <t>RA.MR.EX.057.13</t>
  </si>
  <si>
    <t>RA.MR.EX.058.13HEBO</t>
  </si>
  <si>
    <t>RA.MR.EX.059.13</t>
  </si>
  <si>
    <t>RA.MR.EX.060.13</t>
  </si>
  <si>
    <t>RA.MR.EX.061.13A</t>
  </si>
  <si>
    <t>RA.MR.EX.061.13M</t>
  </si>
  <si>
    <t>RA.MR.EX.062.13HEBO</t>
  </si>
  <si>
    <t>RA.MR.EX.064.13</t>
  </si>
  <si>
    <t>RA.MR.EX.066.13A</t>
  </si>
  <si>
    <t>RA.MR.EX.066.13M</t>
  </si>
  <si>
    <t>RA.MR.EX.067.13A</t>
  </si>
  <si>
    <t>RA.MR.EX.067.13M</t>
  </si>
  <si>
    <t>RA.MR.EX.068.13A</t>
  </si>
  <si>
    <t>RA.MR.EX.068.13M</t>
  </si>
  <si>
    <t>RA.MR.EX.069.13A</t>
  </si>
  <si>
    <t>RA.MR.EX.069.13M</t>
  </si>
  <si>
    <t>RA.MR.EX.070.13A</t>
  </si>
  <si>
    <t>RA.MR.EX.070.13M</t>
  </si>
  <si>
    <t>RA.MR.EX.071.13A</t>
  </si>
  <si>
    <t>RA.MR.EX.071.13M</t>
  </si>
  <si>
    <t>RA.MR.EX.072.13A</t>
  </si>
  <si>
    <t>RA.MR.EX.072.13M</t>
  </si>
  <si>
    <t>RA.MR.EX.073.13A</t>
  </si>
  <si>
    <t>RA.MR.EX.073.13M</t>
  </si>
  <si>
    <t>RA.MR.EX.074.13</t>
  </si>
  <si>
    <t>RA.MR.EX.076.13HEBO</t>
  </si>
  <si>
    <t>RA.MR.EX.091.13</t>
  </si>
  <si>
    <t>RA.MR.EX.092.13</t>
  </si>
  <si>
    <t>RA.MR.EX.093.13A</t>
  </si>
  <si>
    <t>RA.MR.EX.093.13M</t>
  </si>
  <si>
    <t>RA.MR.EX.094.13</t>
  </si>
  <si>
    <t>RA.MR.EX.095.13</t>
  </si>
  <si>
    <t>RA.MR.EX.096.13A</t>
  </si>
  <si>
    <t>RA.MR.EX.096.13B</t>
  </si>
  <si>
    <t>RA.MR.EX.096.13M</t>
  </si>
  <si>
    <t>RA.MR.EX.097.13A</t>
  </si>
  <si>
    <t>RA.MR.EX.097.13M VFD</t>
  </si>
  <si>
    <t>RA.MR.EX.098.13</t>
  </si>
  <si>
    <t>RA.MR.EX.099.13</t>
  </si>
  <si>
    <t>RA.MR.EX.100.13</t>
  </si>
  <si>
    <t>RA.MR.EX.101.13</t>
  </si>
  <si>
    <t>RA.MR.EX.102.13</t>
  </si>
  <si>
    <t>RA.MR.EX.103.13A</t>
  </si>
  <si>
    <t>RA.MR.EX.103.13M</t>
  </si>
  <si>
    <t>RA.MR.EX.104.13</t>
  </si>
  <si>
    <t>RA.MR.EX.105.13</t>
  </si>
  <si>
    <t>RA.MR.EX.106.13</t>
  </si>
  <si>
    <t>RA.MR.EX.107.13</t>
  </si>
  <si>
    <t>RA.MR.EX.108.13</t>
  </si>
  <si>
    <t>RA.MR.EX.109.13</t>
  </si>
  <si>
    <t>RA.MR.EX.110.13HEBO</t>
  </si>
  <si>
    <t>RA.MR.EX.111.13A</t>
  </si>
  <si>
    <t>RA.MR.EX.111.13M</t>
  </si>
  <si>
    <t>RA.MR.EX.112.13</t>
  </si>
  <si>
    <t>RA.MR.EX.113.13A</t>
  </si>
  <si>
    <t>RA.MR.EX.113.13M</t>
  </si>
  <si>
    <t>RA.MR.EX.114.13</t>
  </si>
  <si>
    <t>RA.MR.EX.115.13</t>
  </si>
  <si>
    <t>RA.MR.EX.116.13</t>
  </si>
  <si>
    <t>RA.MR.EX.117.13A</t>
  </si>
  <si>
    <t>RA.MR.EX.117.13M</t>
  </si>
  <si>
    <t>RA.MR.EX.118.13</t>
  </si>
  <si>
    <t>RA.MR.EX.119.13</t>
  </si>
  <si>
    <t>RA.MR.EX.120.13HEBO</t>
  </si>
  <si>
    <t>RA.MR.EX.121.13A</t>
  </si>
  <si>
    <t>RA.MR.EX.121.13M</t>
  </si>
  <si>
    <t>RA.MR.EX.122.13HEBO</t>
  </si>
  <si>
    <t>RA.MR.EX.123.13HEBO</t>
  </si>
  <si>
    <t>RA.MR.EX.124.13</t>
  </si>
  <si>
    <t>RA.MR.EX.125.13</t>
  </si>
  <si>
    <t>RA.MR.EX.126.13</t>
  </si>
  <si>
    <t>RA.MR.EX.127.13</t>
  </si>
  <si>
    <t>RA.MR.EX.128.13</t>
  </si>
  <si>
    <t>RA.MR.EX.129.13</t>
  </si>
  <si>
    <t>RA.MR.EX.130.13</t>
  </si>
  <si>
    <t>RA.MR.EX.131.13</t>
  </si>
  <si>
    <t>RA.MR.EX.132.13</t>
  </si>
  <si>
    <t>RA.MR.EX.133.13</t>
  </si>
  <si>
    <t>RA.MR.EX.134.13</t>
  </si>
  <si>
    <t>RA.MR.EX.135.13A</t>
  </si>
  <si>
    <t>RA.MR.EX.135.13M - VFD</t>
  </si>
  <si>
    <t>RA.MR.EX.136.13</t>
  </si>
  <si>
    <t>RA.MR.EX.137.13</t>
  </si>
  <si>
    <t>RA.MR.EX.138.13A</t>
  </si>
  <si>
    <t>RA.MR.EX.138.13M</t>
  </si>
  <si>
    <t>RA.MR.EX.139.13HEBO A</t>
  </si>
  <si>
    <t>RA.MR.EX.139.13HEBO M</t>
  </si>
  <si>
    <t>RA.MR.EX.140.13</t>
  </si>
  <si>
    <t>RA.MR.EX.141.13A</t>
  </si>
  <si>
    <t>RA.MR.EX.141.13M</t>
  </si>
  <si>
    <t>RA.MR.EX.142.13</t>
  </si>
  <si>
    <t>RA.MR.EX.143.13A</t>
  </si>
  <si>
    <t>RA.MR.EX.143.13M</t>
  </si>
  <si>
    <t>RA.MR.EX.144.13A</t>
  </si>
  <si>
    <t>RA.MR.EX.144.13M</t>
  </si>
  <si>
    <t>RA.MR.EX.145.13A</t>
  </si>
  <si>
    <t>RA.MR.EX.145.13M</t>
  </si>
  <si>
    <t>RA.MR.EX.146.13</t>
  </si>
  <si>
    <t>RA.MR.EX.147.13A</t>
  </si>
  <si>
    <t>RA.MR.EX.147.13M</t>
  </si>
  <si>
    <t>RA.MR.EX.148.13A</t>
  </si>
  <si>
    <t>RA.MR.EX.148.13M</t>
  </si>
  <si>
    <t>RA.MR.EX.149.13A</t>
  </si>
  <si>
    <t>RA.MR.EX.149.13M</t>
  </si>
  <si>
    <t>RA.MR.EX.150.13</t>
  </si>
  <si>
    <t>RA.MR.EX.151.13</t>
  </si>
  <si>
    <t>RA.MR.EX.152.13</t>
  </si>
  <si>
    <t>RA.MR.EX.153.13A</t>
  </si>
  <si>
    <t>RA.MR.EX.153.13B</t>
  </si>
  <si>
    <t>RA.MR.EX.153.13M</t>
  </si>
  <si>
    <t>RA.MR.EX.154.13A</t>
  </si>
  <si>
    <t>RA.MR.EX.154.13B</t>
  </si>
  <si>
    <t>RA.MR.EX.154.13M</t>
  </si>
  <si>
    <t>RA.MR.EX.155.13A</t>
  </si>
  <si>
    <t>RA.MR.EX.155.13B</t>
  </si>
  <si>
    <t>RA.MR.EX.155.13M</t>
  </si>
  <si>
    <t>RA.MR.EX.156.13</t>
  </si>
  <si>
    <t>RA.MR.EX.157.13A</t>
  </si>
  <si>
    <t>RA.MR.EX.157.13M</t>
  </si>
  <si>
    <t>RA.MR.EX.158.13</t>
  </si>
  <si>
    <t>RA.MR.EX.159.13A</t>
  </si>
  <si>
    <t>RA.MR.EX.159.13M</t>
  </si>
  <si>
    <t>RA.MR.EX.160.13</t>
  </si>
  <si>
    <t>RA.MR.EX.161.13</t>
  </si>
  <si>
    <t>RA.MR.EX.162.13</t>
  </si>
  <si>
    <t>RA.MR.EX.163.13A</t>
  </si>
  <si>
    <t>RA.MR.EX.163.13M</t>
  </si>
  <si>
    <t>RA.MR.EX.164.13</t>
  </si>
  <si>
    <t>RA.MR.EX.165.13</t>
  </si>
  <si>
    <t>RA.MR.EX.166.13</t>
  </si>
  <si>
    <t>RA.MR.EX.167.13A</t>
  </si>
  <si>
    <t>RA.MR.EX.167.13M</t>
  </si>
  <si>
    <t>RA.MR.EX.168.13A</t>
  </si>
  <si>
    <t>RA.MR.EX.168.13M</t>
  </si>
  <si>
    <t>RA.MR.EX.169.13</t>
  </si>
  <si>
    <t>RA.MR.EX.170.13A</t>
  </si>
  <si>
    <t>RA.MR.EX.170.13M</t>
  </si>
  <si>
    <t>RA.MR.EX.171.13</t>
  </si>
  <si>
    <t>RA.MR.EX.172.13A</t>
  </si>
  <si>
    <t>RA.MR.EX.172.13M</t>
  </si>
  <si>
    <t>RA.MR.EX.173.13</t>
  </si>
  <si>
    <t>RA.MR.EX.174.13A</t>
  </si>
  <si>
    <t>RA.MR.EX.174.13M</t>
  </si>
  <si>
    <t>RA.MR.EX.175.13A</t>
  </si>
  <si>
    <t>RA.MR.EX.175.13M</t>
  </si>
  <si>
    <t>RA.MR.EX.176.13</t>
  </si>
  <si>
    <t>RA.MR.EX.177.13A</t>
  </si>
  <si>
    <t>RA.MR.EX.177.13M</t>
  </si>
  <si>
    <t>RA.MR.EX.178.13A</t>
  </si>
  <si>
    <t>RA.MR.EX.178.13M</t>
  </si>
  <si>
    <t>RA.MR.EX.179.13A</t>
  </si>
  <si>
    <t>RA.MR.EX.179.13M</t>
  </si>
  <si>
    <t>RA.MR.EX.180.13A</t>
  </si>
  <si>
    <t>RA.MR.EX.180.13M</t>
  </si>
  <si>
    <t>RA.MR.EX.181.13A</t>
  </si>
  <si>
    <t>RA.MR.EX.181.13M</t>
  </si>
  <si>
    <t>RA.MR.EX.182.13A</t>
  </si>
  <si>
    <t>RA.MR.EX.182.13M</t>
  </si>
  <si>
    <t>RA.MR.EX.183.13</t>
  </si>
  <si>
    <t>RA.MR.EX.184.13A</t>
  </si>
  <si>
    <t>RA.MR.EX.184.13M</t>
  </si>
  <si>
    <t>RA.MR.EX.185.13A</t>
  </si>
  <si>
    <t>RA.MR.EX.185.13M</t>
  </si>
  <si>
    <t>RA.MR.EX.186.13A</t>
  </si>
  <si>
    <t>RA.MR.EX.186.13M</t>
  </si>
  <si>
    <t>RA.MR.EX.187.13</t>
  </si>
  <si>
    <t>RA.MR.EX.188.13</t>
  </si>
  <si>
    <t>RA.MR.EX.189.13A</t>
  </si>
  <si>
    <t>RA.MR.EX.189.13M</t>
  </si>
  <si>
    <t>RA.MR.EX.190.13A</t>
  </si>
  <si>
    <t>RA.MR.EX.190.13M</t>
  </si>
  <si>
    <t>RA.MR.EX.191.13A</t>
  </si>
  <si>
    <t>RA.MR.EX.191.13B</t>
  </si>
  <si>
    <t>RA.MR.EX.191.13M</t>
  </si>
  <si>
    <t>RA.MR.EX.192.13A</t>
  </si>
  <si>
    <t>RA.MR.EX.192.13M</t>
  </si>
  <si>
    <t>RA.MR.EX.193.13</t>
  </si>
  <si>
    <t>RA.MR.EX.194.13</t>
  </si>
  <si>
    <t>RA.MR.EX.195.13</t>
  </si>
  <si>
    <t>RA.MR.EX.196.13A</t>
  </si>
  <si>
    <t>RA.MR.EX.196.13M</t>
  </si>
  <si>
    <t>RA.MR.EX.197.13A</t>
  </si>
  <si>
    <t>RA.MR.EX.197.13M</t>
  </si>
  <si>
    <t>RA.MR.EX.198.13HEBO</t>
  </si>
  <si>
    <t>RA.MR.EX.199.13</t>
  </si>
  <si>
    <t>RA.MR.EX.200.13</t>
  </si>
  <si>
    <t>RA.MR.EX.201.13HEBO</t>
  </si>
  <si>
    <t>RA.MR.EX.202.13</t>
  </si>
  <si>
    <t>RA.MR.EX.203.13</t>
  </si>
  <si>
    <t>RA.MR.EX.204.13A</t>
  </si>
  <si>
    <t>RA.MR.EX.204.13M</t>
  </si>
  <si>
    <t>RA.MR.EX.205.13</t>
  </si>
  <si>
    <t>RA.MR.EX.206.13</t>
  </si>
  <si>
    <t>RA.MR.EX.207.13</t>
  </si>
  <si>
    <t>RA.MR.EX.208.13</t>
  </si>
  <si>
    <t>RA.MR.EX.209.13</t>
  </si>
  <si>
    <t>RA.MR.EX.210.13A</t>
  </si>
  <si>
    <t>RA.MR.EX.210.13B</t>
  </si>
  <si>
    <t>RA.MR.EX.210.13M</t>
  </si>
  <si>
    <t>RA.MR.EX.211.13</t>
  </si>
  <si>
    <t>RA.MR.EX.212.13</t>
  </si>
  <si>
    <t>RA.MR.EX.213.13</t>
  </si>
  <si>
    <t>RA.MR.EX.214.13</t>
  </si>
  <si>
    <t>RA.MR.EX.215.13A</t>
  </si>
  <si>
    <t>RA.MR.EX.215.13M</t>
  </si>
  <si>
    <t>RA.MR.EX.216.13</t>
  </si>
  <si>
    <t>RA.MR.EX.218.13</t>
  </si>
  <si>
    <t>RA.MR.EX.219.13A</t>
  </si>
  <si>
    <t>RA.MR.EX.219.13M</t>
  </si>
  <si>
    <t>RA.MR.EX.220.13A</t>
  </si>
  <si>
    <t>RA.MR.EX.220.13M</t>
  </si>
  <si>
    <t>RA.MR.EX.221.13A</t>
  </si>
  <si>
    <t>RA.MR.EX.221.13B</t>
  </si>
  <si>
    <t>RA.MR.EX.221.13M</t>
  </si>
  <si>
    <t>RA.MR.EX.222.13</t>
  </si>
  <si>
    <t>RA.MR.EX.223.13</t>
  </si>
  <si>
    <t>RA.MR.EX.224.13</t>
  </si>
  <si>
    <t>RA.MR.EX.225.13</t>
  </si>
  <si>
    <t>RA.MR.EX.226.13</t>
  </si>
  <si>
    <t>RA.MR.EX.227.13</t>
  </si>
  <si>
    <t>RA.MR.EX.228.13</t>
  </si>
  <si>
    <t>RA.MR.EX.229.13</t>
  </si>
  <si>
    <t>RA.MR.EX.230.13</t>
  </si>
  <si>
    <t>RA.MR.EX.231.13</t>
  </si>
  <si>
    <t>RA.MR.EX.232.13</t>
  </si>
  <si>
    <t>RA.MR.EX.233.13</t>
  </si>
  <si>
    <t>RA.MR.EX.234.13</t>
  </si>
  <si>
    <t>RA.MR.EX.235.13</t>
  </si>
  <si>
    <t>RA.MR.EX.236.13</t>
  </si>
  <si>
    <t>RA.MR.EX.237.13</t>
  </si>
  <si>
    <t>RA.MR.EX.238.13</t>
  </si>
  <si>
    <t>RA.MR.EX.239.13</t>
  </si>
  <si>
    <t>RA.MR.EX.240.13</t>
  </si>
  <si>
    <t>RA.MR.EX.241.13</t>
  </si>
  <si>
    <t>RA.MR.EX.242.13A</t>
  </si>
  <si>
    <t>RA.MR.EX.242.13M</t>
  </si>
  <si>
    <t>RA.MR.EX.243.13</t>
  </si>
  <si>
    <t>RA.MR.EX.244.13A</t>
  </si>
  <si>
    <t>RA.MR.EX.244.13M</t>
  </si>
  <si>
    <t>RA.MR.EX.245.13</t>
  </si>
  <si>
    <t>RA.MR.EX.246.13</t>
  </si>
  <si>
    <t>RA.MR.EX.247.13</t>
  </si>
  <si>
    <t>RA.MR.EX.248.13</t>
  </si>
  <si>
    <t>RA.MR.EX.249.13</t>
  </si>
  <si>
    <t>RA.MR.EX.250.13</t>
  </si>
  <si>
    <t>RA.MR.EX.251.13</t>
  </si>
  <si>
    <t>RA.MR.EX.252.13</t>
  </si>
  <si>
    <t>RA.MR.EX.253.13</t>
  </si>
  <si>
    <t>RA.MR.EX.254.13</t>
  </si>
  <si>
    <t>RA.MR.EX.255.13</t>
  </si>
  <si>
    <t>RA.MR.EX.256.13</t>
  </si>
  <si>
    <t>RA.MR.EX.257.13</t>
  </si>
  <si>
    <t>RA.MR.EX.258.13</t>
  </si>
  <si>
    <t>RA.MR.EX.259.13A</t>
  </si>
  <si>
    <t>RA.MR.EX.259.13M</t>
  </si>
  <si>
    <t>RA.MR.EX.260.13</t>
  </si>
  <si>
    <t>RA.MR.EX.261.13A</t>
  </si>
  <si>
    <t>RA.MR.EX.261.13B</t>
  </si>
  <si>
    <t>RA.MR.EX.261.13M</t>
  </si>
  <si>
    <t>RA.MR.EX.262.13</t>
  </si>
  <si>
    <t>RA.MR.EX.263.13</t>
  </si>
  <si>
    <t>RA.MR.EX.264.13</t>
  </si>
  <si>
    <t>RA.MR.EX.266.13</t>
  </si>
  <si>
    <t>RA.MR.EX.267.13A</t>
  </si>
  <si>
    <t>RA.MR.EX.267.13M</t>
  </si>
  <si>
    <t>RA.MR.EX.268.13</t>
  </si>
  <si>
    <t>RA.MR.EX.269.13</t>
  </si>
  <si>
    <t>RA.MR.EX.270.13</t>
  </si>
  <si>
    <t>RA.MR.EX.271.13</t>
  </si>
  <si>
    <t>RA.MR.EX.272.13</t>
  </si>
  <si>
    <t>RA.MR.EX.273.13</t>
  </si>
  <si>
    <t>RA.MR.EX.274.13A</t>
  </si>
  <si>
    <t>RA.MR.EX.274.13M</t>
  </si>
  <si>
    <t>RA.MR.EX.275.13</t>
  </si>
  <si>
    <t>RA.MR.EX.277.13A</t>
  </si>
  <si>
    <t>RA.MR.EX.277.13M</t>
  </si>
  <si>
    <t>RA.MR.EX.278.14</t>
  </si>
  <si>
    <t>RA.MR.EX.279.14</t>
  </si>
  <si>
    <t>RA.MR.EX.280.14</t>
  </si>
  <si>
    <t>RA.MR.EX.281.14</t>
  </si>
  <si>
    <t>RA.MR.EX.282.14</t>
  </si>
  <si>
    <t>RA.MR.EX.283.14</t>
  </si>
  <si>
    <t>RA.MR.EX.284.14</t>
  </si>
  <si>
    <t>RA.MR.EX.285.14</t>
  </si>
  <si>
    <t>RA.MR.EX.286.14</t>
  </si>
  <si>
    <t>RA.MR.EX.287.14</t>
  </si>
  <si>
    <t>RA.MR.EX.288.13</t>
  </si>
  <si>
    <t>RA.MR.EX.289.14HEBO</t>
  </si>
  <si>
    <t>RA.MR.EX.290.14HEBO</t>
  </si>
  <si>
    <t>RA.MR.EX.291.14HEBO</t>
  </si>
  <si>
    <t>RA.MR.EX.292.14HEBO</t>
  </si>
  <si>
    <t>RA.MR.EX.293.14HEBO</t>
  </si>
  <si>
    <t>RA.MR.EX.294.14HEBO</t>
  </si>
  <si>
    <t>RA.MR.EX.295.14HEBO</t>
  </si>
  <si>
    <t>RA.MR.EX.296.14HEBO</t>
  </si>
  <si>
    <t>RA.MR.EX.297.14HEBO</t>
  </si>
  <si>
    <t>RA.MR.EX.298.14HEBO</t>
  </si>
  <si>
    <t>RA.SHA</t>
  </si>
  <si>
    <t>Commercial - Multi-Res Water Conservation - RA.SHA</t>
  </si>
  <si>
    <t>RA.PRO.EX.001.13</t>
  </si>
  <si>
    <t>RA.PRO.EX.002.13</t>
  </si>
  <si>
    <t>RA.PRO.EX.003.13</t>
  </si>
  <si>
    <t>RA.PRO.EX.004.13A</t>
  </si>
  <si>
    <t>RA.PRO.EX.004.13M</t>
  </si>
  <si>
    <t>RA.PRO.EX.005.13</t>
  </si>
  <si>
    <t>RA.PRO.EX.006.13</t>
  </si>
  <si>
    <t>RA.PRO.EX.007.13</t>
  </si>
  <si>
    <t>RA.PRO.EX.008.13</t>
  </si>
  <si>
    <t>RA.PRO.EX.009.13</t>
  </si>
  <si>
    <t>RA.PRO.EX.010.13</t>
  </si>
  <si>
    <t>RA.PRO.EX.011.13</t>
  </si>
  <si>
    <t>RA.PRO.EX.012.13</t>
  </si>
  <si>
    <t>RA.PRO.EX.013.13HEBO</t>
  </si>
  <si>
    <t>RA.PRO.EX.014.13A</t>
  </si>
  <si>
    <t>RA.PRO.EX.014.13M</t>
  </si>
  <si>
    <t>RA.PRO.EX.015.13</t>
  </si>
  <si>
    <t>RA.PRO.EX.016.13</t>
  </si>
  <si>
    <t>RA.PRO.EX.017.13</t>
  </si>
  <si>
    <t>RA.PRO.EX.018.13</t>
  </si>
  <si>
    <t>RA.PRO.EX.019.13DCV</t>
  </si>
  <si>
    <t>RA.PRO.EX.020.13</t>
  </si>
  <si>
    <t>RA.PRO.EX.021.13</t>
  </si>
  <si>
    <t>RA.PRO.EX.022.13</t>
  </si>
  <si>
    <t>RA.PRO.EX.023.13</t>
  </si>
  <si>
    <t>RA.PRO.EX.024.13</t>
  </si>
  <si>
    <t>RA.PRO.EX.025.13</t>
  </si>
  <si>
    <t>RA.PRO.EX.026.13</t>
  </si>
  <si>
    <t>RA.PRO.EX.027.13DCV</t>
  </si>
  <si>
    <t>RA.PRO.EX.028.13A - VFD</t>
  </si>
  <si>
    <t>RA.PRO.EX.028.13M</t>
  </si>
  <si>
    <t>RA.PRO.EX.029.13</t>
  </si>
  <si>
    <t>RA.PRO.EX.030.13</t>
  </si>
  <si>
    <t>RA.PRO.EX.031.13</t>
  </si>
  <si>
    <t>RA.PRO.EX.032.13</t>
  </si>
  <si>
    <t>RA.PRO.EX.033.13</t>
  </si>
  <si>
    <t>RA.PRO.EX.034.13A</t>
  </si>
  <si>
    <t>RA.PRO.EX.034.13M</t>
  </si>
  <si>
    <t>RA.PRO.EX.035.13A DCV</t>
  </si>
  <si>
    <t>RA.PRO.EX.035.13M</t>
  </si>
  <si>
    <t>RA.PRO.EX.036.13A</t>
  </si>
  <si>
    <t>RA.PRO.EX.036.13M</t>
  </si>
  <si>
    <t>RA.PRO.EX.037.13</t>
  </si>
  <si>
    <t>RA.PRO.EX.038.13</t>
  </si>
  <si>
    <t>RA.PRO.EX.039.13</t>
  </si>
  <si>
    <t>RA.PRO.EX.040.13</t>
  </si>
  <si>
    <t>RA.PRO.EX.041.13</t>
  </si>
  <si>
    <t>RA.PRO.EX.042.13</t>
  </si>
  <si>
    <t>RA.PRO.EX.043.13</t>
  </si>
  <si>
    <t>RA.PRO.EX.044.13DCV Campaign</t>
  </si>
  <si>
    <t>RA.PRO.EX.045.13</t>
  </si>
  <si>
    <t>RA.PRO.EX.046.13A</t>
  </si>
  <si>
    <t>RA.PRO.EX.046.13M DCV Campaign</t>
  </si>
  <si>
    <t>RA.PRO.EX.047.13</t>
  </si>
  <si>
    <t>RA.PRO.EX.048.13</t>
  </si>
  <si>
    <t>RA.PRO.EX.049.13DCV Campaign</t>
  </si>
  <si>
    <t>RA.PRO.EX.049.13M</t>
  </si>
  <si>
    <t>RA.PRO.EX.050.13</t>
  </si>
  <si>
    <t>RA.PRO.EX.051.13</t>
  </si>
  <si>
    <t>RA.PRO.EX.052.13</t>
  </si>
  <si>
    <t>RA.PRO.EX.053.13</t>
  </si>
  <si>
    <t>RA.PRO.EX.054.13</t>
  </si>
  <si>
    <t>RA.PRO.EX.055.13A</t>
  </si>
  <si>
    <t>RA.PRO.EX.055.13B</t>
  </si>
  <si>
    <t>RA.PRO.EX.055.13M - DCV Campaign</t>
  </si>
  <si>
    <t>RA.PRO.EX.056.13</t>
  </si>
  <si>
    <t>RA.PRO.EX.058.13DCV Campaign</t>
  </si>
  <si>
    <t>RA.PRO.EX.059.13HEBO</t>
  </si>
  <si>
    <t>RA.PRO.EX.061.13</t>
  </si>
  <si>
    <t>RA.PRO.EX.062.13</t>
  </si>
  <si>
    <t>RA.PRO.EX.064.13</t>
  </si>
  <si>
    <t>RA.PRO.EX.065.13</t>
  </si>
  <si>
    <t>RA.PRO.EX.066.13</t>
  </si>
  <si>
    <t>RA.PRO.EX.068.13</t>
  </si>
  <si>
    <t>RA.PRO.EX.069.13</t>
  </si>
  <si>
    <t>RA.PRO.EX.070.13</t>
  </si>
  <si>
    <t>RA.FS.EX.001.13DCV Campaign</t>
  </si>
  <si>
    <t>RA.FS.OVEN</t>
  </si>
  <si>
    <t>ES Convection Ovens</t>
  </si>
  <si>
    <t>RA.COM.EX.003.13</t>
  </si>
  <si>
    <t>RA.COM.EX.011.13</t>
  </si>
  <si>
    <t>RA.COM.EX.012.13</t>
  </si>
  <si>
    <t>RA.COM.EX.013.13</t>
  </si>
  <si>
    <t>RA.COM.EX.014.13</t>
  </si>
  <si>
    <t>RA.COM.EX.015.13</t>
  </si>
  <si>
    <t>RA.COM.EX.016.13</t>
  </si>
  <si>
    <t>RA.COM.EX.017.13</t>
  </si>
  <si>
    <t>RA.COM.EX.018.13</t>
  </si>
  <si>
    <t>RA.COM.EX.019.13</t>
  </si>
  <si>
    <t>RA.COM.EX.020.13</t>
  </si>
  <si>
    <t>RA.COM.EX.021.13</t>
  </si>
  <si>
    <t>RA.COM.EX.022.13</t>
  </si>
  <si>
    <t>RA.COM.EX.023.13</t>
  </si>
  <si>
    <t>RA.COM.EX.024.13HEBO</t>
  </si>
  <si>
    <t>RA.COM.EX.025.13</t>
  </si>
  <si>
    <t>RA.COM.EX.026.13A</t>
  </si>
  <si>
    <t>RA.COM.EX.026.13M</t>
  </si>
  <si>
    <t>RA.COM.EX.027.13HEBO</t>
  </si>
  <si>
    <t>RA.COM.EX.028.13</t>
  </si>
  <si>
    <t>RA.COM.EX.029.13</t>
  </si>
  <si>
    <t>RA.COM.EX.030.13</t>
  </si>
  <si>
    <t>RA.COM.EX.031.13DCV Campaign</t>
  </si>
  <si>
    <t>RA.COM.EX.036.14</t>
  </si>
  <si>
    <t>RA.COM.EX.038.14</t>
  </si>
  <si>
    <t>RA.COM.EX.075.14HEBO</t>
  </si>
  <si>
    <t>RA.COM.EX.076.14HEBO</t>
  </si>
  <si>
    <t>RA.REC.EX.002.13</t>
  </si>
  <si>
    <t>RA.REC.EX.003.13</t>
  </si>
  <si>
    <t>RA.REC.EX.004.13HEBO</t>
  </si>
  <si>
    <t>RA.REC.EX.005.13HEBO</t>
  </si>
  <si>
    <t>RA.REC.EX.007.13</t>
  </si>
  <si>
    <t>RA.REC.EX.010.13</t>
  </si>
  <si>
    <t>RA.REC.EX.012.13</t>
  </si>
  <si>
    <t>RA.RET.EX.002.13</t>
  </si>
  <si>
    <t>RA.RET.EX.007.13</t>
  </si>
  <si>
    <t>RA.RET.EX.008.13</t>
  </si>
  <si>
    <t>RA.RET.EX.010.13</t>
  </si>
  <si>
    <t>RA.RET.EX.011.13</t>
  </si>
  <si>
    <t>RA.RET.EX.012.13</t>
  </si>
  <si>
    <t>RA.RET.EX.013.13DCV campaign</t>
  </si>
  <si>
    <t>RA.RET.EX.014.13HEBO</t>
  </si>
  <si>
    <t>RA.RET.EX.015.13HEBO</t>
  </si>
  <si>
    <t>RA.RET.EX.016.13DCV Campaign</t>
  </si>
  <si>
    <t>RA.RET.EX.017.13</t>
  </si>
  <si>
    <t>RA.RET.EX.018.13</t>
  </si>
  <si>
    <t>RA.RET.EX.019.13</t>
  </si>
  <si>
    <t>RA.RET.EX.020.13</t>
  </si>
  <si>
    <t>RA.RET.EX.021.13</t>
  </si>
  <si>
    <t>RA.RET.EX.022.13</t>
  </si>
  <si>
    <t>RA.RET.EX.023.13</t>
  </si>
  <si>
    <t>RA.RET.EX.024.13</t>
  </si>
  <si>
    <t>RA.RET.EX.025.13</t>
  </si>
  <si>
    <t>RA.RET.EX.026.13</t>
  </si>
  <si>
    <t>RA.RET.EX.027.13</t>
  </si>
  <si>
    <t>RA.RET.EX.028.13</t>
  </si>
  <si>
    <t>RA.RET.EX.029.13</t>
  </si>
  <si>
    <t>RA.RET.EX.030.13</t>
  </si>
  <si>
    <t>RA.RET.EX.031.13</t>
  </si>
  <si>
    <t>RA.RET.EX.032.13</t>
  </si>
  <si>
    <t>RA.RET.EX.033.13</t>
  </si>
  <si>
    <t>RA.RET.EX.034.13</t>
  </si>
  <si>
    <t>RA.RET.EX.035.13</t>
  </si>
  <si>
    <t>RA.RET.EX.036.13</t>
  </si>
  <si>
    <t>RA.RET.EX.037.13</t>
  </si>
  <si>
    <t>RA.RET.EX.038.13</t>
  </si>
  <si>
    <t>RA.RET.EX.039.13</t>
  </si>
  <si>
    <t>RA.RET.EX.040.13</t>
  </si>
  <si>
    <t>RA.RET.EX.041.13</t>
  </si>
  <si>
    <t>RA.RET.EX.042.13</t>
  </si>
  <si>
    <t>RA.RET.EX.043.13</t>
  </si>
  <si>
    <t>RA.RET.EX.044.13</t>
  </si>
  <si>
    <t>RA.RET.EX.045.13</t>
  </si>
  <si>
    <t>RA.RET.EX.046.13</t>
  </si>
  <si>
    <t>RA.RET.EX.047.13</t>
  </si>
  <si>
    <t>RA.RET.EX.048.13</t>
  </si>
  <si>
    <t>RA.RET.EX.049.13</t>
  </si>
  <si>
    <t>RA.RET.EX.050.13</t>
  </si>
  <si>
    <t>RA.RET.EX.052.13</t>
  </si>
  <si>
    <t>RA.RET.EX.053.13</t>
  </si>
  <si>
    <t>RA.RET.EX.054.13</t>
  </si>
  <si>
    <t>RA.RET.EX.056.13</t>
  </si>
  <si>
    <t>RA.RET.EX.057.13</t>
  </si>
  <si>
    <t>RA.RET.EX.058.13</t>
  </si>
  <si>
    <t>RA.RET.EX.059.13</t>
  </si>
  <si>
    <t>RA.RET.EX.060.13</t>
  </si>
  <si>
    <t>RA.RET.EX.061.13</t>
  </si>
  <si>
    <t>RA.RET.EX.062.13</t>
  </si>
  <si>
    <t>RA.RET.EX.063.13</t>
  </si>
  <si>
    <t>RA.RET.EX.064.13</t>
  </si>
  <si>
    <t>RA.RET.EX.065.13</t>
  </si>
  <si>
    <t>RA.RET.EX.066.13</t>
  </si>
  <si>
    <t>RA.RET.EX.067.13</t>
  </si>
  <si>
    <t>RA.RET.EX.068.13DCV Campaign</t>
  </si>
  <si>
    <t>RA.RET.EX.069.13HEBO</t>
  </si>
  <si>
    <t>RA.RET.EX.070.13</t>
  </si>
  <si>
    <t>RA.RET.EX.071.13</t>
  </si>
  <si>
    <t>RA.RET.EX.072.13</t>
  </si>
  <si>
    <t>RA.RET.EX.073.13</t>
  </si>
  <si>
    <t>RA.RET.EX.075.13DCV Campaign</t>
  </si>
  <si>
    <t>RA.RET.EX.076.13</t>
  </si>
  <si>
    <t>RA.RET.EX.078.13</t>
  </si>
  <si>
    <t>RA.RET.EX.079.13DCV Campaign</t>
  </si>
  <si>
    <t>RA.RET.EX.081.13</t>
  </si>
  <si>
    <t>RA.RET.EX.083.13</t>
  </si>
  <si>
    <t>RA.SCH.EX.001.13P</t>
  </si>
  <si>
    <t>RA.SCH.EX.002.13P</t>
  </si>
  <si>
    <t>RA.SCH.EX.003.13A</t>
  </si>
  <si>
    <t>RA.SCH.EX.003.13M</t>
  </si>
  <si>
    <t>RA.SCH.EX.004.13</t>
  </si>
  <si>
    <t>RA.SCH.EX.005.13</t>
  </si>
  <si>
    <t>RA.SCH.EX.006.13</t>
  </si>
  <si>
    <t>RA.SCH.EX.007.13</t>
  </si>
  <si>
    <t>RA.SCH.EX.008.13</t>
  </si>
  <si>
    <t>RA.SCH.EX.009.13</t>
  </si>
  <si>
    <t>RA.SCH.EX.010.13P</t>
  </si>
  <si>
    <t>RA.SCH.EX.026.13P</t>
  </si>
  <si>
    <t>RA.SCH.EX.027.13P</t>
  </si>
  <si>
    <t>RA.SCH.EX.028.13</t>
  </si>
  <si>
    <t>RA.SCH.EX.029.13</t>
  </si>
  <si>
    <t>RA.SCH.EX.030.13</t>
  </si>
  <si>
    <t>RA.SCH.EX.031.13P</t>
  </si>
  <si>
    <t>RA.SCH.EX.032.13P</t>
  </si>
  <si>
    <t>RA.SCH.EX.033.13P</t>
  </si>
  <si>
    <t>RA.SCH.EX.034.13P</t>
  </si>
  <si>
    <t>RA.SCH.EX.035.13P</t>
  </si>
  <si>
    <t>RA.SCH.EX.036.13P</t>
  </si>
  <si>
    <t>RA.SCH.EX.037.13P</t>
  </si>
  <si>
    <t>RA.SCH.EX.038.13P</t>
  </si>
  <si>
    <t>RA.SCH.EX.040.13</t>
  </si>
  <si>
    <t>RA.SCH.EX.041.13M</t>
  </si>
  <si>
    <t>RA.SCH.EX.042.13M</t>
  </si>
  <si>
    <t>RA.SCH.EX.043.13M</t>
  </si>
  <si>
    <t>RA.SCH.EX.044.13M</t>
  </si>
  <si>
    <t>RA.SCH.EX.045.13</t>
  </si>
  <si>
    <t>RA.SCH.EX.046.13</t>
  </si>
  <si>
    <t>RA.SCH.EX.047.13</t>
  </si>
  <si>
    <t>RA.SCH.EX.048.13M</t>
  </si>
  <si>
    <t>RA.SCH.EX.049.13M</t>
  </si>
  <si>
    <t>RA.SCH.EX.050.13</t>
  </si>
  <si>
    <t>RA.SCH.EX.052.13M</t>
  </si>
  <si>
    <t>RA.SCH.EX.053.13M</t>
  </si>
  <si>
    <t>RA.SCH.EX.054.13</t>
  </si>
  <si>
    <t>RA.SCH.EX.055.13M</t>
  </si>
  <si>
    <t>RA.SCH.EX.056.13M</t>
  </si>
  <si>
    <t>RA.SCH.EX.057.13M</t>
  </si>
  <si>
    <t>RA.SCH.EX.058.13M</t>
  </si>
  <si>
    <t>RA.SCH.EX.059.14P</t>
  </si>
  <si>
    <t>RA.SCH.EX.060.14P</t>
  </si>
  <si>
    <t>RA.SCH.EX.061.14P</t>
  </si>
  <si>
    <t>RA.SCH.EX.062.13P</t>
  </si>
  <si>
    <t>RA.LOG.EX.001.13</t>
  </si>
  <si>
    <t>RA.LOG.EX.003.13</t>
  </si>
  <si>
    <t>RA.LOG.EX.005.13</t>
  </si>
  <si>
    <t>RA.LOG.EX.007.13</t>
  </si>
  <si>
    <t>RA.LOG.EX.008.13</t>
  </si>
  <si>
    <t>RA.LOG.EX.009.13</t>
  </si>
  <si>
    <t>RA.LOG.EX.010.13</t>
  </si>
  <si>
    <t>RA.LOG.EX.011.13</t>
  </si>
  <si>
    <t>RA.LOG.EX.014.13</t>
  </si>
  <si>
    <t>RA.LOG.EX.015.13HEBO</t>
  </si>
  <si>
    <t>RA.LOG.EX.016.13</t>
  </si>
  <si>
    <t>RA.LOG.EX.017.13</t>
  </si>
  <si>
    <t>RA.LOG.EX.018.13</t>
  </si>
  <si>
    <t>RA.LOG.EX.019.13</t>
  </si>
  <si>
    <t>RA.LOG.EX.020.13</t>
  </si>
  <si>
    <t>RA.LOG.EX.021.13</t>
  </si>
  <si>
    <t>RA.LOG.EX.022.13</t>
  </si>
  <si>
    <t>RA.LOG.EX.023.13</t>
  </si>
  <si>
    <t>RA.LOG.EX.025.13</t>
  </si>
  <si>
    <t>RA.LOG.EX.026.13</t>
  </si>
  <si>
    <t>RA.LOG.EX.027.13</t>
  </si>
  <si>
    <t>RA.COM.NC.001.13</t>
  </si>
  <si>
    <t>RA.COM.NC.002.13</t>
  </si>
  <si>
    <t>RA.COM.NC.003.13</t>
  </si>
  <si>
    <t>RA.COM.NC.004.13</t>
  </si>
  <si>
    <t>RA.COM.NC.005.13</t>
  </si>
  <si>
    <t>RA.COM.NC.006.13New Construction</t>
  </si>
  <si>
    <t>RA.COM.NC.007.13</t>
  </si>
  <si>
    <t>RA.COM.NC.008.13</t>
  </si>
  <si>
    <t>RA.COM.NC.009.13</t>
  </si>
  <si>
    <t>RA.COM.NC.010.13</t>
  </si>
  <si>
    <t>RA.COM.NC.011.13NEW CONSTRUCTION</t>
  </si>
  <si>
    <t>RA.COM.NC.012.13NEW CONSTRUCTION</t>
  </si>
  <si>
    <t>RA.COM.NC.013.13</t>
  </si>
  <si>
    <t>RA.COM.NC.014.13</t>
  </si>
  <si>
    <t>RA.COM.NC.015.13</t>
  </si>
  <si>
    <t>RA.COM.NC.016.13</t>
  </si>
  <si>
    <t>RA.COM.NC.017.13</t>
  </si>
  <si>
    <t>RA.IND.AGR.NRT.001.13</t>
  </si>
  <si>
    <t>I</t>
  </si>
  <si>
    <t>RA.IND.AGR.NRT.002.13</t>
  </si>
  <si>
    <t>RA.IND.AGR.NRT.003.13</t>
  </si>
  <si>
    <t>RA.IND.AGR.NRT.004.13</t>
  </si>
  <si>
    <t>RA.IND.AGR.NRT.005.13</t>
  </si>
  <si>
    <t>RA.IND.AGR.RT.001.13</t>
  </si>
  <si>
    <t>RA.IND.AGR.RT.002.13A</t>
  </si>
  <si>
    <t>RA.IND.AGR.RT.002.13M</t>
  </si>
  <si>
    <t>RA.IND.LG.NRT.001.13</t>
  </si>
  <si>
    <t>RA.IND.LG.NRT.002.13</t>
  </si>
  <si>
    <t>RA.IND.LG.NRT.003.13</t>
  </si>
  <si>
    <t>RA.IND.LG.NRT.004.13</t>
  </si>
  <si>
    <t>RA.IND.LG.NRT.005.13</t>
  </si>
  <si>
    <t>RA.IND.LG.NRT.006.13</t>
  </si>
  <si>
    <t>RA.IND.LG.NRT.007.13</t>
  </si>
  <si>
    <t>RA.IND.LG.NRT.008.13</t>
  </si>
  <si>
    <t>RA.IND.LG.NRT.009.13</t>
  </si>
  <si>
    <t>RA.IND.LG.NRT.010.13</t>
  </si>
  <si>
    <t>RA.IND.LG.NRT.011.13</t>
  </si>
  <si>
    <t>RA.IND.LG.NRT.012.13</t>
  </si>
  <si>
    <t>RA.IND.LG.NRT.013.13</t>
  </si>
  <si>
    <t>RA.IND.LG.NRT.014.13</t>
  </si>
  <si>
    <t>RA.IND.LG.NRT.015.13</t>
  </si>
  <si>
    <t>RA.IND.LG.NRT.016.13</t>
  </si>
  <si>
    <t>RA.IND.LG.NRT.017.13</t>
  </si>
  <si>
    <t>RA.IND.LG.NRT.018.13</t>
  </si>
  <si>
    <t>RA.IND.LG.NRT.019.13</t>
  </si>
  <si>
    <t>RA.IND.LG.NRT.021.13</t>
  </si>
  <si>
    <t>RA.IND.LG.NRT.022.13</t>
  </si>
  <si>
    <t>RA.IND.LG.NRT.023.13</t>
  </si>
  <si>
    <t>RA.IND.LG.NRT.025.13</t>
  </si>
  <si>
    <t>RA.IND.SM.NRT.001.13</t>
  </si>
  <si>
    <t>RA.IND.SM.NRT.002.13</t>
  </si>
  <si>
    <t>RA.IND.SM.NRT.003.13</t>
  </si>
  <si>
    <t>RA.IND.SM.NRT.004.13</t>
  </si>
  <si>
    <t>RA.IND.SM.NRT.005.13</t>
  </si>
  <si>
    <t>RA.IND.SM.NRT.006.13</t>
  </si>
  <si>
    <t>RA.IND.SM.NRT.007.13</t>
  </si>
  <si>
    <t>RA.IND.SM.NRT.008.13</t>
  </si>
  <si>
    <t>RA.IND.SM.NRT.009.13</t>
  </si>
  <si>
    <t>RA.IND.SM.NRT.010.13</t>
  </si>
  <si>
    <t>RA.IND.SM.NRT.011.13</t>
  </si>
  <si>
    <t>RA.IND.SM.NRT.012.13</t>
  </si>
  <si>
    <t>RA.IND.SM.NRT.013.13</t>
  </si>
  <si>
    <t>RA.IND.SM.NRT.014.13</t>
  </si>
  <si>
    <t>RA.IND.SM.NRT.015.13</t>
  </si>
  <si>
    <t>RA.IND.SM.NRT.016.13</t>
  </si>
  <si>
    <t>RA.IND.SM.NRT.018.13</t>
  </si>
  <si>
    <t>RA.IND.SM.NRT.019.13</t>
  </si>
  <si>
    <t>RA.IND.SM.NRT.020.13</t>
  </si>
  <si>
    <t>RA.IND.SM.NRT.021.13</t>
  </si>
  <si>
    <t>RA.IND.SM.NRT.022.13</t>
  </si>
  <si>
    <t>RA.IND.SM.NRT.023.13</t>
  </si>
  <si>
    <t>RA.IND.SM.NRT.024.13</t>
  </si>
  <si>
    <t>RA.IND.SM.NRT.025.13</t>
  </si>
  <si>
    <t>RA.IND.SM.NRT.026.13</t>
  </si>
  <si>
    <t>RA.IND.SM.NRT.027.13A</t>
  </si>
  <si>
    <t>RA.IND.SM.NRT.027.13M</t>
  </si>
  <si>
    <t>RA.IND.SM.NRT.028.13</t>
  </si>
  <si>
    <t>RA.IND.SM.NRT.029.13</t>
  </si>
  <si>
    <t>RA.IND.SM.NRT.030.13</t>
  </si>
  <si>
    <t>RA.IND.SM.NRT.031.13</t>
  </si>
  <si>
    <t>RA.IND.SM.NRT.032.13</t>
  </si>
  <si>
    <t>RA.IND.SM.NRT.033.13</t>
  </si>
  <si>
    <t>RA.IND.SM.NRT.034.13</t>
  </si>
  <si>
    <t>RA.IND.SM.NRT.035.13</t>
  </si>
  <si>
    <t>RA.IND.SM.NRT.036.13</t>
  </si>
  <si>
    <t>RA.IND.SM.NRT.037.13</t>
  </si>
  <si>
    <t>RA.IND.SM.NRT.038.13</t>
  </si>
  <si>
    <t>RA.IND.SM.NRT.039.13</t>
  </si>
  <si>
    <t>RA.IND.SM.NRT.040.13</t>
  </si>
  <si>
    <t>RA.IND.SM.NRT.041.13A</t>
  </si>
  <si>
    <t>RA.IND.SM.NRT.041.13M</t>
  </si>
  <si>
    <t>RA.IND.SM.NRT.042.13</t>
  </si>
  <si>
    <t>RA.IND.SM.NRT.043.13</t>
  </si>
  <si>
    <t>RA.IND.SM.NRT.044.13</t>
  </si>
  <si>
    <t>RA.IND.SM.NRT.046.13</t>
  </si>
  <si>
    <t>RA.IND.LG.RT.001.13</t>
  </si>
  <si>
    <t>RA.IND.LG.RT.002.13</t>
  </si>
  <si>
    <t>RA.IND.LG.RT.003.13</t>
  </si>
  <si>
    <t>RA.IND.LG.RT.004.13</t>
  </si>
  <si>
    <t>RA.IND.LG.RT.005.13</t>
  </si>
  <si>
    <t>RA.IND.LG.RT.006.13</t>
  </si>
  <si>
    <t>RA.IND.LG.RT.007.13</t>
  </si>
  <si>
    <t>RA.IND.LG.RT.008.13</t>
  </si>
  <si>
    <t>RA.IND.LG.RT.009.13</t>
  </si>
  <si>
    <t>RA.IND.LG.RT.010.13</t>
  </si>
  <si>
    <t>RA.IND.LG.RT.011.13</t>
  </si>
  <si>
    <t>RA.IND.LG.RT.012.13</t>
  </si>
  <si>
    <t>RA.IND.LG.RT.013.13A</t>
  </si>
  <si>
    <t>RA.IND.LG.RT.013.13M</t>
  </si>
  <si>
    <t>RA.IND.LG.RT.014.13</t>
  </si>
  <si>
    <t>RA.IND.LG.RT.015.13</t>
  </si>
  <si>
    <t>RA.IND.LG.RT.016.13</t>
  </si>
  <si>
    <t>RA.IND.LG.RT.017.13</t>
  </si>
  <si>
    <t>RA.IND.LG.RT.018.13</t>
  </si>
  <si>
    <t>RA.IND.LG.RT.019.13</t>
  </si>
  <si>
    <t>RA.IND.LG.RT.020.13</t>
  </si>
  <si>
    <t>RA.IND.LG.RT.021.13</t>
  </si>
  <si>
    <t>RA.IND.LG.RT.022.13</t>
  </si>
  <si>
    <t>RA.IND.LG.RT.023.13</t>
  </si>
  <si>
    <t>RA.IND.LG.RT.024.13</t>
  </si>
  <si>
    <t>RA.IND.LG.RT.025.13</t>
  </si>
  <si>
    <t>RA.IND.LG.RT.026.13</t>
  </si>
  <si>
    <t>RA.IND.LG.RT.027.13</t>
  </si>
  <si>
    <t>RA.IND.LG.RT.028.13</t>
  </si>
  <si>
    <t>RA.IND.LG.RT.029.13</t>
  </si>
  <si>
    <t>RA.IND.LG.RT.030.13</t>
  </si>
  <si>
    <t>RA.IND.LG.RT.031.13A</t>
  </si>
  <si>
    <t>RA.IND.LG.RT.031.13M</t>
  </si>
  <si>
    <t>RA.IND.LG.RT.032.13</t>
  </si>
  <si>
    <t>RA.IND.LG.RT.033.13</t>
  </si>
  <si>
    <t>RA.IND.LG.RT.034.13</t>
  </si>
  <si>
    <t>RA.IND.LG.RT.035.13</t>
  </si>
  <si>
    <t>RA.IND.LG.RT.038.13A</t>
  </si>
  <si>
    <t>RA.IND.LG.RT.038.13M</t>
  </si>
  <si>
    <t>RA.IND.LG.RT.039.13</t>
  </si>
  <si>
    <t>RA.IND.LG.RT.041.13</t>
  </si>
  <si>
    <t>RA.IND.LG.RT.042.13</t>
  </si>
  <si>
    <t>RA.IND.SM.RT.001.13</t>
  </si>
  <si>
    <t>RA.IND.SM.RT.002.13</t>
  </si>
  <si>
    <t>RA.IND.SM.RT.003.13</t>
  </si>
  <si>
    <t>RA.IND.SM.RT.004.13A</t>
  </si>
  <si>
    <t>RA.IND.SM.RT.004.13M</t>
  </si>
  <si>
    <t>RA.IND.SM.RT.005.13</t>
  </si>
  <si>
    <t>RA.IND.PR.NRT</t>
  </si>
  <si>
    <t>RA.IND.PR.RT</t>
  </si>
  <si>
    <t>Home Rating : # voluntary reports</t>
  </si>
  <si>
    <t>Run It Right</t>
  </si>
  <si>
    <t>Run It Right - Multi-Res</t>
  </si>
  <si>
    <t>Avoided Gas Costs, 2013-2022</t>
  </si>
  <si>
    <t>Indicates updated inputs (June 2013)</t>
  </si>
  <si>
    <t>2013 Ontario CPI</t>
  </si>
  <si>
    <t>IESO, Jan 2013</t>
  </si>
  <si>
    <t>2013 Wholesale water rates ¢/1000 litres</t>
  </si>
  <si>
    <t>Source: Muhammad Akhtar</t>
  </si>
  <si>
    <t>PIRA's Commodity Price Forecast 2012 vs 2013</t>
  </si>
  <si>
    <t>Linked to Avoided Costs</t>
  </si>
  <si>
    <t>Industrial - Agriculture - RA.IND.AGR.NRT</t>
  </si>
  <si>
    <t>RA.IND.AGR.NRT</t>
  </si>
  <si>
    <t>Industrial - Agriculture - RA.IND.AGR.RT</t>
  </si>
  <si>
    <t>RA.IND.AGR.RT</t>
  </si>
  <si>
    <t>Industrial - Industrial - All - RA.IND.NRT</t>
  </si>
  <si>
    <t>Industrial - Industrial - All - RA.IND.RT</t>
  </si>
  <si>
    <t xml:space="preserve"> RA.IND.RT</t>
  </si>
  <si>
    <t>Industrial Prescriptive</t>
  </si>
  <si>
    <t>Industrial - Industrial - All - Prescriptive</t>
  </si>
  <si>
    <t>Total Run it Right</t>
  </si>
  <si>
    <t>s</t>
  </si>
  <si>
    <t>TAPS Water Conservation</t>
  </si>
  <si>
    <t>TAPS Pstats</t>
  </si>
  <si>
    <t>LW.RE.PART9</t>
  </si>
  <si>
    <t xml:space="preserve">Residential Low Income - LW.RE.PART9 </t>
  </si>
  <si>
    <t>RA.CONTANKWH.100</t>
  </si>
  <si>
    <t>Condensing Tank Water Heater 100 gal</t>
  </si>
  <si>
    <t>RA.CONTANKWH.1000</t>
  </si>
  <si>
    <t>Condensing Tank Water Heater 1000 gal</t>
  </si>
  <si>
    <t>RA.CONTANKWH.500</t>
  </si>
  <si>
    <t>Condensing Tank Water Heater 500 gal</t>
  </si>
  <si>
    <t>Residential New Construction SBD # of units</t>
  </si>
  <si>
    <t>Residential New Construction SBD Top 80</t>
  </si>
  <si>
    <t>Low Income Part 3 RIR</t>
  </si>
  <si>
    <t>RATE</t>
  </si>
  <si>
    <t>RA.IND.NRT</t>
  </si>
  <si>
    <t>Residential Community Energy</t>
  </si>
  <si>
    <t>Total Variable Costs</t>
  </si>
  <si>
    <t>RA.RE.TAPS</t>
  </si>
  <si>
    <t>Residential TAPS</t>
  </si>
  <si>
    <t>Enbridge Gas Distribution 2013 DSM Results</t>
  </si>
  <si>
    <t>Total 2013 DSM Portfolio</t>
  </si>
  <si>
    <t>C</t>
  </si>
  <si>
    <t>Industrial Prescriptive Non-Rate Infrared</t>
  </si>
  <si>
    <t>Industrial Prescriptive Rate Infrared</t>
  </si>
  <si>
    <t>TRC NPV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</si>
</sst>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[Red]\(&quot;$&quot;#,##0.00\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(* #,##0_);_(* \(#,##0\);_(* &quot;-&quot;??_);_(@_)"/>
    <numFmt numFmtId="171" formatCode="&quot;$&quot;#,##0.00"/>
    <numFmt numFmtId="172" formatCode="&quot;$&quot;#,##0.0000"/>
    <numFmt numFmtId="173" formatCode="&quot;$&quot;#,##0.0000_);[Red]\(&quot;$&quot;#,##0.0000\)"/>
    <numFmt numFmtId="174" formatCode="0.0%"/>
    <numFmt numFmtId="175" formatCode="0.0000"/>
    <numFmt numFmtId="176" formatCode="_(&quot;$&quot;* #,##0.0000_);_(&quot;$&quot;* \(#,##0.0000\);_(&quot;$&quot;* &quot;-&quot;??_);_(@_)"/>
    <numFmt numFmtId="177" formatCode="0.00000"/>
    <numFmt numFmtId="178" formatCode="_(* #,##0.0_);_(* \(#,##0.0\);_(* &quot;-&quot;_);_(@_)"/>
    <numFmt numFmtId="179" formatCode="_(* #,##0.00_);_(* \(#,##0.00\);_(* &quot;-&quot;_);_(@_)"/>
    <numFmt numFmtId="180" formatCode="#0.0%;[Red]\(#0.0%\)"/>
    <numFmt numFmtId="181" formatCode="0.0000000000"/>
    <numFmt numFmtId="182" formatCode="&quot;$&quot;#,##0"/>
    <numFmt numFmtId="183" formatCode="#,##0.000_);[Red]\(#,##0.000\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i/>
      <sz val="10"/>
      <name val="Calibri"/>
      <family val="2"/>
      <scheme val="minor"/>
    </font>
    <font>
      <sz val="10"/>
      <name val="Calibri"/>
      <family val="2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99">
    <xf numFmtId="0" fontId="0" fillId="0" borderId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8" fillId="0" borderId="0"/>
    <xf numFmtId="9" fontId="16" fillId="0" borderId="0" applyFont="0" applyFill="0" applyBorder="0" applyAlignment="0" applyProtection="0"/>
    <xf numFmtId="0" fontId="16" fillId="0" borderId="0"/>
    <xf numFmtId="168" fontId="16" fillId="0" borderId="0" applyFont="0" applyFill="0" applyBorder="0" applyAlignment="0" applyProtection="0"/>
    <xf numFmtId="0" fontId="19" fillId="0" borderId="0"/>
    <xf numFmtId="16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16" fillId="0" borderId="0"/>
    <xf numFmtId="0" fontId="9" fillId="0" borderId="0"/>
    <xf numFmtId="169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2" borderId="24" applyNumberFormat="0" applyFont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1" fillId="3" borderId="0" applyNumberFormat="0" applyBorder="0" applyAlignment="0" applyProtection="0"/>
    <xf numFmtId="43" fontId="4" fillId="0" borderId="0" applyFont="0" applyFill="0" applyBorder="0" applyAlignment="0" applyProtection="0"/>
    <xf numFmtId="0" fontId="16" fillId="0" borderId="0"/>
    <xf numFmtId="0" fontId="4" fillId="0" borderId="0"/>
    <xf numFmtId="0" fontId="3" fillId="0" borderId="0"/>
    <xf numFmtId="0" fontId="2" fillId="0" borderId="0"/>
    <xf numFmtId="167" fontId="23" fillId="0" borderId="0" applyFont="0" applyFill="0" applyBorder="0" applyAlignment="0" applyProtection="0"/>
    <xf numFmtId="0" fontId="1" fillId="0" borderId="0"/>
    <xf numFmtId="0" fontId="1" fillId="0" borderId="0"/>
  </cellStyleXfs>
  <cellXfs count="345">
    <xf numFmtId="0" fontId="0" fillId="0" borderId="0" xfId="0"/>
    <xf numFmtId="2" fontId="17" fillId="0" borderId="0" xfId="0" applyNumberFormat="1" applyFont="1" applyFill="1" applyAlignment="1">
      <alignment horizontal="center"/>
    </xf>
    <xf numFmtId="0" fontId="20" fillId="0" borderId="0" xfId="0" applyFont="1" applyFill="1" applyAlignment="1"/>
    <xf numFmtId="0" fontId="20" fillId="0" borderId="0" xfId="0" applyFont="1" applyFill="1" applyAlignment="1">
      <alignment horizontal="center"/>
    </xf>
    <xf numFmtId="167" fontId="20" fillId="0" borderId="0" xfId="1" applyFont="1" applyFill="1" applyBorder="1" applyAlignment="1"/>
    <xf numFmtId="174" fontId="20" fillId="0" borderId="0" xfId="4" applyNumberFormat="1" applyFont="1" applyFill="1" applyBorder="1" applyAlignment="1"/>
    <xf numFmtId="10" fontId="20" fillId="0" borderId="0" xfId="4" applyNumberFormat="1" applyFont="1" applyFill="1" applyBorder="1" applyAlignment="1"/>
    <xf numFmtId="167" fontId="20" fillId="0" borderId="0" xfId="1" applyFont="1" applyFill="1" applyAlignment="1"/>
    <xf numFmtId="167" fontId="20" fillId="0" borderId="5" xfId="1" applyFont="1" applyFill="1" applyBorder="1" applyAlignment="1"/>
    <xf numFmtId="174" fontId="20" fillId="0" borderId="5" xfId="4" applyNumberFormat="1" applyFont="1" applyFill="1" applyBorder="1" applyAlignment="1"/>
    <xf numFmtId="10" fontId="20" fillId="0" borderId="5" xfId="4" applyNumberFormat="1" applyFont="1" applyFill="1" applyBorder="1" applyAlignment="1"/>
    <xf numFmtId="0" fontId="20" fillId="0" borderId="5" xfId="0" applyFont="1" applyFill="1" applyBorder="1" applyAlignment="1">
      <alignment horizontal="center"/>
    </xf>
    <xf numFmtId="174" fontId="20" fillId="0" borderId="0" xfId="4" applyNumberFormat="1" applyFont="1" applyFill="1" applyAlignment="1"/>
    <xf numFmtId="10" fontId="20" fillId="0" borderId="0" xfId="4" applyNumberFormat="1" applyFont="1" applyFill="1" applyAlignment="1"/>
    <xf numFmtId="9" fontId="20" fillId="0" borderId="0" xfId="4" applyFont="1" applyFill="1" applyAlignment="1"/>
    <xf numFmtId="170" fontId="20" fillId="0" borderId="0" xfId="1" applyNumberFormat="1" applyFont="1" applyFill="1" applyAlignment="1"/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left"/>
    </xf>
    <xf numFmtId="9" fontId="20" fillId="0" borderId="0" xfId="4" applyNumberFormat="1" applyFont="1" applyFill="1" applyAlignment="1"/>
    <xf numFmtId="167" fontId="20" fillId="0" borderId="0" xfId="1" applyFont="1" applyFill="1" applyAlignment="1">
      <alignment horizontal="center"/>
    </xf>
    <xf numFmtId="0" fontId="20" fillId="0" borderId="0" xfId="3" applyFont="1" applyFill="1" applyAlignment="1">
      <alignment horizontal="right"/>
    </xf>
    <xf numFmtId="0" fontId="20" fillId="0" borderId="7" xfId="0" applyFont="1" applyFill="1" applyBorder="1" applyAlignment="1">
      <alignment horizontal="center"/>
    </xf>
    <xf numFmtId="167" fontId="20" fillId="0" borderId="7" xfId="1" applyFont="1" applyFill="1" applyBorder="1" applyAlignment="1"/>
    <xf numFmtId="174" fontId="20" fillId="0" borderId="7" xfId="4" applyNumberFormat="1" applyFont="1" applyFill="1" applyBorder="1" applyAlignment="1"/>
    <xf numFmtId="10" fontId="20" fillId="0" borderId="7" xfId="4" applyNumberFormat="1" applyFont="1" applyFill="1" applyBorder="1" applyAlignment="1"/>
    <xf numFmtId="0" fontId="20" fillId="0" borderId="8" xfId="0" applyFont="1" applyFill="1" applyBorder="1" applyAlignment="1"/>
    <xf numFmtId="0" fontId="20" fillId="0" borderId="8" xfId="0" applyFont="1" applyFill="1" applyBorder="1" applyAlignment="1">
      <alignment horizontal="center"/>
    </xf>
    <xf numFmtId="167" fontId="20" fillId="0" borderId="8" xfId="1" applyFont="1" applyFill="1" applyBorder="1" applyAlignment="1"/>
    <xf numFmtId="174" fontId="20" fillId="0" borderId="8" xfId="4" applyNumberFormat="1" applyFont="1" applyFill="1" applyBorder="1" applyAlignment="1"/>
    <xf numFmtId="10" fontId="20" fillId="0" borderId="8" xfId="4" applyNumberFormat="1" applyFont="1" applyFill="1" applyBorder="1" applyAlignment="1"/>
    <xf numFmtId="0" fontId="20" fillId="0" borderId="25" xfId="0" applyFont="1" applyFill="1" applyBorder="1" applyAlignment="1"/>
    <xf numFmtId="0" fontId="20" fillId="0" borderId="25" xfId="0" applyFont="1" applyFill="1" applyBorder="1" applyAlignment="1">
      <alignment horizontal="center"/>
    </xf>
    <xf numFmtId="167" fontId="20" fillId="0" borderId="25" xfId="1" applyFont="1" applyFill="1" applyBorder="1" applyAlignment="1">
      <alignment horizontal="right"/>
    </xf>
    <xf numFmtId="9" fontId="20" fillId="0" borderId="25" xfId="4" applyFont="1" applyFill="1" applyBorder="1" applyAlignment="1">
      <alignment horizontal="right"/>
    </xf>
    <xf numFmtId="10" fontId="20" fillId="0" borderId="25" xfId="4" applyNumberFormat="1" applyFont="1" applyFill="1" applyBorder="1" applyAlignment="1">
      <alignment horizontal="right"/>
    </xf>
    <xf numFmtId="167" fontId="20" fillId="0" borderId="25" xfId="1" applyFont="1" applyFill="1" applyBorder="1" applyAlignment="1">
      <alignment horizontal="center"/>
    </xf>
    <xf numFmtId="178" fontId="20" fillId="0" borderId="3" xfId="1" applyNumberFormat="1" applyFont="1" applyFill="1" applyBorder="1" applyAlignment="1"/>
    <xf numFmtId="0" fontId="20" fillId="0" borderId="0" xfId="0" applyFont="1" applyFill="1"/>
    <xf numFmtId="179" fontId="20" fillId="0" borderId="0" xfId="96" applyNumberFormat="1" applyFont="1" applyFill="1"/>
    <xf numFmtId="0" fontId="20" fillId="0" borderId="0" xfId="0" applyFont="1" applyFill="1" applyBorder="1" applyAlignment="1">
      <alignment horizontal="right"/>
    </xf>
    <xf numFmtId="16" fontId="20" fillId="0" borderId="0" xfId="0" applyNumberFormat="1" applyFont="1" applyFill="1" applyBorder="1" applyAlignment="1">
      <alignment horizontal="right"/>
    </xf>
    <xf numFmtId="2" fontId="24" fillId="0" borderId="0" xfId="0" applyNumberFormat="1" applyFont="1" applyFill="1" applyAlignment="1">
      <alignment horizontal="center"/>
    </xf>
    <xf numFmtId="2" fontId="20" fillId="0" borderId="0" xfId="0" applyNumberFormat="1" applyFont="1" applyFill="1" applyBorder="1" applyAlignment="1">
      <alignment horizontal="right"/>
    </xf>
    <xf numFmtId="38" fontId="20" fillId="0" borderId="0" xfId="1" applyNumberFormat="1" applyFont="1" applyFill="1" applyBorder="1" applyAlignment="1"/>
    <xf numFmtId="38" fontId="20" fillId="0" borderId="0" xfId="1" applyNumberFormat="1" applyFont="1" applyFill="1" applyBorder="1" applyAlignment="1">
      <alignment horizontal="centerContinuous"/>
    </xf>
    <xf numFmtId="38" fontId="20" fillId="0" borderId="3" xfId="1" applyNumberFormat="1" applyFont="1" applyFill="1" applyBorder="1" applyAlignment="1"/>
    <xf numFmtId="38" fontId="20" fillId="0" borderId="5" xfId="1" applyNumberFormat="1" applyFont="1" applyFill="1" applyBorder="1" applyAlignment="1"/>
    <xf numFmtId="38" fontId="20" fillId="0" borderId="0" xfId="1" applyNumberFormat="1" applyFont="1" applyFill="1" applyAlignment="1"/>
    <xf numFmtId="38" fontId="20" fillId="0" borderId="0" xfId="1" applyNumberFormat="1" applyFont="1" applyFill="1" applyBorder="1" applyAlignment="1">
      <alignment horizontal="right"/>
    </xf>
    <xf numFmtId="38" fontId="20" fillId="0" borderId="7" xfId="1" applyNumberFormat="1" applyFont="1" applyFill="1" applyBorder="1" applyAlignment="1"/>
    <xf numFmtId="38" fontId="20" fillId="0" borderId="25" xfId="1" applyNumberFormat="1" applyFont="1" applyFill="1" applyBorder="1" applyAlignment="1">
      <alignment horizontal="right"/>
    </xf>
    <xf numFmtId="38" fontId="20" fillId="0" borderId="2" xfId="1" applyNumberFormat="1" applyFont="1" applyFill="1" applyBorder="1" applyAlignment="1">
      <alignment horizontal="right"/>
    </xf>
    <xf numFmtId="38" fontId="20" fillId="0" borderId="2" xfId="1" applyNumberFormat="1" applyFont="1" applyFill="1" applyBorder="1" applyAlignment="1"/>
    <xf numFmtId="38" fontId="20" fillId="0" borderId="25" xfId="1" applyNumberFormat="1" applyFont="1" applyFill="1" applyBorder="1" applyAlignment="1"/>
    <xf numFmtId="38" fontId="20" fillId="0" borderId="2" xfId="3" applyNumberFormat="1" applyFont="1" applyFill="1" applyBorder="1" applyAlignment="1">
      <alignment horizontal="right"/>
    </xf>
    <xf numFmtId="38" fontId="20" fillId="0" borderId="25" xfId="3" applyNumberFormat="1" applyFont="1" applyFill="1" applyBorder="1" applyAlignment="1">
      <alignment horizontal="right"/>
    </xf>
    <xf numFmtId="40" fontId="20" fillId="0" borderId="0" xfId="1" applyNumberFormat="1" applyFont="1" applyFill="1" applyAlignment="1"/>
    <xf numFmtId="40" fontId="20" fillId="0" borderId="0" xfId="1" applyNumberFormat="1" applyFont="1" applyFill="1" applyBorder="1" applyAlignment="1"/>
    <xf numFmtId="40" fontId="20" fillId="0" borderId="0" xfId="1" applyNumberFormat="1" applyFont="1" applyFill="1" applyBorder="1" applyAlignment="1">
      <alignment horizontal="centerContinuous"/>
    </xf>
    <xf numFmtId="40" fontId="20" fillId="0" borderId="4" xfId="1" applyNumberFormat="1" applyFont="1" applyFill="1" applyBorder="1" applyAlignment="1"/>
    <xf numFmtId="40" fontId="20" fillId="0" borderId="2" xfId="3" applyNumberFormat="1" applyFont="1" applyFill="1" applyBorder="1" applyAlignment="1">
      <alignment horizontal="right"/>
    </xf>
    <xf numFmtId="40" fontId="20" fillId="0" borderId="25" xfId="3" applyNumberFormat="1" applyFont="1" applyFill="1" applyBorder="1" applyAlignment="1">
      <alignment horizontal="right"/>
    </xf>
    <xf numFmtId="40" fontId="20" fillId="0" borderId="25" xfId="1" applyNumberFormat="1" applyFont="1" applyFill="1" applyBorder="1" applyAlignment="1">
      <alignment horizontal="right"/>
    </xf>
    <xf numFmtId="38" fontId="20" fillId="0" borderId="20" xfId="1" applyNumberFormat="1" applyFont="1" applyFill="1" applyBorder="1" applyAlignment="1"/>
    <xf numFmtId="38" fontId="20" fillId="0" borderId="2" xfId="0" applyNumberFormat="1" applyFont="1" applyFill="1" applyBorder="1" applyAlignment="1">
      <alignment horizontal="right"/>
    </xf>
    <xf numFmtId="38" fontId="20" fillId="0" borderId="0" xfId="3" applyNumberFormat="1" applyFont="1" applyFill="1" applyBorder="1" applyAlignment="1">
      <alignment horizontal="right"/>
    </xf>
    <xf numFmtId="38" fontId="20" fillId="0" borderId="0" xfId="0" applyNumberFormat="1" applyFont="1" applyFill="1" applyBorder="1" applyAlignment="1">
      <alignment horizontal="right"/>
    </xf>
    <xf numFmtId="165" fontId="20" fillId="0" borderId="0" xfId="2" applyNumberFormat="1" applyFont="1" applyFill="1" applyAlignment="1"/>
    <xf numFmtId="165" fontId="20" fillId="0" borderId="0" xfId="2" applyNumberFormat="1" applyFont="1" applyFill="1" applyAlignment="1">
      <alignment wrapText="1"/>
    </xf>
    <xf numFmtId="165" fontId="20" fillId="0" borderId="9" xfId="2" applyNumberFormat="1" applyFont="1" applyFill="1" applyBorder="1" applyAlignment="1">
      <alignment horizontal="centerContinuous"/>
    </xf>
    <xf numFmtId="165" fontId="20" fillId="0" borderId="10" xfId="2" applyNumberFormat="1" applyFont="1" applyFill="1" applyBorder="1" applyAlignment="1">
      <alignment horizontal="centerContinuous"/>
    </xf>
    <xf numFmtId="165" fontId="20" fillId="0" borderId="0" xfId="2" applyNumberFormat="1" applyFont="1" applyFill="1" applyBorder="1" applyAlignment="1"/>
    <xf numFmtId="165" fontId="20" fillId="0" borderId="2" xfId="2" applyNumberFormat="1" applyFont="1" applyFill="1" applyBorder="1" applyAlignment="1"/>
    <xf numFmtId="165" fontId="20" fillId="0" borderId="2" xfId="2" applyNumberFormat="1" applyFont="1" applyFill="1" applyBorder="1" applyAlignment="1">
      <alignment horizontal="right"/>
    </xf>
    <xf numFmtId="165" fontId="20" fillId="0" borderId="25" xfId="2" applyNumberFormat="1" applyFont="1" applyFill="1" applyBorder="1" applyAlignment="1">
      <alignment horizontal="right"/>
    </xf>
    <xf numFmtId="165" fontId="20" fillId="0" borderId="0" xfId="2" applyNumberFormat="1" applyFont="1" applyFill="1" applyBorder="1" applyAlignment="1">
      <alignment horizontal="right"/>
    </xf>
    <xf numFmtId="165" fontId="20" fillId="0" borderId="7" xfId="2" applyNumberFormat="1" applyFont="1" applyFill="1" applyBorder="1" applyAlignment="1"/>
    <xf numFmtId="165" fontId="20" fillId="0" borderId="25" xfId="2" applyNumberFormat="1" applyFont="1" applyFill="1" applyBorder="1" applyAlignment="1"/>
    <xf numFmtId="38" fontId="20" fillId="0" borderId="19" xfId="1" applyNumberFormat="1" applyFont="1" applyFill="1" applyBorder="1" applyAlignment="1"/>
    <xf numFmtId="38" fontId="20" fillId="0" borderId="22" xfId="1" applyNumberFormat="1" applyFont="1" applyFill="1" applyBorder="1" applyAlignment="1"/>
    <xf numFmtId="38" fontId="20" fillId="0" borderId="19" xfId="1" applyNumberFormat="1" applyFont="1" applyFill="1" applyBorder="1" applyAlignment="1">
      <alignment horizontal="right"/>
    </xf>
    <xf numFmtId="166" fontId="20" fillId="0" borderId="0" xfId="2" applyNumberFormat="1" applyFont="1" applyFill="1" applyAlignment="1"/>
    <xf numFmtId="166" fontId="20" fillId="0" borderId="2" xfId="2" applyNumberFormat="1" applyFont="1" applyFill="1" applyBorder="1" applyAlignment="1">
      <alignment horizontal="right"/>
    </xf>
    <xf numFmtId="166" fontId="20" fillId="0" borderId="0" xfId="2" applyNumberFormat="1" applyFont="1" applyFill="1" applyBorder="1" applyAlignment="1"/>
    <xf numFmtId="166" fontId="20" fillId="0" borderId="8" xfId="2" applyNumberFormat="1" applyFont="1" applyFill="1" applyBorder="1" applyAlignment="1"/>
    <xf numFmtId="166" fontId="20" fillId="0" borderId="7" xfId="2" applyNumberFormat="1" applyFont="1" applyFill="1" applyBorder="1" applyAlignment="1"/>
    <xf numFmtId="166" fontId="20" fillId="0" borderId="0" xfId="2" applyNumberFormat="1" applyFont="1" applyFill="1" applyBorder="1" applyAlignment="1">
      <alignment horizontal="right"/>
    </xf>
    <xf numFmtId="166" fontId="20" fillId="0" borderId="5" xfId="2" applyNumberFormat="1" applyFont="1" applyFill="1" applyBorder="1" applyAlignment="1"/>
    <xf numFmtId="166" fontId="20" fillId="0" borderId="25" xfId="2" applyNumberFormat="1" applyFont="1" applyFill="1" applyBorder="1" applyAlignment="1">
      <alignment horizontal="right"/>
    </xf>
    <xf numFmtId="40" fontId="20" fillId="0" borderId="8" xfId="1" applyNumberFormat="1" applyFont="1" applyFill="1" applyBorder="1" applyAlignment="1"/>
    <xf numFmtId="183" fontId="20" fillId="0" borderId="0" xfId="1" applyNumberFormat="1" applyFont="1" applyFill="1" applyAlignment="1"/>
    <xf numFmtId="183" fontId="20" fillId="0" borderId="0" xfId="1" applyNumberFormat="1" applyFont="1" applyFill="1" applyBorder="1" applyAlignment="1"/>
    <xf numFmtId="183" fontId="20" fillId="0" borderId="0" xfId="1" applyNumberFormat="1" applyFont="1" applyFill="1" applyBorder="1" applyAlignment="1">
      <alignment horizontal="centerContinuous"/>
    </xf>
    <xf numFmtId="183" fontId="20" fillId="0" borderId="4" xfId="1" applyNumberFormat="1" applyFont="1" applyFill="1" applyBorder="1" applyAlignment="1"/>
    <xf numFmtId="183" fontId="20" fillId="0" borderId="2" xfId="3" applyNumberFormat="1" applyFont="1" applyFill="1" applyBorder="1" applyAlignment="1">
      <alignment horizontal="right"/>
    </xf>
    <xf numFmtId="183" fontId="20" fillId="0" borderId="25" xfId="3" applyNumberFormat="1" applyFont="1" applyFill="1" applyBorder="1" applyAlignment="1">
      <alignment horizontal="right"/>
    </xf>
    <xf numFmtId="183" fontId="20" fillId="0" borderId="25" xfId="1" applyNumberFormat="1" applyFont="1" applyFill="1" applyBorder="1" applyAlignment="1">
      <alignment horizontal="right"/>
    </xf>
    <xf numFmtId="40" fontId="20" fillId="0" borderId="3" xfId="1" applyNumberFormat="1" applyFont="1" applyFill="1" applyBorder="1" applyAlignment="1"/>
    <xf numFmtId="40" fontId="20" fillId="0" borderId="5" xfId="1" applyNumberFormat="1" applyFont="1" applyFill="1" applyBorder="1" applyAlignment="1"/>
    <xf numFmtId="40" fontId="20" fillId="0" borderId="7" xfId="1" applyNumberFormat="1" applyFont="1" applyFill="1" applyBorder="1" applyAlignment="1"/>
    <xf numFmtId="183" fontId="20" fillId="0" borderId="8" xfId="1" applyNumberFormat="1" applyFont="1" applyFill="1" applyBorder="1" applyAlignment="1"/>
    <xf numFmtId="183" fontId="20" fillId="0" borderId="0" xfId="3" applyNumberFormat="1" applyFont="1" applyFill="1" applyBorder="1" applyAlignment="1">
      <alignment horizontal="right"/>
    </xf>
    <xf numFmtId="166" fontId="20" fillId="0" borderId="2" xfId="2" applyNumberFormat="1" applyFont="1" applyFill="1" applyBorder="1" applyAlignment="1"/>
    <xf numFmtId="38" fontId="20" fillId="0" borderId="0" xfId="10" applyNumberFormat="1" applyFont="1" applyFill="1" applyBorder="1" applyAlignment="1">
      <alignment horizontal="right"/>
    </xf>
    <xf numFmtId="40" fontId="20" fillId="0" borderId="0" xfId="1" applyNumberFormat="1" applyFont="1" applyFill="1" applyBorder="1" applyAlignment="1">
      <alignment horizontal="right"/>
    </xf>
    <xf numFmtId="9" fontId="20" fillId="0" borderId="0" xfId="4" applyFont="1" applyFill="1" applyBorder="1" applyAlignment="1">
      <alignment horizontal="right"/>
    </xf>
    <xf numFmtId="10" fontId="20" fillId="0" borderId="0" xfId="4" applyNumberFormat="1" applyFont="1" applyFill="1" applyBorder="1" applyAlignment="1">
      <alignment horizontal="right"/>
    </xf>
    <xf numFmtId="38" fontId="20" fillId="0" borderId="0" xfId="10" applyNumberFormat="1" applyFont="1" applyFill="1" applyBorder="1" applyAlignment="1"/>
    <xf numFmtId="183" fontId="20" fillId="0" borderId="0" xfId="1" applyNumberFormat="1" applyFont="1" applyFill="1" applyBorder="1" applyAlignment="1">
      <alignment horizontal="right"/>
    </xf>
    <xf numFmtId="167" fontId="20" fillId="0" borderId="0" xfId="1" applyFont="1" applyFill="1" applyBorder="1" applyAlignment="1">
      <alignment horizontal="right"/>
    </xf>
    <xf numFmtId="167" fontId="20" fillId="0" borderId="0" xfId="1" applyFont="1" applyFill="1" applyBorder="1" applyAlignment="1">
      <alignment horizontal="center"/>
    </xf>
    <xf numFmtId="165" fontId="20" fillId="0" borderId="7" xfId="2" applyNumberFormat="1" applyFont="1" applyFill="1" applyBorder="1" applyAlignment="1">
      <alignment horizontal="right"/>
    </xf>
    <xf numFmtId="38" fontId="20" fillId="0" borderId="22" xfId="1" applyNumberFormat="1" applyFont="1" applyFill="1" applyBorder="1" applyAlignment="1">
      <alignment horizontal="right"/>
    </xf>
    <xf numFmtId="0" fontId="20" fillId="0" borderId="2" xfId="80" applyFont="1" applyFill="1" applyBorder="1" applyAlignment="1">
      <alignment horizontal="left"/>
    </xf>
    <xf numFmtId="0" fontId="20" fillId="0" borderId="25" xfId="80" applyFont="1" applyFill="1" applyBorder="1" applyAlignment="1">
      <alignment horizontal="left"/>
    </xf>
    <xf numFmtId="0" fontId="20" fillId="0" borderId="2" xfId="75" applyFont="1" applyFill="1" applyBorder="1" applyAlignment="1">
      <alignment horizontal="left"/>
    </xf>
    <xf numFmtId="38" fontId="20" fillId="0" borderId="0" xfId="0" applyNumberFormat="1" applyFont="1" applyFill="1" applyAlignment="1"/>
    <xf numFmtId="0" fontId="20" fillId="0" borderId="2" xfId="80" applyFont="1" applyFill="1" applyBorder="1" applyAlignment="1">
      <alignment horizontal="right"/>
    </xf>
    <xf numFmtId="0" fontId="20" fillId="0" borderId="25" xfId="80" applyFont="1" applyFill="1" applyBorder="1" applyAlignment="1">
      <alignment horizontal="right"/>
    </xf>
    <xf numFmtId="1" fontId="20" fillId="0" borderId="25" xfId="80" applyNumberFormat="1" applyFont="1" applyFill="1" applyBorder="1" applyAlignment="1">
      <alignment horizontal="right"/>
    </xf>
    <xf numFmtId="0" fontId="20" fillId="0" borderId="2" xfId="80" applyFont="1" applyFill="1" applyBorder="1" applyAlignment="1">
      <alignment horizontal="center"/>
    </xf>
    <xf numFmtId="0" fontId="20" fillId="0" borderId="25" xfId="80" applyFont="1" applyFill="1" applyBorder="1" applyAlignment="1">
      <alignment horizontal="center"/>
    </xf>
    <xf numFmtId="0" fontId="20" fillId="0" borderId="2" xfId="75" applyFont="1" applyFill="1" applyBorder="1" applyAlignment="1">
      <alignment horizontal="center"/>
    </xf>
    <xf numFmtId="0" fontId="20" fillId="0" borderId="25" xfId="75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0" xfId="8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6" xfId="0" applyFont="1" applyFill="1" applyBorder="1" applyAlignment="1">
      <alignment horizontal="center"/>
    </xf>
    <xf numFmtId="0" fontId="20" fillId="0" borderId="2" xfId="75" applyFont="1" applyFill="1" applyBorder="1" applyAlignment="1">
      <alignment horizontal="right"/>
    </xf>
    <xf numFmtId="0" fontId="20" fillId="0" borderId="25" xfId="75" applyFont="1" applyFill="1" applyBorder="1" applyAlignment="1">
      <alignment horizontal="right"/>
    </xf>
    <xf numFmtId="0" fontId="20" fillId="0" borderId="25" xfId="0" applyFont="1" applyFill="1" applyBorder="1" applyAlignment="1">
      <alignment horizontal="right"/>
    </xf>
    <xf numFmtId="0" fontId="20" fillId="0" borderId="0" xfId="80" applyFont="1" applyFill="1" applyBorder="1" applyAlignment="1">
      <alignment horizontal="right"/>
    </xf>
    <xf numFmtId="1" fontId="20" fillId="0" borderId="2" xfId="0" applyNumberFormat="1" applyFont="1" applyFill="1" applyBorder="1" applyAlignment="1">
      <alignment horizontal="right"/>
    </xf>
    <xf numFmtId="1" fontId="20" fillId="0" borderId="25" xfId="0" applyNumberFormat="1" applyFont="1" applyFill="1" applyBorder="1" applyAlignment="1">
      <alignment horizontal="right"/>
    </xf>
    <xf numFmtId="167" fontId="20" fillId="0" borderId="6" xfId="1" applyFont="1" applyFill="1" applyBorder="1" applyAlignment="1"/>
    <xf numFmtId="165" fontId="20" fillId="0" borderId="0" xfId="2" applyNumberFormat="1" applyFont="1" applyFill="1" applyAlignment="1">
      <alignment horizontal="center"/>
    </xf>
    <xf numFmtId="1" fontId="20" fillId="0" borderId="2" xfId="80" applyNumberFormat="1" applyFont="1" applyFill="1" applyBorder="1" applyAlignment="1">
      <alignment horizontal="right"/>
    </xf>
    <xf numFmtId="38" fontId="20" fillId="0" borderId="2" xfId="2" applyNumberFormat="1" applyFont="1" applyFill="1" applyBorder="1" applyAlignment="1">
      <alignment horizontal="center"/>
    </xf>
    <xf numFmtId="38" fontId="20" fillId="0" borderId="2" xfId="1" applyNumberFormat="1" applyFont="1" applyFill="1" applyBorder="1" applyAlignment="1">
      <alignment horizontal="center"/>
    </xf>
    <xf numFmtId="165" fontId="20" fillId="0" borderId="2" xfId="2" applyNumberFormat="1" applyFont="1" applyFill="1" applyBorder="1" applyAlignment="1">
      <alignment horizontal="center"/>
    </xf>
    <xf numFmtId="182" fontId="25" fillId="0" borderId="0" xfId="0" applyNumberFormat="1" applyFont="1" applyFill="1"/>
    <xf numFmtId="40" fontId="20" fillId="0" borderId="11" xfId="1" applyNumberFormat="1" applyFont="1" applyFill="1" applyBorder="1" applyAlignment="1"/>
    <xf numFmtId="174" fontId="20" fillId="0" borderId="11" xfId="4" applyNumberFormat="1" applyFont="1" applyFill="1" applyBorder="1" applyAlignment="1"/>
    <xf numFmtId="10" fontId="20" fillId="0" borderId="11" xfId="4" applyNumberFormat="1" applyFont="1" applyFill="1" applyBorder="1" applyAlignment="1"/>
    <xf numFmtId="183" fontId="20" fillId="0" borderId="11" xfId="1" applyNumberFormat="1" applyFont="1" applyFill="1" applyBorder="1" applyAlignment="1"/>
    <xf numFmtId="167" fontId="20" fillId="0" borderId="11" xfId="1" applyFont="1" applyFill="1" applyBorder="1" applyAlignment="1"/>
    <xf numFmtId="0" fontId="20" fillId="0" borderId="11" xfId="0" applyFont="1" applyFill="1" applyBorder="1" applyAlignment="1">
      <alignment horizontal="center"/>
    </xf>
    <xf numFmtId="166" fontId="20" fillId="0" borderId="11" xfId="2" applyNumberFormat="1" applyFont="1" applyFill="1" applyBorder="1" applyAlignment="1"/>
    <xf numFmtId="0" fontId="20" fillId="0" borderId="5" xfId="0" applyFont="1" applyFill="1" applyBorder="1" applyAlignment="1"/>
    <xf numFmtId="0" fontId="20" fillId="0" borderId="0" xfId="0" applyFont="1" applyFill="1" applyAlignment="1">
      <alignment horizontal="left"/>
    </xf>
    <xf numFmtId="38" fontId="20" fillId="0" borderId="2" xfId="75" applyNumberFormat="1" applyFont="1" applyFill="1" applyBorder="1" applyAlignment="1">
      <alignment horizontal="right"/>
    </xf>
    <xf numFmtId="40" fontId="20" fillId="0" borderId="2" xfId="75" applyNumberFormat="1" applyFont="1" applyFill="1" applyBorder="1" applyAlignment="1">
      <alignment horizontal="right"/>
    </xf>
    <xf numFmtId="180" fontId="20" fillId="0" borderId="2" xfId="75" applyNumberFormat="1" applyFont="1" applyFill="1" applyBorder="1" applyAlignment="1">
      <alignment horizontal="right"/>
    </xf>
    <xf numFmtId="183" fontId="20" fillId="0" borderId="2" xfId="75" applyNumberFormat="1" applyFont="1" applyFill="1" applyBorder="1" applyAlignment="1">
      <alignment horizontal="right"/>
    </xf>
    <xf numFmtId="0" fontId="20" fillId="0" borderId="25" xfId="75" applyFont="1" applyFill="1" applyBorder="1" applyAlignment="1">
      <alignment horizontal="left"/>
    </xf>
    <xf numFmtId="38" fontId="20" fillId="0" borderId="25" xfId="75" applyNumberFormat="1" applyFont="1" applyFill="1" applyBorder="1" applyAlignment="1">
      <alignment horizontal="right"/>
    </xf>
    <xf numFmtId="40" fontId="20" fillId="0" borderId="25" xfId="75" applyNumberFormat="1" applyFont="1" applyFill="1" applyBorder="1" applyAlignment="1">
      <alignment horizontal="right"/>
    </xf>
    <xf numFmtId="180" fontId="20" fillId="0" borderId="25" xfId="75" applyNumberFormat="1" applyFont="1" applyFill="1" applyBorder="1" applyAlignment="1">
      <alignment horizontal="right"/>
    </xf>
    <xf numFmtId="183" fontId="20" fillId="0" borderId="25" xfId="75" applyNumberFormat="1" applyFont="1" applyFill="1" applyBorder="1" applyAlignment="1">
      <alignment horizontal="right"/>
    </xf>
    <xf numFmtId="38" fontId="20" fillId="0" borderId="2" xfId="80" applyNumberFormat="1" applyFont="1" applyFill="1" applyBorder="1" applyAlignment="1">
      <alignment horizontal="right"/>
    </xf>
    <xf numFmtId="40" fontId="20" fillId="0" borderId="2" xfId="80" applyNumberFormat="1" applyFont="1" applyFill="1" applyBorder="1" applyAlignment="1">
      <alignment horizontal="right"/>
    </xf>
    <xf numFmtId="180" fontId="20" fillId="0" borderId="2" xfId="80" applyNumberFormat="1" applyFont="1" applyFill="1" applyBorder="1" applyAlignment="1">
      <alignment horizontal="right"/>
    </xf>
    <xf numFmtId="38" fontId="20" fillId="0" borderId="25" xfId="80" applyNumberFormat="1" applyFont="1" applyFill="1" applyBorder="1" applyAlignment="1">
      <alignment horizontal="right"/>
    </xf>
    <xf numFmtId="40" fontId="20" fillId="0" borderId="25" xfId="80" applyNumberFormat="1" applyFont="1" applyFill="1" applyBorder="1" applyAlignment="1">
      <alignment horizontal="right"/>
    </xf>
    <xf numFmtId="180" fontId="20" fillId="0" borderId="25" xfId="80" applyNumberFormat="1" applyFont="1" applyFill="1" applyBorder="1" applyAlignment="1">
      <alignment horizontal="right"/>
    </xf>
    <xf numFmtId="0" fontId="20" fillId="0" borderId="2" xfId="0" applyFont="1" applyFill="1" applyBorder="1" applyAlignment="1">
      <alignment horizontal="left"/>
    </xf>
    <xf numFmtId="40" fontId="20" fillId="0" borderId="2" xfId="0" applyNumberFormat="1" applyFont="1" applyFill="1" applyBorder="1" applyAlignment="1">
      <alignment horizontal="right"/>
    </xf>
    <xf numFmtId="180" fontId="20" fillId="0" borderId="2" xfId="0" applyNumberFormat="1" applyFont="1" applyFill="1" applyBorder="1" applyAlignment="1">
      <alignment horizontal="right"/>
    </xf>
    <xf numFmtId="183" fontId="20" fillId="0" borderId="2" xfId="0" applyNumberFormat="1" applyFont="1" applyFill="1" applyBorder="1" applyAlignment="1">
      <alignment horizontal="right"/>
    </xf>
    <xf numFmtId="0" fontId="20" fillId="0" borderId="25" xfId="0" applyFont="1" applyFill="1" applyBorder="1" applyAlignment="1">
      <alignment horizontal="left"/>
    </xf>
    <xf numFmtId="38" fontId="20" fillId="0" borderId="25" xfId="0" applyNumberFormat="1" applyFont="1" applyFill="1" applyBorder="1" applyAlignment="1">
      <alignment horizontal="right"/>
    </xf>
    <xf numFmtId="40" fontId="20" fillId="0" borderId="25" xfId="0" applyNumberFormat="1" applyFont="1" applyFill="1" applyBorder="1" applyAlignment="1">
      <alignment horizontal="right"/>
    </xf>
    <xf numFmtId="180" fontId="20" fillId="0" borderId="25" xfId="0" applyNumberFormat="1" applyFont="1" applyFill="1" applyBorder="1" applyAlignment="1">
      <alignment horizontal="right"/>
    </xf>
    <xf numFmtId="183" fontId="20" fillId="0" borderId="25" xfId="0" applyNumberFormat="1" applyFont="1" applyFill="1" applyBorder="1" applyAlignment="1">
      <alignment horizontal="right"/>
    </xf>
    <xf numFmtId="0" fontId="20" fillId="0" borderId="6" xfId="0" applyFont="1" applyFill="1" applyBorder="1" applyAlignment="1"/>
    <xf numFmtId="40" fontId="20" fillId="0" borderId="6" xfId="1" applyNumberFormat="1" applyFont="1" applyFill="1" applyBorder="1" applyAlignment="1"/>
    <xf numFmtId="174" fontId="20" fillId="0" borderId="6" xfId="4" applyNumberFormat="1" applyFont="1" applyFill="1" applyBorder="1" applyAlignment="1"/>
    <xf numFmtId="10" fontId="20" fillId="0" borderId="6" xfId="4" applyNumberFormat="1" applyFont="1" applyFill="1" applyBorder="1" applyAlignment="1"/>
    <xf numFmtId="183" fontId="20" fillId="0" borderId="6" xfId="1" applyNumberFormat="1" applyFont="1" applyFill="1" applyBorder="1" applyAlignment="1"/>
    <xf numFmtId="166" fontId="20" fillId="0" borderId="6" xfId="2" applyNumberFormat="1" applyFont="1" applyFill="1" applyBorder="1" applyAlignment="1"/>
    <xf numFmtId="38" fontId="20" fillId="0" borderId="0" xfId="80" applyNumberFormat="1" applyFont="1" applyFill="1" applyBorder="1" applyAlignment="1">
      <alignment horizontal="right"/>
    </xf>
    <xf numFmtId="38" fontId="24" fillId="0" borderId="2" xfId="0" applyNumberFormat="1" applyFont="1" applyFill="1" applyBorder="1" applyAlignment="1">
      <alignment horizontal="right"/>
    </xf>
    <xf numFmtId="38" fontId="24" fillId="0" borderId="25" xfId="0" applyNumberFormat="1" applyFont="1" applyFill="1" applyBorder="1" applyAlignment="1">
      <alignment horizontal="right"/>
    </xf>
    <xf numFmtId="38" fontId="22" fillId="0" borderId="19" xfId="0" applyNumberFormat="1" applyFont="1" applyFill="1" applyBorder="1" applyAlignment="1">
      <alignment horizontal="center" vertical="center"/>
    </xf>
    <xf numFmtId="165" fontId="20" fillId="0" borderId="2" xfId="0" applyNumberFormat="1" applyFont="1" applyFill="1" applyBorder="1" applyAlignment="1">
      <alignment horizontal="right"/>
    </xf>
    <xf numFmtId="166" fontId="20" fillId="0" borderId="2" xfId="0" applyNumberFormat="1" applyFont="1" applyFill="1" applyBorder="1" applyAlignment="1">
      <alignment horizontal="right"/>
    </xf>
    <xf numFmtId="165" fontId="20" fillId="0" borderId="25" xfId="0" applyNumberFormat="1" applyFont="1" applyFill="1" applyBorder="1" applyAlignment="1">
      <alignment horizontal="right"/>
    </xf>
    <xf numFmtId="166" fontId="20" fillId="0" borderId="25" xfId="0" applyNumberFormat="1" applyFont="1" applyFill="1" applyBorder="1" applyAlignment="1">
      <alignment horizontal="right"/>
    </xf>
    <xf numFmtId="40" fontId="20" fillId="0" borderId="0" xfId="0" applyNumberFormat="1" applyFont="1" applyFill="1" applyBorder="1" applyAlignment="1">
      <alignment horizontal="right"/>
    </xf>
    <xf numFmtId="180" fontId="20" fillId="0" borderId="0" xfId="0" applyNumberFormat="1" applyFont="1" applyFill="1" applyBorder="1" applyAlignment="1">
      <alignment horizontal="right"/>
    </xf>
    <xf numFmtId="183" fontId="20" fillId="0" borderId="0" xfId="0" applyNumberFormat="1" applyFont="1" applyFill="1" applyBorder="1" applyAlignment="1">
      <alignment horizontal="right"/>
    </xf>
    <xf numFmtId="165" fontId="20" fillId="0" borderId="0" xfId="0" applyNumberFormat="1" applyFont="1" applyFill="1" applyBorder="1" applyAlignment="1">
      <alignment horizontal="right"/>
    </xf>
    <xf numFmtId="166" fontId="20" fillId="0" borderId="0" xfId="0" applyNumberFormat="1" applyFont="1" applyFill="1" applyBorder="1" applyAlignment="1">
      <alignment horizontal="right"/>
    </xf>
    <xf numFmtId="38" fontId="20" fillId="0" borderId="19" xfId="0" applyNumberFormat="1" applyFont="1" applyFill="1" applyBorder="1" applyAlignment="1">
      <alignment horizontal="right"/>
    </xf>
    <xf numFmtId="0" fontId="17" fillId="0" borderId="0" xfId="0" applyFont="1" applyFill="1" applyAlignment="1">
      <alignment horizontal="center"/>
    </xf>
    <xf numFmtId="0" fontId="17" fillId="0" borderId="0" xfId="0" applyFont="1" applyFill="1"/>
    <xf numFmtId="10" fontId="17" fillId="0" borderId="0" xfId="0" applyNumberFormat="1" applyFont="1" applyFill="1"/>
    <xf numFmtId="0" fontId="16" fillId="0" borderId="0" xfId="0" applyFont="1" applyFill="1"/>
    <xf numFmtId="0" fontId="17" fillId="0" borderId="0" xfId="0" applyFont="1" applyFill="1" applyAlignment="1">
      <alignment horizontal="left"/>
    </xf>
    <xf numFmtId="167" fontId="17" fillId="0" borderId="0" xfId="96" applyFont="1" applyFill="1"/>
    <xf numFmtId="173" fontId="17" fillId="0" borderId="0" xfId="0" applyNumberFormat="1" applyFont="1" applyFill="1" applyAlignment="1">
      <alignment horizontal="center"/>
    </xf>
    <xf numFmtId="176" fontId="17" fillId="0" borderId="0" xfId="2" applyNumberFormat="1" applyFont="1" applyFill="1" applyAlignment="1">
      <alignment horizontal="center"/>
    </xf>
    <xf numFmtId="176" fontId="17" fillId="0" borderId="0" xfId="0" applyNumberFormat="1" applyFont="1" applyFill="1"/>
    <xf numFmtId="171" fontId="17" fillId="0" borderId="0" xfId="0" applyNumberFormat="1" applyFont="1" applyFill="1" applyAlignment="1">
      <alignment horizontal="right"/>
    </xf>
    <xf numFmtId="173" fontId="17" fillId="0" borderId="0" xfId="0" applyNumberFormat="1" applyFont="1" applyFill="1"/>
    <xf numFmtId="176" fontId="17" fillId="0" borderId="0" xfId="2" applyNumberFormat="1" applyFont="1" applyFill="1" applyBorder="1" applyProtection="1">
      <protection locked="0"/>
    </xf>
    <xf numFmtId="166" fontId="17" fillId="0" borderId="0" xfId="0" applyNumberFormat="1" applyFont="1" applyFill="1"/>
    <xf numFmtId="175" fontId="16" fillId="0" borderId="0" xfId="0" applyNumberFormat="1" applyFont="1" applyFill="1"/>
    <xf numFmtId="2" fontId="16" fillId="0" borderId="0" xfId="0" applyNumberFormat="1" applyFont="1" applyFill="1" applyAlignment="1">
      <alignment horizontal="center"/>
    </xf>
    <xf numFmtId="2" fontId="17" fillId="0" borderId="0" xfId="0" applyNumberFormat="1" applyFont="1" applyFill="1"/>
    <xf numFmtId="171" fontId="17" fillId="0" borderId="0" xfId="0" applyNumberFormat="1" applyFont="1" applyFill="1"/>
    <xf numFmtId="2" fontId="16" fillId="0" borderId="0" xfId="0" applyNumberFormat="1" applyFont="1" applyFill="1"/>
    <xf numFmtId="176" fontId="17" fillId="0" borderId="0" xfId="2" applyNumberFormat="1" applyFont="1" applyFill="1" applyBorder="1"/>
    <xf numFmtId="172" fontId="17" fillId="0" borderId="0" xfId="0" applyNumberFormat="1" applyFont="1" applyFill="1"/>
    <xf numFmtId="168" fontId="17" fillId="0" borderId="0" xfId="0" applyNumberFormat="1" applyFont="1" applyFill="1"/>
    <xf numFmtId="168" fontId="17" fillId="0" borderId="0" xfId="2" applyFont="1" applyFill="1"/>
    <xf numFmtId="177" fontId="17" fillId="0" borderId="0" xfId="0" applyNumberFormat="1" applyFont="1" applyFill="1" applyAlignment="1">
      <alignment horizontal="center"/>
    </xf>
    <xf numFmtId="166" fontId="16" fillId="0" borderId="0" xfId="0" applyNumberFormat="1" applyFont="1" applyFill="1"/>
    <xf numFmtId="176" fontId="17" fillId="0" borderId="0" xfId="2" applyNumberFormat="1" applyFont="1" applyFill="1"/>
    <xf numFmtId="176" fontId="16" fillId="0" borderId="0" xfId="0" applyNumberFormat="1" applyFont="1" applyFill="1"/>
    <xf numFmtId="173" fontId="16" fillId="0" borderId="0" xfId="0" applyNumberFormat="1" applyFont="1" applyFill="1"/>
    <xf numFmtId="178" fontId="20" fillId="0" borderId="0" xfId="96" applyNumberFormat="1" applyFont="1" applyFill="1"/>
    <xf numFmtId="0" fontId="20" fillId="0" borderId="0" xfId="0" applyFont="1" applyFill="1" applyAlignment="1">
      <alignment horizontal="right"/>
    </xf>
    <xf numFmtId="0" fontId="20" fillId="0" borderId="26" xfId="0" applyFont="1" applyFill="1" applyBorder="1"/>
    <xf numFmtId="0" fontId="20" fillId="0" borderId="27" xfId="0" applyFont="1" applyFill="1" applyBorder="1"/>
    <xf numFmtId="179" fontId="20" fillId="0" borderId="27" xfId="96" applyNumberFormat="1" applyFont="1" applyFill="1" applyBorder="1"/>
    <xf numFmtId="0" fontId="20" fillId="0" borderId="28" xfId="0" applyFont="1" applyFill="1" applyBorder="1"/>
    <xf numFmtId="0" fontId="20" fillId="0" borderId="30" xfId="0" applyFont="1" applyFill="1" applyBorder="1"/>
    <xf numFmtId="0" fontId="20" fillId="0" borderId="0" xfId="0" applyFont="1" applyFill="1" applyBorder="1"/>
    <xf numFmtId="179" fontId="20" fillId="0" borderId="0" xfId="96" applyNumberFormat="1" applyFont="1" applyFill="1" applyBorder="1"/>
    <xf numFmtId="0" fontId="20" fillId="0" borderId="19" xfId="0" applyFont="1" applyFill="1" applyBorder="1"/>
    <xf numFmtId="0" fontId="20" fillId="0" borderId="31" xfId="0" applyFont="1" applyFill="1" applyBorder="1"/>
    <xf numFmtId="0" fontId="20" fillId="0" borderId="7" xfId="0" applyFont="1" applyFill="1" applyBorder="1"/>
    <xf numFmtId="179" fontId="20" fillId="0" borderId="7" xfId="96" applyNumberFormat="1" applyFont="1" applyFill="1" applyBorder="1"/>
    <xf numFmtId="0" fontId="20" fillId="0" borderId="22" xfId="0" applyFont="1" applyFill="1" applyBorder="1"/>
    <xf numFmtId="2" fontId="20" fillId="0" borderId="0" xfId="0" applyNumberFormat="1" applyFont="1" applyFill="1"/>
    <xf numFmtId="0" fontId="20" fillId="0" borderId="29" xfId="0" applyFont="1" applyFill="1" applyBorder="1"/>
    <xf numFmtId="0" fontId="20" fillId="0" borderId="1" xfId="0" applyFont="1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174" fontId="20" fillId="0" borderId="0" xfId="4" applyNumberFormat="1" applyFont="1" applyFill="1"/>
    <xf numFmtId="179" fontId="24" fillId="0" borderId="0" xfId="96" applyNumberFormat="1" applyFont="1" applyFill="1" applyAlignment="1">
      <alignment horizontal="center"/>
    </xf>
    <xf numFmtId="179" fontId="20" fillId="0" borderId="1" xfId="96" applyNumberFormat="1" applyFont="1" applyFill="1" applyBorder="1" applyAlignment="1">
      <alignment horizontal="center"/>
    </xf>
    <xf numFmtId="2" fontId="20" fillId="0" borderId="25" xfId="0" applyNumberFormat="1" applyFont="1" applyFill="1" applyBorder="1" applyAlignment="1">
      <alignment horizontal="center"/>
    </xf>
    <xf numFmtId="181" fontId="20" fillId="0" borderId="0" xfId="0" applyNumberFormat="1" applyFont="1" applyFill="1"/>
    <xf numFmtId="179" fontId="17" fillId="0" borderId="0" xfId="1" applyNumberFormat="1" applyFont="1" applyFill="1"/>
    <xf numFmtId="178" fontId="17" fillId="0" borderId="0" xfId="1" applyNumberFormat="1" applyFont="1" applyFill="1"/>
    <xf numFmtId="0" fontId="20" fillId="0" borderId="25" xfId="0" applyFont="1" applyFill="1" applyBorder="1" applyAlignment="1">
      <alignment horizontal="center" vertical="center" wrapText="1"/>
    </xf>
    <xf numFmtId="179" fontId="20" fillId="0" borderId="25" xfId="96" applyNumberFormat="1" applyFont="1" applyFill="1" applyBorder="1" applyAlignment="1">
      <alignment horizontal="center" vertical="center" wrapText="1"/>
    </xf>
    <xf numFmtId="178" fontId="20" fillId="0" borderId="25" xfId="96" applyNumberFormat="1" applyFont="1" applyFill="1" applyBorder="1" applyAlignment="1">
      <alignment horizontal="center" vertical="center" wrapText="1"/>
    </xf>
    <xf numFmtId="0" fontId="20" fillId="0" borderId="1" xfId="0" applyFont="1" applyFill="1" applyBorder="1"/>
    <xf numFmtId="10" fontId="20" fillId="0" borderId="21" xfId="0" applyNumberFormat="1" applyFont="1" applyFill="1" applyBorder="1"/>
    <xf numFmtId="49" fontId="20" fillId="0" borderId="0" xfId="0" applyNumberFormat="1" applyFont="1" applyFill="1" applyBorder="1" applyAlignment="1">
      <alignment horizontal="center"/>
    </xf>
    <xf numFmtId="2" fontId="20" fillId="0" borderId="0" xfId="0" applyNumberFormat="1" applyFont="1" applyFill="1" applyBorder="1" applyAlignment="1">
      <alignment horizontal="center"/>
    </xf>
    <xf numFmtId="10" fontId="20" fillId="0" borderId="25" xfId="0" applyNumberFormat="1" applyFont="1" applyFill="1" applyBorder="1"/>
    <xf numFmtId="0" fontId="26" fillId="0" borderId="0" xfId="0" applyFont="1" applyFill="1" applyAlignment="1"/>
    <xf numFmtId="38" fontId="20" fillId="0" borderId="0" xfId="2" applyNumberFormat="1" applyFont="1" applyFill="1" applyAlignment="1">
      <alignment horizontal="center"/>
    </xf>
    <xf numFmtId="165" fontId="20" fillId="0" borderId="0" xfId="1" applyNumberFormat="1" applyFont="1" applyFill="1" applyAlignment="1">
      <alignment horizontal="center"/>
    </xf>
    <xf numFmtId="38" fontId="20" fillId="0" borderId="0" xfId="1" applyNumberFormat="1" applyFont="1" applyFill="1" applyAlignment="1">
      <alignment horizontal="center"/>
    </xf>
    <xf numFmtId="0" fontId="20" fillId="0" borderId="4" xfId="0" applyFont="1" applyFill="1" applyBorder="1" applyAlignment="1">
      <alignment horizontal="center"/>
    </xf>
    <xf numFmtId="165" fontId="20" fillId="0" borderId="5" xfId="2" applyNumberFormat="1" applyFont="1" applyFill="1" applyBorder="1" applyAlignment="1">
      <alignment horizontal="center"/>
    </xf>
    <xf numFmtId="165" fontId="20" fillId="0" borderId="17" xfId="2" applyNumberFormat="1" applyFont="1" applyFill="1" applyBorder="1" applyAlignment="1"/>
    <xf numFmtId="165" fontId="20" fillId="0" borderId="9" xfId="2" applyNumberFormat="1" applyFont="1" applyFill="1" applyBorder="1" applyAlignment="1"/>
    <xf numFmtId="165" fontId="20" fillId="0" borderId="10" xfId="2" applyNumberFormat="1" applyFont="1" applyFill="1" applyBorder="1" applyAlignment="1"/>
    <xf numFmtId="170" fontId="20" fillId="0" borderId="12" xfId="1" applyNumberFormat="1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 wrapText="1"/>
    </xf>
    <xf numFmtId="38" fontId="20" fillId="0" borderId="12" xfId="1" applyNumberFormat="1" applyFont="1" applyFill="1" applyBorder="1" applyAlignment="1">
      <alignment horizontal="center" wrapText="1"/>
    </xf>
    <xf numFmtId="40" fontId="20" fillId="0" borderId="12" xfId="1" applyNumberFormat="1" applyFont="1" applyFill="1" applyBorder="1" applyAlignment="1">
      <alignment horizontal="center" wrapText="1"/>
    </xf>
    <xf numFmtId="174" fontId="20" fillId="0" borderId="12" xfId="4" applyNumberFormat="1" applyFont="1" applyFill="1" applyBorder="1" applyAlignment="1">
      <alignment horizontal="center" wrapText="1"/>
    </xf>
    <xf numFmtId="10" fontId="20" fillId="0" borderId="12" xfId="4" applyNumberFormat="1" applyFont="1" applyFill="1" applyBorder="1" applyAlignment="1">
      <alignment horizontal="center" wrapText="1"/>
    </xf>
    <xf numFmtId="40" fontId="20" fillId="0" borderId="16" xfId="1" applyNumberFormat="1" applyFont="1" applyFill="1" applyBorder="1" applyAlignment="1">
      <alignment horizontal="center" wrapText="1"/>
    </xf>
    <xf numFmtId="38" fontId="20" fillId="0" borderId="18" xfId="1" applyNumberFormat="1" applyFont="1" applyFill="1" applyBorder="1" applyAlignment="1">
      <alignment horizontal="center" wrapText="1"/>
    </xf>
    <xf numFmtId="38" fontId="20" fillId="0" borderId="14" xfId="1" applyNumberFormat="1" applyFont="1" applyFill="1" applyBorder="1" applyAlignment="1">
      <alignment horizontal="center" wrapText="1"/>
    </xf>
    <xf numFmtId="183" fontId="20" fillId="0" borderId="16" xfId="1" applyNumberFormat="1" applyFont="1" applyFill="1" applyBorder="1" applyAlignment="1">
      <alignment horizontal="center" wrapText="1"/>
    </xf>
    <xf numFmtId="167" fontId="20" fillId="0" borderId="32" xfId="1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165" fontId="20" fillId="0" borderId="12" xfId="2" applyNumberFormat="1" applyFont="1" applyFill="1" applyBorder="1" applyAlignment="1">
      <alignment horizontal="center"/>
    </xf>
    <xf numFmtId="165" fontId="20" fillId="0" borderId="12" xfId="2" applyNumberFormat="1" applyFont="1" applyFill="1" applyBorder="1" applyAlignment="1">
      <alignment horizontal="center" wrapText="1"/>
    </xf>
    <xf numFmtId="166" fontId="20" fillId="0" borderId="12" xfId="2" applyNumberFormat="1" applyFont="1" applyFill="1" applyBorder="1" applyAlignment="1">
      <alignment horizontal="center" wrapText="1"/>
    </xf>
    <xf numFmtId="165" fontId="20" fillId="0" borderId="16" xfId="2" applyNumberFormat="1" applyFont="1" applyFill="1" applyBorder="1" applyAlignment="1">
      <alignment horizontal="center" wrapText="1"/>
    </xf>
    <xf numFmtId="165" fontId="20" fillId="0" borderId="14" xfId="2" applyNumberFormat="1" applyFont="1" applyFill="1" applyBorder="1" applyAlignment="1">
      <alignment horizontal="center"/>
    </xf>
    <xf numFmtId="38" fontId="20" fillId="0" borderId="32" xfId="1" applyNumberFormat="1" applyFont="1" applyFill="1" applyBorder="1" applyAlignment="1">
      <alignment horizontal="center" wrapText="1"/>
    </xf>
    <xf numFmtId="0" fontId="20" fillId="0" borderId="11" xfId="0" applyFont="1" applyFill="1" applyBorder="1" applyAlignment="1"/>
    <xf numFmtId="38" fontId="20" fillId="0" borderId="11" xfId="1" applyNumberFormat="1" applyFont="1" applyFill="1" applyBorder="1" applyAlignment="1"/>
    <xf numFmtId="165" fontId="20" fillId="0" borderId="11" xfId="1" applyNumberFormat="1" applyFont="1" applyFill="1" applyBorder="1" applyAlignment="1"/>
    <xf numFmtId="165" fontId="20" fillId="0" borderId="11" xfId="2" applyNumberFormat="1" applyFont="1" applyFill="1" applyBorder="1" applyAlignment="1"/>
    <xf numFmtId="38" fontId="20" fillId="0" borderId="15" xfId="1" applyNumberFormat="1" applyFont="1" applyFill="1" applyBorder="1" applyAlignment="1"/>
    <xf numFmtId="166" fontId="20" fillId="0" borderId="11" xfId="1" applyNumberFormat="1" applyFont="1" applyFill="1" applyBorder="1" applyAlignment="1"/>
    <xf numFmtId="165" fontId="20" fillId="0" borderId="0" xfId="1" applyNumberFormat="1" applyFont="1" applyFill="1" applyBorder="1" applyAlignment="1"/>
    <xf numFmtId="38" fontId="20" fillId="0" borderId="0" xfId="4" applyNumberFormat="1" applyFont="1" applyFill="1" applyAlignment="1"/>
    <xf numFmtId="40" fontId="20" fillId="0" borderId="2" xfId="1" applyNumberFormat="1" applyFont="1" applyFill="1" applyBorder="1" applyAlignment="1">
      <alignment horizontal="right"/>
    </xf>
    <xf numFmtId="10" fontId="20" fillId="0" borderId="2" xfId="0" applyNumberFormat="1" applyFont="1" applyFill="1" applyBorder="1" applyAlignment="1">
      <alignment horizontal="right"/>
    </xf>
    <xf numFmtId="165" fontId="20" fillId="0" borderId="1" xfId="2" applyNumberFormat="1" applyFont="1" applyFill="1" applyBorder="1" applyAlignment="1">
      <alignment horizontal="right"/>
    </xf>
    <xf numFmtId="0" fontId="20" fillId="0" borderId="0" xfId="75" applyFont="1" applyFill="1" applyBorder="1" applyAlignment="1">
      <alignment horizontal="left"/>
    </xf>
    <xf numFmtId="38" fontId="20" fillId="0" borderId="0" xfId="75" applyNumberFormat="1" applyFont="1" applyFill="1" applyBorder="1" applyAlignment="1">
      <alignment horizontal="right"/>
    </xf>
    <xf numFmtId="40" fontId="20" fillId="0" borderId="0" xfId="75" applyNumberFormat="1" applyFont="1" applyFill="1" applyBorder="1" applyAlignment="1">
      <alignment horizontal="right"/>
    </xf>
    <xf numFmtId="180" fontId="20" fillId="0" borderId="0" xfId="75" applyNumberFormat="1" applyFont="1" applyFill="1" applyBorder="1" applyAlignment="1">
      <alignment horizontal="right"/>
    </xf>
    <xf numFmtId="183" fontId="20" fillId="0" borderId="0" xfId="75" applyNumberFormat="1" applyFont="1" applyFill="1" applyBorder="1" applyAlignment="1">
      <alignment horizontal="right"/>
    </xf>
    <xf numFmtId="0" fontId="20" fillId="0" borderId="0" xfId="75" applyFont="1" applyFill="1" applyBorder="1" applyAlignment="1">
      <alignment horizontal="right"/>
    </xf>
    <xf numFmtId="0" fontId="20" fillId="0" borderId="0" xfId="75" applyFont="1" applyFill="1" applyBorder="1" applyAlignment="1">
      <alignment horizontal="center"/>
    </xf>
    <xf numFmtId="10" fontId="20" fillId="0" borderId="0" xfId="0" applyNumberFormat="1" applyFont="1" applyFill="1" applyBorder="1" applyAlignment="1">
      <alignment horizontal="right"/>
    </xf>
    <xf numFmtId="1" fontId="20" fillId="0" borderId="0" xfId="0" applyNumberFormat="1" applyFont="1" applyFill="1" applyBorder="1" applyAlignment="1">
      <alignment horizontal="right"/>
    </xf>
    <xf numFmtId="167" fontId="20" fillId="0" borderId="2" xfId="1" applyFont="1" applyFill="1" applyBorder="1" applyAlignment="1">
      <alignment horizontal="left"/>
    </xf>
    <xf numFmtId="167" fontId="20" fillId="0" borderId="2" xfId="1" applyFont="1" applyFill="1" applyBorder="1" applyAlignment="1">
      <alignment horizontal="center"/>
    </xf>
    <xf numFmtId="167" fontId="20" fillId="0" borderId="2" xfId="1" applyFont="1" applyFill="1" applyBorder="1" applyAlignment="1">
      <alignment horizontal="right"/>
    </xf>
    <xf numFmtId="183" fontId="20" fillId="0" borderId="2" xfId="1" applyNumberFormat="1" applyFont="1" applyFill="1" applyBorder="1" applyAlignment="1">
      <alignment horizontal="right"/>
    </xf>
    <xf numFmtId="165" fontId="20" fillId="0" borderId="2" xfId="1" applyNumberFormat="1" applyFont="1" applyFill="1" applyBorder="1" applyAlignment="1">
      <alignment horizontal="right"/>
    </xf>
    <xf numFmtId="0" fontId="20" fillId="0" borderId="11" xfId="0" applyFont="1" applyFill="1" applyBorder="1" applyAlignment="1">
      <alignment horizontal="left"/>
    </xf>
    <xf numFmtId="38" fontId="20" fillId="0" borderId="11" xfId="0" applyNumberFormat="1" applyFont="1" applyFill="1" applyBorder="1" applyAlignment="1">
      <alignment horizontal="right"/>
    </xf>
    <xf numFmtId="40" fontId="20" fillId="0" borderId="11" xfId="1" applyNumberFormat="1" applyFont="1" applyFill="1" applyBorder="1" applyAlignment="1">
      <alignment horizontal="right"/>
    </xf>
    <xf numFmtId="180" fontId="20" fillId="0" borderId="11" xfId="0" applyNumberFormat="1" applyFont="1" applyFill="1" applyBorder="1" applyAlignment="1">
      <alignment horizontal="right"/>
    </xf>
    <xf numFmtId="10" fontId="20" fillId="0" borderId="11" xfId="0" applyNumberFormat="1" applyFont="1" applyFill="1" applyBorder="1" applyAlignment="1">
      <alignment horizontal="right"/>
    </xf>
    <xf numFmtId="38" fontId="20" fillId="0" borderId="11" xfId="1" applyNumberFormat="1" applyFont="1" applyFill="1" applyBorder="1" applyAlignment="1">
      <alignment horizontal="right"/>
    </xf>
    <xf numFmtId="40" fontId="20" fillId="0" borderId="11" xfId="0" applyNumberFormat="1" applyFont="1" applyFill="1" applyBorder="1" applyAlignment="1">
      <alignment horizontal="right"/>
    </xf>
    <xf numFmtId="183" fontId="20" fillId="0" borderId="11" xfId="0" applyNumberFormat="1" applyFont="1" applyFill="1" applyBorder="1" applyAlignment="1">
      <alignment horizontal="right"/>
    </xf>
    <xf numFmtId="0" fontId="20" fillId="0" borderId="11" xfId="0" applyFont="1" applyFill="1" applyBorder="1" applyAlignment="1">
      <alignment horizontal="right"/>
    </xf>
    <xf numFmtId="165" fontId="20" fillId="0" borderId="11" xfId="2" applyNumberFormat="1" applyFont="1" applyFill="1" applyBorder="1" applyAlignment="1">
      <alignment horizontal="right"/>
    </xf>
    <xf numFmtId="166" fontId="20" fillId="0" borderId="11" xfId="2" applyNumberFormat="1" applyFont="1" applyFill="1" applyBorder="1" applyAlignment="1">
      <alignment horizontal="right"/>
    </xf>
    <xf numFmtId="38" fontId="20" fillId="0" borderId="15" xfId="1" applyNumberFormat="1" applyFont="1" applyFill="1" applyBorder="1" applyAlignment="1">
      <alignment horizontal="right"/>
    </xf>
    <xf numFmtId="38" fontId="20" fillId="0" borderId="29" xfId="1" applyNumberFormat="1" applyFont="1" applyFill="1" applyBorder="1" applyAlignment="1"/>
    <xf numFmtId="38" fontId="20" fillId="0" borderId="19" xfId="2" applyNumberFormat="1" applyFont="1" applyFill="1" applyBorder="1" applyAlignment="1"/>
    <xf numFmtId="38" fontId="20" fillId="0" borderId="25" xfId="10" applyNumberFormat="1" applyFont="1" applyFill="1" applyBorder="1" applyAlignment="1">
      <alignment horizontal="right"/>
    </xf>
    <xf numFmtId="165" fontId="20" fillId="0" borderId="21" xfId="2" applyNumberFormat="1" applyFont="1" applyFill="1" applyBorder="1" applyAlignment="1">
      <alignment horizontal="right"/>
    </xf>
    <xf numFmtId="38" fontId="20" fillId="0" borderId="21" xfId="1" applyNumberFormat="1" applyFont="1" applyFill="1" applyBorder="1" applyAlignment="1">
      <alignment horizontal="right"/>
    </xf>
    <xf numFmtId="167" fontId="20" fillId="0" borderId="11" xfId="1" applyFont="1" applyFill="1" applyBorder="1" applyAlignment="1">
      <alignment horizontal="center"/>
    </xf>
    <xf numFmtId="0" fontId="20" fillId="0" borderId="7" xfId="0" applyFont="1" applyFill="1" applyBorder="1" applyAlignment="1">
      <alignment horizontal="left"/>
    </xf>
    <xf numFmtId="0" fontId="20" fillId="0" borderId="8" xfId="0" applyFont="1" applyFill="1" applyBorder="1" applyAlignment="1">
      <alignment horizontal="left"/>
    </xf>
    <xf numFmtId="38" fontId="20" fillId="0" borderId="8" xfId="1" applyNumberFormat="1" applyFont="1" applyFill="1" applyBorder="1" applyAlignment="1"/>
    <xf numFmtId="165" fontId="20" fillId="0" borderId="8" xfId="1" applyNumberFormat="1" applyFont="1" applyFill="1" applyBorder="1" applyAlignment="1"/>
    <xf numFmtId="165" fontId="20" fillId="0" borderId="8" xfId="2" applyNumberFormat="1" applyFont="1" applyFill="1" applyBorder="1" applyAlignment="1"/>
    <xf numFmtId="40" fontId="20" fillId="0" borderId="0" xfId="4" applyNumberFormat="1" applyFont="1" applyFill="1" applyAlignment="1"/>
    <xf numFmtId="183" fontId="20" fillId="0" borderId="0" xfId="4" applyNumberFormat="1" applyFont="1" applyFill="1" applyBorder="1" applyAlignment="1"/>
    <xf numFmtId="38" fontId="20" fillId="0" borderId="0" xfId="4" applyNumberFormat="1" applyFont="1" applyFill="1"/>
    <xf numFmtId="38" fontId="20" fillId="0" borderId="0" xfId="0" applyNumberFormat="1" applyFont="1" applyFill="1"/>
    <xf numFmtId="174" fontId="20" fillId="0" borderId="19" xfId="4" applyNumberFormat="1" applyFont="1" applyFill="1" applyBorder="1" applyAlignment="1">
      <alignment horizontal="right"/>
    </xf>
    <xf numFmtId="170" fontId="20" fillId="0" borderId="0" xfId="1" applyNumberFormat="1" applyFont="1" applyFill="1" applyAlignment="1">
      <alignment horizontal="center"/>
    </xf>
    <xf numFmtId="38" fontId="20" fillId="0" borderId="23" xfId="1" applyNumberFormat="1" applyFont="1" applyFill="1" applyBorder="1" applyAlignment="1"/>
    <xf numFmtId="0" fontId="20" fillId="0" borderId="13" xfId="0" applyFont="1" applyFill="1" applyBorder="1" applyAlignment="1">
      <alignment horizontal="left"/>
    </xf>
    <xf numFmtId="0" fontId="20" fillId="0" borderId="6" xfId="0" applyFont="1" applyFill="1" applyBorder="1" applyAlignment="1">
      <alignment horizontal="left"/>
    </xf>
    <xf numFmtId="38" fontId="20" fillId="0" borderId="6" xfId="1" applyNumberFormat="1" applyFont="1" applyFill="1" applyBorder="1" applyAlignment="1"/>
    <xf numFmtId="165" fontId="20" fillId="0" borderId="6" xfId="1" applyNumberFormat="1" applyFont="1" applyFill="1" applyBorder="1" applyAlignment="1"/>
    <xf numFmtId="165" fontId="20" fillId="0" borderId="6" xfId="2" applyNumberFormat="1" applyFont="1" applyFill="1" applyBorder="1" applyAlignment="1"/>
    <xf numFmtId="164" fontId="20" fillId="0" borderId="6" xfId="2" applyNumberFormat="1" applyFont="1" applyFill="1" applyBorder="1" applyAlignment="1"/>
    <xf numFmtId="166" fontId="20" fillId="0" borderId="6" xfId="1" applyNumberFormat="1" applyFont="1" applyFill="1" applyBorder="1" applyAlignment="1"/>
  </cellXfs>
  <cellStyles count="99">
    <cellStyle name="20% - Accent5 2 2" xfId="90"/>
    <cellStyle name="Comma" xfId="1" builtinId="3"/>
    <cellStyle name="Comma [0]" xfId="96" builtinId="6"/>
    <cellStyle name="Comma 2" xfId="10"/>
    <cellStyle name="Comma 2 2" xfId="44"/>
    <cellStyle name="Comma 25" xfId="91"/>
    <cellStyle name="Comma 3" xfId="8"/>
    <cellStyle name="Comma 4" xfId="89"/>
    <cellStyle name="Currency" xfId="2" builtinId="4"/>
    <cellStyle name="Currency 2" xfId="11"/>
    <cellStyle name="Currency 2 2" xfId="45"/>
    <cellStyle name="Currency 3" xfId="6"/>
    <cellStyle name="Currency 4" xfId="87"/>
    <cellStyle name="Normal" xfId="0" builtinId="0"/>
    <cellStyle name="Normal 10" xfId="18"/>
    <cellStyle name="Normal 10 2" xfId="52"/>
    <cellStyle name="Normal 11" xfId="27"/>
    <cellStyle name="Normal 11 2" xfId="61"/>
    <cellStyle name="Normal 12" xfId="28"/>
    <cellStyle name="Normal 12 2" xfId="62"/>
    <cellStyle name="Normal 13" xfId="19"/>
    <cellStyle name="Normal 13 2" xfId="53"/>
    <cellStyle name="Normal 14" xfId="20"/>
    <cellStyle name="Normal 14 2" xfId="54"/>
    <cellStyle name="Normal 15" xfId="21"/>
    <cellStyle name="Normal 15 2" xfId="55"/>
    <cellStyle name="Normal 154" xfId="92"/>
    <cellStyle name="Normal 16" xfId="22"/>
    <cellStyle name="Normal 16 2" xfId="56"/>
    <cellStyle name="Normal 17" xfId="23"/>
    <cellStyle name="Normal 17 2" xfId="57"/>
    <cellStyle name="Normal 18" xfId="24"/>
    <cellStyle name="Normal 18 2" xfId="58"/>
    <cellStyle name="Normal 19" xfId="25"/>
    <cellStyle name="Normal 19 2" xfId="59"/>
    <cellStyle name="Normal 2" xfId="7"/>
    <cellStyle name="Normal 2 112" xfId="93"/>
    <cellStyle name="Normal 2 2" xfId="42"/>
    <cellStyle name="Normal 2 2 2" xfId="43"/>
    <cellStyle name="Normal 20" xfId="29"/>
    <cellStyle name="Normal 20 2" xfId="63"/>
    <cellStyle name="Normal 21" xfId="30"/>
    <cellStyle name="Normal 21 2" xfId="64"/>
    <cellStyle name="Normal 22" xfId="31"/>
    <cellStyle name="Normal 22 2" xfId="65"/>
    <cellStyle name="Normal 23" xfId="32"/>
    <cellStyle name="Normal 23 2" xfId="66"/>
    <cellStyle name="Normal 24" xfId="33"/>
    <cellStyle name="Normal 24 2" xfId="67"/>
    <cellStyle name="Normal 25" xfId="34"/>
    <cellStyle name="Normal 25 2" xfId="68"/>
    <cellStyle name="Normal 26" xfId="35"/>
    <cellStyle name="Normal 26 2" xfId="69"/>
    <cellStyle name="Normal 27" xfId="36"/>
    <cellStyle name="Normal 27 2" xfId="70"/>
    <cellStyle name="Normal 28" xfId="37"/>
    <cellStyle name="Normal 28 2" xfId="71"/>
    <cellStyle name="Normal 29" xfId="38"/>
    <cellStyle name="Normal 29 2" xfId="72"/>
    <cellStyle name="Normal 3" xfId="5"/>
    <cellStyle name="Normal 30" xfId="39"/>
    <cellStyle name="Normal 30 2" xfId="73"/>
    <cellStyle name="Normal 31" xfId="40"/>
    <cellStyle name="Normal 31 2" xfId="74"/>
    <cellStyle name="Normal 32" xfId="41"/>
    <cellStyle name="Normal 33" xfId="75"/>
    <cellStyle name="Normal 33 2" xfId="97"/>
    <cellStyle name="Normal 34" xfId="76"/>
    <cellStyle name="Normal 35" xfId="77"/>
    <cellStyle name="Normal 36" xfId="78"/>
    <cellStyle name="Normal 37" xfId="79"/>
    <cellStyle name="Normal 38" xfId="80"/>
    <cellStyle name="Normal 38 2" xfId="98"/>
    <cellStyle name="Normal 39" xfId="81"/>
    <cellStyle name="Normal 4" xfId="13"/>
    <cellStyle name="Normal 4 2" xfId="47"/>
    <cellStyle name="Normal 40" xfId="82"/>
    <cellStyle name="Normal 41" xfId="83"/>
    <cellStyle name="Normal 42" xfId="84"/>
    <cellStyle name="Normal 43" xfId="85"/>
    <cellStyle name="Normal 44" xfId="94"/>
    <cellStyle name="Normal 44 2" xfId="95"/>
    <cellStyle name="Normal 5" xfId="26"/>
    <cellStyle name="Normal 5 2" xfId="60"/>
    <cellStyle name="Normal 6" xfId="14"/>
    <cellStyle name="Normal 6 2" xfId="48"/>
    <cellStyle name="Normal 7" xfId="15"/>
    <cellStyle name="Normal 7 2" xfId="49"/>
    <cellStyle name="Normal 8" xfId="16"/>
    <cellStyle name="Normal 8 2" xfId="50"/>
    <cellStyle name="Normal 9" xfId="17"/>
    <cellStyle name="Normal 9 2" xfId="51"/>
    <cellStyle name="Normal_2009 DPA Final for SSM Spreadsheet" xfId="3"/>
    <cellStyle name="Note 2" xfId="86"/>
    <cellStyle name="Percent" xfId="4" builtinId="5"/>
    <cellStyle name="Percent 2" xfId="12"/>
    <cellStyle name="Percent 2 2" xfId="46"/>
    <cellStyle name="Percent 3" xfId="9"/>
    <cellStyle name="Percent 4" xfId="88"/>
  </cellStyles>
  <dxfs count="159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AEABF"/>
      <color rgb="FF9EB28F"/>
      <color rgb="FF244836"/>
      <color rgb="FF5E9CAE"/>
      <color rgb="FFCC9900"/>
      <color rgb="FF008000"/>
      <color rgb="FF0000FF"/>
      <color rgb="FFFFB612"/>
      <color rgb="FFFFC33C"/>
      <color rgb="FFCCD6C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ontoce\Local%20Settings\Temporary%20Internet%20Files\Content.Outlook\HIWTWCLM\2011%20TRC%20Calculator%20Version%203%200%20-%20TAPS%20ESK%20LI%20TAPS%20March%2015%20-%20145000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USERS\MRS\DSM\Avoided%20Gas%20Costs\DSM%20Marcus%20Wolters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criptive (2)"/>
      <sheetName val="Prescriptive"/>
      <sheetName val="Custom"/>
      <sheetName val="Discounted Svngs Expenses"/>
      <sheetName val="Avoided Costs 2011-2019"/>
      <sheetName val="Avoided Cost inputs"/>
    </sheetNames>
    <sheetDataSet>
      <sheetData sheetId="0">
        <row r="21">
          <cell r="B21">
            <v>0</v>
          </cell>
        </row>
      </sheetData>
      <sheetData sheetId="1">
        <row r="21">
          <cell r="B21">
            <v>0.93</v>
          </cell>
        </row>
      </sheetData>
      <sheetData sheetId="2"/>
      <sheetData sheetId="3"/>
      <sheetData sheetId="4">
        <row r="5">
          <cell r="B5">
            <v>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99 FT Forec. $$$"/>
      <sheetName val="Storage Anal."/>
      <sheetName val="Supply Costs"/>
      <sheetName val="Transportation Costs"/>
      <sheetName val="Storage Costs"/>
      <sheetName val="Demand Profiles"/>
      <sheetName val="Fiscal Summaries"/>
      <sheetName val="Demand Summaries"/>
      <sheetName val="Summary - Water Heating"/>
      <sheetName val="Summary - Space &amp; Water"/>
      <sheetName val="Summary - Industrial Process"/>
      <sheetName val="Summary - Space Heat"/>
      <sheetName val="Full Summary"/>
      <sheetName val="Hampton Methodologies"/>
      <sheetName val="Old Commodity Prices"/>
      <sheetName val="Commodity Prices"/>
      <sheetName val="Graphs"/>
      <sheetName val="General Lookups"/>
      <sheetName val="Source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C15">
            <v>2002</v>
          </cell>
          <cell r="D15">
            <v>1409036.2684210001</v>
          </cell>
          <cell r="E15">
            <v>12910.12</v>
          </cell>
          <cell r="F15">
            <v>1348564.4830369998</v>
          </cell>
          <cell r="G15">
            <v>12595.242</v>
          </cell>
          <cell r="H15">
            <v>60471.785384000279</v>
          </cell>
          <cell r="I15">
            <v>314.87800000000061</v>
          </cell>
          <cell r="J15">
            <v>192.04830246635257</v>
          </cell>
          <cell r="K15">
            <v>306.15492107853959</v>
          </cell>
          <cell r="L15">
            <v>144.74102319669493</v>
          </cell>
          <cell r="M15">
            <v>130.84169634185758</v>
          </cell>
        </row>
        <row r="16">
          <cell r="C16">
            <v>2003</v>
          </cell>
          <cell r="D16">
            <v>1671019.0741600001</v>
          </cell>
          <cell r="E16">
            <v>13781.969000000003</v>
          </cell>
          <cell r="F16">
            <v>1599981.9808519999</v>
          </cell>
          <cell r="G16">
            <v>13456.411000000002</v>
          </cell>
          <cell r="H16">
            <v>71037.093308000127</v>
          </cell>
          <cell r="I16">
            <v>325.5580000000009</v>
          </cell>
          <cell r="J16">
            <v>218.20103732053866</v>
          </cell>
          <cell r="K16">
            <v>248.95558149536228</v>
          </cell>
          <cell r="L16">
            <v>147.57015109466494</v>
          </cell>
          <cell r="M16">
            <v>138.15623023402878</v>
          </cell>
        </row>
        <row r="17">
          <cell r="C17">
            <v>2004</v>
          </cell>
          <cell r="D17">
            <v>1711191.7746370004</v>
          </cell>
          <cell r="E17">
            <v>14011.87</v>
          </cell>
          <cell r="F17">
            <v>1634021.7859520002</v>
          </cell>
          <cell r="G17">
            <v>13682.042000000001</v>
          </cell>
          <cell r="H17">
            <v>77169.988685000222</v>
          </cell>
          <cell r="I17">
            <v>329.82799999999952</v>
          </cell>
          <cell r="J17">
            <v>233.97039876845002</v>
          </cell>
          <cell r="K17">
            <v>241.72149289027686</v>
          </cell>
          <cell r="L17">
            <v>150.9777642400247</v>
          </cell>
          <cell r="M17">
            <v>146.7644305772231</v>
          </cell>
        </row>
        <row r="18">
          <cell r="C18">
            <v>2005</v>
          </cell>
          <cell r="D18">
            <v>1571967.498283</v>
          </cell>
          <cell r="E18">
            <v>14229.093999999999</v>
          </cell>
          <cell r="F18">
            <v>1489091.3719349999</v>
          </cell>
          <cell r="G18">
            <v>13895.360999999999</v>
          </cell>
          <cell r="H18">
            <v>82876.12634800002</v>
          </cell>
          <cell r="I18">
            <v>333.73300000000017</v>
          </cell>
          <cell r="J18">
            <v>248.33063061788908</v>
          </cell>
          <cell r="K18">
            <v>270.76291501857753</v>
          </cell>
          <cell r="L18">
            <v>150.15643802647429</v>
          </cell>
          <cell r="M18">
            <v>149.88906009244991</v>
          </cell>
        </row>
        <row r="19">
          <cell r="C19">
            <v>2006</v>
          </cell>
          <cell r="D19">
            <v>1589161.9068900002</v>
          </cell>
          <cell r="E19">
            <v>14446.529</v>
          </cell>
          <cell r="F19">
            <v>1509518.72994</v>
          </cell>
          <cell r="G19">
            <v>14108.726999999997</v>
          </cell>
          <cell r="H19">
            <v>79643.176950000226</v>
          </cell>
          <cell r="I19">
            <v>337.80200000000332</v>
          </cell>
          <cell r="J19">
            <v>235.76881412780105</v>
          </cell>
          <cell r="K19">
            <v>243.74611444980548</v>
          </cell>
          <cell r="L19">
            <v>153.71878715814523</v>
          </cell>
          <cell r="M19">
            <v>152.75830539469658</v>
          </cell>
        </row>
        <row r="20">
          <cell r="C20">
            <v>2007</v>
          </cell>
          <cell r="D20">
            <v>1704108.6452599999</v>
          </cell>
          <cell r="E20">
            <v>14695.297</v>
          </cell>
          <cell r="F20">
            <v>1627061.89</v>
          </cell>
          <cell r="G20">
            <v>14353.139000000003</v>
          </cell>
          <cell r="H20">
            <v>77046.755260000005</v>
          </cell>
          <cell r="I20">
            <v>342.15799999999763</v>
          </cell>
          <cell r="J20">
            <v>225.17888010802187</v>
          </cell>
          <cell r="K20">
            <v>215.14203881225052</v>
          </cell>
          <cell r="L20">
            <v>156.57075748678784</v>
          </cell>
          <cell r="M20">
            <v>169.96384453148556</v>
          </cell>
        </row>
        <row r="21">
          <cell r="C21">
            <v>2008</v>
          </cell>
          <cell r="D21">
            <v>1729180.6243400001</v>
          </cell>
          <cell r="E21">
            <v>14910.106999999998</v>
          </cell>
          <cell r="F21">
            <v>1652974.6031900002</v>
          </cell>
          <cell r="G21">
            <v>14563.88</v>
          </cell>
          <cell r="H21">
            <v>76206.021149999928</v>
          </cell>
          <cell r="I21">
            <v>346.22699999999895</v>
          </cell>
          <cell r="J21">
            <v>220.10421240977786</v>
          </cell>
          <cell r="K21">
            <v>229.7065449714047</v>
          </cell>
          <cell r="L21">
            <v>158.8482738613292</v>
          </cell>
        </row>
        <row r="22">
          <cell r="C22">
            <v>2009</v>
          </cell>
          <cell r="D22">
            <v>1819049.0035199998</v>
          </cell>
          <cell r="E22">
            <v>15112.05</v>
          </cell>
          <cell r="F22">
            <v>1745364.9680399999</v>
          </cell>
          <cell r="G22">
            <v>14762.035000000002</v>
          </cell>
          <cell r="H22">
            <v>73684.035479999846</v>
          </cell>
          <cell r="I22">
            <v>350.0149999999976</v>
          </cell>
          <cell r="J22">
            <v>210.51679350885061</v>
          </cell>
          <cell r="K22">
            <v>232.63347330533912</v>
          </cell>
        </row>
        <row r="23">
          <cell r="C23">
            <v>2010</v>
          </cell>
          <cell r="D23">
            <v>1875145.0840499999</v>
          </cell>
          <cell r="E23">
            <v>15312.563</v>
          </cell>
          <cell r="F23">
            <v>1794629.0715600001</v>
          </cell>
          <cell r="G23">
            <v>14958.841</v>
          </cell>
          <cell r="H23">
            <v>80516.012489999877</v>
          </cell>
          <cell r="I23">
            <v>353.72199999999975</v>
          </cell>
          <cell r="J23">
            <v>227.62511941581224</v>
          </cell>
        </row>
        <row r="30">
          <cell r="C30">
            <v>2002</v>
          </cell>
          <cell r="D30">
            <v>1409036.2684210001</v>
          </cell>
          <cell r="E30">
            <v>12910.12</v>
          </cell>
          <cell r="F30">
            <v>1390243.5566190002</v>
          </cell>
          <cell r="G30">
            <v>12817.063000000002</v>
          </cell>
          <cell r="H30">
            <v>18792.711801999947</v>
          </cell>
          <cell r="I30">
            <v>93.05699999999888</v>
          </cell>
          <cell r="J30">
            <v>201.94839509118253</v>
          </cell>
          <cell r="K30">
            <v>308.26437399247357</v>
          </cell>
          <cell r="L30">
            <v>161.13839285714221</v>
          </cell>
          <cell r="M30">
            <v>238.30469644902337</v>
          </cell>
        </row>
        <row r="31">
          <cell r="C31">
            <v>2003</v>
          </cell>
          <cell r="D31">
            <v>1671019.0741600001</v>
          </cell>
          <cell r="E31">
            <v>13781.969000000003</v>
          </cell>
          <cell r="F31">
            <v>1645189.1734749998</v>
          </cell>
          <cell r="G31">
            <v>13685.757000000001</v>
          </cell>
          <cell r="H31">
            <v>25829.900685000233</v>
          </cell>
          <cell r="I31">
            <v>96.212000000001353</v>
          </cell>
          <cell r="J31">
            <v>268.46859731634169</v>
          </cell>
          <cell r="K31">
            <v>291.29937629937962</v>
          </cell>
          <cell r="L31">
            <v>142.39868565169598</v>
          </cell>
          <cell r="M31">
            <v>171.34311512415633</v>
          </cell>
        </row>
        <row r="32">
          <cell r="C32">
            <v>2004</v>
          </cell>
          <cell r="D32">
            <v>1711191.7746370004</v>
          </cell>
          <cell r="E32">
            <v>14011.87</v>
          </cell>
          <cell r="F32">
            <v>1659256.8210349998</v>
          </cell>
          <cell r="G32">
            <v>13914.402999999998</v>
          </cell>
          <cell r="H32">
            <v>51934.953602000605</v>
          </cell>
          <cell r="I32">
            <v>97.467000000002372</v>
          </cell>
          <cell r="J32">
            <v>532.84653884903958</v>
          </cell>
          <cell r="K32">
            <v>119.82148353339346</v>
          </cell>
          <cell r="L32">
            <v>196.83083511777377</v>
          </cell>
          <cell r="M32">
            <v>88.044444444444451</v>
          </cell>
        </row>
        <row r="33">
          <cell r="C33">
            <v>2005</v>
          </cell>
          <cell r="D33">
            <v>1571967.498283</v>
          </cell>
          <cell r="E33">
            <v>14229.093999999999</v>
          </cell>
          <cell r="F33">
            <v>1545987.6936659999</v>
          </cell>
          <cell r="G33">
            <v>14130.473000000002</v>
          </cell>
          <cell r="H33">
            <v>25979.804617000045</v>
          </cell>
          <cell r="I33">
            <v>98.620999999997366</v>
          </cell>
          <cell r="J33">
            <v>263.43075629937579</v>
          </cell>
          <cell r="K33">
            <v>741.70553640234641</v>
          </cell>
          <cell r="L33">
            <v>209.01795142555679</v>
          </cell>
          <cell r="M33">
            <v>276.36663007683751</v>
          </cell>
        </row>
        <row r="34">
          <cell r="C34">
            <v>2006</v>
          </cell>
          <cell r="D34">
            <v>1589161.9068900002</v>
          </cell>
          <cell r="E34">
            <v>14446.529</v>
          </cell>
          <cell r="F34">
            <v>1563287.7642299999</v>
          </cell>
          <cell r="G34">
            <v>14346.701999999999</v>
          </cell>
          <cell r="H34">
            <v>25874.142660000362</v>
          </cell>
          <cell r="I34">
            <v>99.827000000001135</v>
          </cell>
          <cell r="J34">
            <v>259.18982499724592</v>
          </cell>
          <cell r="K34">
            <v>134.14145461831336</v>
          </cell>
          <cell r="L34">
            <v>212.6590198123053</v>
          </cell>
          <cell r="M34">
            <v>44.532608695652172</v>
          </cell>
        </row>
        <row r="35">
          <cell r="C35">
            <v>2007</v>
          </cell>
          <cell r="D35">
            <v>1704108.6452599999</v>
          </cell>
          <cell r="E35">
            <v>14695.297</v>
          </cell>
          <cell r="F35">
            <v>1688651.33825</v>
          </cell>
          <cell r="G35">
            <v>14594.186</v>
          </cell>
          <cell r="H35">
            <v>15457.307009999873</v>
          </cell>
          <cell r="I35">
            <v>101.11100000000079</v>
          </cell>
          <cell r="J35">
            <v>152.8746329281656</v>
          </cell>
          <cell r="K35">
            <v>125.13104539610254</v>
          </cell>
          <cell r="L35">
            <v>208.1630546955632</v>
          </cell>
          <cell r="M35">
            <v>199.87</v>
          </cell>
        </row>
        <row r="36">
          <cell r="C36">
            <v>2008</v>
          </cell>
          <cell r="D36">
            <v>1729180.6243400001</v>
          </cell>
          <cell r="E36">
            <v>14910.106999999998</v>
          </cell>
          <cell r="F36">
            <v>1704236.51446</v>
          </cell>
          <cell r="G36">
            <v>14807.784999999998</v>
          </cell>
          <cell r="H36">
            <v>24944.10988000012</v>
          </cell>
          <cell r="I36">
            <v>102.32200000000012</v>
          </cell>
          <cell r="J36">
            <v>243.78051523621596</v>
          </cell>
          <cell r="K36">
            <v>253.20105561528814</v>
          </cell>
          <cell r="L36">
            <v>238.02242609582413</v>
          </cell>
        </row>
        <row r="37">
          <cell r="C37">
            <v>2009</v>
          </cell>
          <cell r="D37">
            <v>1819049.0035199998</v>
          </cell>
          <cell r="E37">
            <v>15112.05</v>
          </cell>
          <cell r="F37">
            <v>1794790.2978399999</v>
          </cell>
          <cell r="G37">
            <v>15008.590999999997</v>
          </cell>
          <cell r="H37">
            <v>24258.705679999897</v>
          </cell>
          <cell r="I37">
            <v>103.45900000000256</v>
          </cell>
          <cell r="J37">
            <v>234.47651417469044</v>
          </cell>
          <cell r="K37">
            <v>253.61800792193938</v>
          </cell>
        </row>
        <row r="38">
          <cell r="C38">
            <v>2010</v>
          </cell>
          <cell r="D38">
            <v>1875145.0840499999</v>
          </cell>
          <cell r="E38">
            <v>15312.563</v>
          </cell>
          <cell r="F38">
            <v>1852416.5656700002</v>
          </cell>
          <cell r="G38">
            <v>15208.046999999999</v>
          </cell>
          <cell r="H38">
            <v>22728.51837999979</v>
          </cell>
          <cell r="I38">
            <v>104.51600000000144</v>
          </cell>
          <cell r="J38">
            <v>217.46448754257219</v>
          </cell>
        </row>
        <row r="45">
          <cell r="C45">
            <v>2002</v>
          </cell>
          <cell r="D45">
            <v>1409036.2684210001</v>
          </cell>
          <cell r="E45">
            <v>12910.12</v>
          </cell>
          <cell r="F45">
            <v>1351722.3670330001</v>
          </cell>
          <cell r="G45">
            <v>12611.028</v>
          </cell>
          <cell r="H45">
            <v>57313.901387999998</v>
          </cell>
          <cell r="I45">
            <v>299.09200000000055</v>
          </cell>
          <cell r="J45">
            <v>191.62632697631463</v>
          </cell>
          <cell r="K45">
            <v>292.01912467819039</v>
          </cell>
          <cell r="L45">
            <v>132.50434178534147</v>
          </cell>
          <cell r="M45">
            <v>152.73957962237225</v>
          </cell>
        </row>
        <row r="46">
          <cell r="C46">
            <v>2003</v>
          </cell>
          <cell r="D46">
            <v>1671019.0741600001</v>
          </cell>
          <cell r="E46">
            <v>13781.969000000003</v>
          </cell>
          <cell r="F46">
            <v>1603207.1875519999</v>
          </cell>
          <cell r="G46">
            <v>13472.731999999998</v>
          </cell>
          <cell r="H46">
            <v>67811.886608000146</v>
          </cell>
          <cell r="I46">
            <v>309.23700000000463</v>
          </cell>
          <cell r="J46">
            <v>219.28775213832475</v>
          </cell>
          <cell r="K46">
            <v>251.70752215251332</v>
          </cell>
          <cell r="L46">
            <v>123.4855195911414</v>
          </cell>
          <cell r="M46">
            <v>143.41060765718356</v>
          </cell>
        </row>
        <row r="47">
          <cell r="C47">
            <v>2004</v>
          </cell>
          <cell r="D47">
            <v>1711191.7746370004</v>
          </cell>
          <cell r="E47">
            <v>14011.87</v>
          </cell>
          <cell r="F47">
            <v>1634754.8272490001</v>
          </cell>
          <cell r="G47">
            <v>13698.586999999998</v>
          </cell>
          <cell r="H47">
            <v>76436.947388000321</v>
          </cell>
          <cell r="I47">
            <v>313.28300000000309</v>
          </cell>
          <cell r="J47">
            <v>243.98689806979496</v>
          </cell>
          <cell r="K47">
            <v>249.13658271888596</v>
          </cell>
          <cell r="L47">
            <v>141.63836163836197</v>
          </cell>
          <cell r="M47">
            <v>138.99758036640202</v>
          </cell>
        </row>
        <row r="48">
          <cell r="C48">
            <v>2005</v>
          </cell>
          <cell r="D48">
            <v>1571967.498283</v>
          </cell>
          <cell r="E48">
            <v>14229.093999999999</v>
          </cell>
          <cell r="F48">
            <v>1490318.2889440001</v>
          </cell>
          <cell r="G48">
            <v>13912.099</v>
          </cell>
          <cell r="H48">
            <v>81649.209338999819</v>
          </cell>
          <cell r="I48">
            <v>316.99499999999898</v>
          </cell>
          <cell r="J48">
            <v>257.57254637770336</v>
          </cell>
          <cell r="K48">
            <v>286.1541373544909</v>
          </cell>
          <cell r="L48">
            <v>152.59198423127481</v>
          </cell>
          <cell r="M48">
            <v>162.97472677595567</v>
          </cell>
        </row>
        <row r="49">
          <cell r="C49">
            <v>2006</v>
          </cell>
          <cell r="D49">
            <v>1589161.9068900002</v>
          </cell>
          <cell r="E49">
            <v>14446.529</v>
          </cell>
          <cell r="F49">
            <v>1512822.7711</v>
          </cell>
          <cell r="G49">
            <v>14125.662000000002</v>
          </cell>
          <cell r="H49">
            <v>76339.135790000204</v>
          </cell>
          <cell r="I49">
            <v>320.86699999999837</v>
          </cell>
          <cell r="J49">
            <v>237.91519785456464</v>
          </cell>
          <cell r="K49">
            <v>245.42309490416054</v>
          </cell>
          <cell r="L49">
            <v>153.99091499026662</v>
          </cell>
          <cell r="M49">
            <v>140.88911426639569</v>
          </cell>
        </row>
        <row r="50">
          <cell r="C50">
            <v>2007</v>
          </cell>
          <cell r="D50">
            <v>1704108.6452599999</v>
          </cell>
          <cell r="E50">
            <v>14695.297</v>
          </cell>
          <cell r="F50">
            <v>1629687.3524899997</v>
          </cell>
          <cell r="G50">
            <v>14370.298000000001</v>
          </cell>
          <cell r="H50">
            <v>74421.292770000175</v>
          </cell>
          <cell r="I50">
            <v>324.9989999999998</v>
          </cell>
          <cell r="J50">
            <v>228.98929772091677</v>
          </cell>
          <cell r="K50">
            <v>213.68880957508986</v>
          </cell>
          <cell r="L50">
            <v>158.75802310654666</v>
          </cell>
          <cell r="M50">
            <v>164.24</v>
          </cell>
        </row>
        <row r="51">
          <cell r="C51">
            <v>2008</v>
          </cell>
          <cell r="D51">
            <v>1729180.6243400001</v>
          </cell>
          <cell r="E51">
            <v>14910.106999999998</v>
          </cell>
          <cell r="F51">
            <v>1656047.8349200001</v>
          </cell>
          <cell r="G51">
            <v>14581.238000000001</v>
          </cell>
          <cell r="H51">
            <v>73132.789420000045</v>
          </cell>
          <cell r="I51">
            <v>328.86899999999696</v>
          </cell>
          <cell r="J51">
            <v>222.3766588520071</v>
          </cell>
          <cell r="K51">
            <v>231.59095055646739</v>
          </cell>
          <cell r="L51">
            <v>175.0253807106605</v>
          </cell>
        </row>
        <row r="52">
          <cell r="C52">
            <v>2009</v>
          </cell>
          <cell r="D52">
            <v>1819049.0035199998</v>
          </cell>
          <cell r="E52">
            <v>15112.05</v>
          </cell>
          <cell r="F52">
            <v>1750289.0586699999</v>
          </cell>
          <cell r="G52">
            <v>14779.587</v>
          </cell>
          <cell r="H52">
            <v>68759.944849999854</v>
          </cell>
          <cell r="I52">
            <v>332.46299999999974</v>
          </cell>
          <cell r="J52">
            <v>206.81984115525611</v>
          </cell>
          <cell r="K52">
            <v>234.56634187417268</v>
          </cell>
        </row>
        <row r="53">
          <cell r="C53">
            <v>2010</v>
          </cell>
          <cell r="D53">
            <v>1875145.0840499999</v>
          </cell>
          <cell r="E53">
            <v>15312.563</v>
          </cell>
          <cell r="F53">
            <v>1800678.8370600003</v>
          </cell>
          <cell r="G53">
            <v>14976.577999999998</v>
          </cell>
          <cell r="H53">
            <v>74466.246989999665</v>
          </cell>
          <cell r="I53">
            <v>335.9850000000024</v>
          </cell>
          <cell r="J53">
            <v>221.6356295370303</v>
          </cell>
        </row>
        <row r="60">
          <cell r="C60">
            <v>2002</v>
          </cell>
          <cell r="D60">
            <v>1409036.2684210001</v>
          </cell>
          <cell r="E60">
            <v>12910.12</v>
          </cell>
          <cell r="F60">
            <v>1390243.5566190002</v>
          </cell>
          <cell r="G60">
            <v>12824.544000000002</v>
          </cell>
          <cell r="H60">
            <v>18792.711801999947</v>
          </cell>
          <cell r="I60">
            <v>85.575999999999112</v>
          </cell>
          <cell r="J60">
            <v>219.60259654576217</v>
          </cell>
          <cell r="K60">
            <v>310.41131105398483</v>
          </cell>
          <cell r="L60">
            <v>181.44417475727835</v>
          </cell>
          <cell r="M60">
            <v>247.29763387297297</v>
          </cell>
        </row>
        <row r="61">
          <cell r="C61">
            <v>2003</v>
          </cell>
          <cell r="D61">
            <v>1671019.0741600001</v>
          </cell>
          <cell r="E61">
            <v>13781.969000000003</v>
          </cell>
          <cell r="F61">
            <v>1645189.1734749998</v>
          </cell>
          <cell r="G61">
            <v>13693.49</v>
          </cell>
          <cell r="H61">
            <v>25829.900685000233</v>
          </cell>
          <cell r="I61">
            <v>88.479000000002998</v>
          </cell>
          <cell r="J61">
            <v>291.93255670836419</v>
          </cell>
          <cell r="K61">
            <v>297.66048824593275</v>
          </cell>
          <cell r="L61">
            <v>112.95238095238095</v>
          </cell>
          <cell r="M61">
            <v>174.26993865030676</v>
          </cell>
        </row>
        <row r="62">
          <cell r="C62">
            <v>2004</v>
          </cell>
          <cell r="D62">
            <v>1711191.7746370004</v>
          </cell>
          <cell r="E62">
            <v>14011.87</v>
          </cell>
          <cell r="F62">
            <v>1659256.8210349998</v>
          </cell>
          <cell r="G62">
            <v>13922.215999999997</v>
          </cell>
          <cell r="H62">
            <v>51934.953602000605</v>
          </cell>
          <cell r="I62">
            <v>89.654000000004089</v>
          </cell>
          <cell r="J62">
            <v>579.28205771073499</v>
          </cell>
          <cell r="K62">
            <v>123.79518072288985</v>
          </cell>
          <cell r="L62">
            <v>200.20954598370284</v>
          </cell>
          <cell r="M62">
            <v>113.73188405797201</v>
          </cell>
        </row>
        <row r="63">
          <cell r="C63">
            <v>2005</v>
          </cell>
          <cell r="D63">
            <v>1571967.498283</v>
          </cell>
          <cell r="E63">
            <v>14229.093999999999</v>
          </cell>
          <cell r="F63">
            <v>1545987.6936659999</v>
          </cell>
          <cell r="G63">
            <v>14138.39</v>
          </cell>
          <cell r="H63">
            <v>25979.804617000045</v>
          </cell>
          <cell r="I63">
            <v>90.703999999999724</v>
          </cell>
          <cell r="J63">
            <v>286.42402338375513</v>
          </cell>
          <cell r="K63">
            <v>787.73980154354388</v>
          </cell>
          <cell r="L63">
            <v>220.63145809414834</v>
          </cell>
          <cell r="M63">
            <v>255.52505966586779</v>
          </cell>
        </row>
        <row r="64">
          <cell r="C64">
            <v>2006</v>
          </cell>
          <cell r="D64">
            <v>1589161.9068900002</v>
          </cell>
          <cell r="E64">
            <v>14446.529</v>
          </cell>
          <cell r="F64">
            <v>1563287.7642299999</v>
          </cell>
          <cell r="G64">
            <v>14354.707999999999</v>
          </cell>
          <cell r="H64">
            <v>25874.142660000362</v>
          </cell>
          <cell r="I64">
            <v>91.821000000001732</v>
          </cell>
          <cell r="J64">
            <v>281.78894435913213</v>
          </cell>
          <cell r="K64">
            <v>126.70733035616854</v>
          </cell>
          <cell r="L64">
            <v>220.45351473923176</v>
          </cell>
          <cell r="M64">
            <v>124.1607565011815</v>
          </cell>
        </row>
        <row r="65">
          <cell r="C65">
            <v>2007</v>
          </cell>
          <cell r="D65">
            <v>1704108.6452599999</v>
          </cell>
          <cell r="E65">
            <v>14695.297</v>
          </cell>
          <cell r="F65">
            <v>1688651.33825</v>
          </cell>
          <cell r="G65">
            <v>14602.302000000001</v>
          </cell>
          <cell r="H65">
            <v>15457.307009999873</v>
          </cell>
          <cell r="I65">
            <v>92.994999999998981</v>
          </cell>
          <cell r="J65">
            <v>166.21653863110967</v>
          </cell>
          <cell r="K65">
            <v>118.86224325196054</v>
          </cell>
          <cell r="L65">
            <v>217.41031390134353</v>
          </cell>
          <cell r="M65">
            <v>197.61</v>
          </cell>
        </row>
        <row r="66">
          <cell r="C66">
            <v>2008</v>
          </cell>
          <cell r="D66">
            <v>1729180.6243400001</v>
          </cell>
          <cell r="E66">
            <v>14910.106999999998</v>
          </cell>
          <cell r="F66">
            <v>1704236.51446</v>
          </cell>
          <cell r="G66">
            <v>14815.998</v>
          </cell>
          <cell r="H66">
            <v>24944.10988000012</v>
          </cell>
          <cell r="I66">
            <v>94.108999999998559</v>
          </cell>
          <cell r="J66">
            <v>265.05551945085489</v>
          </cell>
          <cell r="K66">
            <v>257.44952178533373</v>
          </cell>
          <cell r="L66">
            <v>249.19068736142208</v>
          </cell>
        </row>
        <row r="67">
          <cell r="C67">
            <v>2009</v>
          </cell>
          <cell r="D67">
            <v>1819049.0035199998</v>
          </cell>
          <cell r="E67">
            <v>15112.05</v>
          </cell>
          <cell r="F67">
            <v>1794790.2978399999</v>
          </cell>
          <cell r="G67">
            <v>15016.921</v>
          </cell>
          <cell r="H67">
            <v>24258.705679999897</v>
          </cell>
          <cell r="I67">
            <v>95.128999999998996</v>
          </cell>
          <cell r="J67">
            <v>255.00852190184014</v>
          </cell>
          <cell r="K67">
            <v>257.69351958827599</v>
          </cell>
        </row>
        <row r="68">
          <cell r="C68">
            <v>2010</v>
          </cell>
          <cell r="D68">
            <v>1875145.0840499999</v>
          </cell>
          <cell r="E68">
            <v>15312.563</v>
          </cell>
          <cell r="F68">
            <v>1852416.5656700002</v>
          </cell>
          <cell r="G68">
            <v>15216.42</v>
          </cell>
          <cell r="H68">
            <v>22728.51837999979</v>
          </cell>
          <cell r="I68">
            <v>96.143000000000029</v>
          </cell>
          <cell r="J68">
            <v>236.40325743943691</v>
          </cell>
        </row>
      </sheetData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Flo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7" tint="-0.249977111117893"/>
  </sheetPr>
  <dimension ref="A1:P500"/>
  <sheetViews>
    <sheetView topLeftCell="A75" workbookViewId="0">
      <selection activeCell="B101" sqref="B101"/>
    </sheetView>
  </sheetViews>
  <sheetFormatPr defaultRowHeight="12.75" x14ac:dyDescent="0.2"/>
  <cols>
    <col min="1" max="1" width="4.28515625" style="196" bestFit="1" customWidth="1"/>
    <col min="2" max="2" width="15.7109375" style="198" bestFit="1" customWidth="1"/>
    <col min="3" max="3" width="7.140625" style="198" customWidth="1"/>
    <col min="4" max="4" width="9.7109375" style="198" bestFit="1" customWidth="1"/>
    <col min="5" max="6" width="9.140625" style="198"/>
    <col min="7" max="7" width="12.85546875" style="198" bestFit="1" customWidth="1"/>
    <col min="8" max="9" width="12.7109375" style="198" bestFit="1" customWidth="1"/>
    <col min="10" max="11" width="9.140625" style="198"/>
    <col min="12" max="12" width="10.5703125" style="198" customWidth="1"/>
    <col min="13" max="16384" width="9.140625" style="198"/>
  </cols>
  <sheetData>
    <row r="1" spans="1:16" x14ac:dyDescent="0.2">
      <c r="B1" s="196" t="s">
        <v>13</v>
      </c>
      <c r="C1" s="197">
        <v>7.0000000000000007E-2</v>
      </c>
      <c r="D1" s="195">
        <v>2013</v>
      </c>
      <c r="E1" s="196">
        <v>4</v>
      </c>
      <c r="F1" s="196"/>
      <c r="G1" s="196"/>
      <c r="H1" s="196"/>
      <c r="I1" s="196"/>
      <c r="J1" s="195" t="s">
        <v>33</v>
      </c>
      <c r="K1" s="196">
        <v>10</v>
      </c>
      <c r="L1" s="195" t="s">
        <v>66</v>
      </c>
      <c r="M1" s="196">
        <v>12</v>
      </c>
    </row>
    <row r="2" spans="1:16" x14ac:dyDescent="0.2">
      <c r="B2" s="196" t="s">
        <v>14</v>
      </c>
      <c r="C2" s="197"/>
      <c r="D2" s="195" t="s">
        <v>15</v>
      </c>
      <c r="E2" s="196"/>
      <c r="F2" s="196"/>
      <c r="G2" s="196"/>
      <c r="H2" s="196"/>
      <c r="I2" s="196"/>
      <c r="J2" s="195" t="s">
        <v>29</v>
      </c>
      <c r="K2" s="196"/>
      <c r="L2" s="195" t="s">
        <v>67</v>
      </c>
      <c r="M2" s="196"/>
    </row>
    <row r="3" spans="1:16" x14ac:dyDescent="0.2">
      <c r="B3" s="196"/>
      <c r="C3" s="197"/>
      <c r="D3" s="195" t="s">
        <v>16</v>
      </c>
      <c r="E3" s="196"/>
      <c r="F3" s="199"/>
      <c r="G3" s="196"/>
      <c r="H3" s="195"/>
      <c r="I3" s="195"/>
      <c r="J3" s="195" t="s">
        <v>31</v>
      </c>
      <c r="K3" s="196"/>
      <c r="L3" s="195" t="s">
        <v>34</v>
      </c>
      <c r="M3" s="196"/>
    </row>
    <row r="4" spans="1:16" x14ac:dyDescent="0.2">
      <c r="B4" s="196" t="s">
        <v>17</v>
      </c>
      <c r="C4" s="200"/>
      <c r="D4" s="195" t="s">
        <v>1209</v>
      </c>
      <c r="E4" s="195" t="s">
        <v>18</v>
      </c>
      <c r="F4" s="201"/>
      <c r="G4" s="195"/>
      <c r="H4" s="195"/>
      <c r="I4" s="195"/>
      <c r="J4" s="195" t="s">
        <v>1209</v>
      </c>
      <c r="K4" s="195" t="s">
        <v>18</v>
      </c>
      <c r="L4" s="195" t="s">
        <v>1209</v>
      </c>
      <c r="M4" s="195" t="s">
        <v>18</v>
      </c>
    </row>
    <row r="5" spans="1:16" x14ac:dyDescent="0.2">
      <c r="A5" s="196" t="str">
        <f>+"w"&amp;B5</f>
        <v>w1</v>
      </c>
      <c r="B5" s="196">
        <v>1</v>
      </c>
      <c r="C5" s="196">
        <v>2013</v>
      </c>
      <c r="D5" s="202">
        <f>'Avoided Cost inputs'!D13/1000</f>
        <v>0.16809656980088944</v>
      </c>
      <c r="E5" s="203">
        <f>+D5</f>
        <v>0.16809656980088944</v>
      </c>
      <c r="F5" s="203">
        <f>+D5</f>
        <v>0.16809656980088944</v>
      </c>
      <c r="G5" s="204"/>
      <c r="H5" s="205"/>
      <c r="I5" s="205"/>
      <c r="J5" s="206">
        <f>'Avoided Cost inputs'!K7/100</f>
        <v>9.5199999999999993E-2</v>
      </c>
      <c r="K5" s="207">
        <f>+J5</f>
        <v>9.5199999999999993E-2</v>
      </c>
      <c r="L5" s="206">
        <f>'Avoided Cost inputs'!L7/100</f>
        <v>2.4308000000000001</v>
      </c>
      <c r="M5" s="207">
        <f>+L5</f>
        <v>2.4308000000000001</v>
      </c>
      <c r="N5" s="208"/>
      <c r="O5" s="209"/>
    </row>
    <row r="6" spans="1:16" x14ac:dyDescent="0.2">
      <c r="A6" s="196" t="str">
        <f t="shared" ref="A6:A34" si="0">+"w"&amp;B6</f>
        <v>w2</v>
      </c>
      <c r="B6" s="196">
        <v>2</v>
      </c>
      <c r="C6" s="196">
        <f t="shared" ref="C6:C34" si="1">+C5+1</f>
        <v>2014</v>
      </c>
      <c r="D6" s="202">
        <f>'Avoided Cost inputs'!D14/1000</f>
        <v>0.14875318827586878</v>
      </c>
      <c r="E6" s="207">
        <f>NPV($C$1,$D$6:D6)+D$5</f>
        <v>0.30711824108674812</v>
      </c>
      <c r="F6" s="210">
        <f>NPV($C$1,F5)</f>
        <v>0.15709959794475647</v>
      </c>
      <c r="G6" s="211"/>
      <c r="H6" s="205"/>
      <c r="I6" s="205"/>
      <c r="J6" s="206">
        <f>'Avoided Cost inputs'!K8/100</f>
        <v>9.7298497297514497E-2</v>
      </c>
      <c r="K6" s="207">
        <f>NPV($C$1,$J$6:J6)+J$5</f>
        <v>0.18613317504440607</v>
      </c>
      <c r="L6" s="206">
        <f>'Avoided Cost inputs'!L8/100</f>
        <v>2.4843822188109064</v>
      </c>
      <c r="M6" s="207">
        <f>NPV($C$1,$L$6:L6)+L$5</f>
        <v>4.7526525409447729</v>
      </c>
      <c r="N6" s="208"/>
      <c r="O6" s="209"/>
    </row>
    <row r="7" spans="1:16" x14ac:dyDescent="0.2">
      <c r="A7" s="196" t="str">
        <f t="shared" si="0"/>
        <v>w3</v>
      </c>
      <c r="B7" s="196">
        <v>3</v>
      </c>
      <c r="C7" s="196">
        <f t="shared" si="1"/>
        <v>2015</v>
      </c>
      <c r="D7" s="202">
        <f>'Avoided Cost inputs'!D15/1000</f>
        <v>0.16355064699409164</v>
      </c>
      <c r="E7" s="207">
        <f>NPV($C$1,$D$6:D7)+D$5</f>
        <v>0.44996971020552845</v>
      </c>
      <c r="F7" s="210">
        <f t="shared" ref="F7:F34" si="2">NPV($C$1,F6)</f>
        <v>0.146822054153978</v>
      </c>
      <c r="G7" s="211"/>
      <c r="H7" s="205"/>
      <c r="I7" s="205"/>
      <c r="J7" s="206">
        <f>'Avoided Cost inputs'!K9/100</f>
        <v>9.9364265948682889E-2</v>
      </c>
      <c r="K7" s="207">
        <f>NPV($C$1,$J$6:J7)+J$5</f>
        <v>0.27292177313042482</v>
      </c>
      <c r="L7" s="206">
        <f>'Avoided Cost inputs'!L9/100</f>
        <v>2.5371287570174204</v>
      </c>
      <c r="M7" s="207">
        <f>NPV($C$1,$L$6:L7)+L$5</f>
        <v>6.9686790559394609</v>
      </c>
      <c r="N7" s="208"/>
      <c r="O7" s="209"/>
    </row>
    <row r="8" spans="1:16" x14ac:dyDescent="0.2">
      <c r="A8" s="196" t="str">
        <f t="shared" si="0"/>
        <v>w4</v>
      </c>
      <c r="B8" s="196">
        <v>4</v>
      </c>
      <c r="C8" s="196">
        <f t="shared" si="1"/>
        <v>2016</v>
      </c>
      <c r="D8" s="202">
        <f>'Avoided Cost inputs'!D16/1000</f>
        <v>0.17566486091509426</v>
      </c>
      <c r="E8" s="207">
        <f>NPV($C$1,$D$6:D8)+D$5</f>
        <v>0.59336456321484676</v>
      </c>
      <c r="F8" s="210">
        <f t="shared" si="2"/>
        <v>0.13721687304110092</v>
      </c>
      <c r="G8" s="211"/>
      <c r="H8" s="205"/>
      <c r="I8" s="205"/>
      <c r="J8" s="206">
        <f>'Avoided Cost inputs'!K10/100</f>
        <v>0.10136283662520844</v>
      </c>
      <c r="K8" s="207">
        <f>NPV($C$1,$J$6:J8)+J$5</f>
        <v>0.35566404146321678</v>
      </c>
      <c r="L8" s="206">
        <f>'Avoided Cost inputs'!L10/100</f>
        <v>2.588159488115092</v>
      </c>
      <c r="M8" s="207">
        <f>NPV($C$1,$L$6:L8)+L$5</f>
        <v>9.0813881511427255</v>
      </c>
      <c r="N8" s="208"/>
      <c r="O8" s="209"/>
    </row>
    <row r="9" spans="1:16" x14ac:dyDescent="0.2">
      <c r="A9" s="196" t="str">
        <f t="shared" si="0"/>
        <v>w5</v>
      </c>
      <c r="B9" s="196">
        <v>5</v>
      </c>
      <c r="C9" s="196">
        <f t="shared" si="1"/>
        <v>2017</v>
      </c>
      <c r="D9" s="202">
        <f>'Avoided Cost inputs'!D17/1000</f>
        <v>0.19522041239389162</v>
      </c>
      <c r="E9" s="207">
        <f>NPV($C$1,$D$6:D9)+D$5</f>
        <v>0.74229728112408999</v>
      </c>
      <c r="F9" s="210">
        <f>NPV($C$1,F8)</f>
        <v>0.12824006826271114</v>
      </c>
      <c r="G9" s="211"/>
      <c r="H9" s="205"/>
      <c r="I9" s="205"/>
      <c r="J9" s="206">
        <f>'Avoided Cost inputs'!K11/100</f>
        <v>0.10339681392031182</v>
      </c>
      <c r="K9" s="207">
        <f>NPV($C$1,$J$6:J9)+J$5</f>
        <v>0.43454497574399154</v>
      </c>
      <c r="L9" s="206">
        <f>'Avoided Cost inputs'!L11/100</f>
        <v>2.6400942781249377</v>
      </c>
      <c r="M9" s="207">
        <f>NPV($C$1,$L$6:L9)+L$5</f>
        <v>11.095503435278307</v>
      </c>
      <c r="N9" s="208"/>
      <c r="O9" s="209"/>
    </row>
    <row r="10" spans="1:16" x14ac:dyDescent="0.2">
      <c r="A10" s="196" t="str">
        <f t="shared" si="0"/>
        <v>w6</v>
      </c>
      <c r="B10" s="196">
        <v>6</v>
      </c>
      <c r="C10" s="196">
        <f t="shared" si="1"/>
        <v>2018</v>
      </c>
      <c r="D10" s="202">
        <f>'Avoided Cost inputs'!D18/1000</f>
        <v>0.21474652136659433</v>
      </c>
      <c r="E10" s="207">
        <f>NPV($C$1,$D$6:D10)+D$5</f>
        <v>0.89540858295066594</v>
      </c>
      <c r="F10" s="210">
        <f t="shared" si="2"/>
        <v>0.11985053108664592</v>
      </c>
      <c r="G10" s="211"/>
      <c r="H10" s="205"/>
      <c r="I10" s="205"/>
      <c r="J10" s="206">
        <f>'Avoided Cost inputs'!K12/100</f>
        <v>0.10548767899696598</v>
      </c>
      <c r="K10" s="207">
        <f>NPV($C$1,$J$6:J10)+J$5</f>
        <v>0.5097562329746379</v>
      </c>
      <c r="L10" s="206">
        <f>'Avoided Cost inputs'!L12/100</f>
        <v>2.6934816187586659</v>
      </c>
      <c r="M10" s="207">
        <f>NPV($C$1,$L$6:L10)+L$5</f>
        <v>13.015918604146535</v>
      </c>
      <c r="N10" s="208"/>
      <c r="O10" s="209"/>
    </row>
    <row r="11" spans="1:16" x14ac:dyDescent="0.2">
      <c r="A11" s="196" t="str">
        <f t="shared" si="0"/>
        <v>w7</v>
      </c>
      <c r="B11" s="196">
        <v>7</v>
      </c>
      <c r="C11" s="196">
        <f t="shared" si="1"/>
        <v>2019</v>
      </c>
      <c r="D11" s="202">
        <f>'Avoided Cost inputs'!D19/1000</f>
        <v>0.2421822120413975</v>
      </c>
      <c r="E11" s="207">
        <f>NPV($C$1,$D$6:D11)+D$5</f>
        <v>1.0567848166911329</v>
      </c>
      <c r="F11" s="210">
        <f t="shared" si="2"/>
        <v>0.11200984213705226</v>
      </c>
      <c r="G11" s="211"/>
      <c r="H11" s="205"/>
      <c r="I11" s="205"/>
      <c r="J11" s="206">
        <f>'Avoided Cost inputs'!K13/100</f>
        <v>0.10764828612188308</v>
      </c>
      <c r="K11" s="207">
        <f>NPV($C$1,$J$6:J11)+J$5</f>
        <v>0.58148683133912971</v>
      </c>
      <c r="L11" s="206">
        <f>'Avoided Cost inputs'!L13/100</f>
        <v>2.7486497258936295</v>
      </c>
      <c r="M11" s="207">
        <f>NPV($C$1,$L$6:L11)+L$5</f>
        <v>14.847459974991143</v>
      </c>
      <c r="N11" s="208"/>
      <c r="O11" s="209"/>
    </row>
    <row r="12" spans="1:16" x14ac:dyDescent="0.2">
      <c r="A12" s="196" t="str">
        <f t="shared" si="0"/>
        <v>w8</v>
      </c>
      <c r="B12" s="196">
        <v>8</v>
      </c>
      <c r="C12" s="196">
        <f t="shared" si="1"/>
        <v>2020</v>
      </c>
      <c r="D12" s="202">
        <f>'Avoided Cost inputs'!D20/1000</f>
        <v>0.24683071473233387</v>
      </c>
      <c r="E12" s="207">
        <f>NPV($C$1,$D$6:D12)+D$5</f>
        <v>1.2104985805798829</v>
      </c>
      <c r="F12" s="210">
        <f t="shared" si="2"/>
        <v>0.10468209545518901</v>
      </c>
      <c r="G12" s="211"/>
      <c r="H12" s="205"/>
      <c r="I12" s="205"/>
      <c r="J12" s="206">
        <f>'Avoided Cost inputs'!K14/100</f>
        <v>0.10985669505113624</v>
      </c>
      <c r="K12" s="207">
        <f>NPV($C$1,$J$6:J12)+J$5</f>
        <v>0.64990005982651899</v>
      </c>
      <c r="L12" s="206">
        <f>'Avoided Cost inputs'!L14/100</f>
        <v>2.8050383858225008</v>
      </c>
      <c r="M12" s="207">
        <f>NPV($C$1,$L$6:L12)+L$5</f>
        <v>16.594296905738474</v>
      </c>
      <c r="N12" s="208"/>
      <c r="O12" s="209"/>
    </row>
    <row r="13" spans="1:16" x14ac:dyDescent="0.2">
      <c r="A13" s="196" t="str">
        <f t="shared" si="0"/>
        <v>w9</v>
      </c>
      <c r="B13" s="196">
        <v>9</v>
      </c>
      <c r="C13" s="196">
        <f t="shared" si="1"/>
        <v>2021</v>
      </c>
      <c r="D13" s="202">
        <f>'Avoided Cost inputs'!D21/1000</f>
        <v>0.25284725797216623</v>
      </c>
      <c r="E13" s="207">
        <f>NPV($C$1,$D$6:D13)+D$5</f>
        <v>1.3576579867839884</v>
      </c>
      <c r="F13" s="210">
        <f t="shared" si="2"/>
        <v>9.7833734070270101E-2</v>
      </c>
      <c r="G13" s="211"/>
      <c r="H13" s="205"/>
      <c r="I13" s="205"/>
      <c r="J13" s="206">
        <f>'Avoided Cost inputs'!K15/100</f>
        <v>0.11204276204062769</v>
      </c>
      <c r="K13" s="207">
        <f>NPV($C$1,$J$6:J13)+J$5</f>
        <v>0.71510996743477839</v>
      </c>
      <c r="L13" s="206">
        <f>'Avoided Cost inputs'!L15/100</f>
        <v>2.860856575297877</v>
      </c>
      <c r="M13" s="207">
        <f>NPV($C$1,$L$6:L13)+L$5</f>
        <v>18.259341479416598</v>
      </c>
      <c r="N13" s="208"/>
      <c r="O13" s="209"/>
      <c r="P13" s="212"/>
    </row>
    <row r="14" spans="1:16" x14ac:dyDescent="0.2">
      <c r="A14" s="196" t="str">
        <f t="shared" si="0"/>
        <v>w10</v>
      </c>
      <c r="B14" s="196">
        <v>10</v>
      </c>
      <c r="C14" s="196">
        <f t="shared" si="1"/>
        <v>2022</v>
      </c>
      <c r="D14" s="202">
        <f>'Avoided Cost inputs'!D22/1000</f>
        <v>0.25474800797190361</v>
      </c>
      <c r="E14" s="207">
        <f>NPV($C$1,$D$6:D14)+D$5</f>
        <v>1.4962240241760023</v>
      </c>
      <c r="F14" s="210">
        <f t="shared" si="2"/>
        <v>9.1433396327355226E-2</v>
      </c>
      <c r="G14" s="211"/>
      <c r="H14" s="205"/>
      <c r="I14" s="205"/>
      <c r="J14" s="206">
        <f>'Avoided Cost inputs'!K16/100</f>
        <v>0.11422025951897766</v>
      </c>
      <c r="K14" s="207">
        <f>NPV($C$1,$J$6:J14)+J$5</f>
        <v>0.77723822067386861</v>
      </c>
      <c r="L14" s="206">
        <f>'Avoided Cost inputs'!L16/100</f>
        <v>2.9164559541883506</v>
      </c>
      <c r="M14" s="207">
        <f>NPV($C$1,$L$6:L14)+L$5</f>
        <v>19.84570028166009</v>
      </c>
      <c r="N14" s="208"/>
      <c r="O14" s="206"/>
      <c r="P14" s="212"/>
    </row>
    <row r="15" spans="1:16" x14ac:dyDescent="0.2">
      <c r="A15" s="196" t="str">
        <f t="shared" si="0"/>
        <v>w11</v>
      </c>
      <c r="B15" s="196">
        <v>11</v>
      </c>
      <c r="C15" s="196">
        <f t="shared" si="1"/>
        <v>2023</v>
      </c>
      <c r="D15" s="206">
        <f>D14*(1+'Avoided Cost inputs'!$G$9)</f>
        <v>0.25984296813134167</v>
      </c>
      <c r="E15" s="207">
        <f>NPV($C$1,$D$6:D15)+D$5</f>
        <v>1.6283150130917536</v>
      </c>
      <c r="F15" s="210">
        <f t="shared" si="2"/>
        <v>8.5451772268556284E-2</v>
      </c>
      <c r="G15" s="211"/>
      <c r="H15" s="205"/>
      <c r="I15" s="205"/>
      <c r="J15" s="206">
        <f>'Avoided Cost inputs'!K17/100</f>
        <v>0.11650160493479873</v>
      </c>
      <c r="K15" s="207">
        <f>NPV($C$1,$J$6:J15)+J$5</f>
        <v>0.83646172907503202</v>
      </c>
      <c r="L15" s="206">
        <f>'Avoided Cost inputs'!L17/100</f>
        <v>2.9747069461713114</v>
      </c>
      <c r="M15" s="207">
        <f>NPV($C$1,$L$6:L15)+L$5</f>
        <v>21.357890452054502</v>
      </c>
      <c r="N15" s="208"/>
      <c r="O15" s="206"/>
      <c r="P15" s="212"/>
    </row>
    <row r="16" spans="1:16" x14ac:dyDescent="0.2">
      <c r="A16" s="196" t="str">
        <f t="shared" si="0"/>
        <v>w12</v>
      </c>
      <c r="B16" s="196">
        <v>12</v>
      </c>
      <c r="C16" s="196">
        <f t="shared" si="1"/>
        <v>2024</v>
      </c>
      <c r="D16" s="206">
        <f>D15*(1+'Avoided Cost inputs'!$G$9)</f>
        <v>0.26503982749396848</v>
      </c>
      <c r="E16" s="207">
        <f>NPV($C$1,$D$6:D16)+D$5</f>
        <v>1.7542335258899466</v>
      </c>
      <c r="F16" s="210">
        <f t="shared" si="2"/>
        <v>7.9861469409865687E-2</v>
      </c>
      <c r="G16" s="211"/>
      <c r="H16" s="205"/>
      <c r="I16" s="205"/>
      <c r="J16" s="206">
        <f>'Avoided Cost inputs'!K18/100</f>
        <v>0.11881365138941909</v>
      </c>
      <c r="K16" s="207">
        <f>NPV($C$1,$J$6:J16)+J$5</f>
        <v>0.89290923896265106</v>
      </c>
      <c r="L16" s="206">
        <f>'Avoided Cost inputs'!L18/100</f>
        <v>3.0337418466113446</v>
      </c>
      <c r="M16" s="207">
        <f>NPV($C$1,$L$6:L16)+L$5</f>
        <v>22.799199349479125</v>
      </c>
      <c r="N16" s="208"/>
      <c r="O16" s="206"/>
      <c r="P16" s="212"/>
    </row>
    <row r="17" spans="1:16" x14ac:dyDescent="0.2">
      <c r="A17" s="196" t="str">
        <f t="shared" si="0"/>
        <v>w13</v>
      </c>
      <c r="B17" s="196">
        <v>13</v>
      </c>
      <c r="C17" s="196">
        <f t="shared" si="1"/>
        <v>2025</v>
      </c>
      <c r="D17" s="206">
        <f>D16*(1+'Avoided Cost inputs'!$G$9)</f>
        <v>0.27034062404384784</v>
      </c>
      <c r="E17" s="207">
        <f>NPV($C$1,$D$6:D17)+D$5</f>
        <v>1.8742679960340185</v>
      </c>
      <c r="F17" s="210">
        <f t="shared" si="2"/>
        <v>7.4636887298939886E-2</v>
      </c>
      <c r="G17" s="211"/>
      <c r="H17" s="205"/>
      <c r="I17" s="205"/>
      <c r="J17" s="206">
        <f>'Avoided Cost inputs'!K19/100</f>
        <v>0.12118392461170606</v>
      </c>
      <c r="K17" s="207">
        <f>NPV($C$1,$J$6:J17)+J$5</f>
        <v>0.94671635075797622</v>
      </c>
      <c r="L17" s="206">
        <f>'Avoided Cost inputs'!L19/100</f>
        <v>3.0942634868291505</v>
      </c>
      <c r="M17" s="207">
        <f>NPV($C$1,$L$6:L17)+L$5</f>
        <v>24.173089342673205</v>
      </c>
      <c r="N17" s="208"/>
      <c r="O17" s="206"/>
      <c r="P17" s="212"/>
    </row>
    <row r="18" spans="1:16" x14ac:dyDescent="0.2">
      <c r="A18" s="196" t="str">
        <f t="shared" si="0"/>
        <v>w14</v>
      </c>
      <c r="B18" s="196">
        <v>14</v>
      </c>
      <c r="C18" s="196">
        <f t="shared" si="1"/>
        <v>2026</v>
      </c>
      <c r="D18" s="206">
        <f>D17*(1+'Avoided Cost inputs'!$G$9)</f>
        <v>0.27574743652472483</v>
      </c>
      <c r="E18" s="207">
        <f>NPV($C$1,$D$6:D18)+D$5</f>
        <v>1.9886933787881804</v>
      </c>
      <c r="F18" s="210">
        <f t="shared" si="2"/>
        <v>6.9754100279383072E-2</v>
      </c>
      <c r="G18" s="211"/>
      <c r="H18" s="205"/>
      <c r="I18" s="205"/>
      <c r="J18" s="206">
        <f>'Avoided Cost inputs'!K20/100</f>
        <v>0.12360201876670215</v>
      </c>
      <c r="K18" s="207">
        <f>NPV($C$1,$J$6:J18)+J$5</f>
        <v>0.99800679423340943</v>
      </c>
      <c r="L18" s="206">
        <f>'Avoided Cost inputs'!L20/100</f>
        <v>3.156006168257349</v>
      </c>
      <c r="M18" s="207">
        <f>NPV($C$1,$L$6:L18)+L$5</f>
        <v>25.482719699816933</v>
      </c>
      <c r="N18" s="208"/>
      <c r="O18" s="206"/>
      <c r="P18" s="212"/>
    </row>
    <row r="19" spans="1:16" x14ac:dyDescent="0.2">
      <c r="A19" s="196" t="str">
        <f t="shared" si="0"/>
        <v>w15</v>
      </c>
      <c r="B19" s="196">
        <v>15</v>
      </c>
      <c r="C19" s="196">
        <f t="shared" si="1"/>
        <v>2027</v>
      </c>
      <c r="D19" s="206">
        <f>D18*(1+'Avoided Cost inputs'!$G$9)</f>
        <v>0.28126238525521935</v>
      </c>
      <c r="E19" s="207">
        <f>NPV($C$1,$D$6:D19)+D$5</f>
        <v>2.0977717810398118</v>
      </c>
      <c r="F19" s="210">
        <f t="shared" si="2"/>
        <v>6.5190747924657066E-2</v>
      </c>
      <c r="G19" s="211"/>
      <c r="H19" s="205"/>
      <c r="I19" s="205"/>
      <c r="J19" s="206">
        <f>'Avoided Cost inputs'!K21/100</f>
        <v>0.12605647595893024</v>
      </c>
      <c r="K19" s="207">
        <f>NPV($C$1,$J$6:J19)+J$5</f>
        <v>1.0468936689521686</v>
      </c>
      <c r="L19" s="206">
        <f>'Avoided Cost inputs'!L21/100</f>
        <v>3.2186773294219289</v>
      </c>
      <c r="M19" s="207">
        <f>NPV($C$1,$L$6:L19)+L$5</f>
        <v>26.730978261438356</v>
      </c>
      <c r="N19" s="208"/>
      <c r="O19" s="206"/>
      <c r="P19" s="212"/>
    </row>
    <row r="20" spans="1:16" x14ac:dyDescent="0.2">
      <c r="A20" s="196" t="str">
        <f t="shared" si="0"/>
        <v>w16</v>
      </c>
      <c r="B20" s="196">
        <v>16</v>
      </c>
      <c r="C20" s="196">
        <f t="shared" si="1"/>
        <v>2028</v>
      </c>
      <c r="D20" s="206">
        <f>D19*(1+'Avoided Cost inputs'!$G$9)</f>
        <v>0.28688763296032377</v>
      </c>
      <c r="E20" s="207">
        <f>NPV($C$1,$D$6:D20)+D$5</f>
        <v>2.2017530616908987</v>
      </c>
      <c r="F20" s="210">
        <f t="shared" si="2"/>
        <v>6.0925932639866412E-2</v>
      </c>
      <c r="G20" s="211"/>
      <c r="H20" s="205"/>
      <c r="I20" s="205"/>
      <c r="J20" s="206">
        <f>'Avoided Cost inputs'!K22/100</f>
        <v>0.12856520034559663</v>
      </c>
      <c r="K20" s="207">
        <f>NPV($C$1,$J$6:J20)+J$5</f>
        <v>1.0934916140819526</v>
      </c>
      <c r="L20" s="206">
        <f>'Avoided Cost inputs'!L22/100</f>
        <v>3.2827341281520619</v>
      </c>
      <c r="M20" s="207">
        <f>NPV($C$1,$L$6:L20)+L$5</f>
        <v>27.920792179731205</v>
      </c>
      <c r="N20" s="208"/>
      <c r="O20" s="206"/>
      <c r="P20" s="212"/>
    </row>
    <row r="21" spans="1:16" x14ac:dyDescent="0.2">
      <c r="A21" s="196" t="str">
        <f t="shared" si="0"/>
        <v>w17</v>
      </c>
      <c r="B21" s="196">
        <v>17</v>
      </c>
      <c r="C21" s="196">
        <f t="shared" si="1"/>
        <v>2029</v>
      </c>
      <c r="D21" s="206">
        <f>D20*(1+'Avoided Cost inputs'!$G$9)</f>
        <v>0.29262538561953028</v>
      </c>
      <c r="E21" s="207">
        <f>NPV($C$1,$D$6:D21)+D$5</f>
        <v>2.3008754039938046</v>
      </c>
      <c r="F21" s="210">
        <f t="shared" si="2"/>
        <v>5.694012396249197E-2</v>
      </c>
      <c r="G21" s="211"/>
      <c r="H21" s="205"/>
      <c r="I21" s="205"/>
      <c r="J21" s="206">
        <f>'Avoided Cost inputs'!K23/100</f>
        <v>0.13113741180252764</v>
      </c>
      <c r="K21" s="207">
        <f>NPV($C$1,$J$6:J21)+J$5</f>
        <v>1.1379123925249683</v>
      </c>
      <c r="L21" s="206">
        <f>'Avoided Cost inputs'!L23/100</f>
        <v>3.3484119811931121</v>
      </c>
      <c r="M21" s="207">
        <f>NPV($C$1,$L$6:L21)+L$5</f>
        <v>29.055015165437958</v>
      </c>
      <c r="N21" s="208"/>
      <c r="O21" s="206"/>
      <c r="P21" s="212"/>
    </row>
    <row r="22" spans="1:16" x14ac:dyDescent="0.2">
      <c r="A22" s="196" t="str">
        <f t="shared" si="0"/>
        <v>w18</v>
      </c>
      <c r="B22" s="196">
        <v>18</v>
      </c>
      <c r="C22" s="196">
        <f t="shared" si="1"/>
        <v>2030</v>
      </c>
      <c r="D22" s="206">
        <f>D21*(1+'Avoided Cost inputs'!$G$9)</f>
        <v>0.29847789333192087</v>
      </c>
      <c r="E22" s="207">
        <f>NPV($C$1,$D$6:D22)+D$5</f>
        <v>2.3953658611423689</v>
      </c>
      <c r="F22" s="210">
        <f t="shared" si="2"/>
        <v>5.3215069123824267E-2</v>
      </c>
      <c r="G22" s="211"/>
      <c r="H22" s="205"/>
      <c r="I22" s="205"/>
      <c r="J22" s="206">
        <f>'Avoided Cost inputs'!K24/100</f>
        <v>0.13375643038839435</v>
      </c>
      <c r="K22" s="207">
        <f>NPV($C$1,$J$6:J22)+J$5</f>
        <v>1.1802562529458296</v>
      </c>
      <c r="L22" s="206">
        <f>'Avoided Cost inputs'!L24/100</f>
        <v>3.4152849893708943</v>
      </c>
      <c r="M22" s="207">
        <f>NPV($C$1,$L$6:L22)+L$5</f>
        <v>30.136206929209276</v>
      </c>
      <c r="N22" s="208"/>
      <c r="O22" s="206"/>
      <c r="P22" s="212"/>
    </row>
    <row r="23" spans="1:16" x14ac:dyDescent="0.2">
      <c r="A23" s="196" t="str">
        <f t="shared" si="0"/>
        <v>w19</v>
      </c>
      <c r="B23" s="196">
        <v>19</v>
      </c>
      <c r="C23" s="196">
        <f t="shared" si="1"/>
        <v>2031</v>
      </c>
      <c r="D23" s="206">
        <f>D22*(1+'Avoided Cost inputs'!$G$9)</f>
        <v>0.30444745119855932</v>
      </c>
      <c r="E23" s="207">
        <f>NPV($C$1,$D$6:D23)+D$5</f>
        <v>2.4854408763681035</v>
      </c>
      <c r="F23" s="210">
        <f t="shared" si="2"/>
        <v>4.9733709461518005E-2</v>
      </c>
      <c r="G23" s="211"/>
      <c r="H23" s="205"/>
      <c r="I23" s="205"/>
      <c r="J23" s="206">
        <f>'Avoided Cost inputs'!K25/100</f>
        <v>0.13643465128895493</v>
      </c>
      <c r="K23" s="207">
        <f>NPV($C$1,$J$6:J23)+J$5</f>
        <v>1.2206223431981513</v>
      </c>
      <c r="L23" s="206">
        <f>'Avoided Cost inputs'!L25/100</f>
        <v>3.4836696465671406</v>
      </c>
      <c r="M23" s="207">
        <f>NPV($C$1,$L$6:L23)+L$5</f>
        <v>31.166899074013308</v>
      </c>
      <c r="N23" s="208"/>
      <c r="O23" s="206"/>
      <c r="P23" s="212"/>
    </row>
    <row r="24" spans="1:16" x14ac:dyDescent="0.2">
      <c r="A24" s="196" t="str">
        <f t="shared" si="0"/>
        <v>w20</v>
      </c>
      <c r="B24" s="196">
        <v>20</v>
      </c>
      <c r="C24" s="196">
        <f t="shared" si="1"/>
        <v>2032</v>
      </c>
      <c r="D24" s="206">
        <f>D23*(1+'Avoided Cost inputs'!$G$9)</f>
        <v>0.31053640022253048</v>
      </c>
      <c r="E24" s="207">
        <f>NPV($C$1,$D$6:D24)+D$5</f>
        <v>2.5713067787328225</v>
      </c>
      <c r="F24" s="210">
        <f t="shared" si="2"/>
        <v>4.6480102300484112E-2</v>
      </c>
      <c r="G24" s="211"/>
      <c r="H24" s="205"/>
      <c r="I24" s="205"/>
      <c r="J24" s="206">
        <f>'Avoided Cost inputs'!K26/100</f>
        <v>0.13914866137555504</v>
      </c>
      <c r="K24" s="207">
        <f>NPV($C$1,$J$6:J24)+J$5</f>
        <v>1.2590981075957959</v>
      </c>
      <c r="L24" s="206">
        <f>'Avoided Cost inputs'!L26/100</f>
        <v>3.5529681310052443</v>
      </c>
      <c r="M24" s="207">
        <f>NPV($C$1,$L$6:L24)+L$5</f>
        <v>32.149324369158201</v>
      </c>
      <c r="N24" s="208"/>
      <c r="O24" s="206"/>
      <c r="P24" s="212"/>
    </row>
    <row r="25" spans="1:16" x14ac:dyDescent="0.2">
      <c r="A25" s="196" t="str">
        <f t="shared" si="0"/>
        <v>w21</v>
      </c>
      <c r="B25" s="196">
        <v>21</v>
      </c>
      <c r="C25" s="196">
        <f t="shared" si="1"/>
        <v>2033</v>
      </c>
      <c r="D25" s="206">
        <f>D24*(1+'Avoided Cost inputs'!$G$9)</f>
        <v>0.31674712822698109</v>
      </c>
      <c r="E25" s="207">
        <f>NPV($C$1,$D$6:D25)+D$5</f>
        <v>2.6531602557533955</v>
      </c>
      <c r="F25" s="210">
        <f t="shared" si="2"/>
        <v>4.3439347944377669E-2</v>
      </c>
      <c r="G25" s="211"/>
      <c r="H25" s="205"/>
      <c r="I25" s="205"/>
      <c r="J25" s="206">
        <f>'Avoided Cost inputs'!K27/100</f>
        <v>0.14191628829190855</v>
      </c>
      <c r="K25" s="207">
        <f>NPV($C$1,$J$6:J25)+J$5</f>
        <v>1.2957719732992363</v>
      </c>
      <c r="L25" s="206">
        <f>'Avoided Cost inputs'!L27/100</f>
        <v>3.6236356468484394</v>
      </c>
      <c r="M25" s="207">
        <f>NPV($C$1,$L$6:L25)+L$5</f>
        <v>33.085740679577562</v>
      </c>
      <c r="N25" s="208"/>
      <c r="O25" s="206"/>
      <c r="P25" s="212"/>
    </row>
    <row r="26" spans="1:16" x14ac:dyDescent="0.2">
      <c r="A26" s="196" t="str">
        <f t="shared" si="0"/>
        <v>w22</v>
      </c>
      <c r="B26" s="196">
        <v>22</v>
      </c>
      <c r="C26" s="196">
        <f t="shared" si="1"/>
        <v>2034</v>
      </c>
      <c r="D26" s="206">
        <f>D25*(1+'Avoided Cost inputs'!$G$9)</f>
        <v>0.32308207079152074</v>
      </c>
      <c r="E26" s="207">
        <f>NPV($C$1,$D$6:D26)+D$5</f>
        <v>2.7311888039412313</v>
      </c>
      <c r="F26" s="210">
        <f t="shared" si="2"/>
        <v>4.0597521443343616E-2</v>
      </c>
      <c r="G26" s="211"/>
      <c r="H26" s="205"/>
      <c r="I26" s="205"/>
      <c r="J26" s="206">
        <f>'Avoided Cost inputs'!K28/100</f>
        <v>0.14473867974040061</v>
      </c>
      <c r="K26" s="207">
        <f>NPV($C$1,$J$6:J26)+J$5</f>
        <v>1.3307282586142926</v>
      </c>
      <c r="L26" s="206">
        <f>'Avoided Cost inputs'!L28/100</f>
        <v>3.6957014990857768</v>
      </c>
      <c r="M26" s="207">
        <f>NPV($C$1,$L$6:L26)+L$5</f>
        <v>33.978300956298554</v>
      </c>
      <c r="N26" s="208"/>
      <c r="O26" s="206"/>
      <c r="P26" s="212"/>
    </row>
    <row r="27" spans="1:16" x14ac:dyDescent="0.2">
      <c r="A27" s="196" t="str">
        <f t="shared" si="0"/>
        <v>w23</v>
      </c>
      <c r="B27" s="196">
        <v>23</v>
      </c>
      <c r="C27" s="196">
        <f t="shared" si="1"/>
        <v>2035</v>
      </c>
      <c r="D27" s="206">
        <f>D26*(1+'Avoided Cost inputs'!$G$9)</f>
        <v>0.32954371220735118</v>
      </c>
      <c r="E27" s="207">
        <f>NPV($C$1,$D$6:D27)+D$5</f>
        <v>2.8055711582885139</v>
      </c>
      <c r="F27" s="210">
        <f t="shared" si="2"/>
        <v>3.7941608825554779E-2</v>
      </c>
      <c r="G27" s="211"/>
      <c r="H27" s="205"/>
      <c r="I27" s="205"/>
      <c r="J27" s="206">
        <f>'Avoided Cost inputs'!K29/100</f>
        <v>0.14763194181116754</v>
      </c>
      <c r="K27" s="207">
        <f>NPV($C$1,$J$6:J27)+J$5</f>
        <v>1.3640507314820689</v>
      </c>
      <c r="L27" s="206">
        <f>'Avoided Cost inputs'!L29/100</f>
        <v>3.7695769343969134</v>
      </c>
      <c r="M27" s="207">
        <f>NPV($C$1,$L$6:L27)+L$5</f>
        <v>34.829144097548451</v>
      </c>
      <c r="N27" s="208"/>
      <c r="O27" s="206"/>
      <c r="P27" s="212"/>
    </row>
    <row r="28" spans="1:16" x14ac:dyDescent="0.2">
      <c r="A28" s="196" t="str">
        <f t="shared" si="0"/>
        <v>w24</v>
      </c>
      <c r="B28" s="196">
        <v>24</v>
      </c>
      <c r="C28" s="196">
        <f t="shared" si="1"/>
        <v>2036</v>
      </c>
      <c r="D28" s="206">
        <f>D27*(1+'Avoided Cost inputs'!$G$9)</f>
        <v>0.33613458645149819</v>
      </c>
      <c r="E28" s="207">
        <f>NPV($C$1,$D$6:D28)+D$5</f>
        <v>2.8764777016849892</v>
      </c>
      <c r="F28" s="210">
        <f t="shared" si="2"/>
        <v>3.5459447500518486E-2</v>
      </c>
      <c r="G28" s="211"/>
      <c r="H28" s="205"/>
      <c r="I28" s="205"/>
      <c r="J28" s="206">
        <f>'Avoided Cost inputs'!K30/100</f>
        <v>0.15058458064739089</v>
      </c>
      <c r="K28" s="207">
        <f>NPV($C$1,$J$6:J28)+J$5</f>
        <v>1.3958160794494816</v>
      </c>
      <c r="L28" s="206">
        <f>'Avoided Cost inputs'!L30/100</f>
        <v>3.8449684730848519</v>
      </c>
      <c r="M28" s="207">
        <f>NPV($C$1,$L$6:L28)+L$5</f>
        <v>35.640228213506305</v>
      </c>
      <c r="N28" s="208"/>
      <c r="O28" s="206"/>
      <c r="P28" s="212"/>
    </row>
    <row r="29" spans="1:16" x14ac:dyDescent="0.2">
      <c r="A29" s="196" t="str">
        <f t="shared" si="0"/>
        <v>w25</v>
      </c>
      <c r="B29" s="196">
        <v>25</v>
      </c>
      <c r="C29" s="196">
        <f t="shared" si="1"/>
        <v>2037</v>
      </c>
      <c r="D29" s="206">
        <f>D28*(1+'Avoided Cost inputs'!$G$9)</f>
        <v>0.34285727818052814</v>
      </c>
      <c r="E29" s="207">
        <f>NPV($C$1,$D$6:D29)+D$5</f>
        <v>2.9440708552031243</v>
      </c>
      <c r="F29" s="210">
        <f t="shared" si="2"/>
        <v>3.313967056123223E-2</v>
      </c>
      <c r="G29" s="211"/>
      <c r="H29" s="205"/>
      <c r="I29" s="205"/>
      <c r="J29" s="206">
        <f>'Avoided Cost inputs'!K31/100</f>
        <v>0.1535962722603387</v>
      </c>
      <c r="K29" s="207">
        <f>NPV($C$1,$J$6:J29)+J$5</f>
        <v>1.4260970653623424</v>
      </c>
      <c r="L29" s="206">
        <f>'Avoided Cost inputs'!L31/100</f>
        <v>3.9218678425465492</v>
      </c>
      <c r="M29" s="207">
        <f>NPV($C$1,$L$6:L29)+L$5</f>
        <v>36.413411202550229</v>
      </c>
      <c r="N29" s="208"/>
      <c r="O29" s="206"/>
      <c r="P29" s="212"/>
    </row>
    <row r="30" spans="1:16" x14ac:dyDescent="0.2">
      <c r="A30" s="196" t="str">
        <f t="shared" si="0"/>
        <v>w26</v>
      </c>
      <c r="B30" s="196">
        <v>26</v>
      </c>
      <c r="C30" s="196">
        <f t="shared" si="1"/>
        <v>2038</v>
      </c>
      <c r="D30" s="206">
        <f>D29*(1+'Avoided Cost inputs'!$G$9)</f>
        <v>0.34971442374413869</v>
      </c>
      <c r="E30" s="207">
        <f>NPV($C$1,$D$6:D30)+D$5</f>
        <v>3.0085054501456456</v>
      </c>
      <c r="F30" s="210">
        <f t="shared" si="2"/>
        <v>3.0971654730123577E-2</v>
      </c>
      <c r="G30" s="211"/>
      <c r="H30" s="205"/>
      <c r="I30" s="205"/>
      <c r="J30" s="206">
        <f>'Avoided Cost inputs'!K32/100</f>
        <v>0.15666819770554549</v>
      </c>
      <c r="K30" s="207">
        <f>NPV($C$1,$J$6:J30)+J$5</f>
        <v>1.4549630519334809</v>
      </c>
      <c r="L30" s="206">
        <f>'Avoided Cost inputs'!L32/100</f>
        <v>4.0003051993974807</v>
      </c>
      <c r="M30" s="207">
        <f>NPV($C$1,$L$6:L30)+L$5</f>
        <v>37.150464145377157</v>
      </c>
      <c r="N30" s="208"/>
      <c r="O30" s="213"/>
      <c r="P30" s="212"/>
    </row>
    <row r="31" spans="1:16" x14ac:dyDescent="0.2">
      <c r="A31" s="196" t="str">
        <f t="shared" si="0"/>
        <v>w27</v>
      </c>
      <c r="B31" s="196">
        <v>27</v>
      </c>
      <c r="C31" s="196">
        <f t="shared" si="1"/>
        <v>2039</v>
      </c>
      <c r="D31" s="206">
        <f>D30*(1+'Avoided Cost inputs'!$G$9)</f>
        <v>0.35670871221902145</v>
      </c>
      <c r="E31" s="207">
        <f>NPV($C$1,$D$6:D31)+D$5</f>
        <v>3.0699290827076755</v>
      </c>
      <c r="F31" s="210">
        <f t="shared" si="2"/>
        <v>2.8945471710395864E-2</v>
      </c>
      <c r="G31" s="211"/>
      <c r="H31" s="205"/>
      <c r="I31" s="205"/>
      <c r="J31" s="206">
        <f>'Avoided Cost inputs'!K33/100</f>
        <v>0.15980156165965639</v>
      </c>
      <c r="K31" s="207">
        <f>NPV($C$1,$J$6:J31)+J$5</f>
        <v>1.4824801606274634</v>
      </c>
      <c r="L31" s="206">
        <f>'Avoided Cost inputs'!L33/100</f>
        <v>4.0803113033854297</v>
      </c>
      <c r="M31" s="207">
        <f>NPV($C$1,$L$6:L31)+L$5</f>
        <v>37.853075361903755</v>
      </c>
      <c r="N31" s="208"/>
      <c r="O31" s="213"/>
      <c r="P31" s="212"/>
    </row>
    <row r="32" spans="1:16" x14ac:dyDescent="0.2">
      <c r="A32" s="196" t="str">
        <f t="shared" si="0"/>
        <v>w28</v>
      </c>
      <c r="B32" s="196">
        <v>28</v>
      </c>
      <c r="C32" s="196">
        <f t="shared" si="1"/>
        <v>2040</v>
      </c>
      <c r="D32" s="206">
        <f>D31*(1+'Avoided Cost inputs'!$G$9)</f>
        <v>0.3638428864634019</v>
      </c>
      <c r="E32" s="207">
        <f>NPV($C$1,$D$6:D32)+D$5</f>
        <v>3.1284824520658723</v>
      </c>
      <c r="F32" s="210">
        <f t="shared" si="2"/>
        <v>2.7051842719996132E-2</v>
      </c>
      <c r="G32" s="211"/>
      <c r="H32" s="205"/>
      <c r="I32" s="205"/>
      <c r="J32" s="206">
        <f>'Avoided Cost inputs'!K34/100</f>
        <v>0.16299759289284954</v>
      </c>
      <c r="K32" s="207">
        <f>NPV($C$1,$J$6:J32)+J$5</f>
        <v>1.5087114231207923</v>
      </c>
      <c r="L32" s="206">
        <f>'Avoided Cost inputs'!L34/100</f>
        <v>4.1619175294531381</v>
      </c>
      <c r="M32" s="207">
        <f>NPV($C$1,$L$6:L32)+L$5</f>
        <v>38.522854278592668</v>
      </c>
      <c r="N32" s="208"/>
      <c r="O32" s="213"/>
      <c r="P32" s="212"/>
    </row>
    <row r="33" spans="1:16" x14ac:dyDescent="0.2">
      <c r="A33" s="196" t="str">
        <f t="shared" si="0"/>
        <v>w29</v>
      </c>
      <c r="B33" s="196">
        <v>29</v>
      </c>
      <c r="C33" s="196">
        <f t="shared" si="1"/>
        <v>2041</v>
      </c>
      <c r="D33" s="206">
        <f>D32*(1+'Avoided Cost inputs'!$G$9)</f>
        <v>0.37111974419266996</v>
      </c>
      <c r="E33" s="207">
        <f>NPV($C$1,$D$6:D33)+D$5</f>
        <v>3.1842996826690126</v>
      </c>
      <c r="F33" s="210">
        <f t="shared" si="2"/>
        <v>2.5282095999996382E-2</v>
      </c>
      <c r="G33" s="211"/>
      <c r="H33" s="205"/>
      <c r="I33" s="205"/>
      <c r="J33" s="206">
        <f>'Avoided Cost inputs'!K35/100</f>
        <v>0.16625754475070653</v>
      </c>
      <c r="K33" s="207">
        <f>NPV($C$1,$J$6:J33)+J$5</f>
        <v>1.5337169256845264</v>
      </c>
      <c r="L33" s="206">
        <f>'Avoided Cost inputs'!L35/100</f>
        <v>4.2451558800422013</v>
      </c>
      <c r="M33" s="207">
        <f>NPV($C$1,$L$6:L33)+L$5</f>
        <v>39.161335115062464</v>
      </c>
      <c r="N33" s="208"/>
      <c r="O33" s="208"/>
      <c r="P33" s="212"/>
    </row>
    <row r="34" spans="1:16" x14ac:dyDescent="0.2">
      <c r="A34" s="196" t="str">
        <f t="shared" si="0"/>
        <v>w30</v>
      </c>
      <c r="B34" s="196">
        <v>30</v>
      </c>
      <c r="C34" s="196">
        <f t="shared" si="1"/>
        <v>2042</v>
      </c>
      <c r="D34" s="206">
        <f>D33*(1+'Avoided Cost inputs'!$G$9)</f>
        <v>0.37854213907652334</v>
      </c>
      <c r="E34" s="207">
        <f>NPV($C$1,$D$6:D34)+D$5</f>
        <v>3.2375086314682684</v>
      </c>
      <c r="F34" s="210">
        <f t="shared" si="2"/>
        <v>2.3628127102800354E-2</v>
      </c>
      <c r="G34" s="211"/>
      <c r="H34" s="205"/>
      <c r="I34" s="205"/>
      <c r="J34" s="206">
        <f>'Avoided Cost inputs'!K36/100</f>
        <v>0.16958269564572068</v>
      </c>
      <c r="K34" s="207">
        <f>NPV($C$1,$J$6:J34)+J$5</f>
        <v>1.5575539468200486</v>
      </c>
      <c r="L34" s="206">
        <f>'Avoided Cost inputs'!L36/100</f>
        <v>4.3300589976430457</v>
      </c>
      <c r="M34" s="207">
        <f>NPV($C$1,$L$6:L34)+L$5</f>
        <v>39.769980398426199</v>
      </c>
      <c r="N34" s="208"/>
      <c r="O34" s="208"/>
      <c r="P34" s="212"/>
    </row>
    <row r="35" spans="1:16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214"/>
      <c r="M35" s="196"/>
      <c r="N35" s="208"/>
    </row>
    <row r="36" spans="1:16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</row>
    <row r="37" spans="1:16" x14ac:dyDescent="0.2">
      <c r="B37" s="196"/>
      <c r="C37" s="196"/>
      <c r="D37" s="196"/>
      <c r="E37" s="196">
        <v>4</v>
      </c>
      <c r="F37" s="196"/>
      <c r="G37" s="196"/>
      <c r="H37" s="196"/>
      <c r="I37" s="196"/>
      <c r="J37" s="196"/>
      <c r="K37" s="196">
        <v>10</v>
      </c>
      <c r="L37" s="196"/>
      <c r="M37" s="196">
        <v>12</v>
      </c>
    </row>
    <row r="38" spans="1:16" x14ac:dyDescent="0.2">
      <c r="B38" s="196" t="s">
        <v>19</v>
      </c>
      <c r="C38" s="197"/>
      <c r="D38" s="196" t="s">
        <v>15</v>
      </c>
      <c r="E38" s="196"/>
      <c r="F38" s="196"/>
      <c r="G38" s="196"/>
      <c r="H38" s="196"/>
      <c r="I38" s="196"/>
      <c r="J38" s="196"/>
      <c r="K38" s="196"/>
      <c r="L38" s="196"/>
      <c r="M38" s="196"/>
    </row>
    <row r="39" spans="1:16" x14ac:dyDescent="0.2">
      <c r="B39" s="196"/>
      <c r="C39" s="197"/>
      <c r="D39" s="196" t="s">
        <v>16</v>
      </c>
      <c r="E39" s="196"/>
      <c r="F39" s="196"/>
      <c r="G39" s="196"/>
      <c r="H39" s="196"/>
      <c r="I39" s="196"/>
      <c r="J39" s="196"/>
      <c r="K39" s="196"/>
      <c r="L39" s="196"/>
      <c r="M39" s="196"/>
    </row>
    <row r="40" spans="1:16" x14ac:dyDescent="0.2">
      <c r="B40" s="196" t="s">
        <v>17</v>
      </c>
      <c r="C40" s="197"/>
      <c r="D40" s="195" t="s">
        <v>1209</v>
      </c>
      <c r="E40" s="195" t="s">
        <v>18</v>
      </c>
      <c r="F40" s="201"/>
      <c r="G40" s="195"/>
      <c r="H40" s="195"/>
      <c r="I40" s="195"/>
      <c r="J40" s="195" t="s">
        <v>1209</v>
      </c>
      <c r="K40" s="195" t="s">
        <v>18</v>
      </c>
      <c r="L40" s="195" t="s">
        <v>1209</v>
      </c>
      <c r="M40" s="195" t="s">
        <v>18</v>
      </c>
    </row>
    <row r="41" spans="1:16" x14ac:dyDescent="0.2">
      <c r="A41" s="196" t="str">
        <f>+"s"&amp;B41</f>
        <v>s1</v>
      </c>
      <c r="B41" s="196">
        <v>1</v>
      </c>
      <c r="C41" s="196">
        <v>2013</v>
      </c>
      <c r="D41" s="202">
        <f>'Avoided Cost inputs'!D62/1000</f>
        <v>0.17451926013208352</v>
      </c>
      <c r="E41" s="207">
        <f>+D41</f>
        <v>0.17451926013208352</v>
      </c>
      <c r="F41" s="205">
        <f>E41</f>
        <v>0.17451926013208352</v>
      </c>
      <c r="G41" s="1"/>
      <c r="H41" s="211"/>
      <c r="I41" s="203"/>
      <c r="J41" s="206">
        <f t="shared" ref="J41:J70" si="3">J5</f>
        <v>9.5199999999999993E-2</v>
      </c>
      <c r="K41" s="215">
        <f>+J41</f>
        <v>9.5199999999999993E-2</v>
      </c>
      <c r="L41" s="206">
        <f t="shared" ref="L41:L70" si="4">+L5</f>
        <v>2.4308000000000001</v>
      </c>
      <c r="M41" s="216">
        <f>+L41</f>
        <v>2.4308000000000001</v>
      </c>
      <c r="O41" s="208"/>
    </row>
    <row r="42" spans="1:16" x14ac:dyDescent="0.2">
      <c r="A42" s="196" t="str">
        <f t="shared" ref="A42:A70" si="5">+"s"&amp;B42</f>
        <v>s2</v>
      </c>
      <c r="B42" s="196">
        <v>2</v>
      </c>
      <c r="C42" s="196">
        <f t="shared" ref="C42:C69" si="6">+C41+1</f>
        <v>2014</v>
      </c>
      <c r="D42" s="202">
        <f>'Avoided Cost inputs'!D63/1000</f>
        <v>0.15623428398703951</v>
      </c>
      <c r="E42" s="207">
        <f>NPV($C$1,$D$42:D42)+D$41</f>
        <v>0.32053260965268116</v>
      </c>
      <c r="F42" s="205">
        <f>NPV($C$1,D42)</f>
        <v>0.14601334952059766</v>
      </c>
      <c r="G42" s="1"/>
      <c r="H42" s="211"/>
      <c r="I42" s="203"/>
      <c r="J42" s="206">
        <f t="shared" si="3"/>
        <v>9.7298497297514497E-2</v>
      </c>
      <c r="K42" s="207">
        <f>NPV($C$1,J$42:J42)+J$41</f>
        <v>0.18613317504440607</v>
      </c>
      <c r="L42" s="206">
        <f t="shared" si="4"/>
        <v>2.4843822188109064</v>
      </c>
      <c r="M42" s="216">
        <f>NPV($C$1,L$42:L42)+L$41</f>
        <v>4.7526525409447729</v>
      </c>
      <c r="O42" s="208"/>
    </row>
    <row r="43" spans="1:16" x14ac:dyDescent="0.2">
      <c r="A43" s="196" t="str">
        <f t="shared" si="5"/>
        <v>s3</v>
      </c>
      <c r="B43" s="196">
        <v>3</v>
      </c>
      <c r="C43" s="196">
        <f t="shared" si="6"/>
        <v>2015</v>
      </c>
      <c r="D43" s="202">
        <f>'Avoided Cost inputs'!D64/1000</f>
        <v>0.17323676629409684</v>
      </c>
      <c r="E43" s="207">
        <f>NPV($C$1,$D$42:D43)+D$41</f>
        <v>0.47184431049476067</v>
      </c>
      <c r="F43" s="205">
        <f t="shared" ref="F43:F70" si="7">NPV($C$1,D43)</f>
        <v>0.16190351990102508</v>
      </c>
      <c r="G43" s="1"/>
      <c r="H43" s="211"/>
      <c r="I43" s="203"/>
      <c r="J43" s="206">
        <f t="shared" si="3"/>
        <v>9.9364265948682889E-2</v>
      </c>
      <c r="K43" s="207">
        <f>NPV($C$1,J$42:J43)+J$41</f>
        <v>0.27292177313042482</v>
      </c>
      <c r="L43" s="206">
        <f t="shared" si="4"/>
        <v>2.5371287570174204</v>
      </c>
      <c r="M43" s="216">
        <f>NPV($C$1,L$42:L43)+L$41</f>
        <v>6.9686790559394609</v>
      </c>
      <c r="O43" s="208"/>
    </row>
    <row r="44" spans="1:16" x14ac:dyDescent="0.2">
      <c r="A44" s="196" t="str">
        <f t="shared" si="5"/>
        <v>s4</v>
      </c>
      <c r="B44" s="196">
        <v>4</v>
      </c>
      <c r="C44" s="196">
        <f t="shared" si="6"/>
        <v>2016</v>
      </c>
      <c r="D44" s="202">
        <f>'Avoided Cost inputs'!D65/1000</f>
        <v>0.1844184170519704</v>
      </c>
      <c r="E44" s="207">
        <f>NPV($C$1,$D$42:D44)+D$41</f>
        <v>0.62238467279385579</v>
      </c>
      <c r="F44" s="205">
        <f t="shared" si="7"/>
        <v>0.17235366079623402</v>
      </c>
      <c r="G44" s="1"/>
      <c r="H44" s="211"/>
      <c r="I44" s="203"/>
      <c r="J44" s="206">
        <f t="shared" si="3"/>
        <v>0.10136283662520844</v>
      </c>
      <c r="K44" s="207">
        <f>NPV($C$1,J$42:J44)+J$41</f>
        <v>0.35566404146321678</v>
      </c>
      <c r="L44" s="206">
        <f t="shared" si="4"/>
        <v>2.588159488115092</v>
      </c>
      <c r="M44" s="216">
        <f>NPV($C$1,L$42:L44)+L$41</f>
        <v>9.0813881511427255</v>
      </c>
      <c r="O44" s="208"/>
    </row>
    <row r="45" spans="1:16" x14ac:dyDescent="0.2">
      <c r="A45" s="196" t="str">
        <f t="shared" si="5"/>
        <v>s5</v>
      </c>
      <c r="B45" s="196">
        <v>5</v>
      </c>
      <c r="C45" s="196">
        <f t="shared" si="6"/>
        <v>2017</v>
      </c>
      <c r="D45" s="202">
        <f>'Avoided Cost inputs'!D66/1000</f>
        <v>0.2049010097643548</v>
      </c>
      <c r="E45" s="207">
        <f>NPV($C$1,$D$42:D45)+D$41</f>
        <v>0.77870267208678523</v>
      </c>
      <c r="F45" s="205">
        <f t="shared" si="7"/>
        <v>0.19149627080780821</v>
      </c>
      <c r="G45" s="1"/>
      <c r="H45" s="211"/>
      <c r="I45" s="203"/>
      <c r="J45" s="206">
        <f t="shared" si="3"/>
        <v>0.10339681392031182</v>
      </c>
      <c r="K45" s="207">
        <f>NPV($C$1,J$42:J45)+J$41</f>
        <v>0.43454497574399154</v>
      </c>
      <c r="L45" s="206">
        <f t="shared" si="4"/>
        <v>2.6400942781249377</v>
      </c>
      <c r="M45" s="216">
        <f>NPV($C$1,L$42:L45)+L$41</f>
        <v>11.095503435278307</v>
      </c>
      <c r="O45" s="208"/>
    </row>
    <row r="46" spans="1:16" x14ac:dyDescent="0.2">
      <c r="A46" s="196" t="str">
        <f t="shared" si="5"/>
        <v>s6</v>
      </c>
      <c r="B46" s="196">
        <v>6</v>
      </c>
      <c r="C46" s="196">
        <f t="shared" si="6"/>
        <v>2018</v>
      </c>
      <c r="D46" s="202">
        <f>'Avoided Cost inputs'!D67/1000</f>
        <v>0.22591634395152108</v>
      </c>
      <c r="E46" s="207">
        <f>NPV($C$1,$D$42:D46)+D$41</f>
        <v>0.93977790304369857</v>
      </c>
      <c r="F46" s="205">
        <f t="shared" si="7"/>
        <v>0.21113677004815051</v>
      </c>
      <c r="G46" s="1"/>
      <c r="H46" s="211"/>
      <c r="I46" s="203"/>
      <c r="J46" s="206">
        <f t="shared" si="3"/>
        <v>0.10548767899696598</v>
      </c>
      <c r="K46" s="207">
        <f>NPV($C$1,J$42:J46)+J$41</f>
        <v>0.5097562329746379</v>
      </c>
      <c r="L46" s="206">
        <f t="shared" si="4"/>
        <v>2.6934816187586659</v>
      </c>
      <c r="M46" s="216">
        <f>NPV($C$1,L$42:L46)+L$41</f>
        <v>13.015918604146535</v>
      </c>
      <c r="O46" s="208"/>
    </row>
    <row r="47" spans="1:16" x14ac:dyDescent="0.2">
      <c r="A47" s="196" t="str">
        <f t="shared" si="5"/>
        <v>s7</v>
      </c>
      <c r="B47" s="196">
        <v>7</v>
      </c>
      <c r="C47" s="196">
        <f t="shared" si="6"/>
        <v>2019</v>
      </c>
      <c r="D47" s="202">
        <f>'Avoided Cost inputs'!D68/1000</f>
        <v>0.27799295152527931</v>
      </c>
      <c r="E47" s="207">
        <f>NPV($C$1,$D$42:D47)+D$41</f>
        <v>1.1250163445683692</v>
      </c>
      <c r="F47" s="205">
        <f t="shared" si="7"/>
        <v>0.25980649675259748</v>
      </c>
      <c r="G47" s="1"/>
      <c r="H47" s="211"/>
      <c r="I47" s="203"/>
      <c r="J47" s="206">
        <f t="shared" si="3"/>
        <v>0.10764828612188308</v>
      </c>
      <c r="K47" s="207">
        <f>NPV($C$1,J$42:J47)+J$41</f>
        <v>0.58148683133912971</v>
      </c>
      <c r="L47" s="206">
        <f t="shared" si="4"/>
        <v>2.7486497258936295</v>
      </c>
      <c r="M47" s="216">
        <f>NPV($C$1,L$42:L47)+L$41</f>
        <v>14.847459974991143</v>
      </c>
      <c r="O47" s="208"/>
    </row>
    <row r="48" spans="1:16" x14ac:dyDescent="0.2">
      <c r="A48" s="196" t="str">
        <f t="shared" si="5"/>
        <v>s8</v>
      </c>
      <c r="B48" s="196">
        <v>8</v>
      </c>
      <c r="C48" s="196">
        <f t="shared" si="6"/>
        <v>2020</v>
      </c>
      <c r="D48" s="202">
        <f>'Avoided Cost inputs'!D69/1000</f>
        <v>0.26315808164038457</v>
      </c>
      <c r="E48" s="207">
        <f>NPV($C$1,$D$42:D48)+D$41</f>
        <v>1.2888979719847629</v>
      </c>
      <c r="F48" s="205">
        <f t="shared" si="7"/>
        <v>0.24594213237419116</v>
      </c>
      <c r="G48" s="1"/>
      <c r="H48" s="211"/>
      <c r="I48" s="203"/>
      <c r="J48" s="206">
        <f t="shared" si="3"/>
        <v>0.10985669505113624</v>
      </c>
      <c r="K48" s="207">
        <f>NPV($C$1,J$42:J48)+J$41</f>
        <v>0.64990005982651899</v>
      </c>
      <c r="L48" s="206">
        <f t="shared" si="4"/>
        <v>2.8050383858225008</v>
      </c>
      <c r="M48" s="216">
        <f>NPV($C$1,L$42:L48)+L$41</f>
        <v>16.594296905738474</v>
      </c>
      <c r="O48" s="208"/>
    </row>
    <row r="49" spans="1:16" x14ac:dyDescent="0.2">
      <c r="A49" s="196" t="str">
        <f t="shared" si="5"/>
        <v>s9</v>
      </c>
      <c r="B49" s="196">
        <v>9</v>
      </c>
      <c r="C49" s="196">
        <f t="shared" si="6"/>
        <v>2021</v>
      </c>
      <c r="D49" s="202">
        <f>'Avoided Cost inputs'!D70/1000</f>
        <v>0.26957260739670197</v>
      </c>
      <c r="E49" s="207">
        <f>NPV($C$1,$D$42:D49)+D$41</f>
        <v>1.4457916838309799</v>
      </c>
      <c r="F49" s="205">
        <f t="shared" si="7"/>
        <v>0.25193701625859993</v>
      </c>
      <c r="G49" s="217"/>
      <c r="H49" s="211"/>
      <c r="I49" s="203"/>
      <c r="J49" s="206">
        <f t="shared" si="3"/>
        <v>0.11204276204062769</v>
      </c>
      <c r="K49" s="207">
        <f>NPV($C$1,J$42:J49)+J$41</f>
        <v>0.71510996743477839</v>
      </c>
      <c r="L49" s="206">
        <f t="shared" si="4"/>
        <v>2.860856575297877</v>
      </c>
      <c r="M49" s="216">
        <f>NPV($C$1,L$42:L49)+L$41</f>
        <v>18.259341479416598</v>
      </c>
      <c r="O49" s="208"/>
      <c r="P49" s="212"/>
    </row>
    <row r="50" spans="1:16" x14ac:dyDescent="0.2">
      <c r="A50" s="196" t="str">
        <f t="shared" si="5"/>
        <v>s10</v>
      </c>
      <c r="B50" s="196">
        <v>10</v>
      </c>
      <c r="C50" s="196">
        <f t="shared" si="6"/>
        <v>2022</v>
      </c>
      <c r="D50" s="202">
        <f>'Avoided Cost inputs'!D71/1000</f>
        <v>0.27159908827510998</v>
      </c>
      <c r="E50" s="207">
        <f>NPV($C$1,$D$42:D50)+D$41</f>
        <v>1.5935235923989028</v>
      </c>
      <c r="F50" s="205">
        <f t="shared" si="7"/>
        <v>0.25383092362159809</v>
      </c>
      <c r="G50" s="205"/>
      <c r="H50" s="211"/>
      <c r="I50" s="203"/>
      <c r="J50" s="206">
        <f t="shared" si="3"/>
        <v>0.11422025951897766</v>
      </c>
      <c r="K50" s="207">
        <f>NPV($C$1,J$42:J50)+J$41</f>
        <v>0.77723822067386861</v>
      </c>
      <c r="L50" s="206">
        <f t="shared" si="4"/>
        <v>2.9164559541883506</v>
      </c>
      <c r="M50" s="216">
        <f>NPV($C$1,L$42:L50)+L$41</f>
        <v>19.84570028166009</v>
      </c>
      <c r="O50" s="208"/>
      <c r="P50" s="212"/>
    </row>
    <row r="51" spans="1:16" x14ac:dyDescent="0.2">
      <c r="A51" s="196" t="str">
        <f t="shared" si="5"/>
        <v>s11</v>
      </c>
      <c r="B51" s="196">
        <v>11</v>
      </c>
      <c r="C51" s="196">
        <f t="shared" si="6"/>
        <v>2023</v>
      </c>
      <c r="D51" s="206">
        <f>D50*(1+'Avoided Cost inputs'!$G$58)</f>
        <v>0.27703107004061217</v>
      </c>
      <c r="E51" s="207">
        <f>NPV($C$1,$D$42:D51)+D$41</f>
        <v>1.7343521407533713</v>
      </c>
      <c r="F51" s="205">
        <f t="shared" si="7"/>
        <v>0.25890754209403005</v>
      </c>
      <c r="G51" s="205"/>
      <c r="H51" s="211"/>
      <c r="I51" s="203"/>
      <c r="J51" s="206">
        <f t="shared" si="3"/>
        <v>0.11650160493479873</v>
      </c>
      <c r="K51" s="207">
        <f>NPV($C$1,J$42:J51)+J$41</f>
        <v>0.83646172907503202</v>
      </c>
      <c r="L51" s="206">
        <f t="shared" si="4"/>
        <v>2.9747069461713114</v>
      </c>
      <c r="M51" s="216">
        <f>NPV($C$1,L$42:L51)+L$41</f>
        <v>21.357890452054502</v>
      </c>
      <c r="O51" s="208"/>
      <c r="P51" s="212"/>
    </row>
    <row r="52" spans="1:16" x14ac:dyDescent="0.2">
      <c r="A52" s="196" t="str">
        <f t="shared" si="5"/>
        <v>s12</v>
      </c>
      <c r="B52" s="196">
        <v>12</v>
      </c>
      <c r="C52" s="196">
        <f t="shared" si="6"/>
        <v>2024</v>
      </c>
      <c r="D52" s="206">
        <f>D51*(1+'Avoided Cost inputs'!$G$58)</f>
        <v>0.28257169144142441</v>
      </c>
      <c r="E52" s="207">
        <f>NPV($C$1,$D$42:D52)+D$41</f>
        <v>1.868599915820248</v>
      </c>
      <c r="F52" s="205">
        <f t="shared" si="7"/>
        <v>0.26408569293591067</v>
      </c>
      <c r="G52" s="205"/>
      <c r="H52" s="211"/>
      <c r="I52" s="203"/>
      <c r="J52" s="206">
        <f t="shared" si="3"/>
        <v>0.11881365138941909</v>
      </c>
      <c r="K52" s="207">
        <f>NPV($C$1,J$42:J52)+J$41</f>
        <v>0.89290923896265106</v>
      </c>
      <c r="L52" s="206">
        <f t="shared" si="4"/>
        <v>3.0337418466113446</v>
      </c>
      <c r="M52" s="216">
        <f>NPV($C$1,L$42:L52)+L$41</f>
        <v>22.799199349479125</v>
      </c>
      <c r="O52" s="208"/>
      <c r="P52" s="212"/>
    </row>
    <row r="53" spans="1:16" x14ac:dyDescent="0.2">
      <c r="A53" s="196" t="str">
        <f t="shared" si="5"/>
        <v>s13</v>
      </c>
      <c r="B53" s="196">
        <v>13</v>
      </c>
      <c r="C53" s="196">
        <f t="shared" si="6"/>
        <v>2025</v>
      </c>
      <c r="D53" s="206">
        <f>D52*(1+'Avoided Cost inputs'!$G$58)</f>
        <v>0.2882231252702529</v>
      </c>
      <c r="E53" s="207">
        <f>NPV($C$1,$D$42:D53)+D$41</f>
        <v>1.9965744303699808</v>
      </c>
      <c r="F53" s="205">
        <f t="shared" si="7"/>
        <v>0.26936740679462884</v>
      </c>
      <c r="G53" s="205"/>
      <c r="H53" s="211"/>
      <c r="I53" s="203"/>
      <c r="J53" s="206">
        <f t="shared" si="3"/>
        <v>0.12118392461170606</v>
      </c>
      <c r="K53" s="207">
        <f>NPV($C$1,J$42:J53)+J$41</f>
        <v>0.94671635075797622</v>
      </c>
      <c r="L53" s="206">
        <f t="shared" si="4"/>
        <v>3.0942634868291505</v>
      </c>
      <c r="M53" s="216">
        <f>NPV($C$1,L$42:L53)+L$41</f>
        <v>24.173089342673205</v>
      </c>
      <c r="O53" s="208"/>
      <c r="P53" s="212"/>
    </row>
    <row r="54" spans="1:16" x14ac:dyDescent="0.2">
      <c r="A54" s="196" t="str">
        <f t="shared" si="5"/>
        <v>s14</v>
      </c>
      <c r="B54" s="196">
        <v>14</v>
      </c>
      <c r="C54" s="196">
        <f t="shared" si="6"/>
        <v>2026</v>
      </c>
      <c r="D54" s="206">
        <f>D53*(1+'Avoided Cost inputs'!$G$58)</f>
        <v>0.29398758777565798</v>
      </c>
      <c r="E54" s="207">
        <f>NPV($C$1,$D$42:D54)+D$41</f>
        <v>2.1185688274173895</v>
      </c>
      <c r="F54" s="205">
        <f t="shared" si="7"/>
        <v>0.27475475493052148</v>
      </c>
      <c r="G54" s="205"/>
      <c r="H54" s="211"/>
      <c r="I54" s="203"/>
      <c r="J54" s="206">
        <f t="shared" si="3"/>
        <v>0.12360201876670215</v>
      </c>
      <c r="K54" s="207">
        <f>NPV($C$1,J$42:J54)+J$41</f>
        <v>0.99800679423340943</v>
      </c>
      <c r="L54" s="206">
        <f t="shared" si="4"/>
        <v>3.156006168257349</v>
      </c>
      <c r="M54" s="216">
        <f>NPV($C$1,L$42:L54)+L$41</f>
        <v>25.482719699816933</v>
      </c>
      <c r="O54" s="208"/>
      <c r="P54" s="212"/>
    </row>
    <row r="55" spans="1:16" x14ac:dyDescent="0.2">
      <c r="A55" s="196" t="str">
        <f t="shared" si="5"/>
        <v>s15</v>
      </c>
      <c r="B55" s="196">
        <v>15</v>
      </c>
      <c r="C55" s="196">
        <f t="shared" si="6"/>
        <v>2027</v>
      </c>
      <c r="D55" s="206">
        <f>D54*(1+'Avoided Cost inputs'!$G$58)</f>
        <v>0.29986733953117112</v>
      </c>
      <c r="E55" s="207">
        <f>NPV($C$1,$D$42:D55)+D$41</f>
        <v>2.2348625517055734</v>
      </c>
      <c r="F55" s="205">
        <f t="shared" si="7"/>
        <v>0.28024985002913189</v>
      </c>
      <c r="G55" s="205"/>
      <c r="H55" s="211"/>
      <c r="I55" s="203"/>
      <c r="J55" s="206">
        <f t="shared" si="3"/>
        <v>0.12605647595893024</v>
      </c>
      <c r="K55" s="207">
        <f>NPV($C$1,J$42:J55)+J$41</f>
        <v>1.0468936689521686</v>
      </c>
      <c r="L55" s="206">
        <f t="shared" si="4"/>
        <v>3.2186773294219289</v>
      </c>
      <c r="M55" s="216">
        <f>NPV($C$1,L$42:L55)+L$41</f>
        <v>26.730978261438356</v>
      </c>
      <c r="O55" s="208"/>
      <c r="P55" s="212"/>
    </row>
    <row r="56" spans="1:16" x14ac:dyDescent="0.2">
      <c r="A56" s="196" t="str">
        <f t="shared" si="5"/>
        <v>s16</v>
      </c>
      <c r="B56" s="196">
        <v>16</v>
      </c>
      <c r="C56" s="196">
        <f t="shared" si="6"/>
        <v>2028</v>
      </c>
      <c r="D56" s="206">
        <f>D55*(1+'Avoided Cost inputs'!$G$58)</f>
        <v>0.30586468632179453</v>
      </c>
      <c r="E56" s="207">
        <f>NPV($C$1,$D$42:D56)+D$41</f>
        <v>2.3457219898120667</v>
      </c>
      <c r="F56" s="205">
        <f t="shared" si="7"/>
        <v>0.28585484702971448</v>
      </c>
      <c r="G56" s="205"/>
      <c r="H56" s="211"/>
      <c r="I56" s="203"/>
      <c r="J56" s="206">
        <f t="shared" si="3"/>
        <v>0.12856520034559663</v>
      </c>
      <c r="K56" s="207">
        <f>NPV($C$1,J$42:J56)+J$41</f>
        <v>1.0934916140819526</v>
      </c>
      <c r="L56" s="206">
        <f t="shared" si="4"/>
        <v>3.2827341281520619</v>
      </c>
      <c r="M56" s="216">
        <f>NPV($C$1,L$42:L56)+L$41</f>
        <v>27.920792179731205</v>
      </c>
      <c r="O56" s="208"/>
      <c r="P56" s="212"/>
    </row>
    <row r="57" spans="1:16" x14ac:dyDescent="0.2">
      <c r="A57" s="196" t="str">
        <f t="shared" si="5"/>
        <v>s17</v>
      </c>
      <c r="B57" s="196">
        <v>17</v>
      </c>
      <c r="C57" s="196">
        <f t="shared" si="6"/>
        <v>2029</v>
      </c>
      <c r="D57" s="206">
        <f>D56*(1+'Avoided Cost inputs'!$G$58)</f>
        <v>0.31198198004823041</v>
      </c>
      <c r="E57" s="207">
        <f>NPV($C$1,$D$42:D57)+D$41</f>
        <v>2.4514010803434902</v>
      </c>
      <c r="F57" s="205">
        <f t="shared" si="7"/>
        <v>0.29157194397030878</v>
      </c>
      <c r="G57" s="205"/>
      <c r="H57" s="211"/>
      <c r="I57" s="203"/>
      <c r="J57" s="206">
        <f t="shared" si="3"/>
        <v>0.13113741180252764</v>
      </c>
      <c r="K57" s="207">
        <f>NPV($C$1,J$42:J57)+J$41</f>
        <v>1.1379123925249683</v>
      </c>
      <c r="L57" s="206">
        <f t="shared" si="4"/>
        <v>3.3484119811931121</v>
      </c>
      <c r="M57" s="216">
        <f>NPV($C$1,L$42:L57)+L$41</f>
        <v>29.055015165437958</v>
      </c>
      <c r="O57" s="208"/>
      <c r="P57" s="212"/>
    </row>
    <row r="58" spans="1:16" x14ac:dyDescent="0.2">
      <c r="A58" s="196" t="str">
        <f t="shared" si="5"/>
        <v>s18</v>
      </c>
      <c r="B58" s="196">
        <v>18</v>
      </c>
      <c r="C58" s="196">
        <f t="shared" si="6"/>
        <v>2030</v>
      </c>
      <c r="D58" s="206">
        <f>D57*(1+'Avoided Cost inputs'!$G$58)</f>
        <v>0.31822161964919504</v>
      </c>
      <c r="E58" s="207">
        <f>NPV($C$1,$D$42:D58)+D$41</f>
        <v>2.5521418956164359</v>
      </c>
      <c r="F58" s="205">
        <f t="shared" si="7"/>
        <v>0.29740338284971496</v>
      </c>
      <c r="G58" s="205"/>
      <c r="H58" s="211"/>
      <c r="I58" s="203"/>
      <c r="J58" s="206">
        <f t="shared" si="3"/>
        <v>0.13375643038839435</v>
      </c>
      <c r="K58" s="207">
        <f>NPV($C$1,J$42:J58)+J$41</f>
        <v>1.1802562529458296</v>
      </c>
      <c r="L58" s="206">
        <f t="shared" si="4"/>
        <v>3.4152849893708943</v>
      </c>
      <c r="M58" s="216">
        <f>NPV($C$1,L$42:L58)+L$41</f>
        <v>30.136206929209276</v>
      </c>
      <c r="O58" s="208"/>
      <c r="P58" s="212"/>
    </row>
    <row r="59" spans="1:16" x14ac:dyDescent="0.2">
      <c r="A59" s="196" t="str">
        <f t="shared" si="5"/>
        <v>s19</v>
      </c>
      <c r="B59" s="196">
        <v>19</v>
      </c>
      <c r="C59" s="196">
        <f t="shared" si="6"/>
        <v>2031</v>
      </c>
      <c r="D59" s="206">
        <f>D58*(1+'Avoided Cost inputs'!$G$58)</f>
        <v>0.32458605204217894</v>
      </c>
      <c r="E59" s="207">
        <f>NPV($C$1,$D$42:D59)+D$41</f>
        <v>2.648175196157001</v>
      </c>
      <c r="F59" s="205">
        <f t="shared" si="7"/>
        <v>0.30335145050670925</v>
      </c>
      <c r="G59" s="205"/>
      <c r="H59" s="211"/>
      <c r="I59" s="203"/>
      <c r="J59" s="206">
        <f t="shared" si="3"/>
        <v>0.13643465128895493</v>
      </c>
      <c r="K59" s="207">
        <f>NPV($C$1,J$42:J59)+J$41</f>
        <v>1.2206223431981513</v>
      </c>
      <c r="L59" s="206">
        <f t="shared" si="4"/>
        <v>3.4836696465671406</v>
      </c>
      <c r="M59" s="216">
        <f>NPV($C$1,L$42:L59)+L$41</f>
        <v>31.166899074013308</v>
      </c>
      <c r="O59" s="208"/>
      <c r="P59" s="212"/>
    </row>
    <row r="60" spans="1:16" x14ac:dyDescent="0.2">
      <c r="A60" s="196" t="str">
        <f t="shared" si="5"/>
        <v>s20</v>
      </c>
      <c r="B60" s="196">
        <v>20</v>
      </c>
      <c r="C60" s="196">
        <f t="shared" si="6"/>
        <v>2032</v>
      </c>
      <c r="D60" s="206">
        <f>D59*(1+'Avoided Cost inputs'!$G$58)</f>
        <v>0.33107777308302255</v>
      </c>
      <c r="E60" s="207">
        <f>NPV($C$1,$D$42:D60)+D$41</f>
        <v>2.7397209592891287</v>
      </c>
      <c r="F60" s="205">
        <f t="shared" si="7"/>
        <v>0.30941847951684348</v>
      </c>
      <c r="G60" s="205"/>
      <c r="H60" s="211"/>
      <c r="I60" s="203"/>
      <c r="J60" s="206">
        <f t="shared" si="3"/>
        <v>0.13914866137555504</v>
      </c>
      <c r="K60" s="207">
        <f>NPV($C$1,J$42:J60)+J$41</f>
        <v>1.2590981075957959</v>
      </c>
      <c r="L60" s="206">
        <f t="shared" si="4"/>
        <v>3.5529681310052443</v>
      </c>
      <c r="M60" s="216">
        <f>NPV($C$1,L$42:L60)+L$41</f>
        <v>32.149324369158201</v>
      </c>
      <c r="O60" s="208"/>
      <c r="P60" s="212"/>
    </row>
    <row r="61" spans="1:16" x14ac:dyDescent="0.2">
      <c r="A61" s="196" t="str">
        <f t="shared" si="5"/>
        <v>s21</v>
      </c>
      <c r="B61" s="196">
        <v>21</v>
      </c>
      <c r="C61" s="196">
        <f t="shared" si="6"/>
        <v>2033</v>
      </c>
      <c r="D61" s="206">
        <f>D60*(1+'Avoided Cost inputs'!$G$58)</f>
        <v>0.33769932854468299</v>
      </c>
      <c r="E61" s="207">
        <f>NPV($C$1,$D$42:D61)+D$41</f>
        <v>2.8269888830225582</v>
      </c>
      <c r="F61" s="205">
        <f t="shared" si="7"/>
        <v>0.31560684910718034</v>
      </c>
      <c r="G61" s="205"/>
      <c r="H61" s="211"/>
      <c r="I61" s="203"/>
      <c r="J61" s="206">
        <f t="shared" si="3"/>
        <v>0.14191628829190855</v>
      </c>
      <c r="K61" s="207">
        <f>NPV($C$1,J$42:J61)+J$41</f>
        <v>1.2957719732992363</v>
      </c>
      <c r="L61" s="206">
        <f t="shared" si="4"/>
        <v>3.6236356468484394</v>
      </c>
      <c r="M61" s="216">
        <f>NPV($C$1,L$42:L61)+L$41</f>
        <v>33.085740679577562</v>
      </c>
      <c r="O61" s="208"/>
      <c r="P61" s="212"/>
    </row>
    <row r="62" spans="1:16" x14ac:dyDescent="0.2">
      <c r="A62" s="196" t="str">
        <f t="shared" si="5"/>
        <v>s22</v>
      </c>
      <c r="B62" s="196">
        <v>22</v>
      </c>
      <c r="C62" s="196">
        <f t="shared" si="6"/>
        <v>2034</v>
      </c>
      <c r="D62" s="206">
        <f>D61*(1+'Avoided Cost inputs'!$G$58)</f>
        <v>0.34445331511557664</v>
      </c>
      <c r="E62" s="207">
        <f>NPV($C$1,$D$42:D62)+D$41</f>
        <v>2.9101788663946131</v>
      </c>
      <c r="F62" s="205">
        <f t="shared" si="7"/>
        <v>0.32191898608932396</v>
      </c>
      <c r="G62" s="205"/>
      <c r="H62" s="211"/>
      <c r="I62" s="203"/>
      <c r="J62" s="206">
        <f t="shared" si="3"/>
        <v>0.14473867974040061</v>
      </c>
      <c r="K62" s="207">
        <f>NPV($C$1,J$42:J62)+J$41</f>
        <v>1.3307282586142926</v>
      </c>
      <c r="L62" s="206">
        <f t="shared" si="4"/>
        <v>3.6957014990857768</v>
      </c>
      <c r="M62" s="216">
        <f>NPV($C$1,L$42:L62)+L$41</f>
        <v>33.978300956298554</v>
      </c>
      <c r="O62" s="208"/>
      <c r="P62" s="212"/>
    </row>
    <row r="63" spans="1:16" x14ac:dyDescent="0.2">
      <c r="A63" s="196" t="str">
        <f t="shared" si="5"/>
        <v>s23</v>
      </c>
      <c r="B63" s="196">
        <v>23</v>
      </c>
      <c r="C63" s="196">
        <f t="shared" si="6"/>
        <v>2035</v>
      </c>
      <c r="D63" s="206">
        <f>D62*(1+'Avoided Cost inputs'!$G$58)</f>
        <v>0.35134238141788821</v>
      </c>
      <c r="E63" s="207">
        <f>NPV($C$1,$D$42:D63)+D$41</f>
        <v>2.9894814673661045</v>
      </c>
      <c r="F63" s="205">
        <f t="shared" si="7"/>
        <v>0.32835736581111047</v>
      </c>
      <c r="G63" s="205"/>
      <c r="H63" s="211"/>
      <c r="I63" s="203"/>
      <c r="J63" s="206">
        <f t="shared" si="3"/>
        <v>0.14763194181116754</v>
      </c>
      <c r="K63" s="207">
        <f>NPV($C$1,J$42:J63)+J$41</f>
        <v>1.3640507314820689</v>
      </c>
      <c r="L63" s="206">
        <f t="shared" si="4"/>
        <v>3.7695769343969134</v>
      </c>
      <c r="M63" s="216">
        <f>NPV($C$1,L$42:L63)+L$41</f>
        <v>34.829144097548451</v>
      </c>
      <c r="O63" s="208"/>
      <c r="P63" s="212"/>
    </row>
    <row r="64" spans="1:16" x14ac:dyDescent="0.2">
      <c r="A64" s="196" t="str">
        <f t="shared" si="5"/>
        <v>s24</v>
      </c>
      <c r="B64" s="196">
        <v>24</v>
      </c>
      <c r="C64" s="196">
        <f t="shared" si="6"/>
        <v>2036</v>
      </c>
      <c r="D64" s="206">
        <f>D63*(1+'Avoided Cost inputs'!$G$58)</f>
        <v>0.35836922904624596</v>
      </c>
      <c r="E64" s="207">
        <f>NPV($C$1,$D$42:D64)+D$41</f>
        <v>3.0650783393202365</v>
      </c>
      <c r="F64" s="205">
        <f t="shared" si="7"/>
        <v>0.33492451312733268</v>
      </c>
      <c r="G64" s="205"/>
      <c r="H64" s="211"/>
      <c r="I64" s="203"/>
      <c r="J64" s="206">
        <f t="shared" si="3"/>
        <v>0.15058458064739089</v>
      </c>
      <c r="K64" s="207">
        <f>NPV($C$1,J$42:J64)+J$41</f>
        <v>1.3958160794494816</v>
      </c>
      <c r="L64" s="206">
        <f t="shared" si="4"/>
        <v>3.8449684730848519</v>
      </c>
      <c r="M64" s="216">
        <f>NPV($C$1,L$42:L64)+L$41</f>
        <v>35.640228213506305</v>
      </c>
      <c r="O64" s="208"/>
      <c r="P64" s="212"/>
    </row>
    <row r="65" spans="1:16" x14ac:dyDescent="0.2">
      <c r="A65" s="196" t="str">
        <f t="shared" si="5"/>
        <v>s25</v>
      </c>
      <c r="B65" s="196">
        <v>25</v>
      </c>
      <c r="C65" s="196">
        <f t="shared" si="6"/>
        <v>2037</v>
      </c>
      <c r="D65" s="206">
        <f>D64*(1+'Avoided Cost inputs'!$G$58)</f>
        <v>0.36553661362717088</v>
      </c>
      <c r="E65" s="207">
        <f>NPV($C$1,$D$42:D65)+D$41</f>
        <v>3.1371426471643624</v>
      </c>
      <c r="F65" s="205">
        <f t="shared" si="7"/>
        <v>0.34162300338987933</v>
      </c>
      <c r="G65" s="205"/>
      <c r="H65" s="211"/>
      <c r="I65" s="203"/>
      <c r="J65" s="206">
        <f t="shared" si="3"/>
        <v>0.1535962722603387</v>
      </c>
      <c r="K65" s="207">
        <f>NPV($C$1,J$42:J65)+J$41</f>
        <v>1.4260970653623424</v>
      </c>
      <c r="L65" s="206">
        <f t="shared" si="4"/>
        <v>3.9218678425465492</v>
      </c>
      <c r="M65" s="216">
        <f>NPV($C$1,L$42:L65)+L$41</f>
        <v>36.413411202550229</v>
      </c>
      <c r="O65" s="208"/>
      <c r="P65" s="212"/>
    </row>
    <row r="66" spans="1:16" x14ac:dyDescent="0.2">
      <c r="A66" s="196" t="str">
        <f t="shared" si="5"/>
        <v>s26</v>
      </c>
      <c r="B66" s="196">
        <v>26</v>
      </c>
      <c r="C66" s="196">
        <f t="shared" si="6"/>
        <v>2038</v>
      </c>
      <c r="D66" s="206">
        <f>D65*(1+'Avoided Cost inputs'!$G$58)</f>
        <v>0.3728473458997143</v>
      </c>
      <c r="E66" s="207">
        <f>NPV($C$1,$D$42:D66)+D$41</f>
        <v>3.2058394639877346</v>
      </c>
      <c r="F66" s="205">
        <f t="shared" si="7"/>
        <v>0.34845546345767692</v>
      </c>
      <c r="G66" s="205"/>
      <c r="H66" s="211"/>
      <c r="I66" s="203"/>
      <c r="J66" s="206">
        <f t="shared" si="3"/>
        <v>0.15666819770554549</v>
      </c>
      <c r="K66" s="207">
        <f>NPV($C$1,J$42:J66)+J$41</f>
        <v>1.4549630519334809</v>
      </c>
      <c r="L66" s="206">
        <f t="shared" si="4"/>
        <v>4.0003051993974807</v>
      </c>
      <c r="M66" s="216">
        <f>NPV($C$1,L$42:L66)+L$41</f>
        <v>37.150464145377157</v>
      </c>
      <c r="O66" s="208"/>
      <c r="P66" s="212"/>
    </row>
    <row r="67" spans="1:16" x14ac:dyDescent="0.2">
      <c r="A67" s="196" t="str">
        <f t="shared" si="5"/>
        <v>s27</v>
      </c>
      <c r="B67" s="196">
        <v>27</v>
      </c>
      <c r="C67" s="196">
        <f t="shared" si="6"/>
        <v>2039</v>
      </c>
      <c r="D67" s="206">
        <f>D66*(1+'Avoided Cost inputs'!$G$58)</f>
        <v>0.38030429281770861</v>
      </c>
      <c r="E67" s="207">
        <f>NPV($C$1,$D$42:D67)+D$41</f>
        <v>3.2713261491838463</v>
      </c>
      <c r="F67" s="205">
        <f t="shared" si="7"/>
        <v>0.35542457272683048</v>
      </c>
      <c r="G67" s="205"/>
      <c r="H67" s="211"/>
      <c r="I67" s="203"/>
      <c r="J67" s="206">
        <f t="shared" si="3"/>
        <v>0.15980156165965639</v>
      </c>
      <c r="K67" s="207">
        <f>NPV($C$1,J$42:J67)+J$41</f>
        <v>1.4824801606274634</v>
      </c>
      <c r="L67" s="206">
        <f t="shared" si="4"/>
        <v>4.0803113033854297</v>
      </c>
      <c r="M67" s="216">
        <f>NPV($C$1,L$42:L67)+L$41</f>
        <v>37.853075361903755</v>
      </c>
      <c r="O67" s="208"/>
      <c r="P67" s="212"/>
    </row>
    <row r="68" spans="1:16" x14ac:dyDescent="0.2">
      <c r="A68" s="196" t="str">
        <f t="shared" si="5"/>
        <v>s28</v>
      </c>
      <c r="B68" s="196">
        <v>28</v>
      </c>
      <c r="C68" s="196">
        <f t="shared" si="6"/>
        <v>2040</v>
      </c>
      <c r="D68" s="206">
        <f>D67*(1+'Avoided Cost inputs'!$G$58)</f>
        <v>0.38791037867406281</v>
      </c>
      <c r="E68" s="207">
        <f>NPV($C$1,$D$42:D68)+D$41</f>
        <v>3.3337527089035044</v>
      </c>
      <c r="F68" s="205">
        <f t="shared" si="7"/>
        <v>0.3625330641813671</v>
      </c>
      <c r="G68" s="205"/>
      <c r="H68" s="211"/>
      <c r="I68" s="203"/>
      <c r="J68" s="206">
        <f t="shared" si="3"/>
        <v>0.16299759289284954</v>
      </c>
      <c r="K68" s="207">
        <f>NPV($C$1,J$42:J68)+J$41</f>
        <v>1.5087114231207923</v>
      </c>
      <c r="L68" s="206">
        <f t="shared" si="4"/>
        <v>4.1619175294531381</v>
      </c>
      <c r="M68" s="216">
        <f>NPV($C$1,L$42:L68)+L$41</f>
        <v>38.522854278592668</v>
      </c>
      <c r="O68" s="208"/>
      <c r="P68" s="212"/>
    </row>
    <row r="69" spans="1:16" x14ac:dyDescent="0.2">
      <c r="A69" s="196" t="str">
        <f t="shared" si="5"/>
        <v>s29</v>
      </c>
      <c r="B69" s="196">
        <v>29</v>
      </c>
      <c r="C69" s="196">
        <f t="shared" si="6"/>
        <v>2041</v>
      </c>
      <c r="D69" s="206">
        <f>D68*(1+'Avoided Cost inputs'!$G$58)</f>
        <v>0.39566858624754409</v>
      </c>
      <c r="E69" s="207">
        <f>NPV($C$1,$D$42:D69)+D$41</f>
        <v>3.3932621396643001</v>
      </c>
      <c r="F69" s="205">
        <f t="shared" si="7"/>
        <v>0.36978372546499444</v>
      </c>
      <c r="G69" s="205"/>
      <c r="H69" s="211"/>
      <c r="I69" s="203"/>
      <c r="J69" s="206">
        <f t="shared" si="3"/>
        <v>0.16625754475070653</v>
      </c>
      <c r="K69" s="207">
        <f>NPV($C$1,J$42:J69)+J$41</f>
        <v>1.5337169256845264</v>
      </c>
      <c r="L69" s="206">
        <f t="shared" si="4"/>
        <v>4.2451558800422013</v>
      </c>
      <c r="M69" s="216">
        <f>NPV($C$1,L$42:L69)+L$41</f>
        <v>39.161335115062464</v>
      </c>
      <c r="O69" s="208"/>
      <c r="P69" s="212"/>
    </row>
    <row r="70" spans="1:16" x14ac:dyDescent="0.2">
      <c r="A70" s="196" t="str">
        <f t="shared" si="5"/>
        <v>s30</v>
      </c>
      <c r="B70" s="196">
        <v>30</v>
      </c>
      <c r="C70" s="196">
        <f>+C69+1</f>
        <v>2042</v>
      </c>
      <c r="D70" s="206">
        <f>D69*(1+'Avoided Cost inputs'!$G$58)</f>
        <v>0.40358195797249496</v>
      </c>
      <c r="E70" s="207">
        <f>NPV($C$1,$D$42:D70)+D$41</f>
        <v>3.449990755903563</v>
      </c>
      <c r="F70" s="205">
        <f t="shared" si="7"/>
        <v>0.37717939997429434</v>
      </c>
      <c r="G70" s="205"/>
      <c r="H70" s="211"/>
      <c r="I70" s="203"/>
      <c r="J70" s="206">
        <f t="shared" si="3"/>
        <v>0.16958269564572068</v>
      </c>
      <c r="K70" s="207">
        <f>NPV($C$1,J$42:J70)+J$41</f>
        <v>1.5575539468200486</v>
      </c>
      <c r="L70" s="206">
        <f t="shared" si="4"/>
        <v>4.3300589976430457</v>
      </c>
      <c r="M70" s="216">
        <f>NPV($C$1,L$42:L70)+L$41</f>
        <v>39.769980398426199</v>
      </c>
      <c r="O70" s="208"/>
      <c r="P70" s="212"/>
    </row>
    <row r="71" spans="1:16" x14ac:dyDescent="0.2">
      <c r="B71" s="196"/>
      <c r="C71" s="196"/>
      <c r="D71" s="206"/>
      <c r="E71" s="196"/>
      <c r="F71" s="196"/>
      <c r="G71" s="196"/>
      <c r="H71" s="196"/>
      <c r="I71" s="196"/>
      <c r="J71" s="196"/>
      <c r="K71" s="196"/>
      <c r="L71" s="196"/>
      <c r="M71" s="196"/>
    </row>
    <row r="72" spans="1:16" x14ac:dyDescent="0.2">
      <c r="B72" s="196"/>
      <c r="C72" s="196"/>
      <c r="D72" s="206"/>
      <c r="E72" s="196"/>
      <c r="F72" s="196"/>
      <c r="G72" s="196"/>
      <c r="H72" s="196"/>
      <c r="I72" s="196"/>
      <c r="J72" s="196"/>
      <c r="K72" s="196"/>
      <c r="L72" s="196"/>
      <c r="M72" s="196"/>
    </row>
    <row r="73" spans="1:16" x14ac:dyDescent="0.2">
      <c r="B73" s="196"/>
      <c r="C73" s="196"/>
      <c r="D73" s="196"/>
      <c r="E73" s="196">
        <v>4</v>
      </c>
      <c r="F73" s="196"/>
      <c r="G73" s="196"/>
      <c r="H73" s="196"/>
      <c r="I73" s="196"/>
      <c r="J73" s="196"/>
      <c r="K73" s="196">
        <v>10</v>
      </c>
      <c r="L73" s="196"/>
      <c r="M73" s="196">
        <v>12</v>
      </c>
    </row>
    <row r="74" spans="1:16" x14ac:dyDescent="0.2">
      <c r="B74" s="196" t="s">
        <v>20</v>
      </c>
      <c r="C74" s="197"/>
      <c r="D74" s="196" t="s">
        <v>15</v>
      </c>
      <c r="E74" s="196"/>
      <c r="F74" s="196"/>
      <c r="G74" s="196"/>
      <c r="H74" s="196"/>
      <c r="I74" s="196"/>
      <c r="J74" s="196"/>
      <c r="K74" s="196"/>
      <c r="L74" s="196"/>
      <c r="M74" s="196"/>
    </row>
    <row r="75" spans="1:16" x14ac:dyDescent="0.2">
      <c r="B75" s="196" t="s">
        <v>21</v>
      </c>
      <c r="C75" s="197"/>
      <c r="D75" s="196" t="s">
        <v>16</v>
      </c>
      <c r="E75" s="196"/>
      <c r="F75" s="196"/>
      <c r="G75" s="196"/>
      <c r="H75" s="196"/>
      <c r="I75" s="196"/>
      <c r="J75" s="196"/>
      <c r="K75" s="196"/>
      <c r="L75" s="196"/>
      <c r="M75" s="196"/>
    </row>
    <row r="76" spans="1:16" x14ac:dyDescent="0.2">
      <c r="B76" s="196" t="s">
        <v>17</v>
      </c>
      <c r="C76" s="197"/>
      <c r="D76" s="195" t="s">
        <v>1209</v>
      </c>
      <c r="E76" s="195" t="s">
        <v>18</v>
      </c>
      <c r="F76" s="201"/>
      <c r="G76" s="195"/>
      <c r="H76" s="195"/>
      <c r="I76" s="195"/>
      <c r="J76" s="195" t="s">
        <v>1209</v>
      </c>
      <c r="K76" s="195" t="s">
        <v>18</v>
      </c>
      <c r="L76" s="195" t="s">
        <v>1209</v>
      </c>
      <c r="M76" s="195" t="s">
        <v>18</v>
      </c>
    </row>
    <row r="77" spans="1:16" x14ac:dyDescent="0.2">
      <c r="A77" s="196" t="str">
        <f>+"c"&amp;B77</f>
        <v>c1</v>
      </c>
      <c r="B77" s="196">
        <v>1</v>
      </c>
      <c r="C77" s="196">
        <v>2013</v>
      </c>
      <c r="D77" s="202">
        <f>'Avoided Cost inputs'!D30/1000</f>
        <v>0.17390606893095187</v>
      </c>
      <c r="E77" s="207">
        <f>+D77</f>
        <v>0.17390606893095187</v>
      </c>
      <c r="F77" s="205">
        <f>E77</f>
        <v>0.17390606893095187</v>
      </c>
      <c r="G77" s="1"/>
      <c r="H77" s="211"/>
      <c r="I77" s="203"/>
      <c r="J77" s="206">
        <f t="shared" ref="J77:J106" si="8">J5</f>
        <v>9.5199999999999993E-2</v>
      </c>
      <c r="K77" s="207">
        <f>+J77</f>
        <v>9.5199999999999993E-2</v>
      </c>
      <c r="L77" s="206">
        <f t="shared" ref="L77:L106" si="9">+L41</f>
        <v>2.4308000000000001</v>
      </c>
      <c r="M77" s="207">
        <f>+L77</f>
        <v>2.4308000000000001</v>
      </c>
      <c r="O77" s="208"/>
    </row>
    <row r="78" spans="1:16" x14ac:dyDescent="0.2">
      <c r="A78" s="196" t="str">
        <f t="shared" ref="A78:A106" si="10">+"c"&amp;B78</f>
        <v>c2</v>
      </c>
      <c r="B78" s="196">
        <v>2</v>
      </c>
      <c r="C78" s="196">
        <f t="shared" ref="C78:C105" si="11">+C77+1</f>
        <v>2014</v>
      </c>
      <c r="D78" s="202">
        <f>'Avoided Cost inputs'!D31/1000</f>
        <v>0.15506690250274285</v>
      </c>
      <c r="E78" s="207">
        <f>NPV($C$1,D$78:D78)+D$77</f>
        <v>0.31882840771856202</v>
      </c>
      <c r="F78" s="205">
        <f>NPV($C$1,D78)</f>
        <v>0.14492233878761013</v>
      </c>
      <c r="G78" s="1"/>
      <c r="H78" s="211"/>
      <c r="I78" s="203"/>
      <c r="J78" s="206">
        <f t="shared" si="8"/>
        <v>9.7298497297514497E-2</v>
      </c>
      <c r="K78" s="207">
        <f>NPV($C$1,$J$78:J78)+J$77</f>
        <v>0.18613317504440607</v>
      </c>
      <c r="L78" s="206">
        <f t="shared" si="9"/>
        <v>2.4843822188109064</v>
      </c>
      <c r="M78" s="207">
        <f>NPV($C$1,L$78:L78)+L$77</f>
        <v>4.7526525409447729</v>
      </c>
      <c r="O78" s="208"/>
    </row>
    <row r="79" spans="1:16" x14ac:dyDescent="0.2">
      <c r="A79" s="196" t="str">
        <f t="shared" si="10"/>
        <v>c3</v>
      </c>
      <c r="B79" s="196">
        <v>3</v>
      </c>
      <c r="C79" s="196">
        <f t="shared" si="11"/>
        <v>2015</v>
      </c>
      <c r="D79" s="202">
        <f>'Avoided Cost inputs'!D32/1000</f>
        <v>0.17166020567177542</v>
      </c>
      <c r="E79" s="207">
        <f>NPV($C$1,D$78:D79)+D$77</f>
        <v>0.46876307945563545</v>
      </c>
      <c r="F79" s="205">
        <f t="shared" ref="F79:F106" si="12">NPV($C$1,D79)</f>
        <v>0.16043009875866862</v>
      </c>
      <c r="G79" s="1"/>
      <c r="H79" s="211"/>
      <c r="I79" s="203"/>
      <c r="J79" s="206">
        <f t="shared" si="8"/>
        <v>9.9364265948682889E-2</v>
      </c>
      <c r="K79" s="207">
        <f>NPV($C$1,$J$78:J79)+J$77</f>
        <v>0.27292177313042482</v>
      </c>
      <c r="L79" s="206">
        <f t="shared" si="9"/>
        <v>2.5371287570174204</v>
      </c>
      <c r="M79" s="207">
        <f>NPV($C$1,L$78:L79)+L$77</f>
        <v>6.9686790559394609</v>
      </c>
      <c r="N79" s="218"/>
      <c r="O79" s="208"/>
    </row>
    <row r="80" spans="1:16" x14ac:dyDescent="0.2">
      <c r="A80" s="196" t="str">
        <f t="shared" si="10"/>
        <v>c4</v>
      </c>
      <c r="B80" s="196">
        <v>4</v>
      </c>
      <c r="C80" s="196">
        <f t="shared" si="11"/>
        <v>2016</v>
      </c>
      <c r="D80" s="202">
        <f>'Avoided Cost inputs'!D33/1000</f>
        <v>0.18281090715044335</v>
      </c>
      <c r="E80" s="207">
        <f>NPV($C$1,D$78:D80)+D$77</f>
        <v>0.61799123483503304</v>
      </c>
      <c r="F80" s="205">
        <f t="shared" si="12"/>
        <v>0.17085131509387227</v>
      </c>
      <c r="G80" s="1"/>
      <c r="H80" s="211"/>
      <c r="I80" s="203"/>
      <c r="J80" s="206">
        <f t="shared" si="8"/>
        <v>0.10136283662520844</v>
      </c>
      <c r="K80" s="207">
        <f>NPV($C$1,$J$78:J80)+J$77</f>
        <v>0.35566404146321678</v>
      </c>
      <c r="L80" s="206">
        <f t="shared" si="9"/>
        <v>2.588159488115092</v>
      </c>
      <c r="M80" s="207">
        <f>NPV($C$1,L$78:L80)+L$77</f>
        <v>9.0813881511427255</v>
      </c>
      <c r="N80" s="218"/>
      <c r="O80" s="208"/>
    </row>
    <row r="81" spans="1:16" x14ac:dyDescent="0.2">
      <c r="A81" s="196" t="str">
        <f t="shared" si="10"/>
        <v>c5</v>
      </c>
      <c r="B81" s="196">
        <v>5</v>
      </c>
      <c r="C81" s="196">
        <f t="shared" si="11"/>
        <v>2017</v>
      </c>
      <c r="D81" s="202">
        <f>'Avoided Cost inputs'!D34/1000</f>
        <v>0.20310832218337999</v>
      </c>
      <c r="E81" s="207">
        <f>NPV($C$1,D$78:D81)+D$77</f>
        <v>0.77294160135573975</v>
      </c>
      <c r="F81" s="205">
        <f t="shared" si="12"/>
        <v>0.18982086185362615</v>
      </c>
      <c r="G81" s="1"/>
      <c r="H81" s="211"/>
      <c r="I81" s="203"/>
      <c r="J81" s="206">
        <f t="shared" si="8"/>
        <v>0.10339681392031182</v>
      </c>
      <c r="K81" s="207">
        <f>NPV($C$1,$J$78:J81)+J$77</f>
        <v>0.43454497574399154</v>
      </c>
      <c r="L81" s="206">
        <f t="shared" si="9"/>
        <v>2.6400942781249377</v>
      </c>
      <c r="M81" s="207">
        <f>NPV($C$1,L$78:L81)+L$77</f>
        <v>11.095503435278307</v>
      </c>
      <c r="N81" s="218"/>
      <c r="O81" s="208"/>
    </row>
    <row r="82" spans="1:16" x14ac:dyDescent="0.2">
      <c r="A82" s="196" t="str">
        <f t="shared" si="10"/>
        <v>c6</v>
      </c>
      <c r="B82" s="196">
        <v>6</v>
      </c>
      <c r="C82" s="196">
        <f t="shared" si="11"/>
        <v>2018</v>
      </c>
      <c r="D82" s="202">
        <f>'Avoided Cost inputs'!D35/1000</f>
        <v>0.22374126978633341</v>
      </c>
      <c r="E82" s="207">
        <f>NPV($C$1,D$78:D82)+D$77</f>
        <v>0.93246603449352228</v>
      </c>
      <c r="F82" s="205">
        <f t="shared" si="12"/>
        <v>0.20910399045451719</v>
      </c>
      <c r="G82" s="1"/>
      <c r="H82" s="211"/>
      <c r="I82" s="203"/>
      <c r="J82" s="206">
        <f t="shared" si="8"/>
        <v>0.10548767899696598</v>
      </c>
      <c r="K82" s="207">
        <f>NPV($C$1,$J$78:J82)+J$77</f>
        <v>0.5097562329746379</v>
      </c>
      <c r="L82" s="206">
        <f t="shared" si="9"/>
        <v>2.6934816187586659</v>
      </c>
      <c r="M82" s="207">
        <f>NPV($C$1,L$78:L82)+L$77</f>
        <v>13.015918604146535</v>
      </c>
      <c r="N82" s="218"/>
      <c r="O82" s="208"/>
    </row>
    <row r="83" spans="1:16" x14ac:dyDescent="0.2">
      <c r="A83" s="196" t="str">
        <f t="shared" si="10"/>
        <v>c7</v>
      </c>
      <c r="B83" s="196">
        <v>7</v>
      </c>
      <c r="C83" s="196">
        <f t="shared" si="11"/>
        <v>2019</v>
      </c>
      <c r="D83" s="202">
        <f>'Avoided Cost inputs'!D36/1000</f>
        <v>0.27307201382400176</v>
      </c>
      <c r="E83" s="207">
        <f>NPV($C$1,D$78:D83)+D$77</f>
        <v>1.1144254474470612</v>
      </c>
      <c r="F83" s="205">
        <f t="shared" si="12"/>
        <v>0.25520748955514183</v>
      </c>
      <c r="G83" s="1"/>
      <c r="H83" s="211"/>
      <c r="I83" s="203"/>
      <c r="J83" s="206">
        <f t="shared" si="8"/>
        <v>0.10764828612188308</v>
      </c>
      <c r="K83" s="207">
        <f>NPV($C$1,$J$78:J83)+J$77</f>
        <v>0.58148683133912971</v>
      </c>
      <c r="L83" s="206">
        <f t="shared" si="9"/>
        <v>2.7486497258936295</v>
      </c>
      <c r="M83" s="207">
        <f>NPV($C$1,L$78:L83)+L$77</f>
        <v>14.847459974991143</v>
      </c>
      <c r="N83" s="218"/>
      <c r="O83" s="208"/>
    </row>
    <row r="84" spans="1:16" x14ac:dyDescent="0.2">
      <c r="A84" s="196" t="str">
        <f t="shared" si="10"/>
        <v>c8</v>
      </c>
      <c r="B84" s="196">
        <v>8</v>
      </c>
      <c r="C84" s="196">
        <f t="shared" si="11"/>
        <v>2020</v>
      </c>
      <c r="D84" s="202">
        <f>'Avoided Cost inputs'!D37/1000</f>
        <v>0.26029727898342975</v>
      </c>
      <c r="E84" s="207">
        <f>NPV($C$1,D$78:D84)+D$77</f>
        <v>1.2765255107472535</v>
      </c>
      <c r="F84" s="205">
        <f t="shared" si="12"/>
        <v>0.24326848503124274</v>
      </c>
      <c r="G84" s="1"/>
      <c r="H84" s="211"/>
      <c r="I84" s="203"/>
      <c r="J84" s="206">
        <f t="shared" si="8"/>
        <v>0.10985669505113624</v>
      </c>
      <c r="K84" s="207">
        <f>NPV($C$1,$J$78:J84)+J$77</f>
        <v>0.64990005982651899</v>
      </c>
      <c r="L84" s="206">
        <f t="shared" si="9"/>
        <v>2.8050383858225008</v>
      </c>
      <c r="M84" s="207">
        <f>NPV($C$1,L$78:L84)+L$77</f>
        <v>16.594296905738474</v>
      </c>
      <c r="N84" s="218"/>
      <c r="O84" s="208"/>
    </row>
    <row r="85" spans="1:16" x14ac:dyDescent="0.2">
      <c r="A85" s="196" t="str">
        <f t="shared" si="10"/>
        <v>c9</v>
      </c>
      <c r="B85" s="196">
        <v>9</v>
      </c>
      <c r="C85" s="196">
        <f t="shared" si="11"/>
        <v>2021</v>
      </c>
      <c r="D85" s="202">
        <f>'Avoided Cost inputs'!D38/1000</f>
        <v>0.26664207215843228</v>
      </c>
      <c r="E85" s="207">
        <f>NPV($C$1,D$78:D85)+D$77</f>
        <v>1.4317136244035489</v>
      </c>
      <c r="F85" s="205">
        <f t="shared" si="12"/>
        <v>0.24919819827890866</v>
      </c>
      <c r="G85" s="1"/>
      <c r="H85" s="211"/>
      <c r="I85" s="203"/>
      <c r="J85" s="206">
        <f t="shared" si="8"/>
        <v>0.11204276204062769</v>
      </c>
      <c r="K85" s="207">
        <f>NPV($C$1,$J$78:J85)+J$77</f>
        <v>0.71510996743477839</v>
      </c>
      <c r="L85" s="206">
        <f t="shared" si="9"/>
        <v>2.860856575297877</v>
      </c>
      <c r="M85" s="207">
        <f>NPV($C$1,L$78:L85)+L$77</f>
        <v>18.259341479416598</v>
      </c>
      <c r="N85" s="218"/>
      <c r="O85" s="208"/>
      <c r="P85" s="212"/>
    </row>
    <row r="86" spans="1:16" x14ac:dyDescent="0.2">
      <c r="A86" s="196" t="str">
        <f t="shared" si="10"/>
        <v>c10</v>
      </c>
      <c r="B86" s="196">
        <v>10</v>
      </c>
      <c r="C86" s="196">
        <f t="shared" si="11"/>
        <v>2022</v>
      </c>
      <c r="D86" s="202">
        <f>'Avoided Cost inputs'!D39/1000</f>
        <v>0.26864652307733805</v>
      </c>
      <c r="E86" s="207">
        <f>NPV($C$1,D$78:D86)+D$77</f>
        <v>1.577839533133224</v>
      </c>
      <c r="F86" s="205">
        <f t="shared" si="12"/>
        <v>0.25107151689470847</v>
      </c>
      <c r="G86" s="205"/>
      <c r="H86" s="211"/>
      <c r="I86" s="203"/>
      <c r="J86" s="206">
        <f t="shared" si="8"/>
        <v>0.11422025951897766</v>
      </c>
      <c r="K86" s="207">
        <f>NPV($C$1,$J$78:J86)+J$77</f>
        <v>0.77723822067386861</v>
      </c>
      <c r="L86" s="206">
        <f t="shared" si="9"/>
        <v>2.9164559541883506</v>
      </c>
      <c r="M86" s="207">
        <f>NPV($C$1,L$78:L86)+L$77</f>
        <v>19.84570028166009</v>
      </c>
      <c r="N86" s="218"/>
      <c r="O86" s="208"/>
      <c r="P86" s="212"/>
    </row>
    <row r="87" spans="1:16" x14ac:dyDescent="0.2">
      <c r="A87" s="196" t="str">
        <f t="shared" si="10"/>
        <v>c11</v>
      </c>
      <c r="B87" s="196">
        <v>11</v>
      </c>
      <c r="C87" s="196">
        <f t="shared" si="11"/>
        <v>2023</v>
      </c>
      <c r="D87" s="206">
        <f>D86*(1+'Avoided Cost inputs'!$G$26)</f>
        <v>0.27401945353888479</v>
      </c>
      <c r="E87" s="207">
        <f>NPV($C$1,D$78:D87)+D$77</f>
        <v>1.7171371283708583</v>
      </c>
      <c r="F87" s="205">
        <f t="shared" si="12"/>
        <v>0.25609294723260262</v>
      </c>
      <c r="G87" s="205"/>
      <c r="H87" s="211"/>
      <c r="I87" s="203"/>
      <c r="J87" s="206">
        <f t="shared" si="8"/>
        <v>0.11650160493479873</v>
      </c>
      <c r="K87" s="207">
        <f>NPV($C$1,$J$78:J87)+J$77</f>
        <v>0.83646172907503202</v>
      </c>
      <c r="L87" s="206">
        <f t="shared" si="9"/>
        <v>2.9747069461713114</v>
      </c>
      <c r="M87" s="207">
        <f>NPV($C$1,L$78:L87)+L$77</f>
        <v>21.357890452054502</v>
      </c>
      <c r="N87" s="218"/>
      <c r="O87" s="208"/>
      <c r="P87" s="212"/>
    </row>
    <row r="88" spans="1:16" x14ac:dyDescent="0.2">
      <c r="A88" s="196" t="str">
        <f t="shared" si="10"/>
        <v>c12</v>
      </c>
      <c r="B88" s="196">
        <v>12</v>
      </c>
      <c r="C88" s="196">
        <f t="shared" si="11"/>
        <v>2024</v>
      </c>
      <c r="D88" s="206">
        <f>D87*(1+'Avoided Cost inputs'!$G$26)</f>
        <v>0.27949984260966249</v>
      </c>
      <c r="E88" s="207">
        <f>NPV($C$1,D$78:D88)+D$77</f>
        <v>1.8499254901861732</v>
      </c>
      <c r="F88" s="205">
        <f t="shared" si="12"/>
        <v>0.26121480617725462</v>
      </c>
      <c r="G88" s="205"/>
      <c r="H88" s="211"/>
      <c r="I88" s="203"/>
      <c r="J88" s="206">
        <f t="shared" si="8"/>
        <v>0.11881365138941909</v>
      </c>
      <c r="K88" s="207">
        <f>NPV($C$1,$J$78:J88)+J$77</f>
        <v>0.89290923896265106</v>
      </c>
      <c r="L88" s="206">
        <f t="shared" si="9"/>
        <v>3.0337418466113446</v>
      </c>
      <c r="M88" s="207">
        <f>NPV($C$1,L$78:L88)+L$77</f>
        <v>22.799199349479125</v>
      </c>
      <c r="N88" s="218"/>
      <c r="O88" s="208"/>
      <c r="P88" s="212"/>
    </row>
    <row r="89" spans="1:16" x14ac:dyDescent="0.2">
      <c r="A89" s="196" t="str">
        <f t="shared" si="10"/>
        <v>c13</v>
      </c>
      <c r="B89" s="196">
        <v>13</v>
      </c>
      <c r="C89" s="196">
        <f t="shared" si="11"/>
        <v>2025</v>
      </c>
      <c r="D89" s="206">
        <f>D88*(1+'Avoided Cost inputs'!$G$26)</f>
        <v>0.28508983946185573</v>
      </c>
      <c r="E89" s="207">
        <f>NPV($C$1,D$78:D89)+D$77</f>
        <v>1.9765087883652583</v>
      </c>
      <c r="F89" s="205">
        <f t="shared" si="12"/>
        <v>0.26643910230079976</v>
      </c>
      <c r="G89" s="205"/>
      <c r="H89" s="211"/>
      <c r="I89" s="203"/>
      <c r="J89" s="206">
        <f t="shared" si="8"/>
        <v>0.12118392461170606</v>
      </c>
      <c r="K89" s="207">
        <f>NPV($C$1,$J$78:J89)+J$77</f>
        <v>0.94671635075797622</v>
      </c>
      <c r="L89" s="206">
        <f t="shared" si="9"/>
        <v>3.0942634868291505</v>
      </c>
      <c r="M89" s="207">
        <f>NPV($C$1,L$78:L89)+L$77</f>
        <v>24.173089342673205</v>
      </c>
      <c r="N89" s="218"/>
      <c r="O89" s="208"/>
      <c r="P89" s="212"/>
    </row>
    <row r="90" spans="1:16" x14ac:dyDescent="0.2">
      <c r="A90" s="196" t="str">
        <f t="shared" si="10"/>
        <v>c14</v>
      </c>
      <c r="B90" s="196">
        <v>14</v>
      </c>
      <c r="C90" s="196">
        <f t="shared" si="11"/>
        <v>2026</v>
      </c>
      <c r="D90" s="206">
        <f>D89*(1+'Avoided Cost inputs'!$G$26)</f>
        <v>0.29079163625109283</v>
      </c>
      <c r="E90" s="207">
        <f>NPV($C$1,D$78:D90)+D$77</f>
        <v>2.0971769791527972</v>
      </c>
      <c r="F90" s="205">
        <f t="shared" si="12"/>
        <v>0.2717678843468157</v>
      </c>
      <c r="G90" s="205"/>
      <c r="H90" s="211"/>
      <c r="I90" s="203"/>
      <c r="J90" s="206">
        <f t="shared" si="8"/>
        <v>0.12360201876670215</v>
      </c>
      <c r="K90" s="207">
        <f>NPV($C$1,$J$78:J90)+J$77</f>
        <v>0.99800679423340943</v>
      </c>
      <c r="L90" s="206">
        <f t="shared" si="9"/>
        <v>3.156006168257349</v>
      </c>
      <c r="M90" s="207">
        <f>NPV($C$1,L$78:L90)+L$77</f>
        <v>25.482719699816933</v>
      </c>
      <c r="N90" s="218"/>
      <c r="O90" s="208"/>
      <c r="P90" s="212"/>
    </row>
    <row r="91" spans="1:16" x14ac:dyDescent="0.2">
      <c r="A91" s="196" t="str">
        <f t="shared" si="10"/>
        <v>c15</v>
      </c>
      <c r="B91" s="196">
        <v>15</v>
      </c>
      <c r="C91" s="196">
        <f t="shared" si="11"/>
        <v>2027</v>
      </c>
      <c r="D91" s="206">
        <f>D90*(1+'Avoided Cost inputs'!$G$26)</f>
        <v>0.29660746897611467</v>
      </c>
      <c r="E91" s="207">
        <f>NPV($C$1,D$78:D91)+D$77</f>
        <v>2.212206469436246</v>
      </c>
      <c r="F91" s="205">
        <f t="shared" si="12"/>
        <v>0.27720324203375202</v>
      </c>
      <c r="G91" s="205"/>
      <c r="H91" s="211"/>
      <c r="I91" s="203"/>
      <c r="J91" s="206">
        <f t="shared" si="8"/>
        <v>0.12605647595893024</v>
      </c>
      <c r="K91" s="207">
        <f>NPV($C$1,$J$78:J91)+J$77</f>
        <v>1.0468936689521686</v>
      </c>
      <c r="L91" s="206">
        <f t="shared" si="9"/>
        <v>3.2186773294219289</v>
      </c>
      <c r="M91" s="207">
        <f>NPV($C$1,L$78:L91)+L$77</f>
        <v>26.730978261438356</v>
      </c>
      <c r="N91" s="218"/>
      <c r="O91" s="208"/>
      <c r="P91" s="212"/>
    </row>
    <row r="92" spans="1:16" x14ac:dyDescent="0.2">
      <c r="A92" s="196" t="str">
        <f t="shared" si="10"/>
        <v>c16</v>
      </c>
      <c r="B92" s="196">
        <v>16</v>
      </c>
      <c r="C92" s="196">
        <f t="shared" si="11"/>
        <v>2028</v>
      </c>
      <c r="D92" s="206">
        <f>D91*(1+'Avoided Cost inputs'!$G$26)</f>
        <v>0.30253961835563697</v>
      </c>
      <c r="E92" s="207">
        <f>NPV($C$1,D$78:D92)+D$77</f>
        <v>2.3218607498933648</v>
      </c>
      <c r="F92" s="205">
        <f t="shared" si="12"/>
        <v>0.28274730687442706</v>
      </c>
      <c r="G92" s="205"/>
      <c r="H92" s="211"/>
      <c r="I92" s="203"/>
      <c r="J92" s="206">
        <f t="shared" si="8"/>
        <v>0.12856520034559663</v>
      </c>
      <c r="K92" s="207">
        <f>NPV($C$1,$J$78:J92)+J$77</f>
        <v>1.0934916140819526</v>
      </c>
      <c r="L92" s="206">
        <f t="shared" si="9"/>
        <v>3.2827341281520619</v>
      </c>
      <c r="M92" s="207">
        <f>NPV($C$1,L$78:L92)+L$77</f>
        <v>27.920792179731205</v>
      </c>
      <c r="N92" s="218"/>
      <c r="O92" s="208"/>
      <c r="P92" s="212"/>
    </row>
    <row r="93" spans="1:16" x14ac:dyDescent="0.2">
      <c r="A93" s="196" t="str">
        <f t="shared" si="10"/>
        <v>c17</v>
      </c>
      <c r="B93" s="196">
        <v>17</v>
      </c>
      <c r="C93" s="196">
        <f t="shared" si="11"/>
        <v>2029</v>
      </c>
      <c r="D93" s="206">
        <f>D92*(1+'Avoided Cost inputs'!$G$26)</f>
        <v>0.30859041072274973</v>
      </c>
      <c r="E93" s="207">
        <f>NPV($C$1,D$78:D93)+D$77</f>
        <v>2.4263909985534222</v>
      </c>
      <c r="F93" s="205">
        <f t="shared" si="12"/>
        <v>0.28840225301191563</v>
      </c>
      <c r="G93" s="205"/>
      <c r="H93" s="211"/>
      <c r="I93" s="203"/>
      <c r="J93" s="206">
        <f t="shared" si="8"/>
        <v>0.13113741180252764</v>
      </c>
      <c r="K93" s="207">
        <f>NPV($C$1,$J$78:J93)+J$77</f>
        <v>1.1379123925249683</v>
      </c>
      <c r="L93" s="206">
        <f t="shared" si="9"/>
        <v>3.3484119811931121</v>
      </c>
      <c r="M93" s="207">
        <f>NPV($C$1,L$78:L93)+L$77</f>
        <v>29.055015165437958</v>
      </c>
      <c r="N93" s="218"/>
      <c r="O93" s="208"/>
      <c r="P93" s="212"/>
    </row>
    <row r="94" spans="1:16" x14ac:dyDescent="0.2">
      <c r="A94" s="196" t="str">
        <f t="shared" si="10"/>
        <v>c18</v>
      </c>
      <c r="B94" s="196">
        <v>18</v>
      </c>
      <c r="C94" s="196">
        <f t="shared" si="11"/>
        <v>2030</v>
      </c>
      <c r="D94" s="206">
        <f>D93*(1+'Avoided Cost inputs'!$G$26)</f>
        <v>0.31476221893720474</v>
      </c>
      <c r="E94" s="207">
        <f>NPV($C$1,D$78:D94)+D$77</f>
        <v>2.5260366561545986</v>
      </c>
      <c r="F94" s="205">
        <f t="shared" si="12"/>
        <v>0.29417029807215395</v>
      </c>
      <c r="G94" s="205"/>
      <c r="H94" s="211"/>
      <c r="I94" s="203"/>
      <c r="J94" s="206">
        <f t="shared" si="8"/>
        <v>0.13375643038839435</v>
      </c>
      <c r="K94" s="207">
        <f>NPV($C$1,$J$78:J94)+J$77</f>
        <v>1.1802562529458296</v>
      </c>
      <c r="L94" s="206">
        <f t="shared" si="9"/>
        <v>3.4152849893708943</v>
      </c>
      <c r="M94" s="207">
        <f>NPV($C$1,L$78:L94)+L$77</f>
        <v>30.136206929209276</v>
      </c>
      <c r="N94" s="218"/>
      <c r="O94" s="208"/>
      <c r="P94" s="212"/>
    </row>
    <row r="95" spans="1:16" x14ac:dyDescent="0.2">
      <c r="A95" s="196" t="str">
        <f t="shared" si="10"/>
        <v>c19</v>
      </c>
      <c r="B95" s="196">
        <v>19</v>
      </c>
      <c r="C95" s="196">
        <f t="shared" si="11"/>
        <v>2031</v>
      </c>
      <c r="D95" s="206">
        <f>D94*(1+'Avoided Cost inputs'!$G$26)</f>
        <v>0.32105746331594887</v>
      </c>
      <c r="E95" s="207">
        <f>NPV($C$1,D$78:D95)+D$77</f>
        <v>2.6210259746155331</v>
      </c>
      <c r="F95" s="205">
        <f t="shared" si="12"/>
        <v>0.30005370403359705</v>
      </c>
      <c r="G95" s="205"/>
      <c r="H95" s="211"/>
      <c r="I95" s="203"/>
      <c r="J95" s="206">
        <f t="shared" si="8"/>
        <v>0.13643465128895493</v>
      </c>
      <c r="K95" s="207">
        <f>NPV($C$1,$J$78:J95)+J$77</f>
        <v>1.2206223431981513</v>
      </c>
      <c r="L95" s="206">
        <f t="shared" si="9"/>
        <v>3.4836696465671406</v>
      </c>
      <c r="M95" s="207">
        <f>NPV($C$1,L$78:L95)+L$77</f>
        <v>31.166899074013308</v>
      </c>
      <c r="N95" s="218"/>
      <c r="O95" s="208"/>
      <c r="P95" s="212"/>
    </row>
    <row r="96" spans="1:16" x14ac:dyDescent="0.2">
      <c r="A96" s="196" t="str">
        <f t="shared" si="10"/>
        <v>c20</v>
      </c>
      <c r="B96" s="196">
        <v>20</v>
      </c>
      <c r="C96" s="196">
        <f t="shared" si="11"/>
        <v>2032</v>
      </c>
      <c r="D96" s="206">
        <f>D95*(1+'Avoided Cost inputs'!$G$26)</f>
        <v>0.32747861258226785</v>
      </c>
      <c r="E96" s="207">
        <f>NPV($C$1,D$78:D96)+D$77</f>
        <v>2.7115765398773579</v>
      </c>
      <c r="F96" s="205">
        <f t="shared" si="12"/>
        <v>0.30605477811426901</v>
      </c>
      <c r="G96" s="205"/>
      <c r="H96" s="211"/>
      <c r="I96" s="203"/>
      <c r="J96" s="206">
        <f t="shared" si="8"/>
        <v>0.13914866137555504</v>
      </c>
      <c r="K96" s="207">
        <f>NPV($C$1,$J$78:J96)+J$77</f>
        <v>1.2590981075957959</v>
      </c>
      <c r="L96" s="206">
        <f t="shared" si="9"/>
        <v>3.5529681310052443</v>
      </c>
      <c r="M96" s="207">
        <f>NPV($C$1,L$78:L96)+L$77</f>
        <v>32.149324369158201</v>
      </c>
      <c r="N96" s="218"/>
      <c r="O96" s="208"/>
      <c r="P96" s="212"/>
    </row>
    <row r="97" spans="1:16" x14ac:dyDescent="0.2">
      <c r="A97" s="196" t="str">
        <f t="shared" si="10"/>
        <v>c21</v>
      </c>
      <c r="B97" s="196">
        <v>21</v>
      </c>
      <c r="C97" s="196">
        <f t="shared" si="11"/>
        <v>2033</v>
      </c>
      <c r="D97" s="206">
        <f>D96*(1+'Avoided Cost inputs'!$G$26)</f>
        <v>0.33402818483391322</v>
      </c>
      <c r="E97" s="207">
        <f>NPV($C$1,D$78:D97)+D$77</f>
        <v>2.7978957703138647</v>
      </c>
      <c r="F97" s="205">
        <f t="shared" si="12"/>
        <v>0.31217587367655442</v>
      </c>
      <c r="G97" s="205"/>
      <c r="H97" s="211"/>
      <c r="I97" s="203"/>
      <c r="J97" s="206">
        <f t="shared" si="8"/>
        <v>0.14191628829190855</v>
      </c>
      <c r="K97" s="207">
        <f>NPV($C$1,$J$78:J97)+J$77</f>
        <v>1.2957719732992363</v>
      </c>
      <c r="L97" s="206">
        <f t="shared" si="9"/>
        <v>3.6236356468484394</v>
      </c>
      <c r="M97" s="207">
        <f>NPV($C$1,L$78:L97)+L$77</f>
        <v>33.085740679577562</v>
      </c>
      <c r="N97" s="218"/>
      <c r="O97" s="208"/>
      <c r="P97" s="212"/>
    </row>
    <row r="98" spans="1:16" x14ac:dyDescent="0.2">
      <c r="A98" s="196" t="str">
        <f t="shared" si="10"/>
        <v>c22</v>
      </c>
      <c r="B98" s="196">
        <v>22</v>
      </c>
      <c r="C98" s="196">
        <f t="shared" si="11"/>
        <v>2034</v>
      </c>
      <c r="D98" s="206">
        <f>D97*(1+'Avoided Cost inputs'!$G$26)</f>
        <v>0.34070874853059147</v>
      </c>
      <c r="E98" s="207">
        <f>NPV($C$1,D$78:D98)+D$77</f>
        <v>2.8801813918514689</v>
      </c>
      <c r="F98" s="205">
        <f t="shared" si="12"/>
        <v>0.31841939115008544</v>
      </c>
      <c r="G98" s="205"/>
      <c r="H98" s="211"/>
      <c r="I98" s="203"/>
      <c r="J98" s="206">
        <f t="shared" si="8"/>
        <v>0.14473867974040061</v>
      </c>
      <c r="K98" s="207">
        <f>NPV($C$1,$J$78:J98)+J$77</f>
        <v>1.3307282586142926</v>
      </c>
      <c r="L98" s="206">
        <f t="shared" si="9"/>
        <v>3.6957014990857768</v>
      </c>
      <c r="M98" s="207">
        <f>NPV($C$1,L$78:L98)+L$77</f>
        <v>33.978300956298554</v>
      </c>
      <c r="N98" s="218"/>
      <c r="O98" s="208"/>
      <c r="P98" s="212"/>
    </row>
    <row r="99" spans="1:16" x14ac:dyDescent="0.2">
      <c r="A99" s="196" t="str">
        <f t="shared" si="10"/>
        <v>c23</v>
      </c>
      <c r="B99" s="196">
        <v>23</v>
      </c>
      <c r="C99" s="196">
        <f t="shared" si="11"/>
        <v>2035</v>
      </c>
      <c r="D99" s="206">
        <f>D98*(1+'Avoided Cost inputs'!$G$26)</f>
        <v>0.34752292350120328</v>
      </c>
      <c r="E99" s="207">
        <f>NPV($C$1,D$78:D99)+D$77</f>
        <v>2.9586218908873159</v>
      </c>
      <c r="F99" s="205">
        <f t="shared" si="12"/>
        <v>0.32478777897308714</v>
      </c>
      <c r="G99" s="205"/>
      <c r="H99" s="211"/>
      <c r="I99" s="203"/>
      <c r="J99" s="206">
        <f t="shared" si="8"/>
        <v>0.14763194181116754</v>
      </c>
      <c r="K99" s="207">
        <f>NPV($C$1,$J$78:J99)+J$77</f>
        <v>1.3640507314820689</v>
      </c>
      <c r="L99" s="206">
        <f t="shared" si="9"/>
        <v>3.7695769343969134</v>
      </c>
      <c r="M99" s="207">
        <f>NPV($C$1,L$78:L99)+L$77</f>
        <v>34.829144097548451</v>
      </c>
      <c r="N99" s="218"/>
      <c r="O99" s="208"/>
      <c r="P99" s="212"/>
    </row>
    <row r="100" spans="1:16" x14ac:dyDescent="0.2">
      <c r="A100" s="196" t="str">
        <f t="shared" si="10"/>
        <v>c24</v>
      </c>
      <c r="B100" s="196">
        <v>24</v>
      </c>
      <c r="C100" s="196">
        <f t="shared" si="11"/>
        <v>2036</v>
      </c>
      <c r="D100" s="206">
        <f>D99*(1+'Avoided Cost inputs'!$G$26)</f>
        <v>0.35447338197122735</v>
      </c>
      <c r="E100" s="207">
        <f>NPV($C$1,D$78:D100)+D$77</f>
        <v>3.0333969460429833</v>
      </c>
      <c r="F100" s="205">
        <f t="shared" si="12"/>
        <v>0.33128353455254889</v>
      </c>
      <c r="G100" s="205"/>
      <c r="H100" s="211"/>
      <c r="I100" s="203"/>
      <c r="J100" s="206">
        <f t="shared" si="8"/>
        <v>0.15058458064739089</v>
      </c>
      <c r="K100" s="207">
        <f>NPV($C$1,$J$78:J100)+J$77</f>
        <v>1.3958160794494816</v>
      </c>
      <c r="L100" s="206">
        <f t="shared" si="9"/>
        <v>3.8449684730848519</v>
      </c>
      <c r="M100" s="207">
        <f>NPV($C$1,L$78:L100)+L$77</f>
        <v>35.640228213506305</v>
      </c>
      <c r="N100" s="218"/>
      <c r="O100" s="208"/>
      <c r="P100" s="212"/>
    </row>
    <row r="101" spans="1:16" x14ac:dyDescent="0.2">
      <c r="A101" s="196" t="str">
        <f t="shared" si="10"/>
        <v>c25</v>
      </c>
      <c r="B101" s="196">
        <v>25</v>
      </c>
      <c r="C101" s="196">
        <f t="shared" si="11"/>
        <v>2037</v>
      </c>
      <c r="D101" s="206">
        <f>D100*(1+'Avoided Cost inputs'!$G$26)</f>
        <v>0.36156284961065188</v>
      </c>
      <c r="E101" s="207">
        <f>NPV($C$1,D$78:D101)+D$77</f>
        <v>3.1046778397427781</v>
      </c>
      <c r="F101" s="205">
        <f t="shared" si="12"/>
        <v>0.33790920524359985</v>
      </c>
      <c r="G101" s="205"/>
      <c r="H101" s="211"/>
      <c r="I101" s="203"/>
      <c r="J101" s="206">
        <f t="shared" si="8"/>
        <v>0.1535962722603387</v>
      </c>
      <c r="K101" s="207">
        <f>NPV($C$1,$J$78:J101)+J$77</f>
        <v>1.4260970653623424</v>
      </c>
      <c r="L101" s="206">
        <f t="shared" si="9"/>
        <v>3.9218678425465492</v>
      </c>
      <c r="M101" s="207">
        <f>NPV($C$1,L$78:L101)+L$77</f>
        <v>36.413411202550229</v>
      </c>
      <c r="N101" s="218"/>
      <c r="O101" s="208"/>
      <c r="P101" s="212"/>
    </row>
    <row r="102" spans="1:16" x14ac:dyDescent="0.2">
      <c r="A102" s="196" t="str">
        <f t="shared" si="10"/>
        <v>c26</v>
      </c>
      <c r="B102" s="196">
        <v>26</v>
      </c>
      <c r="C102" s="196">
        <f t="shared" si="11"/>
        <v>2038</v>
      </c>
      <c r="D102" s="206">
        <f>D101*(1+'Avoided Cost inputs'!$G$26)</f>
        <v>0.36879410660286494</v>
      </c>
      <c r="E102" s="207">
        <f>NPV($C$1,D$78:D102)+D$77</f>
        <v>3.1726278505594045</v>
      </c>
      <c r="F102" s="205">
        <f t="shared" si="12"/>
        <v>0.34466738934847191</v>
      </c>
      <c r="G102" s="205"/>
      <c r="H102" s="211"/>
      <c r="I102" s="203"/>
      <c r="J102" s="206">
        <f t="shared" si="8"/>
        <v>0.15666819770554549</v>
      </c>
      <c r="K102" s="207">
        <f>NPV($C$1,$J$78:J102)+J$77</f>
        <v>1.4549630519334809</v>
      </c>
      <c r="L102" s="206">
        <f t="shared" si="9"/>
        <v>4.0003051993974807</v>
      </c>
      <c r="M102" s="207">
        <f>NPV($C$1,L$78:L102)+L$77</f>
        <v>37.150464145377157</v>
      </c>
      <c r="N102" s="218"/>
      <c r="O102" s="208"/>
      <c r="P102" s="212"/>
    </row>
    <row r="103" spans="1:16" x14ac:dyDescent="0.2">
      <c r="A103" s="196" t="str">
        <f t="shared" si="10"/>
        <v>c27</v>
      </c>
      <c r="B103" s="196">
        <v>27</v>
      </c>
      <c r="C103" s="196">
        <f t="shared" si="11"/>
        <v>2039</v>
      </c>
      <c r="D103" s="206">
        <f>D102*(1+'Avoided Cost inputs'!$G$26)</f>
        <v>0.37616998873492224</v>
      </c>
      <c r="E103" s="207">
        <f>NPV($C$1,D$78:D103)+D$77</f>
        <v>3.2374026272257219</v>
      </c>
      <c r="F103" s="205">
        <f t="shared" si="12"/>
        <v>0.35156073713544134</v>
      </c>
      <c r="G103" s="205"/>
      <c r="H103" s="211"/>
      <c r="I103" s="203"/>
      <c r="J103" s="206">
        <f t="shared" si="8"/>
        <v>0.15980156165965639</v>
      </c>
      <c r="K103" s="207">
        <f>NPV($C$1,$J$78:J103)+J$77</f>
        <v>1.4824801606274634</v>
      </c>
      <c r="L103" s="206">
        <f t="shared" si="9"/>
        <v>4.0803113033854297</v>
      </c>
      <c r="M103" s="207">
        <f>NPV($C$1,L$78:L103)+L$77</f>
        <v>37.853075361903755</v>
      </c>
      <c r="N103" s="218"/>
      <c r="O103" s="208"/>
      <c r="P103" s="212"/>
    </row>
    <row r="104" spans="1:16" x14ac:dyDescent="0.2">
      <c r="A104" s="196" t="str">
        <f t="shared" si="10"/>
        <v>c28</v>
      </c>
      <c r="B104" s="196">
        <v>28</v>
      </c>
      <c r="C104" s="196">
        <f t="shared" si="11"/>
        <v>2040</v>
      </c>
      <c r="D104" s="206">
        <f>D103*(1+'Avoided Cost inputs'!$G$26)</f>
        <v>0.3836933885096207</v>
      </c>
      <c r="E104" s="207">
        <f>NPV($C$1,D$78:D104)+D$77</f>
        <v>3.2991505451693142</v>
      </c>
      <c r="F104" s="205">
        <f t="shared" si="12"/>
        <v>0.35859195187815018</v>
      </c>
      <c r="G104" s="205"/>
      <c r="H104" s="211"/>
      <c r="I104" s="203"/>
      <c r="J104" s="206">
        <f t="shared" si="8"/>
        <v>0.16299759289284954</v>
      </c>
      <c r="K104" s="207">
        <f>NPV($C$1,$J$78:J104)+J$77</f>
        <v>1.5087114231207923</v>
      </c>
      <c r="L104" s="206">
        <f t="shared" si="9"/>
        <v>4.1619175294531381</v>
      </c>
      <c r="M104" s="207">
        <f>NPV($C$1,L$78:L104)+L$77</f>
        <v>38.522854278592668</v>
      </c>
      <c r="N104" s="218"/>
      <c r="O104" s="208"/>
      <c r="P104" s="212"/>
    </row>
    <row r="105" spans="1:16" x14ac:dyDescent="0.2">
      <c r="A105" s="196" t="str">
        <f t="shared" si="10"/>
        <v>c29</v>
      </c>
      <c r="B105" s="196">
        <v>29</v>
      </c>
      <c r="C105" s="196">
        <f t="shared" si="11"/>
        <v>2041</v>
      </c>
      <c r="D105" s="206">
        <f>D104*(1+'Avoided Cost inputs'!$G$26)</f>
        <v>0.39136725627981311</v>
      </c>
      <c r="E105" s="207">
        <f>NPV($C$1,D$78:D105)+D$77</f>
        <v>3.3580130463865698</v>
      </c>
      <c r="F105" s="205">
        <f t="shared" si="12"/>
        <v>0.36576379091571315</v>
      </c>
      <c r="G105" s="205"/>
      <c r="H105" s="211"/>
      <c r="I105" s="203"/>
      <c r="J105" s="206">
        <f t="shared" si="8"/>
        <v>0.16625754475070653</v>
      </c>
      <c r="K105" s="207">
        <f>NPV($C$1,$J$78:J105)+J$77</f>
        <v>1.5337169256845264</v>
      </c>
      <c r="L105" s="206">
        <f t="shared" si="9"/>
        <v>4.2451558800422013</v>
      </c>
      <c r="M105" s="207">
        <f>NPV($C$1,L$78:L105)+L$77</f>
        <v>39.161335115062464</v>
      </c>
      <c r="N105" s="218"/>
      <c r="O105" s="208"/>
      <c r="P105" s="212"/>
    </row>
    <row r="106" spans="1:16" x14ac:dyDescent="0.2">
      <c r="A106" s="196" t="str">
        <f t="shared" si="10"/>
        <v>c30</v>
      </c>
      <c r="B106" s="196">
        <v>30</v>
      </c>
      <c r="C106" s="196">
        <f>+C105+1</f>
        <v>2042</v>
      </c>
      <c r="D106" s="206">
        <f>D105*(1+'Avoided Cost inputs'!$G$26)</f>
        <v>0.39919460140540941</v>
      </c>
      <c r="E106" s="207">
        <f>NPV($C$1,D$78:D106)+D$77</f>
        <v>3.4141249634347952</v>
      </c>
      <c r="F106" s="205">
        <f t="shared" si="12"/>
        <v>0.37307906673402746</v>
      </c>
      <c r="G106" s="205"/>
      <c r="H106" s="211"/>
      <c r="I106" s="203"/>
      <c r="J106" s="206">
        <f t="shared" si="8"/>
        <v>0.16958269564572068</v>
      </c>
      <c r="K106" s="207">
        <f>NPV($C$1,$J$78:J106)+J$77</f>
        <v>1.5575539468200486</v>
      </c>
      <c r="L106" s="206">
        <f t="shared" si="9"/>
        <v>4.3300589976430457</v>
      </c>
      <c r="M106" s="207">
        <f>NPV($C$1,L$78:L106)+L$77</f>
        <v>39.769980398426199</v>
      </c>
      <c r="N106" s="218"/>
      <c r="O106" s="208"/>
      <c r="P106" s="212"/>
    </row>
    <row r="107" spans="1:16" x14ac:dyDescent="0.2"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213"/>
      <c r="M107" s="196"/>
    </row>
    <row r="108" spans="1:16" x14ac:dyDescent="0.2">
      <c r="B108" s="196"/>
      <c r="C108" s="196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</row>
    <row r="109" spans="1:16" x14ac:dyDescent="0.2">
      <c r="B109" s="196"/>
      <c r="C109" s="196"/>
      <c r="D109" s="196"/>
      <c r="E109" s="196">
        <v>4</v>
      </c>
      <c r="F109" s="196"/>
      <c r="G109" s="196"/>
      <c r="H109" s="196"/>
      <c r="I109" s="196"/>
      <c r="J109" s="196"/>
      <c r="K109" s="196">
        <v>10</v>
      </c>
      <c r="L109" s="196"/>
      <c r="M109" s="196">
        <v>12</v>
      </c>
    </row>
    <row r="110" spans="1:16" x14ac:dyDescent="0.2">
      <c r="B110" s="196"/>
      <c r="C110" s="197"/>
      <c r="D110" s="196" t="s">
        <v>15</v>
      </c>
      <c r="E110" s="196"/>
      <c r="F110" s="196"/>
      <c r="G110" s="196"/>
      <c r="H110" s="196"/>
      <c r="I110" s="196"/>
      <c r="J110" s="196"/>
      <c r="K110" s="196"/>
      <c r="L110" s="196"/>
      <c r="M110" s="196"/>
    </row>
    <row r="111" spans="1:16" x14ac:dyDescent="0.2">
      <c r="B111" s="196" t="s">
        <v>22</v>
      </c>
      <c r="C111" s="197"/>
      <c r="D111" s="196" t="s">
        <v>16</v>
      </c>
      <c r="E111" s="196"/>
      <c r="F111" s="196"/>
      <c r="G111" s="196"/>
      <c r="H111" s="196"/>
      <c r="I111" s="196"/>
      <c r="J111" s="196"/>
      <c r="K111" s="196"/>
      <c r="L111" s="196"/>
      <c r="M111" s="196"/>
    </row>
    <row r="112" spans="1:16" x14ac:dyDescent="0.2">
      <c r="B112" s="196" t="s">
        <v>17</v>
      </c>
      <c r="C112" s="197"/>
      <c r="D112" s="195" t="s">
        <v>1209</v>
      </c>
      <c r="E112" s="195" t="s">
        <v>18</v>
      </c>
      <c r="F112" s="201"/>
      <c r="G112" s="195"/>
      <c r="H112" s="195"/>
      <c r="I112" s="195"/>
      <c r="J112" s="195" t="s">
        <v>1209</v>
      </c>
      <c r="K112" s="195" t="s">
        <v>18</v>
      </c>
      <c r="L112" s="195" t="s">
        <v>1209</v>
      </c>
      <c r="M112" s="195" t="s">
        <v>18</v>
      </c>
    </row>
    <row r="113" spans="1:16" x14ac:dyDescent="0.2">
      <c r="A113" s="196" t="str">
        <f>+"I"&amp;B113</f>
        <v>I1</v>
      </c>
      <c r="B113" s="196">
        <v>1</v>
      </c>
      <c r="C113" s="196">
        <v>2013</v>
      </c>
      <c r="D113" s="219">
        <f>'Avoided Cost inputs'!D46/1000</f>
        <v>0.16786284692742265</v>
      </c>
      <c r="E113" s="207">
        <f>+D113</f>
        <v>0.16786284692742265</v>
      </c>
      <c r="F113" s="205">
        <f>E113</f>
        <v>0.16786284692742265</v>
      </c>
      <c r="G113" s="205"/>
      <c r="H113" s="211"/>
      <c r="I113" s="207"/>
      <c r="J113" s="206">
        <f t="shared" ref="J113:J142" si="13">J5</f>
        <v>9.5199999999999993E-2</v>
      </c>
      <c r="K113" s="215">
        <f>+J113</f>
        <v>9.5199999999999993E-2</v>
      </c>
      <c r="L113" s="206">
        <f t="shared" ref="L113:L142" si="14">+L77</f>
        <v>2.4308000000000001</v>
      </c>
      <c r="M113" s="207">
        <f>+L113</f>
        <v>2.4308000000000001</v>
      </c>
      <c r="O113" s="208"/>
    </row>
    <row r="114" spans="1:16" x14ac:dyDescent="0.2">
      <c r="A114" s="196" t="str">
        <f t="shared" ref="A114:A142" si="15">+"I"&amp;B114</f>
        <v>I2</v>
      </c>
      <c r="B114" s="196">
        <v>2</v>
      </c>
      <c r="C114" s="196">
        <f t="shared" ref="C114:C141" si="16">+C113+1</f>
        <v>2014</v>
      </c>
      <c r="D114" s="219">
        <f>'Avoided Cost inputs'!D47/1000</f>
        <v>0.14921711734327453</v>
      </c>
      <c r="E114" s="207">
        <f>NPV($C$1,D$114:D114)+D$113</f>
        <v>0.30731809678095023</v>
      </c>
      <c r="F114" s="205">
        <f>NPV($C$1,D114)</f>
        <v>0.13945524985352759</v>
      </c>
      <c r="G114" s="205"/>
      <c r="H114" s="211"/>
      <c r="I114" s="205"/>
      <c r="J114" s="206">
        <f t="shared" si="13"/>
        <v>9.7298497297514497E-2</v>
      </c>
      <c r="K114" s="207">
        <f>NPV($C$1,J$114:J114)+J$113</f>
        <v>0.18613317504440607</v>
      </c>
      <c r="L114" s="206">
        <f t="shared" si="14"/>
        <v>2.4843822188109064</v>
      </c>
      <c r="M114" s="207">
        <f>NPV($C$1,L$114:L114)+L$113</f>
        <v>4.7526525409447729</v>
      </c>
      <c r="O114" s="208"/>
    </row>
    <row r="115" spans="1:16" x14ac:dyDescent="0.2">
      <c r="A115" s="196" t="str">
        <f t="shared" si="15"/>
        <v>I3</v>
      </c>
      <c r="B115" s="196">
        <v>3</v>
      </c>
      <c r="C115" s="196">
        <f t="shared" si="16"/>
        <v>2015</v>
      </c>
      <c r="D115" s="219">
        <f>'Avoided Cost inputs'!D48/1000</f>
        <v>0.16430687987773118</v>
      </c>
      <c r="E115" s="207">
        <f>NPV($C$1,D$114:D115)+D$113</f>
        <v>0.45083008898789512</v>
      </c>
      <c r="F115" s="205">
        <f t="shared" ref="F115:F142" si="17">NPV($C$1,D115)</f>
        <v>0.153557831661431</v>
      </c>
      <c r="G115" s="205"/>
      <c r="H115" s="211"/>
      <c r="I115" s="205"/>
      <c r="J115" s="206">
        <f t="shared" si="13"/>
        <v>9.9364265948682889E-2</v>
      </c>
      <c r="K115" s="207">
        <f>NPV($C$1,J$114:J115)+J$113</f>
        <v>0.27292177313042482</v>
      </c>
      <c r="L115" s="206">
        <f t="shared" si="14"/>
        <v>2.5371287570174204</v>
      </c>
      <c r="M115" s="207">
        <f>NPV($C$1,L$114:L115)+L$113</f>
        <v>6.9686790559394609</v>
      </c>
      <c r="O115" s="208"/>
    </row>
    <row r="116" spans="1:16" x14ac:dyDescent="0.2">
      <c r="A116" s="196" t="str">
        <f t="shared" si="15"/>
        <v>I4</v>
      </c>
      <c r="B116" s="196">
        <v>4</v>
      </c>
      <c r="C116" s="196">
        <f t="shared" si="16"/>
        <v>2016</v>
      </c>
      <c r="D116" s="219">
        <f>'Avoided Cost inputs'!D49/1000</f>
        <v>0.17673991659894892</v>
      </c>
      <c r="E116" s="207">
        <f>NPV($C$1,D$114:D116)+D$113</f>
        <v>0.59510250766948336</v>
      </c>
      <c r="F116" s="205">
        <f t="shared" si="17"/>
        <v>0.16517749214855038</v>
      </c>
      <c r="G116" s="205"/>
      <c r="H116" s="211"/>
      <c r="I116" s="205"/>
      <c r="J116" s="206">
        <f t="shared" si="13"/>
        <v>0.10136283662520844</v>
      </c>
      <c r="K116" s="207">
        <f>NPV($C$1,J$114:J116)+J$113</f>
        <v>0.35566404146321678</v>
      </c>
      <c r="L116" s="206">
        <f t="shared" si="14"/>
        <v>2.588159488115092</v>
      </c>
      <c r="M116" s="207">
        <f>NPV($C$1,L$114:L116)+L$113</f>
        <v>9.0813881511427255</v>
      </c>
      <c r="O116" s="208"/>
    </row>
    <row r="117" spans="1:16" x14ac:dyDescent="0.2">
      <c r="A117" s="196" t="str">
        <f t="shared" si="15"/>
        <v>I5</v>
      </c>
      <c r="B117" s="196">
        <v>5</v>
      </c>
      <c r="C117" s="196">
        <f t="shared" si="16"/>
        <v>2017</v>
      </c>
      <c r="D117" s="219">
        <f>'Avoided Cost inputs'!D50/1000</f>
        <v>0.19656624155144323</v>
      </c>
      <c r="E117" s="207">
        <f>NPV($C$1,D$114:D117)+D$113</f>
        <v>0.74506195219925675</v>
      </c>
      <c r="F117" s="205">
        <f t="shared" si="17"/>
        <v>0.18370676780508713</v>
      </c>
      <c r="G117" s="205"/>
      <c r="H117" s="211"/>
      <c r="I117" s="205"/>
      <c r="J117" s="206">
        <f t="shared" si="13"/>
        <v>0.10339681392031182</v>
      </c>
      <c r="K117" s="207">
        <f>NPV($C$1,J$114:J117)+J$113</f>
        <v>0.43454497574399154</v>
      </c>
      <c r="L117" s="206">
        <f t="shared" si="14"/>
        <v>2.6400942781249377</v>
      </c>
      <c r="M117" s="207">
        <f>NPV($C$1,L$114:L117)+L$113</f>
        <v>11.095503435278307</v>
      </c>
      <c r="O117" s="208"/>
    </row>
    <row r="118" spans="1:16" x14ac:dyDescent="0.2">
      <c r="A118" s="196" t="str">
        <f t="shared" si="15"/>
        <v>I6</v>
      </c>
      <c r="B118" s="196">
        <v>6</v>
      </c>
      <c r="C118" s="196">
        <f t="shared" si="16"/>
        <v>2018</v>
      </c>
      <c r="D118" s="219">
        <f>'Avoided Cost inputs'!D51/1000</f>
        <v>0.2160409849487491</v>
      </c>
      <c r="E118" s="207">
        <f>NPV($C$1,D$114:D118)+D$113</f>
        <v>0.89909618866975394</v>
      </c>
      <c r="F118" s="205">
        <f t="shared" si="17"/>
        <v>0.20190746256892439</v>
      </c>
      <c r="G118" s="205"/>
      <c r="H118" s="211"/>
      <c r="I118" s="205"/>
      <c r="J118" s="206">
        <f t="shared" si="13"/>
        <v>0.10548767899696598</v>
      </c>
      <c r="K118" s="207">
        <f>NPV($C$1,J$114:J118)+J$113</f>
        <v>0.5097562329746379</v>
      </c>
      <c r="L118" s="206">
        <f t="shared" si="14"/>
        <v>2.6934816187586659</v>
      </c>
      <c r="M118" s="207">
        <f>NPV($C$1,L$114:L118)+L$113</f>
        <v>13.015918604146535</v>
      </c>
      <c r="O118" s="208"/>
    </row>
    <row r="119" spans="1:16" x14ac:dyDescent="0.2">
      <c r="A119" s="196" t="str">
        <f t="shared" si="15"/>
        <v>I7</v>
      </c>
      <c r="B119" s="196">
        <v>7</v>
      </c>
      <c r="C119" s="196">
        <f t="shared" si="16"/>
        <v>2019</v>
      </c>
      <c r="D119" s="219">
        <f>'Avoided Cost inputs'!D52/1000</f>
        <v>0.24430193074524453</v>
      </c>
      <c r="E119" s="207">
        <f>NPV($C$1,D$114:D119)+D$113</f>
        <v>1.0618848804852077</v>
      </c>
      <c r="F119" s="205">
        <f t="shared" si="17"/>
        <v>0.22831956144415375</v>
      </c>
      <c r="G119" s="205"/>
      <c r="H119" s="211"/>
      <c r="I119" s="205"/>
      <c r="J119" s="206">
        <f t="shared" si="13"/>
        <v>0.10764828612188308</v>
      </c>
      <c r="K119" s="207">
        <f>NPV($C$1,J$114:J119)+J$113</f>
        <v>0.58148683133912971</v>
      </c>
      <c r="L119" s="206">
        <f t="shared" si="14"/>
        <v>2.7486497258936295</v>
      </c>
      <c r="M119" s="207">
        <f>NPV($C$1,L$114:L119)+L$113</f>
        <v>14.847459974991143</v>
      </c>
      <c r="O119" s="208"/>
    </row>
    <row r="120" spans="1:16" x14ac:dyDescent="0.2">
      <c r="A120" s="196" t="str">
        <f t="shared" si="15"/>
        <v>I8</v>
      </c>
      <c r="B120" s="196">
        <v>8</v>
      </c>
      <c r="C120" s="196">
        <f t="shared" si="16"/>
        <v>2020</v>
      </c>
      <c r="D120" s="219">
        <f>'Avoided Cost inputs'!D53/1000</f>
        <v>0.24859259766238057</v>
      </c>
      <c r="E120" s="207">
        <f>NPV($C$1,D$114:D120)+D$113</f>
        <v>1.2166958565138752</v>
      </c>
      <c r="F120" s="205">
        <f t="shared" si="17"/>
        <v>0.2323295305255893</v>
      </c>
      <c r="G120" s="205"/>
      <c r="H120" s="211"/>
      <c r="I120" s="205"/>
      <c r="J120" s="206">
        <f t="shared" si="13"/>
        <v>0.10985669505113624</v>
      </c>
      <c r="K120" s="207">
        <f>NPV($C$1,J$114:J120)+J$113</f>
        <v>0.64990005982651899</v>
      </c>
      <c r="L120" s="206">
        <f t="shared" si="14"/>
        <v>2.8050383858225008</v>
      </c>
      <c r="M120" s="207">
        <f>NPV($C$1,L$114:L120)+L$113</f>
        <v>16.594296905738474</v>
      </c>
      <c r="O120" s="208"/>
    </row>
    <row r="121" spans="1:16" x14ac:dyDescent="0.2">
      <c r="A121" s="196" t="str">
        <f t="shared" si="15"/>
        <v>I9</v>
      </c>
      <c r="B121" s="196">
        <v>9</v>
      </c>
      <c r="C121" s="196">
        <f t="shared" si="16"/>
        <v>2021</v>
      </c>
      <c r="D121" s="219">
        <f>'Avoided Cost inputs'!D54/1000</f>
        <v>0.25465208711676157</v>
      </c>
      <c r="E121" s="207">
        <f>NPV($C$1,D$114:D121)+D$113</f>
        <v>1.3649056897123197</v>
      </c>
      <c r="F121" s="205">
        <f t="shared" si="17"/>
        <v>0.23799260478202014</v>
      </c>
      <c r="G121" s="205"/>
      <c r="H121" s="211"/>
      <c r="I121" s="205"/>
      <c r="J121" s="206">
        <f t="shared" si="13"/>
        <v>0.11204276204062769</v>
      </c>
      <c r="K121" s="207">
        <f>NPV($C$1,J$114:J121)+J$113</f>
        <v>0.71510996743477839</v>
      </c>
      <c r="L121" s="206">
        <f t="shared" si="14"/>
        <v>2.860856575297877</v>
      </c>
      <c r="M121" s="207">
        <f>NPV($C$1,L$114:L121)+L$113</f>
        <v>18.259341479416598</v>
      </c>
      <c r="O121" s="208"/>
      <c r="P121" s="212"/>
    </row>
    <row r="122" spans="1:16" x14ac:dyDescent="0.2">
      <c r="A122" s="196" t="str">
        <f t="shared" si="15"/>
        <v>I10</v>
      </c>
      <c r="B122" s="196">
        <v>10</v>
      </c>
      <c r="C122" s="196">
        <f t="shared" si="16"/>
        <v>2022</v>
      </c>
      <c r="D122" s="219">
        <f>'Avoided Cost inputs'!D55/1000</f>
        <v>0.25656640471072018</v>
      </c>
      <c r="E122" s="207">
        <f>NPV($C$1,D$114:D122)+D$113</f>
        <v>1.5044608144479807</v>
      </c>
      <c r="F122" s="205">
        <f t="shared" si="17"/>
        <v>0.23978168664553287</v>
      </c>
      <c r="G122" s="205"/>
      <c r="H122" s="211"/>
      <c r="I122" s="205"/>
      <c r="J122" s="206">
        <f t="shared" si="13"/>
        <v>0.11422025951897766</v>
      </c>
      <c r="K122" s="207">
        <f>NPV($C$1,J$114:J122)+J$113</f>
        <v>0.77723822067386861</v>
      </c>
      <c r="L122" s="206">
        <f t="shared" si="14"/>
        <v>2.9164559541883506</v>
      </c>
      <c r="M122" s="207">
        <f>NPV($C$1,L$114:L122)+L$113</f>
        <v>19.84570028166009</v>
      </c>
      <c r="O122" s="208"/>
      <c r="P122" s="212"/>
    </row>
    <row r="123" spans="1:16" x14ac:dyDescent="0.2">
      <c r="A123" s="196" t="str">
        <f t="shared" si="15"/>
        <v>I11</v>
      </c>
      <c r="B123" s="196">
        <v>11</v>
      </c>
      <c r="C123" s="196">
        <f t="shared" si="16"/>
        <v>2023</v>
      </c>
      <c r="D123" s="206">
        <f>D122*(1+'Avoided Cost inputs'!$G$42)</f>
        <v>0.26169773280493458</v>
      </c>
      <c r="E123" s="207">
        <f>NPV($C$1,D$114:D123)+D$113</f>
        <v>1.6374946716726297</v>
      </c>
      <c r="F123" s="205">
        <f t="shared" si="17"/>
        <v>0.24457732037844351</v>
      </c>
      <c r="G123" s="205"/>
      <c r="H123" s="211"/>
      <c r="I123" s="205"/>
      <c r="J123" s="206">
        <f t="shared" si="13"/>
        <v>0.11650160493479873</v>
      </c>
      <c r="K123" s="207">
        <f>NPV($C$1,J$114:J123)+J$113</f>
        <v>0.83646172907503202</v>
      </c>
      <c r="L123" s="206">
        <f t="shared" si="14"/>
        <v>2.9747069461713114</v>
      </c>
      <c r="M123" s="207">
        <f>NPV($C$1,L$114:L123)+L$113</f>
        <v>21.357890452054502</v>
      </c>
      <c r="O123" s="208"/>
      <c r="P123" s="212"/>
    </row>
    <row r="124" spans="1:16" x14ac:dyDescent="0.2">
      <c r="A124" s="196" t="str">
        <f t="shared" si="15"/>
        <v>I12</v>
      </c>
      <c r="B124" s="196">
        <v>12</v>
      </c>
      <c r="C124" s="196">
        <f t="shared" si="16"/>
        <v>2024</v>
      </c>
      <c r="D124" s="206">
        <f>D123*(1+'Avoided Cost inputs'!$G$42)</f>
        <v>0.2669316874610333</v>
      </c>
      <c r="E124" s="207">
        <f>NPV($C$1,D$114:D124)+D$113</f>
        <v>1.7643119935129494</v>
      </c>
      <c r="F124" s="205">
        <f t="shared" si="17"/>
        <v>0.24946886678601241</v>
      </c>
      <c r="G124" s="205"/>
      <c r="H124" s="211"/>
      <c r="I124" s="205"/>
      <c r="J124" s="206">
        <f t="shared" si="13"/>
        <v>0.11881365138941909</v>
      </c>
      <c r="K124" s="207">
        <f>NPV($C$1,J$114:J124)+J$113</f>
        <v>0.89290923896265106</v>
      </c>
      <c r="L124" s="206">
        <f t="shared" si="14"/>
        <v>3.0337418466113446</v>
      </c>
      <c r="M124" s="207">
        <f>NPV($C$1,L$114:L124)+L$113</f>
        <v>22.799199349479125</v>
      </c>
      <c r="O124" s="208"/>
      <c r="P124" s="212"/>
    </row>
    <row r="125" spans="1:16" x14ac:dyDescent="0.2">
      <c r="A125" s="196" t="str">
        <f t="shared" si="15"/>
        <v>I13</v>
      </c>
      <c r="B125" s="196">
        <v>13</v>
      </c>
      <c r="C125" s="196">
        <f t="shared" si="16"/>
        <v>2025</v>
      </c>
      <c r="D125" s="206">
        <f>D124*(1+'Avoided Cost inputs'!$G$42)</f>
        <v>0.27227032121025396</v>
      </c>
      <c r="E125" s="207">
        <f>NPV($C$1,D$114:D125)+D$113</f>
        <v>1.8852032722766185</v>
      </c>
      <c r="F125" s="205">
        <f t="shared" si="17"/>
        <v>0.25445824412173268</v>
      </c>
      <c r="G125" s="205"/>
      <c r="H125" s="211"/>
      <c r="I125" s="205"/>
      <c r="J125" s="206">
        <f t="shared" si="13"/>
        <v>0.12118392461170606</v>
      </c>
      <c r="K125" s="207">
        <f>NPV($C$1,J$114:J125)+J$113</f>
        <v>0.94671635075797622</v>
      </c>
      <c r="L125" s="206">
        <f t="shared" si="14"/>
        <v>3.0942634868291505</v>
      </c>
      <c r="M125" s="207">
        <f>NPV($C$1,L$114:L125)+L$113</f>
        <v>24.173089342673205</v>
      </c>
      <c r="O125" s="208"/>
      <c r="P125" s="212"/>
    </row>
    <row r="126" spans="1:16" x14ac:dyDescent="0.2">
      <c r="A126" s="196" t="str">
        <f t="shared" si="15"/>
        <v>I14</v>
      </c>
      <c r="B126" s="196">
        <v>14</v>
      </c>
      <c r="C126" s="196">
        <f t="shared" si="16"/>
        <v>2026</v>
      </c>
      <c r="D126" s="206">
        <f>D125*(1+'Avoided Cost inputs'!$G$42)</f>
        <v>0.27771572763445906</v>
      </c>
      <c r="E126" s="207">
        <f>NPV($C$1,D$114:D126)+D$113</f>
        <v>2.0004454258644153</v>
      </c>
      <c r="F126" s="205">
        <f t="shared" si="17"/>
        <v>0.25954740900416734</v>
      </c>
      <c r="G126" s="205"/>
      <c r="H126" s="211"/>
      <c r="I126" s="205"/>
      <c r="J126" s="206">
        <f t="shared" si="13"/>
        <v>0.12360201876670215</v>
      </c>
      <c r="K126" s="207">
        <f>NPV($C$1,J$114:J126)+J$113</f>
        <v>0.99800679423340943</v>
      </c>
      <c r="L126" s="206">
        <f t="shared" si="14"/>
        <v>3.156006168257349</v>
      </c>
      <c r="M126" s="207">
        <f>NPV($C$1,L$114:L126)+L$113</f>
        <v>25.482719699816933</v>
      </c>
      <c r="O126" s="208"/>
      <c r="P126" s="212"/>
    </row>
    <row r="127" spans="1:16" x14ac:dyDescent="0.2">
      <c r="A127" s="196" t="str">
        <f t="shared" si="15"/>
        <v>I15</v>
      </c>
      <c r="B127" s="196">
        <v>15</v>
      </c>
      <c r="C127" s="196">
        <f t="shared" si="16"/>
        <v>2027</v>
      </c>
      <c r="D127" s="206">
        <f>D126*(1+'Avoided Cost inputs'!$G$42)</f>
        <v>0.28327004218714824</v>
      </c>
      <c r="E127" s="207">
        <f>NPV($C$1,D$114:D127)+D$113</f>
        <v>2.1103024320882962</v>
      </c>
      <c r="F127" s="205">
        <f t="shared" si="17"/>
        <v>0.26473835718425065</v>
      </c>
      <c r="G127" s="205"/>
      <c r="H127" s="211"/>
      <c r="I127" s="205"/>
      <c r="J127" s="206">
        <f t="shared" si="13"/>
        <v>0.12605647595893024</v>
      </c>
      <c r="K127" s="207">
        <f>NPV($C$1,J$114:J127)+J$113</f>
        <v>1.0468936689521686</v>
      </c>
      <c r="L127" s="206">
        <f t="shared" si="14"/>
        <v>3.2186773294219289</v>
      </c>
      <c r="M127" s="207">
        <f>NPV($C$1,L$114:L127)+L$113</f>
        <v>26.730978261438356</v>
      </c>
      <c r="O127" s="208"/>
      <c r="P127" s="212"/>
    </row>
    <row r="128" spans="1:16" x14ac:dyDescent="0.2">
      <c r="A128" s="196" t="str">
        <f t="shared" si="15"/>
        <v>I16</v>
      </c>
      <c r="B128" s="196">
        <v>16</v>
      </c>
      <c r="C128" s="196">
        <f t="shared" si="16"/>
        <v>2028</v>
      </c>
      <c r="D128" s="206">
        <f>D127*(1+'Avoided Cost inputs'!$G$42)</f>
        <v>0.28893544303089119</v>
      </c>
      <c r="E128" s="207">
        <f>NPV($C$1,D$114:D128)+D$113</f>
        <v>2.2150259333484446</v>
      </c>
      <c r="F128" s="205">
        <f t="shared" si="17"/>
        <v>0.27003312432793569</v>
      </c>
      <c r="G128" s="205"/>
      <c r="H128" s="211"/>
      <c r="I128" s="205"/>
      <c r="J128" s="206">
        <f t="shared" si="13"/>
        <v>0.12856520034559663</v>
      </c>
      <c r="K128" s="207">
        <f>NPV($C$1,J$114:J128)+J$113</f>
        <v>1.0934916140819526</v>
      </c>
      <c r="L128" s="206">
        <f t="shared" si="14"/>
        <v>3.2827341281520619</v>
      </c>
      <c r="M128" s="207">
        <f>NPV($C$1,L$114:L128)+L$113</f>
        <v>27.920792179731205</v>
      </c>
      <c r="O128" s="208"/>
      <c r="P128" s="212"/>
    </row>
    <row r="129" spans="1:16" x14ac:dyDescent="0.2">
      <c r="A129" s="196" t="str">
        <f t="shared" si="15"/>
        <v>I17</v>
      </c>
      <c r="B129" s="196">
        <v>17</v>
      </c>
      <c r="C129" s="196">
        <f t="shared" si="16"/>
        <v>2029</v>
      </c>
      <c r="D129" s="206">
        <f>D128*(1+'Avoided Cost inputs'!$G$42)</f>
        <v>0.29471415189150901</v>
      </c>
      <c r="E129" s="207">
        <f>NPV($C$1,D$114:D129)+D$113</f>
        <v>2.3148558130543799</v>
      </c>
      <c r="F129" s="205">
        <f t="shared" si="17"/>
        <v>0.27543378681449437</v>
      </c>
      <c r="G129" s="205"/>
      <c r="H129" s="211"/>
      <c r="I129" s="205"/>
      <c r="J129" s="206">
        <f t="shared" si="13"/>
        <v>0.13113741180252764</v>
      </c>
      <c r="K129" s="207">
        <f>NPV($C$1,J$114:J129)+J$113</f>
        <v>1.1379123925249683</v>
      </c>
      <c r="L129" s="206">
        <f t="shared" si="14"/>
        <v>3.3484119811931121</v>
      </c>
      <c r="M129" s="207">
        <f>NPV($C$1,L$114:L129)+L$113</f>
        <v>29.055015165437958</v>
      </c>
      <c r="O129" s="208"/>
      <c r="P129" s="212"/>
    </row>
    <row r="130" spans="1:16" x14ac:dyDescent="0.2">
      <c r="A130" s="196" t="str">
        <f t="shared" si="15"/>
        <v>I18</v>
      </c>
      <c r="B130" s="196">
        <v>18</v>
      </c>
      <c r="C130" s="196">
        <f t="shared" si="16"/>
        <v>2030</v>
      </c>
      <c r="D130" s="206">
        <f>D129*(1+'Avoided Cost inputs'!$G$42)</f>
        <v>0.3006084349293392</v>
      </c>
      <c r="E130" s="207">
        <f>NPV($C$1,D$114:D130)+D$113</f>
        <v>2.410020745110506</v>
      </c>
      <c r="F130" s="205">
        <f t="shared" si="17"/>
        <v>0.28094246255078426</v>
      </c>
      <c r="G130" s="205"/>
      <c r="H130" s="211"/>
      <c r="I130" s="205"/>
      <c r="J130" s="206">
        <f t="shared" si="13"/>
        <v>0.13375643038839435</v>
      </c>
      <c r="K130" s="207">
        <f>NPV($C$1,J$114:J130)+J$113</f>
        <v>1.1802562529458296</v>
      </c>
      <c r="L130" s="206">
        <f t="shared" si="14"/>
        <v>3.4152849893708943</v>
      </c>
      <c r="M130" s="207">
        <f>NPV($C$1,L$114:L130)+L$113</f>
        <v>30.136206929209276</v>
      </c>
      <c r="O130" s="208"/>
      <c r="P130" s="212"/>
    </row>
    <row r="131" spans="1:16" x14ac:dyDescent="0.2">
      <c r="A131" s="196" t="str">
        <f t="shared" si="15"/>
        <v>I19</v>
      </c>
      <c r="B131" s="196">
        <v>19</v>
      </c>
      <c r="C131" s="196">
        <f t="shared" si="16"/>
        <v>2031</v>
      </c>
      <c r="D131" s="206">
        <f>D130*(1+'Avoided Cost inputs'!$G$42)</f>
        <v>0.30662060362792598</v>
      </c>
      <c r="E131" s="207">
        <f>NPV($C$1,D$114:D131)+D$113</f>
        <v>2.5007387177247562</v>
      </c>
      <c r="F131" s="205">
        <f t="shared" si="17"/>
        <v>0.28656131180179994</v>
      </c>
      <c r="G131" s="205"/>
      <c r="H131" s="211"/>
      <c r="I131" s="205"/>
      <c r="J131" s="206">
        <f t="shared" si="13"/>
        <v>0.13643465128895493</v>
      </c>
      <c r="K131" s="207">
        <f>NPV($C$1,J$114:J131)+J$113</f>
        <v>1.2206223431981513</v>
      </c>
      <c r="L131" s="206">
        <f t="shared" si="14"/>
        <v>3.4836696465671406</v>
      </c>
      <c r="M131" s="207">
        <f>NPV($C$1,L$114:L131)+L$113</f>
        <v>31.166899074013308</v>
      </c>
      <c r="O131" s="208"/>
      <c r="P131" s="212"/>
    </row>
    <row r="132" spans="1:16" x14ac:dyDescent="0.2">
      <c r="A132" s="196" t="str">
        <f t="shared" si="15"/>
        <v>I20</v>
      </c>
      <c r="B132" s="196">
        <v>20</v>
      </c>
      <c r="C132" s="196">
        <f t="shared" si="16"/>
        <v>2032</v>
      </c>
      <c r="D132" s="206">
        <f>D131*(1+'Avoided Cost inputs'!$G$42)</f>
        <v>0.31275301570048453</v>
      </c>
      <c r="E132" s="207">
        <f>NPV($C$1,D$114:D132)+D$113</f>
        <v>2.58721753274021</v>
      </c>
      <c r="F132" s="205">
        <f t="shared" si="17"/>
        <v>0.292292538037836</v>
      </c>
      <c r="G132" s="205"/>
      <c r="H132" s="211"/>
      <c r="I132" s="205"/>
      <c r="J132" s="206">
        <f t="shared" si="13"/>
        <v>0.13914866137555504</v>
      </c>
      <c r="K132" s="207">
        <f>NPV($C$1,J$114:J132)+J$113</f>
        <v>1.2590981075957959</v>
      </c>
      <c r="L132" s="206">
        <f t="shared" si="14"/>
        <v>3.5529681310052443</v>
      </c>
      <c r="M132" s="207">
        <f>NPV($C$1,L$114:L132)+L$113</f>
        <v>32.149324369158201</v>
      </c>
      <c r="O132" s="208"/>
      <c r="P132" s="212"/>
    </row>
    <row r="133" spans="1:16" x14ac:dyDescent="0.2">
      <c r="A133" s="196" t="str">
        <f t="shared" si="15"/>
        <v>I21</v>
      </c>
      <c r="B133" s="196">
        <v>21</v>
      </c>
      <c r="C133" s="196">
        <f t="shared" si="16"/>
        <v>2033</v>
      </c>
      <c r="D133" s="206">
        <f>D132*(1+'Avoided Cost inputs'!$G$42)</f>
        <v>0.31900807601449421</v>
      </c>
      <c r="E133" s="207">
        <f>NPV($C$1,D$114:D133)+D$113</f>
        <v>2.6696552816334465</v>
      </c>
      <c r="F133" s="205">
        <f t="shared" si="17"/>
        <v>0.29813838879859272</v>
      </c>
      <c r="G133" s="205"/>
      <c r="H133" s="211"/>
      <c r="I133" s="205"/>
      <c r="J133" s="206">
        <f t="shared" si="13"/>
        <v>0.14191628829190855</v>
      </c>
      <c r="K133" s="207">
        <f>NPV($C$1,J$114:J133)+J$113</f>
        <v>1.2957719732992363</v>
      </c>
      <c r="L133" s="206">
        <f t="shared" si="14"/>
        <v>3.6236356468484394</v>
      </c>
      <c r="M133" s="207">
        <f>NPV($C$1,L$114:L133)+L$113</f>
        <v>33.085740679577562</v>
      </c>
      <c r="O133" s="208"/>
      <c r="P133" s="212"/>
    </row>
    <row r="134" spans="1:16" x14ac:dyDescent="0.2">
      <c r="A134" s="196" t="str">
        <f t="shared" si="15"/>
        <v>I22</v>
      </c>
      <c r="B134" s="196">
        <v>22</v>
      </c>
      <c r="C134" s="196">
        <f t="shared" si="16"/>
        <v>2034</v>
      </c>
      <c r="D134" s="206">
        <f>D133*(1+'Avoided Cost inputs'!$G$42)</f>
        <v>0.32538823753478413</v>
      </c>
      <c r="E134" s="207">
        <f>NPV($C$1,D$114:D134)+D$113</f>
        <v>2.7482407992699893</v>
      </c>
      <c r="F134" s="205">
        <f t="shared" si="17"/>
        <v>0.3041011565745646</v>
      </c>
      <c r="G134" s="205"/>
      <c r="H134" s="211"/>
      <c r="I134" s="205"/>
      <c r="J134" s="206">
        <f t="shared" si="13"/>
        <v>0.14473867974040061</v>
      </c>
      <c r="K134" s="207">
        <f>NPV($C$1,J$114:J134)+J$113</f>
        <v>1.3307282586142926</v>
      </c>
      <c r="L134" s="206">
        <f t="shared" si="14"/>
        <v>3.6957014990857768</v>
      </c>
      <c r="M134" s="207">
        <f>NPV($C$1,L$114:L134)+L$113</f>
        <v>33.978300956298554</v>
      </c>
      <c r="O134" s="208"/>
      <c r="P134" s="212"/>
    </row>
    <row r="135" spans="1:16" x14ac:dyDescent="0.2">
      <c r="A135" s="196" t="str">
        <f t="shared" si="15"/>
        <v>I23</v>
      </c>
      <c r="B135" s="196">
        <v>23</v>
      </c>
      <c r="C135" s="196">
        <f t="shared" si="16"/>
        <v>2035</v>
      </c>
      <c r="D135" s="206">
        <f>D134*(1+'Avoided Cost inputs'!$G$42)</f>
        <v>0.33189600228547983</v>
      </c>
      <c r="E135" s="207">
        <f>NPV($C$1,D$114:D135)+D$113</f>
        <v>2.8231540964562267</v>
      </c>
      <c r="F135" s="205">
        <f t="shared" si="17"/>
        <v>0.31018317970605591</v>
      </c>
      <c r="G135" s="205"/>
      <c r="H135" s="211"/>
      <c r="I135" s="205"/>
      <c r="J135" s="206">
        <f t="shared" si="13"/>
        <v>0.14763194181116754</v>
      </c>
      <c r="K135" s="207">
        <f>NPV($C$1,J$114:J135)+J$113</f>
        <v>1.3640507314820689</v>
      </c>
      <c r="L135" s="206">
        <f t="shared" si="14"/>
        <v>3.7695769343969134</v>
      </c>
      <c r="M135" s="207">
        <f>NPV($C$1,L$114:L135)+L$113</f>
        <v>34.829144097548451</v>
      </c>
      <c r="O135" s="208"/>
      <c r="P135" s="212"/>
    </row>
    <row r="136" spans="1:16" x14ac:dyDescent="0.2">
      <c r="A136" s="196" t="str">
        <f t="shared" si="15"/>
        <v>I24</v>
      </c>
      <c r="B136" s="196">
        <v>24</v>
      </c>
      <c r="C136" s="196">
        <f t="shared" si="16"/>
        <v>2036</v>
      </c>
      <c r="D136" s="206">
        <f>D135*(1+'Avoided Cost inputs'!$G$42)</f>
        <v>0.33853392233118945</v>
      </c>
      <c r="E136" s="207">
        <f>NPV($C$1,D$114:D136)+D$113</f>
        <v>2.8945667722786208</v>
      </c>
      <c r="F136" s="205">
        <f t="shared" si="17"/>
        <v>0.31638684330017702</v>
      </c>
      <c r="G136" s="205"/>
      <c r="H136" s="211"/>
      <c r="I136" s="205"/>
      <c r="J136" s="206">
        <f t="shared" si="13"/>
        <v>0.15058458064739089</v>
      </c>
      <c r="K136" s="207">
        <f>NPV($C$1,J$114:J136)+J$113</f>
        <v>1.3958160794494816</v>
      </c>
      <c r="L136" s="206">
        <f t="shared" si="14"/>
        <v>3.8449684730848519</v>
      </c>
      <c r="M136" s="207">
        <f>NPV($C$1,L$114:L136)+L$113</f>
        <v>35.640228213506305</v>
      </c>
      <c r="O136" s="208"/>
      <c r="P136" s="212"/>
    </row>
    <row r="137" spans="1:16" x14ac:dyDescent="0.2">
      <c r="A137" s="196" t="str">
        <f t="shared" si="15"/>
        <v>I25</v>
      </c>
      <c r="B137" s="196">
        <v>25</v>
      </c>
      <c r="C137" s="196">
        <f t="shared" si="16"/>
        <v>2037</v>
      </c>
      <c r="D137" s="206">
        <f>D136*(1+'Avoided Cost inputs'!$G$42)</f>
        <v>0.34530460077781322</v>
      </c>
      <c r="E137" s="207">
        <f>NPV($C$1,D$114:D137)+D$113</f>
        <v>2.962642407174735</v>
      </c>
      <c r="F137" s="205">
        <f t="shared" si="17"/>
        <v>0.32271458016618054</v>
      </c>
      <c r="G137" s="205"/>
      <c r="H137" s="211"/>
      <c r="I137" s="205"/>
      <c r="J137" s="206">
        <f t="shared" si="13"/>
        <v>0.1535962722603387</v>
      </c>
      <c r="K137" s="207">
        <f>NPV($C$1,J$114:J137)+J$113</f>
        <v>1.4260970653623424</v>
      </c>
      <c r="L137" s="206">
        <f t="shared" si="14"/>
        <v>3.9218678425465492</v>
      </c>
      <c r="M137" s="207">
        <f>NPV($C$1,L$114:L137)+L$113</f>
        <v>36.413411202550229</v>
      </c>
      <c r="O137" s="208"/>
      <c r="P137" s="212"/>
    </row>
    <row r="138" spans="1:16" x14ac:dyDescent="0.2">
      <c r="A138" s="196" t="str">
        <f t="shared" si="15"/>
        <v>I26</v>
      </c>
      <c r="B138" s="196">
        <v>26</v>
      </c>
      <c r="C138" s="196">
        <f t="shared" si="16"/>
        <v>2038</v>
      </c>
      <c r="D138" s="206">
        <f>D137*(1+'Avoided Cost inputs'!$G$42)</f>
        <v>0.35221069279336947</v>
      </c>
      <c r="E138" s="207">
        <f>NPV($C$1,D$114:D138)+D$113</f>
        <v>3.0275369376364516</v>
      </c>
      <c r="F138" s="205">
        <f t="shared" si="17"/>
        <v>0.32916887176950416</v>
      </c>
      <c r="G138" s="205"/>
      <c r="H138" s="211"/>
      <c r="I138" s="205"/>
      <c r="J138" s="206">
        <f t="shared" si="13"/>
        <v>0.15666819770554549</v>
      </c>
      <c r="K138" s="207">
        <f>NPV($C$1,J$114:J138)+J$113</f>
        <v>1.4549630519334809</v>
      </c>
      <c r="L138" s="206">
        <f t="shared" si="14"/>
        <v>4.0003051993974807</v>
      </c>
      <c r="M138" s="207">
        <f>NPV($C$1,L$114:L138)+L$113</f>
        <v>37.150464145377157</v>
      </c>
      <c r="O138" s="208"/>
      <c r="P138" s="212"/>
    </row>
    <row r="139" spans="1:16" x14ac:dyDescent="0.2">
      <c r="A139" s="196" t="str">
        <f t="shared" si="15"/>
        <v>I27</v>
      </c>
      <c r="B139" s="196">
        <v>27</v>
      </c>
      <c r="C139" s="196">
        <f t="shared" si="16"/>
        <v>2039</v>
      </c>
      <c r="D139" s="206">
        <f>D138*(1+'Avoided Cost inputs'!$G$42)</f>
        <v>0.35925490664923687</v>
      </c>
      <c r="E139" s="207">
        <f>NPV($C$1,D$114:D139)+D$113</f>
        <v>3.0893990134036953</v>
      </c>
      <c r="F139" s="205">
        <f t="shared" si="17"/>
        <v>0.33575224920489427</v>
      </c>
      <c r="G139" s="205"/>
      <c r="H139" s="211"/>
      <c r="I139" s="205"/>
      <c r="J139" s="206">
        <f t="shared" si="13"/>
        <v>0.15980156165965639</v>
      </c>
      <c r="K139" s="207">
        <f>NPV($C$1,J$114:J139)+J$113</f>
        <v>1.4824801606274634</v>
      </c>
      <c r="L139" s="206">
        <f t="shared" si="14"/>
        <v>4.0803113033854297</v>
      </c>
      <c r="M139" s="207">
        <f>NPV($C$1,L$114:L139)+L$113</f>
        <v>37.853075361903755</v>
      </c>
      <c r="O139" s="208"/>
      <c r="P139" s="212"/>
    </row>
    <row r="140" spans="1:16" x14ac:dyDescent="0.2">
      <c r="A140" s="196" t="str">
        <f t="shared" si="15"/>
        <v>I28</v>
      </c>
      <c r="B140" s="196">
        <v>28</v>
      </c>
      <c r="C140" s="196">
        <f t="shared" si="16"/>
        <v>2040</v>
      </c>
      <c r="D140" s="206">
        <f>D139*(1+'Avoided Cost inputs'!$G$42)</f>
        <v>0.36644000478222161</v>
      </c>
      <c r="E140" s="207">
        <f>NPV($C$1,D$114:D140)+D$113</f>
        <v>3.1483703379668619</v>
      </c>
      <c r="F140" s="205">
        <f t="shared" si="17"/>
        <v>0.34246729418899213</v>
      </c>
      <c r="G140" s="205"/>
      <c r="H140" s="211"/>
      <c r="I140" s="205"/>
      <c r="J140" s="206">
        <f t="shared" si="13"/>
        <v>0.16299759289284954</v>
      </c>
      <c r="K140" s="207">
        <f>NPV($C$1,J$114:J140)+J$113</f>
        <v>1.5087114231207923</v>
      </c>
      <c r="L140" s="206">
        <f t="shared" si="14"/>
        <v>4.1619175294531381</v>
      </c>
      <c r="M140" s="207">
        <f>NPV($C$1,L$114:L140)+L$113</f>
        <v>38.522854278592668</v>
      </c>
      <c r="O140" s="208"/>
      <c r="P140" s="212"/>
    </row>
    <row r="141" spans="1:16" x14ac:dyDescent="0.2">
      <c r="A141" s="196" t="str">
        <f t="shared" si="15"/>
        <v>I29</v>
      </c>
      <c r="B141" s="196">
        <v>29</v>
      </c>
      <c r="C141" s="196">
        <f t="shared" si="16"/>
        <v>2041</v>
      </c>
      <c r="D141" s="206">
        <f>D140*(1+'Avoided Cost inputs'!$G$42)</f>
        <v>0.37376880487786607</v>
      </c>
      <c r="E141" s="207">
        <f>NPV($C$1,D$114:D141)+D$113</f>
        <v>3.2045859931579184</v>
      </c>
      <c r="F141" s="205">
        <f t="shared" si="17"/>
        <v>0.34931664007277202</v>
      </c>
      <c r="G141" s="205"/>
      <c r="H141" s="211"/>
      <c r="I141" s="205"/>
      <c r="J141" s="206">
        <f t="shared" si="13"/>
        <v>0.16625754475070653</v>
      </c>
      <c r="K141" s="207">
        <f>NPV($C$1,J$114:J141)+J$113</f>
        <v>1.5337169256845264</v>
      </c>
      <c r="L141" s="206">
        <f t="shared" si="14"/>
        <v>4.2451558800422013</v>
      </c>
      <c r="M141" s="207">
        <f>NPV($C$1,L$114:L141)+L$113</f>
        <v>39.161335115062464</v>
      </c>
      <c r="O141" s="208"/>
      <c r="P141" s="212"/>
    </row>
    <row r="142" spans="1:16" x14ac:dyDescent="0.2">
      <c r="A142" s="196" t="str">
        <f t="shared" si="15"/>
        <v>I30</v>
      </c>
      <c r="B142" s="196">
        <v>30</v>
      </c>
      <c r="C142" s="196">
        <f>+C141+1</f>
        <v>2042</v>
      </c>
      <c r="D142" s="206">
        <f>D141*(1+'Avoided Cost inputs'!$G$42)</f>
        <v>0.3812441809754234</v>
      </c>
      <c r="E142" s="207">
        <f>NPV($C$1,D$114:D142)+D$113</f>
        <v>3.2581747485736914</v>
      </c>
      <c r="F142" s="205">
        <f t="shared" si="17"/>
        <v>0.35630297287422746</v>
      </c>
      <c r="G142" s="205"/>
      <c r="H142" s="211"/>
      <c r="I142" s="205"/>
      <c r="J142" s="206">
        <f t="shared" si="13"/>
        <v>0.16958269564572068</v>
      </c>
      <c r="K142" s="207">
        <f>NPV($C$1,J$114:J142)+J$113</f>
        <v>1.5575539468200486</v>
      </c>
      <c r="L142" s="206">
        <f t="shared" si="14"/>
        <v>4.3300589976430457</v>
      </c>
      <c r="M142" s="207">
        <f>NPV($C$1,L$114:L142)+L$113</f>
        <v>39.769980398426199</v>
      </c>
      <c r="O142" s="208"/>
      <c r="P142" s="212"/>
    </row>
    <row r="143" spans="1:16" x14ac:dyDescent="0.2">
      <c r="D143" s="220"/>
      <c r="I143" s="221"/>
    </row>
    <row r="144" spans="1:16" x14ac:dyDescent="0.2">
      <c r="I144" s="221"/>
    </row>
    <row r="145" spans="9:9" x14ac:dyDescent="0.2">
      <c r="I145" s="221"/>
    </row>
    <row r="146" spans="9:9" x14ac:dyDescent="0.2">
      <c r="I146" s="221"/>
    </row>
    <row r="147" spans="9:9" x14ac:dyDescent="0.2">
      <c r="I147" s="221"/>
    </row>
    <row r="148" spans="9:9" x14ac:dyDescent="0.2">
      <c r="I148" s="221"/>
    </row>
    <row r="149" spans="9:9" x14ac:dyDescent="0.2">
      <c r="I149" s="221"/>
    </row>
    <row r="150" spans="9:9" x14ac:dyDescent="0.2">
      <c r="I150" s="221"/>
    </row>
    <row r="151" spans="9:9" x14ac:dyDescent="0.2">
      <c r="I151" s="221"/>
    </row>
    <row r="152" spans="9:9" x14ac:dyDescent="0.2">
      <c r="I152" s="221"/>
    </row>
    <row r="153" spans="9:9" x14ac:dyDescent="0.2">
      <c r="I153" s="221"/>
    </row>
    <row r="154" spans="9:9" x14ac:dyDescent="0.2">
      <c r="I154" s="221"/>
    </row>
    <row r="155" spans="9:9" x14ac:dyDescent="0.2">
      <c r="I155" s="221"/>
    </row>
    <row r="156" spans="9:9" x14ac:dyDescent="0.2">
      <c r="I156" s="221"/>
    </row>
    <row r="157" spans="9:9" x14ac:dyDescent="0.2">
      <c r="I157" s="221"/>
    </row>
    <row r="158" spans="9:9" x14ac:dyDescent="0.2">
      <c r="I158" s="221"/>
    </row>
    <row r="159" spans="9:9" x14ac:dyDescent="0.2">
      <c r="I159" s="221"/>
    </row>
    <row r="160" spans="9:9" x14ac:dyDescent="0.2">
      <c r="I160" s="221"/>
    </row>
    <row r="161" spans="9:9" x14ac:dyDescent="0.2">
      <c r="I161" s="221"/>
    </row>
    <row r="162" spans="9:9" x14ac:dyDescent="0.2">
      <c r="I162" s="221"/>
    </row>
    <row r="163" spans="9:9" x14ac:dyDescent="0.2">
      <c r="I163" s="221"/>
    </row>
    <row r="164" spans="9:9" x14ac:dyDescent="0.2">
      <c r="I164" s="221"/>
    </row>
    <row r="165" spans="9:9" x14ac:dyDescent="0.2">
      <c r="I165" s="221"/>
    </row>
    <row r="166" spans="9:9" x14ac:dyDescent="0.2">
      <c r="I166" s="221"/>
    </row>
    <row r="167" spans="9:9" x14ac:dyDescent="0.2">
      <c r="I167" s="221"/>
    </row>
    <row r="168" spans="9:9" x14ac:dyDescent="0.2">
      <c r="I168" s="221"/>
    </row>
    <row r="169" spans="9:9" x14ac:dyDescent="0.2">
      <c r="I169" s="221"/>
    </row>
    <row r="170" spans="9:9" x14ac:dyDescent="0.2">
      <c r="I170" s="221"/>
    </row>
    <row r="171" spans="9:9" x14ac:dyDescent="0.2">
      <c r="I171" s="221"/>
    </row>
    <row r="172" spans="9:9" x14ac:dyDescent="0.2">
      <c r="I172" s="221"/>
    </row>
    <row r="173" spans="9:9" x14ac:dyDescent="0.2">
      <c r="I173" s="221"/>
    </row>
    <row r="174" spans="9:9" x14ac:dyDescent="0.2">
      <c r="I174" s="221"/>
    </row>
    <row r="175" spans="9:9" x14ac:dyDescent="0.2">
      <c r="I175" s="221"/>
    </row>
    <row r="176" spans="9:9" x14ac:dyDescent="0.2">
      <c r="I176" s="221"/>
    </row>
    <row r="177" spans="9:9" x14ac:dyDescent="0.2">
      <c r="I177" s="221"/>
    </row>
    <row r="178" spans="9:9" x14ac:dyDescent="0.2">
      <c r="I178" s="221"/>
    </row>
    <row r="179" spans="9:9" x14ac:dyDescent="0.2">
      <c r="I179" s="221"/>
    </row>
    <row r="180" spans="9:9" x14ac:dyDescent="0.2">
      <c r="I180" s="221"/>
    </row>
    <row r="181" spans="9:9" x14ac:dyDescent="0.2">
      <c r="I181" s="221"/>
    </row>
    <row r="182" spans="9:9" x14ac:dyDescent="0.2">
      <c r="I182" s="221"/>
    </row>
    <row r="183" spans="9:9" x14ac:dyDescent="0.2">
      <c r="I183" s="221"/>
    </row>
    <row r="184" spans="9:9" x14ac:dyDescent="0.2">
      <c r="I184" s="221"/>
    </row>
    <row r="185" spans="9:9" x14ac:dyDescent="0.2">
      <c r="I185" s="221"/>
    </row>
    <row r="186" spans="9:9" x14ac:dyDescent="0.2">
      <c r="I186" s="221"/>
    </row>
    <row r="187" spans="9:9" x14ac:dyDescent="0.2">
      <c r="I187" s="221"/>
    </row>
    <row r="188" spans="9:9" x14ac:dyDescent="0.2">
      <c r="I188" s="221"/>
    </row>
    <row r="189" spans="9:9" x14ac:dyDescent="0.2">
      <c r="I189" s="221"/>
    </row>
    <row r="190" spans="9:9" x14ac:dyDescent="0.2">
      <c r="I190" s="221"/>
    </row>
    <row r="191" spans="9:9" x14ac:dyDescent="0.2">
      <c r="I191" s="221"/>
    </row>
    <row r="192" spans="9:9" x14ac:dyDescent="0.2">
      <c r="I192" s="221"/>
    </row>
    <row r="193" spans="9:9" x14ac:dyDescent="0.2">
      <c r="I193" s="221"/>
    </row>
    <row r="194" spans="9:9" x14ac:dyDescent="0.2">
      <c r="I194" s="221"/>
    </row>
    <row r="195" spans="9:9" x14ac:dyDescent="0.2">
      <c r="I195" s="221"/>
    </row>
    <row r="196" spans="9:9" x14ac:dyDescent="0.2">
      <c r="I196" s="221"/>
    </row>
    <row r="197" spans="9:9" x14ac:dyDescent="0.2">
      <c r="I197" s="221"/>
    </row>
    <row r="198" spans="9:9" x14ac:dyDescent="0.2">
      <c r="I198" s="221"/>
    </row>
    <row r="199" spans="9:9" x14ac:dyDescent="0.2">
      <c r="I199" s="221"/>
    </row>
    <row r="200" spans="9:9" x14ac:dyDescent="0.2">
      <c r="I200" s="221"/>
    </row>
    <row r="201" spans="9:9" x14ac:dyDescent="0.2">
      <c r="I201" s="221"/>
    </row>
    <row r="202" spans="9:9" x14ac:dyDescent="0.2">
      <c r="I202" s="221"/>
    </row>
    <row r="203" spans="9:9" x14ac:dyDescent="0.2">
      <c r="I203" s="221"/>
    </row>
    <row r="204" spans="9:9" x14ac:dyDescent="0.2">
      <c r="I204" s="221"/>
    </row>
    <row r="205" spans="9:9" x14ac:dyDescent="0.2">
      <c r="I205" s="221"/>
    </row>
    <row r="206" spans="9:9" x14ac:dyDescent="0.2">
      <c r="I206" s="221"/>
    </row>
    <row r="207" spans="9:9" x14ac:dyDescent="0.2">
      <c r="I207" s="221"/>
    </row>
    <row r="208" spans="9:9" x14ac:dyDescent="0.2">
      <c r="I208" s="221"/>
    </row>
    <row r="209" spans="9:9" x14ac:dyDescent="0.2">
      <c r="I209" s="221"/>
    </row>
    <row r="210" spans="9:9" x14ac:dyDescent="0.2">
      <c r="I210" s="221"/>
    </row>
    <row r="211" spans="9:9" x14ac:dyDescent="0.2">
      <c r="I211" s="221"/>
    </row>
    <row r="212" spans="9:9" x14ac:dyDescent="0.2">
      <c r="I212" s="221"/>
    </row>
    <row r="213" spans="9:9" x14ac:dyDescent="0.2">
      <c r="I213" s="221"/>
    </row>
    <row r="214" spans="9:9" x14ac:dyDescent="0.2">
      <c r="I214" s="221"/>
    </row>
    <row r="215" spans="9:9" x14ac:dyDescent="0.2">
      <c r="I215" s="221"/>
    </row>
    <row r="216" spans="9:9" x14ac:dyDescent="0.2">
      <c r="I216" s="221"/>
    </row>
    <row r="217" spans="9:9" x14ac:dyDescent="0.2">
      <c r="I217" s="221"/>
    </row>
    <row r="218" spans="9:9" x14ac:dyDescent="0.2">
      <c r="I218" s="221"/>
    </row>
    <row r="219" spans="9:9" x14ac:dyDescent="0.2">
      <c r="I219" s="221"/>
    </row>
    <row r="220" spans="9:9" x14ac:dyDescent="0.2">
      <c r="I220" s="221"/>
    </row>
    <row r="221" spans="9:9" x14ac:dyDescent="0.2">
      <c r="I221" s="221"/>
    </row>
    <row r="222" spans="9:9" x14ac:dyDescent="0.2">
      <c r="I222" s="221"/>
    </row>
    <row r="223" spans="9:9" x14ac:dyDescent="0.2">
      <c r="I223" s="221"/>
    </row>
    <row r="224" spans="9:9" x14ac:dyDescent="0.2">
      <c r="I224" s="221"/>
    </row>
    <row r="225" spans="9:9" x14ac:dyDescent="0.2">
      <c r="I225" s="221"/>
    </row>
    <row r="226" spans="9:9" x14ac:dyDescent="0.2">
      <c r="I226" s="221"/>
    </row>
    <row r="227" spans="9:9" x14ac:dyDescent="0.2">
      <c r="I227" s="221"/>
    </row>
    <row r="228" spans="9:9" x14ac:dyDescent="0.2">
      <c r="I228" s="221"/>
    </row>
    <row r="229" spans="9:9" x14ac:dyDescent="0.2">
      <c r="I229" s="221"/>
    </row>
    <row r="230" spans="9:9" x14ac:dyDescent="0.2">
      <c r="I230" s="221"/>
    </row>
    <row r="231" spans="9:9" x14ac:dyDescent="0.2">
      <c r="I231" s="221"/>
    </row>
    <row r="232" spans="9:9" x14ac:dyDescent="0.2">
      <c r="I232" s="221"/>
    </row>
    <row r="233" spans="9:9" x14ac:dyDescent="0.2">
      <c r="I233" s="221"/>
    </row>
    <row r="234" spans="9:9" x14ac:dyDescent="0.2">
      <c r="I234" s="221"/>
    </row>
    <row r="235" spans="9:9" x14ac:dyDescent="0.2">
      <c r="I235" s="221"/>
    </row>
    <row r="236" spans="9:9" x14ac:dyDescent="0.2">
      <c r="I236" s="221"/>
    </row>
    <row r="237" spans="9:9" x14ac:dyDescent="0.2">
      <c r="I237" s="221"/>
    </row>
    <row r="238" spans="9:9" x14ac:dyDescent="0.2">
      <c r="I238" s="221"/>
    </row>
    <row r="239" spans="9:9" x14ac:dyDescent="0.2">
      <c r="I239" s="221"/>
    </row>
    <row r="240" spans="9:9" x14ac:dyDescent="0.2">
      <c r="I240" s="221"/>
    </row>
    <row r="241" spans="9:9" x14ac:dyDescent="0.2">
      <c r="I241" s="221"/>
    </row>
    <row r="242" spans="9:9" x14ac:dyDescent="0.2">
      <c r="I242" s="221"/>
    </row>
    <row r="243" spans="9:9" x14ac:dyDescent="0.2">
      <c r="I243" s="221"/>
    </row>
    <row r="244" spans="9:9" x14ac:dyDescent="0.2">
      <c r="I244" s="221"/>
    </row>
    <row r="245" spans="9:9" x14ac:dyDescent="0.2">
      <c r="I245" s="221"/>
    </row>
    <row r="246" spans="9:9" x14ac:dyDescent="0.2">
      <c r="I246" s="221"/>
    </row>
    <row r="247" spans="9:9" x14ac:dyDescent="0.2">
      <c r="I247" s="221"/>
    </row>
    <row r="248" spans="9:9" x14ac:dyDescent="0.2">
      <c r="I248" s="221"/>
    </row>
    <row r="249" spans="9:9" x14ac:dyDescent="0.2">
      <c r="I249" s="221"/>
    </row>
    <row r="250" spans="9:9" x14ac:dyDescent="0.2">
      <c r="I250" s="221"/>
    </row>
    <row r="251" spans="9:9" x14ac:dyDescent="0.2">
      <c r="I251" s="221"/>
    </row>
    <row r="252" spans="9:9" x14ac:dyDescent="0.2">
      <c r="I252" s="221"/>
    </row>
    <row r="253" spans="9:9" x14ac:dyDescent="0.2">
      <c r="I253" s="221"/>
    </row>
    <row r="254" spans="9:9" x14ac:dyDescent="0.2">
      <c r="I254" s="221"/>
    </row>
    <row r="255" spans="9:9" x14ac:dyDescent="0.2">
      <c r="I255" s="221"/>
    </row>
    <row r="256" spans="9:9" x14ac:dyDescent="0.2">
      <c r="I256" s="221"/>
    </row>
    <row r="257" spans="9:9" x14ac:dyDescent="0.2">
      <c r="I257" s="221"/>
    </row>
    <row r="258" spans="9:9" x14ac:dyDescent="0.2">
      <c r="I258" s="221"/>
    </row>
    <row r="259" spans="9:9" x14ac:dyDescent="0.2">
      <c r="I259" s="221"/>
    </row>
    <row r="260" spans="9:9" x14ac:dyDescent="0.2">
      <c r="I260" s="221"/>
    </row>
    <row r="261" spans="9:9" x14ac:dyDescent="0.2">
      <c r="I261" s="221"/>
    </row>
    <row r="262" spans="9:9" x14ac:dyDescent="0.2">
      <c r="I262" s="221"/>
    </row>
    <row r="263" spans="9:9" x14ac:dyDescent="0.2">
      <c r="I263" s="221"/>
    </row>
    <row r="264" spans="9:9" x14ac:dyDescent="0.2">
      <c r="I264" s="221"/>
    </row>
    <row r="265" spans="9:9" x14ac:dyDescent="0.2">
      <c r="I265" s="221"/>
    </row>
    <row r="266" spans="9:9" x14ac:dyDescent="0.2">
      <c r="I266" s="221"/>
    </row>
    <row r="267" spans="9:9" x14ac:dyDescent="0.2">
      <c r="I267" s="221"/>
    </row>
    <row r="268" spans="9:9" x14ac:dyDescent="0.2">
      <c r="I268" s="221"/>
    </row>
    <row r="269" spans="9:9" x14ac:dyDescent="0.2">
      <c r="I269" s="221"/>
    </row>
    <row r="270" spans="9:9" x14ac:dyDescent="0.2">
      <c r="I270" s="221"/>
    </row>
    <row r="271" spans="9:9" x14ac:dyDescent="0.2">
      <c r="I271" s="221"/>
    </row>
    <row r="272" spans="9:9" x14ac:dyDescent="0.2">
      <c r="I272" s="221"/>
    </row>
    <row r="273" spans="9:9" x14ac:dyDescent="0.2">
      <c r="I273" s="221"/>
    </row>
    <row r="274" spans="9:9" x14ac:dyDescent="0.2">
      <c r="I274" s="221"/>
    </row>
    <row r="275" spans="9:9" x14ac:dyDescent="0.2">
      <c r="I275" s="221"/>
    </row>
    <row r="276" spans="9:9" x14ac:dyDescent="0.2">
      <c r="I276" s="221"/>
    </row>
    <row r="277" spans="9:9" x14ac:dyDescent="0.2">
      <c r="I277" s="221"/>
    </row>
    <row r="278" spans="9:9" x14ac:dyDescent="0.2">
      <c r="I278" s="221"/>
    </row>
    <row r="279" spans="9:9" x14ac:dyDescent="0.2">
      <c r="I279" s="221"/>
    </row>
    <row r="280" spans="9:9" x14ac:dyDescent="0.2">
      <c r="I280" s="221"/>
    </row>
    <row r="281" spans="9:9" x14ac:dyDescent="0.2">
      <c r="I281" s="221"/>
    </row>
    <row r="282" spans="9:9" x14ac:dyDescent="0.2">
      <c r="I282" s="221"/>
    </row>
    <row r="283" spans="9:9" x14ac:dyDescent="0.2">
      <c r="I283" s="221"/>
    </row>
    <row r="284" spans="9:9" x14ac:dyDescent="0.2">
      <c r="I284" s="221"/>
    </row>
    <row r="285" spans="9:9" x14ac:dyDescent="0.2">
      <c r="I285" s="221"/>
    </row>
    <row r="286" spans="9:9" x14ac:dyDescent="0.2">
      <c r="I286" s="221"/>
    </row>
    <row r="287" spans="9:9" x14ac:dyDescent="0.2">
      <c r="I287" s="221"/>
    </row>
    <row r="288" spans="9:9" x14ac:dyDescent="0.2">
      <c r="I288" s="221"/>
    </row>
    <row r="289" spans="9:9" x14ac:dyDescent="0.2">
      <c r="I289" s="221"/>
    </row>
    <row r="290" spans="9:9" x14ac:dyDescent="0.2">
      <c r="I290" s="221"/>
    </row>
    <row r="291" spans="9:9" x14ac:dyDescent="0.2">
      <c r="I291" s="221"/>
    </row>
    <row r="292" spans="9:9" x14ac:dyDescent="0.2">
      <c r="I292" s="221"/>
    </row>
    <row r="293" spans="9:9" x14ac:dyDescent="0.2">
      <c r="I293" s="221"/>
    </row>
    <row r="294" spans="9:9" x14ac:dyDescent="0.2">
      <c r="I294" s="221"/>
    </row>
    <row r="295" spans="9:9" x14ac:dyDescent="0.2">
      <c r="I295" s="221"/>
    </row>
    <row r="296" spans="9:9" x14ac:dyDescent="0.2">
      <c r="I296" s="221"/>
    </row>
    <row r="297" spans="9:9" x14ac:dyDescent="0.2">
      <c r="I297" s="221"/>
    </row>
    <row r="298" spans="9:9" x14ac:dyDescent="0.2">
      <c r="I298" s="221"/>
    </row>
    <row r="299" spans="9:9" x14ac:dyDescent="0.2">
      <c r="I299" s="221"/>
    </row>
    <row r="300" spans="9:9" x14ac:dyDescent="0.2">
      <c r="I300" s="221"/>
    </row>
    <row r="301" spans="9:9" x14ac:dyDescent="0.2">
      <c r="I301" s="221"/>
    </row>
    <row r="302" spans="9:9" x14ac:dyDescent="0.2">
      <c r="I302" s="221"/>
    </row>
    <row r="303" spans="9:9" x14ac:dyDescent="0.2">
      <c r="I303" s="221"/>
    </row>
    <row r="304" spans="9:9" x14ac:dyDescent="0.2">
      <c r="I304" s="221"/>
    </row>
    <row r="305" spans="9:9" x14ac:dyDescent="0.2">
      <c r="I305" s="221"/>
    </row>
    <row r="306" spans="9:9" x14ac:dyDescent="0.2">
      <c r="I306" s="221"/>
    </row>
    <row r="307" spans="9:9" x14ac:dyDescent="0.2">
      <c r="I307" s="221"/>
    </row>
    <row r="308" spans="9:9" x14ac:dyDescent="0.2">
      <c r="I308" s="221"/>
    </row>
    <row r="309" spans="9:9" x14ac:dyDescent="0.2">
      <c r="I309" s="221"/>
    </row>
    <row r="310" spans="9:9" x14ac:dyDescent="0.2">
      <c r="I310" s="221"/>
    </row>
    <row r="311" spans="9:9" x14ac:dyDescent="0.2">
      <c r="I311" s="221"/>
    </row>
    <row r="312" spans="9:9" x14ac:dyDescent="0.2">
      <c r="I312" s="221"/>
    </row>
    <row r="313" spans="9:9" x14ac:dyDescent="0.2">
      <c r="I313" s="221"/>
    </row>
    <row r="314" spans="9:9" x14ac:dyDescent="0.2">
      <c r="I314" s="221"/>
    </row>
    <row r="315" spans="9:9" x14ac:dyDescent="0.2">
      <c r="I315" s="221"/>
    </row>
    <row r="316" spans="9:9" x14ac:dyDescent="0.2">
      <c r="I316" s="221"/>
    </row>
    <row r="317" spans="9:9" x14ac:dyDescent="0.2">
      <c r="I317" s="221"/>
    </row>
    <row r="318" spans="9:9" x14ac:dyDescent="0.2">
      <c r="I318" s="221"/>
    </row>
    <row r="319" spans="9:9" x14ac:dyDescent="0.2">
      <c r="I319" s="221"/>
    </row>
    <row r="320" spans="9:9" x14ac:dyDescent="0.2">
      <c r="I320" s="221"/>
    </row>
    <row r="321" spans="9:9" x14ac:dyDescent="0.2">
      <c r="I321" s="221"/>
    </row>
    <row r="322" spans="9:9" x14ac:dyDescent="0.2">
      <c r="I322" s="221"/>
    </row>
    <row r="323" spans="9:9" x14ac:dyDescent="0.2">
      <c r="I323" s="221"/>
    </row>
    <row r="324" spans="9:9" x14ac:dyDescent="0.2">
      <c r="I324" s="221"/>
    </row>
    <row r="325" spans="9:9" x14ac:dyDescent="0.2">
      <c r="I325" s="221"/>
    </row>
    <row r="326" spans="9:9" x14ac:dyDescent="0.2">
      <c r="I326" s="221"/>
    </row>
    <row r="327" spans="9:9" x14ac:dyDescent="0.2">
      <c r="I327" s="221"/>
    </row>
    <row r="328" spans="9:9" x14ac:dyDescent="0.2">
      <c r="I328" s="221"/>
    </row>
    <row r="329" spans="9:9" x14ac:dyDescent="0.2">
      <c r="I329" s="221"/>
    </row>
    <row r="330" spans="9:9" x14ac:dyDescent="0.2">
      <c r="I330" s="221"/>
    </row>
    <row r="331" spans="9:9" x14ac:dyDescent="0.2">
      <c r="I331" s="221"/>
    </row>
    <row r="332" spans="9:9" x14ac:dyDescent="0.2">
      <c r="I332" s="221"/>
    </row>
    <row r="333" spans="9:9" x14ac:dyDescent="0.2">
      <c r="I333" s="221"/>
    </row>
    <row r="334" spans="9:9" x14ac:dyDescent="0.2">
      <c r="I334" s="221"/>
    </row>
    <row r="335" spans="9:9" x14ac:dyDescent="0.2">
      <c r="I335" s="221"/>
    </row>
    <row r="336" spans="9:9" x14ac:dyDescent="0.2">
      <c r="I336" s="221"/>
    </row>
    <row r="337" spans="9:9" x14ac:dyDescent="0.2">
      <c r="I337" s="221"/>
    </row>
    <row r="338" spans="9:9" x14ac:dyDescent="0.2">
      <c r="I338" s="221"/>
    </row>
    <row r="339" spans="9:9" x14ac:dyDescent="0.2">
      <c r="I339" s="221"/>
    </row>
    <row r="340" spans="9:9" x14ac:dyDescent="0.2">
      <c r="I340" s="221"/>
    </row>
    <row r="341" spans="9:9" x14ac:dyDescent="0.2">
      <c r="I341" s="221"/>
    </row>
    <row r="342" spans="9:9" x14ac:dyDescent="0.2">
      <c r="I342" s="221"/>
    </row>
    <row r="343" spans="9:9" x14ac:dyDescent="0.2">
      <c r="I343" s="221"/>
    </row>
    <row r="344" spans="9:9" x14ac:dyDescent="0.2">
      <c r="I344" s="221"/>
    </row>
    <row r="345" spans="9:9" x14ac:dyDescent="0.2">
      <c r="I345" s="221"/>
    </row>
    <row r="346" spans="9:9" x14ac:dyDescent="0.2">
      <c r="I346" s="221"/>
    </row>
    <row r="347" spans="9:9" x14ac:dyDescent="0.2">
      <c r="I347" s="221"/>
    </row>
    <row r="348" spans="9:9" x14ac:dyDescent="0.2">
      <c r="I348" s="221"/>
    </row>
    <row r="349" spans="9:9" x14ac:dyDescent="0.2">
      <c r="I349" s="221"/>
    </row>
    <row r="350" spans="9:9" x14ac:dyDescent="0.2">
      <c r="I350" s="221"/>
    </row>
    <row r="351" spans="9:9" x14ac:dyDescent="0.2">
      <c r="I351" s="221"/>
    </row>
    <row r="352" spans="9:9" x14ac:dyDescent="0.2">
      <c r="I352" s="221"/>
    </row>
    <row r="353" spans="9:9" x14ac:dyDescent="0.2">
      <c r="I353" s="221"/>
    </row>
    <row r="354" spans="9:9" x14ac:dyDescent="0.2">
      <c r="I354" s="221"/>
    </row>
    <row r="355" spans="9:9" x14ac:dyDescent="0.2">
      <c r="I355" s="221"/>
    </row>
    <row r="356" spans="9:9" x14ac:dyDescent="0.2">
      <c r="I356" s="221"/>
    </row>
    <row r="357" spans="9:9" x14ac:dyDescent="0.2">
      <c r="I357" s="221"/>
    </row>
    <row r="358" spans="9:9" x14ac:dyDescent="0.2">
      <c r="I358" s="221"/>
    </row>
    <row r="359" spans="9:9" x14ac:dyDescent="0.2">
      <c r="I359" s="221"/>
    </row>
    <row r="360" spans="9:9" x14ac:dyDescent="0.2">
      <c r="I360" s="221"/>
    </row>
    <row r="361" spans="9:9" x14ac:dyDescent="0.2">
      <c r="I361" s="221"/>
    </row>
    <row r="362" spans="9:9" x14ac:dyDescent="0.2">
      <c r="I362" s="221"/>
    </row>
    <row r="363" spans="9:9" x14ac:dyDescent="0.2">
      <c r="I363" s="221"/>
    </row>
    <row r="364" spans="9:9" x14ac:dyDescent="0.2">
      <c r="I364" s="221"/>
    </row>
    <row r="365" spans="9:9" x14ac:dyDescent="0.2">
      <c r="I365" s="221"/>
    </row>
    <row r="366" spans="9:9" x14ac:dyDescent="0.2">
      <c r="I366" s="221"/>
    </row>
    <row r="367" spans="9:9" x14ac:dyDescent="0.2">
      <c r="I367" s="221"/>
    </row>
    <row r="368" spans="9:9" x14ac:dyDescent="0.2">
      <c r="I368" s="221"/>
    </row>
    <row r="369" spans="9:9" x14ac:dyDescent="0.2">
      <c r="I369" s="221"/>
    </row>
    <row r="370" spans="9:9" x14ac:dyDescent="0.2">
      <c r="I370" s="221"/>
    </row>
    <row r="371" spans="9:9" x14ac:dyDescent="0.2">
      <c r="I371" s="221"/>
    </row>
    <row r="372" spans="9:9" x14ac:dyDescent="0.2">
      <c r="I372" s="221"/>
    </row>
    <row r="373" spans="9:9" x14ac:dyDescent="0.2">
      <c r="I373" s="221"/>
    </row>
    <row r="374" spans="9:9" x14ac:dyDescent="0.2">
      <c r="I374" s="221"/>
    </row>
    <row r="375" spans="9:9" x14ac:dyDescent="0.2">
      <c r="I375" s="221"/>
    </row>
    <row r="376" spans="9:9" x14ac:dyDescent="0.2">
      <c r="I376" s="221"/>
    </row>
    <row r="377" spans="9:9" x14ac:dyDescent="0.2">
      <c r="I377" s="221"/>
    </row>
    <row r="378" spans="9:9" x14ac:dyDescent="0.2">
      <c r="I378" s="221"/>
    </row>
    <row r="379" spans="9:9" x14ac:dyDescent="0.2">
      <c r="I379" s="221"/>
    </row>
    <row r="380" spans="9:9" x14ac:dyDescent="0.2">
      <c r="I380" s="221"/>
    </row>
    <row r="381" spans="9:9" x14ac:dyDescent="0.2">
      <c r="I381" s="221"/>
    </row>
    <row r="382" spans="9:9" x14ac:dyDescent="0.2">
      <c r="I382" s="221"/>
    </row>
    <row r="383" spans="9:9" x14ac:dyDescent="0.2">
      <c r="I383" s="221"/>
    </row>
    <row r="384" spans="9:9" x14ac:dyDescent="0.2">
      <c r="I384" s="221"/>
    </row>
    <row r="385" spans="9:9" x14ac:dyDescent="0.2">
      <c r="I385" s="221"/>
    </row>
    <row r="386" spans="9:9" x14ac:dyDescent="0.2">
      <c r="I386" s="221"/>
    </row>
    <row r="387" spans="9:9" x14ac:dyDescent="0.2">
      <c r="I387" s="221"/>
    </row>
    <row r="388" spans="9:9" x14ac:dyDescent="0.2">
      <c r="I388" s="221"/>
    </row>
    <row r="389" spans="9:9" x14ac:dyDescent="0.2">
      <c r="I389" s="221"/>
    </row>
    <row r="390" spans="9:9" x14ac:dyDescent="0.2">
      <c r="I390" s="221"/>
    </row>
    <row r="391" spans="9:9" x14ac:dyDescent="0.2">
      <c r="I391" s="221"/>
    </row>
    <row r="392" spans="9:9" x14ac:dyDescent="0.2">
      <c r="I392" s="221"/>
    </row>
    <row r="393" spans="9:9" x14ac:dyDescent="0.2">
      <c r="I393" s="221"/>
    </row>
    <row r="394" spans="9:9" x14ac:dyDescent="0.2">
      <c r="I394" s="221"/>
    </row>
    <row r="395" spans="9:9" x14ac:dyDescent="0.2">
      <c r="I395" s="221"/>
    </row>
    <row r="396" spans="9:9" x14ac:dyDescent="0.2">
      <c r="I396" s="221"/>
    </row>
    <row r="397" spans="9:9" x14ac:dyDescent="0.2">
      <c r="I397" s="221"/>
    </row>
    <row r="398" spans="9:9" x14ac:dyDescent="0.2">
      <c r="I398" s="221"/>
    </row>
    <row r="399" spans="9:9" x14ac:dyDescent="0.2">
      <c r="I399" s="221"/>
    </row>
    <row r="400" spans="9:9" x14ac:dyDescent="0.2">
      <c r="I400" s="221"/>
    </row>
    <row r="401" spans="9:9" x14ac:dyDescent="0.2">
      <c r="I401" s="221"/>
    </row>
    <row r="402" spans="9:9" x14ac:dyDescent="0.2">
      <c r="I402" s="221"/>
    </row>
    <row r="403" spans="9:9" x14ac:dyDescent="0.2">
      <c r="I403" s="221"/>
    </row>
    <row r="404" spans="9:9" x14ac:dyDescent="0.2">
      <c r="I404" s="221"/>
    </row>
    <row r="405" spans="9:9" x14ac:dyDescent="0.2">
      <c r="I405" s="221"/>
    </row>
    <row r="406" spans="9:9" x14ac:dyDescent="0.2">
      <c r="I406" s="221"/>
    </row>
    <row r="407" spans="9:9" x14ac:dyDescent="0.2">
      <c r="I407" s="221"/>
    </row>
    <row r="408" spans="9:9" x14ac:dyDescent="0.2">
      <c r="I408" s="221"/>
    </row>
    <row r="409" spans="9:9" x14ac:dyDescent="0.2">
      <c r="I409" s="221"/>
    </row>
    <row r="410" spans="9:9" x14ac:dyDescent="0.2">
      <c r="I410" s="221"/>
    </row>
    <row r="411" spans="9:9" x14ac:dyDescent="0.2">
      <c r="I411" s="221"/>
    </row>
    <row r="412" spans="9:9" x14ac:dyDescent="0.2">
      <c r="I412" s="221"/>
    </row>
    <row r="413" spans="9:9" x14ac:dyDescent="0.2">
      <c r="I413" s="221"/>
    </row>
    <row r="414" spans="9:9" x14ac:dyDescent="0.2">
      <c r="I414" s="221"/>
    </row>
    <row r="415" spans="9:9" x14ac:dyDescent="0.2">
      <c r="I415" s="221"/>
    </row>
    <row r="416" spans="9:9" x14ac:dyDescent="0.2">
      <c r="I416" s="221"/>
    </row>
    <row r="417" spans="9:9" x14ac:dyDescent="0.2">
      <c r="I417" s="221"/>
    </row>
    <row r="418" spans="9:9" x14ac:dyDescent="0.2">
      <c r="I418" s="221"/>
    </row>
    <row r="419" spans="9:9" x14ac:dyDescent="0.2">
      <c r="I419" s="221"/>
    </row>
    <row r="420" spans="9:9" x14ac:dyDescent="0.2">
      <c r="I420" s="221"/>
    </row>
    <row r="421" spans="9:9" x14ac:dyDescent="0.2">
      <c r="I421" s="221"/>
    </row>
    <row r="422" spans="9:9" x14ac:dyDescent="0.2">
      <c r="I422" s="221"/>
    </row>
    <row r="423" spans="9:9" x14ac:dyDescent="0.2">
      <c r="I423" s="221"/>
    </row>
    <row r="424" spans="9:9" x14ac:dyDescent="0.2">
      <c r="I424" s="221"/>
    </row>
    <row r="425" spans="9:9" x14ac:dyDescent="0.2">
      <c r="I425" s="221"/>
    </row>
    <row r="426" spans="9:9" x14ac:dyDescent="0.2">
      <c r="I426" s="221"/>
    </row>
    <row r="427" spans="9:9" x14ac:dyDescent="0.2">
      <c r="I427" s="221"/>
    </row>
    <row r="428" spans="9:9" x14ac:dyDescent="0.2">
      <c r="I428" s="221"/>
    </row>
    <row r="429" spans="9:9" x14ac:dyDescent="0.2">
      <c r="I429" s="221"/>
    </row>
    <row r="430" spans="9:9" x14ac:dyDescent="0.2">
      <c r="I430" s="221"/>
    </row>
    <row r="431" spans="9:9" x14ac:dyDescent="0.2">
      <c r="I431" s="221"/>
    </row>
    <row r="432" spans="9:9" x14ac:dyDescent="0.2">
      <c r="I432" s="221"/>
    </row>
    <row r="433" spans="9:9" x14ac:dyDescent="0.2">
      <c r="I433" s="221"/>
    </row>
    <row r="434" spans="9:9" x14ac:dyDescent="0.2">
      <c r="I434" s="221"/>
    </row>
    <row r="435" spans="9:9" x14ac:dyDescent="0.2">
      <c r="I435" s="221"/>
    </row>
    <row r="436" spans="9:9" x14ac:dyDescent="0.2">
      <c r="I436" s="221"/>
    </row>
    <row r="437" spans="9:9" x14ac:dyDescent="0.2">
      <c r="I437" s="221"/>
    </row>
    <row r="438" spans="9:9" x14ac:dyDescent="0.2">
      <c r="I438" s="221"/>
    </row>
    <row r="439" spans="9:9" x14ac:dyDescent="0.2">
      <c r="I439" s="221"/>
    </row>
    <row r="440" spans="9:9" x14ac:dyDescent="0.2">
      <c r="I440" s="221"/>
    </row>
    <row r="441" spans="9:9" x14ac:dyDescent="0.2">
      <c r="I441" s="221"/>
    </row>
    <row r="442" spans="9:9" x14ac:dyDescent="0.2">
      <c r="I442" s="221"/>
    </row>
    <row r="443" spans="9:9" x14ac:dyDescent="0.2">
      <c r="I443" s="221"/>
    </row>
    <row r="444" spans="9:9" x14ac:dyDescent="0.2">
      <c r="I444" s="221"/>
    </row>
    <row r="445" spans="9:9" x14ac:dyDescent="0.2">
      <c r="I445" s="221"/>
    </row>
    <row r="446" spans="9:9" x14ac:dyDescent="0.2">
      <c r="I446" s="221"/>
    </row>
    <row r="447" spans="9:9" x14ac:dyDescent="0.2">
      <c r="I447" s="221"/>
    </row>
    <row r="448" spans="9:9" x14ac:dyDescent="0.2">
      <c r="I448" s="221"/>
    </row>
    <row r="449" spans="9:9" x14ac:dyDescent="0.2">
      <c r="I449" s="221"/>
    </row>
    <row r="450" spans="9:9" x14ac:dyDescent="0.2">
      <c r="I450" s="221"/>
    </row>
    <row r="451" spans="9:9" x14ac:dyDescent="0.2">
      <c r="I451" s="221"/>
    </row>
    <row r="452" spans="9:9" x14ac:dyDescent="0.2">
      <c r="I452" s="221"/>
    </row>
    <row r="453" spans="9:9" x14ac:dyDescent="0.2">
      <c r="I453" s="221"/>
    </row>
    <row r="454" spans="9:9" x14ac:dyDescent="0.2">
      <c r="I454" s="221"/>
    </row>
    <row r="455" spans="9:9" x14ac:dyDescent="0.2">
      <c r="I455" s="221"/>
    </row>
    <row r="456" spans="9:9" x14ac:dyDescent="0.2">
      <c r="I456" s="221"/>
    </row>
    <row r="457" spans="9:9" x14ac:dyDescent="0.2">
      <c r="I457" s="221"/>
    </row>
    <row r="458" spans="9:9" x14ac:dyDescent="0.2">
      <c r="I458" s="221"/>
    </row>
    <row r="459" spans="9:9" x14ac:dyDescent="0.2">
      <c r="I459" s="221"/>
    </row>
    <row r="460" spans="9:9" x14ac:dyDescent="0.2">
      <c r="I460" s="221"/>
    </row>
    <row r="461" spans="9:9" x14ac:dyDescent="0.2">
      <c r="I461" s="221"/>
    </row>
    <row r="462" spans="9:9" x14ac:dyDescent="0.2">
      <c r="I462" s="221"/>
    </row>
    <row r="463" spans="9:9" x14ac:dyDescent="0.2">
      <c r="I463" s="221"/>
    </row>
    <row r="464" spans="9:9" x14ac:dyDescent="0.2">
      <c r="I464" s="221"/>
    </row>
    <row r="465" spans="9:9" x14ac:dyDescent="0.2">
      <c r="I465" s="221"/>
    </row>
    <row r="466" spans="9:9" x14ac:dyDescent="0.2">
      <c r="I466" s="221"/>
    </row>
    <row r="467" spans="9:9" x14ac:dyDescent="0.2">
      <c r="I467" s="221"/>
    </row>
    <row r="468" spans="9:9" x14ac:dyDescent="0.2">
      <c r="I468" s="221"/>
    </row>
    <row r="469" spans="9:9" x14ac:dyDescent="0.2">
      <c r="I469" s="221"/>
    </row>
    <row r="470" spans="9:9" x14ac:dyDescent="0.2">
      <c r="I470" s="221"/>
    </row>
    <row r="471" spans="9:9" x14ac:dyDescent="0.2">
      <c r="I471" s="221"/>
    </row>
    <row r="472" spans="9:9" x14ac:dyDescent="0.2">
      <c r="I472" s="221"/>
    </row>
    <row r="473" spans="9:9" x14ac:dyDescent="0.2">
      <c r="I473" s="221"/>
    </row>
    <row r="474" spans="9:9" x14ac:dyDescent="0.2">
      <c r="I474" s="221"/>
    </row>
    <row r="475" spans="9:9" x14ac:dyDescent="0.2">
      <c r="I475" s="221"/>
    </row>
    <row r="476" spans="9:9" x14ac:dyDescent="0.2">
      <c r="I476" s="221"/>
    </row>
    <row r="477" spans="9:9" x14ac:dyDescent="0.2">
      <c r="I477" s="221"/>
    </row>
    <row r="478" spans="9:9" x14ac:dyDescent="0.2">
      <c r="I478" s="221"/>
    </row>
    <row r="479" spans="9:9" x14ac:dyDescent="0.2">
      <c r="I479" s="221"/>
    </row>
    <row r="480" spans="9:9" x14ac:dyDescent="0.2">
      <c r="I480" s="221"/>
    </row>
    <row r="481" spans="9:9" x14ac:dyDescent="0.2">
      <c r="I481" s="221"/>
    </row>
    <row r="482" spans="9:9" x14ac:dyDescent="0.2">
      <c r="I482" s="221"/>
    </row>
    <row r="483" spans="9:9" x14ac:dyDescent="0.2">
      <c r="I483" s="221"/>
    </row>
    <row r="484" spans="9:9" x14ac:dyDescent="0.2">
      <c r="I484" s="221"/>
    </row>
    <row r="485" spans="9:9" x14ac:dyDescent="0.2">
      <c r="I485" s="221"/>
    </row>
    <row r="486" spans="9:9" x14ac:dyDescent="0.2">
      <c r="I486" s="221"/>
    </row>
    <row r="487" spans="9:9" x14ac:dyDescent="0.2">
      <c r="I487" s="221"/>
    </row>
    <row r="488" spans="9:9" x14ac:dyDescent="0.2">
      <c r="I488" s="221"/>
    </row>
    <row r="489" spans="9:9" x14ac:dyDescent="0.2">
      <c r="I489" s="221"/>
    </row>
    <row r="490" spans="9:9" x14ac:dyDescent="0.2">
      <c r="I490" s="221"/>
    </row>
    <row r="491" spans="9:9" x14ac:dyDescent="0.2">
      <c r="I491" s="221"/>
    </row>
    <row r="492" spans="9:9" x14ac:dyDescent="0.2">
      <c r="I492" s="221"/>
    </row>
    <row r="493" spans="9:9" x14ac:dyDescent="0.2">
      <c r="I493" s="221"/>
    </row>
    <row r="494" spans="9:9" x14ac:dyDescent="0.2">
      <c r="I494" s="221"/>
    </row>
    <row r="495" spans="9:9" x14ac:dyDescent="0.2">
      <c r="I495" s="221"/>
    </row>
    <row r="496" spans="9:9" x14ac:dyDescent="0.2">
      <c r="I496" s="221"/>
    </row>
    <row r="497" spans="9:9" x14ac:dyDescent="0.2">
      <c r="I497" s="221"/>
    </row>
    <row r="498" spans="9:9" x14ac:dyDescent="0.2">
      <c r="I498" s="221"/>
    </row>
    <row r="499" spans="9:9" x14ac:dyDescent="0.2">
      <c r="I499" s="221"/>
    </row>
    <row r="500" spans="9:9" x14ac:dyDescent="0.2">
      <c r="I500" s="221"/>
    </row>
  </sheetData>
  <customSheetViews>
    <customSheetView guid="{D3618886-EC92-4244-941D-CAF99D049731}" showRuler="0">
      <selection activeCell="B1" sqref="B1"/>
      <pageMargins left="0.33" right="0.28000000000000003" top="0.52" bottom="0.39" header="0.34" footer="0.16"/>
      <pageSetup scale="80" orientation="portrait" horizontalDpi="300" verticalDpi="300" r:id="rId1"/>
      <headerFooter alignWithMargins="0"/>
    </customSheetView>
  </customSheetViews>
  <phoneticPr fontId="18" type="noConversion"/>
  <pageMargins left="0.33" right="0.28000000000000003" top="0.52" bottom="0.39" header="0.34" footer="0.16"/>
  <pageSetup scale="80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7" tint="-0.249977111117893"/>
  </sheetPr>
  <dimension ref="A1:L141"/>
  <sheetViews>
    <sheetView topLeftCell="A46" workbookViewId="0">
      <selection activeCell="C82" sqref="C82"/>
    </sheetView>
  </sheetViews>
  <sheetFormatPr defaultColWidth="9.140625" defaultRowHeight="11.25" x14ac:dyDescent="0.2"/>
  <cols>
    <col min="1" max="10" width="9.140625" style="196"/>
    <col min="11" max="11" width="9.140625" style="245"/>
    <col min="12" max="12" width="9.140625" style="246"/>
    <col min="13" max="16384" width="9.140625" style="196"/>
  </cols>
  <sheetData>
    <row r="1" spans="1:12" ht="12.75" customHeight="1" x14ac:dyDescent="0.2">
      <c r="A1" s="38"/>
      <c r="B1" s="38"/>
      <c r="C1" s="38"/>
      <c r="D1" s="39"/>
      <c r="E1" s="38"/>
      <c r="F1" s="223"/>
      <c r="G1" s="38"/>
      <c r="H1" s="38"/>
      <c r="I1" s="38"/>
      <c r="J1" s="39"/>
      <c r="K1" s="222"/>
      <c r="L1" s="222"/>
    </row>
    <row r="2" spans="1:12" ht="12.75" customHeight="1" x14ac:dyDescent="0.2">
      <c r="A2" s="38" t="s">
        <v>1177</v>
      </c>
      <c r="B2" s="38"/>
      <c r="C2" s="38"/>
      <c r="D2" s="150" t="s">
        <v>1178</v>
      </c>
      <c r="E2" s="3"/>
      <c r="F2" s="223"/>
      <c r="G2" s="3"/>
      <c r="H2" s="38"/>
      <c r="I2" s="38"/>
      <c r="J2" s="39"/>
      <c r="K2" s="222"/>
      <c r="L2" s="222"/>
    </row>
    <row r="3" spans="1:12" ht="12.75" customHeight="1" x14ac:dyDescent="0.2">
      <c r="A3" s="38" t="s">
        <v>57</v>
      </c>
      <c r="B3" s="38"/>
      <c r="C3" s="38"/>
      <c r="D3" s="39"/>
      <c r="E3" s="38"/>
      <c r="F3" s="223"/>
      <c r="G3" s="38"/>
      <c r="H3" s="38"/>
      <c r="I3" s="38"/>
      <c r="J3" s="39"/>
      <c r="K3" s="222"/>
      <c r="L3" s="222"/>
    </row>
    <row r="4" spans="1:12" ht="12.75" x14ac:dyDescent="0.2">
      <c r="A4" s="38"/>
      <c r="B4" s="38"/>
      <c r="C4" s="38"/>
      <c r="D4" s="39"/>
      <c r="E4" s="38"/>
      <c r="F4" s="223"/>
      <c r="G4" s="38"/>
      <c r="H4" s="38"/>
      <c r="I4" s="38"/>
      <c r="J4" s="39"/>
      <c r="K4" s="222"/>
      <c r="L4" s="222"/>
    </row>
    <row r="5" spans="1:12" ht="76.5" x14ac:dyDescent="0.2">
      <c r="A5" s="224" t="s">
        <v>58</v>
      </c>
      <c r="B5" s="225"/>
      <c r="C5" s="225"/>
      <c r="D5" s="226"/>
      <c r="E5" s="227"/>
      <c r="F5" s="223"/>
      <c r="G5" s="38"/>
      <c r="H5" s="38"/>
      <c r="I5" s="247" t="s">
        <v>32</v>
      </c>
      <c r="J5" s="248" t="s">
        <v>1179</v>
      </c>
      <c r="K5" s="249" t="s">
        <v>1180</v>
      </c>
      <c r="L5" s="249" t="s">
        <v>1181</v>
      </c>
    </row>
    <row r="6" spans="1:12" ht="12.75" x14ac:dyDescent="0.2">
      <c r="A6" s="228" t="s">
        <v>1182</v>
      </c>
      <c r="B6" s="229"/>
      <c r="C6" s="229"/>
      <c r="D6" s="230"/>
      <c r="E6" s="231"/>
      <c r="F6" s="223"/>
      <c r="G6" s="38"/>
      <c r="H6" s="38"/>
      <c r="I6" s="38"/>
      <c r="J6" s="39"/>
      <c r="K6" s="222"/>
      <c r="L6" s="222"/>
    </row>
    <row r="7" spans="1:12" ht="12.75" x14ac:dyDescent="0.2">
      <c r="A7" s="232" t="s">
        <v>1183</v>
      </c>
      <c r="B7" s="233"/>
      <c r="C7" s="233"/>
      <c r="D7" s="234"/>
      <c r="E7" s="235"/>
      <c r="F7" s="223"/>
      <c r="G7" s="38"/>
      <c r="H7" s="38"/>
      <c r="I7" s="38">
        <v>2013</v>
      </c>
      <c r="J7" s="236">
        <v>2.02473037316958</v>
      </c>
      <c r="K7" s="39">
        <v>9.52</v>
      </c>
      <c r="L7" s="39">
        <v>243.08</v>
      </c>
    </row>
    <row r="8" spans="1:12" ht="12.75" x14ac:dyDescent="0.2">
      <c r="A8" s="38"/>
      <c r="B8" s="38"/>
      <c r="C8" s="38"/>
      <c r="D8" s="39"/>
      <c r="E8" s="38"/>
      <c r="F8" s="223"/>
      <c r="G8" s="250" t="s">
        <v>1184</v>
      </c>
      <c r="H8" s="237"/>
      <c r="I8" s="38">
        <f t="shared" ref="I8:I36" si="0">+I7+1</f>
        <v>2014</v>
      </c>
      <c r="J8" s="236">
        <v>2.2043038839438043</v>
      </c>
      <c r="K8" s="39">
        <f>K7*(1+(J8/100))</f>
        <v>9.7298497297514501</v>
      </c>
      <c r="L8" s="39">
        <f>L7*(1+(J8/100))</f>
        <v>248.43822188109064</v>
      </c>
    </row>
    <row r="9" spans="1:12" ht="12.75" x14ac:dyDescent="0.2">
      <c r="A9" s="38"/>
      <c r="B9" s="38" t="s">
        <v>59</v>
      </c>
      <c r="C9" s="38"/>
      <c r="D9" s="39"/>
      <c r="E9" s="38"/>
      <c r="F9" s="223" t="s">
        <v>70</v>
      </c>
      <c r="G9" s="251">
        <v>0.02</v>
      </c>
      <c r="H9" s="38"/>
      <c r="I9" s="38">
        <f t="shared" si="0"/>
        <v>2015</v>
      </c>
      <c r="J9" s="236">
        <v>2.1231249284886591</v>
      </c>
      <c r="K9" s="39">
        <f t="shared" ref="K9:K36" si="1">K8*(1+(J9/100))</f>
        <v>9.9364265948682888</v>
      </c>
      <c r="L9" s="39">
        <f t="shared" ref="L9:L36" si="2">L8*(1+(J9/100))</f>
        <v>253.71287570174204</v>
      </c>
    </row>
    <row r="10" spans="1:12" ht="12.75" x14ac:dyDescent="0.2">
      <c r="A10" s="38"/>
      <c r="B10" s="38"/>
      <c r="C10" s="38"/>
      <c r="D10" s="39"/>
      <c r="E10" s="38"/>
      <c r="F10" s="40"/>
      <c r="G10" s="229"/>
      <c r="H10" s="38"/>
      <c r="I10" s="38">
        <f t="shared" si="0"/>
        <v>2016</v>
      </c>
      <c r="J10" s="236">
        <v>2.0113575614373627</v>
      </c>
      <c r="K10" s="39">
        <f t="shared" si="1"/>
        <v>10.136283662520844</v>
      </c>
      <c r="L10" s="39">
        <f t="shared" si="2"/>
        <v>258.8159488115092</v>
      </c>
    </row>
    <row r="11" spans="1:12" ht="12.75" x14ac:dyDescent="0.2">
      <c r="A11" s="38"/>
      <c r="B11" s="38"/>
      <c r="C11" s="238" t="s">
        <v>60</v>
      </c>
      <c r="D11" s="238">
        <v>2013</v>
      </c>
      <c r="E11" s="32">
        <v>2012</v>
      </c>
      <c r="F11" s="41"/>
      <c r="G11" s="252"/>
      <c r="H11" s="38"/>
      <c r="I11" s="38">
        <f t="shared" si="0"/>
        <v>2017</v>
      </c>
      <c r="J11" s="236">
        <v>2.0066302037541086</v>
      </c>
      <c r="K11" s="39">
        <f t="shared" si="1"/>
        <v>10.339681392031181</v>
      </c>
      <c r="L11" s="39">
        <f t="shared" si="2"/>
        <v>264.00942781249375</v>
      </c>
    </row>
    <row r="12" spans="1:12" ht="12.75" x14ac:dyDescent="0.2">
      <c r="A12" s="38"/>
      <c r="B12" s="38"/>
      <c r="C12" s="239">
        <v>2012</v>
      </c>
      <c r="D12" s="241"/>
      <c r="E12" s="42">
        <v>157.32574543122948</v>
      </c>
      <c r="F12" s="40"/>
      <c r="G12" s="229"/>
      <c r="H12" s="240"/>
      <c r="I12" s="38">
        <f t="shared" si="0"/>
        <v>2018</v>
      </c>
      <c r="J12" s="236">
        <v>2.0221755365359537</v>
      </c>
      <c r="K12" s="39">
        <f t="shared" si="1"/>
        <v>10.548767899696598</v>
      </c>
      <c r="L12" s="39">
        <f t="shared" si="2"/>
        <v>269.34816187586659</v>
      </c>
    </row>
    <row r="13" spans="1:12" ht="12.75" x14ac:dyDescent="0.2">
      <c r="A13" s="38"/>
      <c r="B13" s="38"/>
      <c r="C13" s="239">
        <f t="shared" ref="C13:C17" si="3">C12+1</f>
        <v>2013</v>
      </c>
      <c r="D13" s="241">
        <v>168.09656980088943</v>
      </c>
      <c r="E13" s="42">
        <v>169.69826547819733</v>
      </c>
      <c r="F13" s="40"/>
      <c r="G13" s="253"/>
      <c r="H13" s="240"/>
      <c r="I13" s="38">
        <f t="shared" si="0"/>
        <v>2019</v>
      </c>
      <c r="J13" s="236">
        <v>2.048208042362238</v>
      </c>
      <c r="K13" s="39">
        <f t="shared" si="1"/>
        <v>10.764828612188309</v>
      </c>
      <c r="L13" s="39">
        <f t="shared" si="2"/>
        <v>274.86497258936294</v>
      </c>
    </row>
    <row r="14" spans="1:12" ht="12.75" x14ac:dyDescent="0.2">
      <c r="A14" s="38"/>
      <c r="B14" s="38"/>
      <c r="C14" s="239">
        <f t="shared" si="3"/>
        <v>2014</v>
      </c>
      <c r="D14" s="241">
        <v>148.75318827586878</v>
      </c>
      <c r="E14" s="42">
        <v>181.9352643934285</v>
      </c>
      <c r="F14" s="40"/>
      <c r="G14" s="16"/>
      <c r="H14" s="240"/>
      <c r="I14" s="38">
        <f t="shared" si="0"/>
        <v>2020</v>
      </c>
      <c r="J14" s="236">
        <v>2.0515040311489048</v>
      </c>
      <c r="K14" s="39">
        <f t="shared" si="1"/>
        <v>10.985669505113624</v>
      </c>
      <c r="L14" s="39">
        <f>L13*(1+(J14/100))</f>
        <v>280.50383858225007</v>
      </c>
    </row>
    <row r="15" spans="1:12" ht="12.75" x14ac:dyDescent="0.2">
      <c r="A15" s="38"/>
      <c r="B15" s="38"/>
      <c r="C15" s="239">
        <f t="shared" si="3"/>
        <v>2015</v>
      </c>
      <c r="D15" s="241">
        <v>163.55064699409164</v>
      </c>
      <c r="E15" s="42">
        <v>193.82249685138606</v>
      </c>
      <c r="F15" s="40"/>
      <c r="G15" s="16"/>
      <c r="H15" s="240"/>
      <c r="I15" s="38">
        <f t="shared" si="0"/>
        <v>2021</v>
      </c>
      <c r="J15" s="236">
        <v>1.9899260472690232</v>
      </c>
      <c r="K15" s="39">
        <f t="shared" si="1"/>
        <v>11.204276204062769</v>
      </c>
      <c r="L15" s="39">
        <f t="shared" si="2"/>
        <v>286.08565752978768</v>
      </c>
    </row>
    <row r="16" spans="1:12" ht="12.75" x14ac:dyDescent="0.2">
      <c r="A16" s="38"/>
      <c r="B16" s="38"/>
      <c r="C16" s="239">
        <f t="shared" si="3"/>
        <v>2016</v>
      </c>
      <c r="D16" s="241">
        <v>175.66486091509427</v>
      </c>
      <c r="E16" s="42">
        <v>213.54393386633643</v>
      </c>
      <c r="F16" s="40"/>
      <c r="G16" s="16"/>
      <c r="H16" s="240"/>
      <c r="I16" s="38">
        <f t="shared" si="0"/>
        <v>2022</v>
      </c>
      <c r="J16" s="236">
        <v>1.943452159417846</v>
      </c>
      <c r="K16" s="39">
        <f t="shared" si="1"/>
        <v>11.422025951897766</v>
      </c>
      <c r="L16" s="39">
        <f t="shared" si="2"/>
        <v>291.64559541883506</v>
      </c>
    </row>
    <row r="17" spans="1:12" ht="12.75" x14ac:dyDescent="0.2">
      <c r="A17" s="38"/>
      <c r="B17" s="38"/>
      <c r="C17" s="239">
        <f t="shared" si="3"/>
        <v>2017</v>
      </c>
      <c r="D17" s="241">
        <v>195.22041239389162</v>
      </c>
      <c r="E17" s="42">
        <v>230.84697728147782</v>
      </c>
      <c r="F17" s="40"/>
      <c r="G17" s="16"/>
      <c r="H17" s="240"/>
      <c r="I17" s="38">
        <f t="shared" si="0"/>
        <v>2023</v>
      </c>
      <c r="J17" s="236">
        <v>1.9973211630131507</v>
      </c>
      <c r="K17" s="39">
        <f t="shared" si="1"/>
        <v>11.650160493479873</v>
      </c>
      <c r="L17" s="39">
        <f t="shared" si="2"/>
        <v>297.47069461713113</v>
      </c>
    </row>
    <row r="18" spans="1:12" ht="12.75" x14ac:dyDescent="0.2">
      <c r="A18" s="38"/>
      <c r="B18" s="38"/>
      <c r="C18" s="239">
        <f>C17+1</f>
        <v>2018</v>
      </c>
      <c r="D18" s="241">
        <v>214.74652136659432</v>
      </c>
      <c r="E18" s="42">
        <v>249.06292614177445</v>
      </c>
      <c r="F18" s="40"/>
      <c r="G18" s="229"/>
      <c r="H18" s="240"/>
      <c r="I18" s="38">
        <f t="shared" si="0"/>
        <v>2024</v>
      </c>
      <c r="J18" s="236">
        <v>1.9845618915845173</v>
      </c>
      <c r="K18" s="39">
        <f t="shared" si="1"/>
        <v>11.881365138941909</v>
      </c>
      <c r="L18" s="39">
        <f t="shared" si="2"/>
        <v>303.37418466113445</v>
      </c>
    </row>
    <row r="19" spans="1:12" ht="12.75" x14ac:dyDescent="0.2">
      <c r="A19" s="38"/>
      <c r="B19" s="38"/>
      <c r="C19" s="239">
        <f>C18+1</f>
        <v>2019</v>
      </c>
      <c r="D19" s="241">
        <v>242.18221204139749</v>
      </c>
      <c r="E19" s="42">
        <v>272.89612689322695</v>
      </c>
      <c r="F19" s="40"/>
      <c r="G19" s="229"/>
      <c r="H19" s="240"/>
      <c r="I19" s="38">
        <f t="shared" si="0"/>
        <v>2025</v>
      </c>
      <c r="J19" s="236">
        <v>1.9949502389403322</v>
      </c>
      <c r="K19" s="39">
        <f t="shared" si="1"/>
        <v>12.118392461170606</v>
      </c>
      <c r="L19" s="39">
        <f t="shared" si="2"/>
        <v>309.42634868291503</v>
      </c>
    </row>
    <row r="20" spans="1:12" ht="12.75" x14ac:dyDescent="0.2">
      <c r="A20" s="38"/>
      <c r="B20" s="38"/>
      <c r="C20" s="239">
        <f t="shared" ref="C20:C22" si="4">C19+1</f>
        <v>2020</v>
      </c>
      <c r="D20" s="241">
        <v>246.83071473233386</v>
      </c>
      <c r="E20" s="42">
        <v>283.35287561301931</v>
      </c>
      <c r="F20" s="40"/>
      <c r="G20" s="229"/>
      <c r="H20" s="240"/>
      <c r="I20" s="38">
        <f t="shared" si="0"/>
        <v>2026</v>
      </c>
      <c r="J20" s="236">
        <v>1.9953918498217285</v>
      </c>
      <c r="K20" s="39">
        <f t="shared" si="1"/>
        <v>12.360201876670216</v>
      </c>
      <c r="L20" s="39">
        <f t="shared" si="2"/>
        <v>315.6006168257349</v>
      </c>
    </row>
    <row r="21" spans="1:12" ht="12.75" x14ac:dyDescent="0.2">
      <c r="A21" s="38"/>
      <c r="B21" s="38"/>
      <c r="C21" s="239">
        <f t="shared" si="4"/>
        <v>2021</v>
      </c>
      <c r="D21" s="241">
        <v>252.8472579721662</v>
      </c>
      <c r="E21" s="42">
        <v>283.49313542670876</v>
      </c>
      <c r="F21" s="40"/>
      <c r="G21" s="229"/>
      <c r="H21" s="240"/>
      <c r="I21" s="38">
        <f t="shared" si="0"/>
        <v>2027</v>
      </c>
      <c r="J21" s="236">
        <v>1.9857743560490224</v>
      </c>
      <c r="K21" s="39">
        <f t="shared" si="1"/>
        <v>12.605647595893023</v>
      </c>
      <c r="L21" s="39">
        <f t="shared" si="2"/>
        <v>321.8677329421929</v>
      </c>
    </row>
    <row r="22" spans="1:12" ht="12.75" x14ac:dyDescent="0.2">
      <c r="A22" s="38"/>
      <c r="B22" s="38"/>
      <c r="C22" s="239">
        <f t="shared" si="4"/>
        <v>2022</v>
      </c>
      <c r="D22" s="241">
        <v>254.7480079719036</v>
      </c>
      <c r="E22" s="42">
        <v>283.49313542670876</v>
      </c>
      <c r="F22" s="40"/>
      <c r="G22" s="229"/>
      <c r="H22" s="240"/>
      <c r="I22" s="38">
        <f t="shared" si="0"/>
        <v>2028</v>
      </c>
      <c r="J22" s="236">
        <v>1.9901590676577023</v>
      </c>
      <c r="K22" s="39">
        <f t="shared" si="1"/>
        <v>12.856520034559662</v>
      </c>
      <c r="L22" s="39">
        <f t="shared" si="2"/>
        <v>328.2734128152062</v>
      </c>
    </row>
    <row r="23" spans="1:12" ht="12.75" x14ac:dyDescent="0.2">
      <c r="A23" s="38"/>
      <c r="B23" s="38"/>
      <c r="C23" s="238"/>
      <c r="D23" s="242">
        <f>AVERAGE(D13:D22)</f>
        <v>206.26403924642312</v>
      </c>
      <c r="E23" s="243">
        <f>AVERAGE(E12:E21)</f>
        <v>223.59777473767849</v>
      </c>
      <c r="F23" s="43"/>
      <c r="G23" s="253"/>
      <c r="H23" s="244"/>
      <c r="I23" s="38">
        <f t="shared" si="0"/>
        <v>2029</v>
      </c>
      <c r="J23" s="236">
        <v>2.0007058286508772</v>
      </c>
      <c r="K23" s="39">
        <f t="shared" si="1"/>
        <v>13.113741180252765</v>
      </c>
      <c r="L23" s="39">
        <f t="shared" si="2"/>
        <v>334.84119811931123</v>
      </c>
    </row>
    <row r="24" spans="1:12" ht="12.75" x14ac:dyDescent="0.2">
      <c r="A24" s="38"/>
      <c r="B24" s="38"/>
      <c r="C24" s="38"/>
      <c r="D24" s="39"/>
      <c r="E24" s="38"/>
      <c r="F24" s="40"/>
      <c r="G24" s="229"/>
      <c r="H24" s="244"/>
      <c r="I24" s="38">
        <f t="shared" si="0"/>
        <v>2030</v>
      </c>
      <c r="J24" s="236">
        <v>1.9971559220724502</v>
      </c>
      <c r="K24" s="39">
        <f t="shared" si="1"/>
        <v>13.375643038839437</v>
      </c>
      <c r="L24" s="39">
        <f t="shared" si="2"/>
        <v>341.52849893708941</v>
      </c>
    </row>
    <row r="25" spans="1:12" ht="12.75" x14ac:dyDescent="0.2">
      <c r="A25" s="38"/>
      <c r="B25" s="38"/>
      <c r="C25" s="38"/>
      <c r="D25" s="39"/>
      <c r="E25" s="38"/>
      <c r="F25" s="223"/>
      <c r="G25" s="38"/>
      <c r="H25" s="244"/>
      <c r="I25" s="38">
        <f t="shared" si="0"/>
        <v>2031</v>
      </c>
      <c r="J25" s="236">
        <v>2.0023118834613918</v>
      </c>
      <c r="K25" s="39">
        <f t="shared" si="1"/>
        <v>13.643465128895494</v>
      </c>
      <c r="L25" s="39">
        <f t="shared" si="2"/>
        <v>348.36696465671406</v>
      </c>
    </row>
    <row r="26" spans="1:12" ht="12.75" x14ac:dyDescent="0.2">
      <c r="A26" s="38"/>
      <c r="B26" s="38" t="s">
        <v>30</v>
      </c>
      <c r="C26" s="38"/>
      <c r="D26" s="39"/>
      <c r="E26" s="38"/>
      <c r="F26" s="223" t="s">
        <v>70</v>
      </c>
      <c r="G26" s="254">
        <v>0.02</v>
      </c>
      <c r="H26" s="244"/>
      <c r="I26" s="38">
        <f t="shared" si="0"/>
        <v>2032</v>
      </c>
      <c r="J26" s="236">
        <v>1.9892381158010162</v>
      </c>
      <c r="K26" s="39">
        <f t="shared" si="1"/>
        <v>13.914866137555503</v>
      </c>
      <c r="L26" s="39">
        <f t="shared" si="2"/>
        <v>355.29681310052445</v>
      </c>
    </row>
    <row r="27" spans="1:12" ht="12.75" x14ac:dyDescent="0.2">
      <c r="A27" s="38"/>
      <c r="B27" s="38"/>
      <c r="C27" s="38"/>
      <c r="D27" s="39"/>
      <c r="E27" s="38"/>
      <c r="F27" s="223"/>
      <c r="G27" s="38"/>
      <c r="H27" s="244"/>
      <c r="I27" s="38">
        <f t="shared" si="0"/>
        <v>2033</v>
      </c>
      <c r="J27" s="236">
        <v>1.9889712836574536</v>
      </c>
      <c r="K27" s="39">
        <f t="shared" si="1"/>
        <v>14.191628829190856</v>
      </c>
      <c r="L27" s="39">
        <f t="shared" si="2"/>
        <v>362.36356468484394</v>
      </c>
    </row>
    <row r="28" spans="1:12" ht="12.75" x14ac:dyDescent="0.2">
      <c r="A28" s="38"/>
      <c r="B28" s="38"/>
      <c r="C28" s="238" t="s">
        <v>60</v>
      </c>
      <c r="D28" s="238">
        <v>2013</v>
      </c>
      <c r="E28" s="32">
        <v>2012</v>
      </c>
      <c r="F28" s="41"/>
      <c r="G28" s="252"/>
      <c r="H28" s="244"/>
      <c r="I28" s="38">
        <f t="shared" si="0"/>
        <v>2034</v>
      </c>
      <c r="J28" s="236">
        <v>1.9887720306541914</v>
      </c>
      <c r="K28" s="39">
        <f t="shared" si="1"/>
        <v>14.473867974040061</v>
      </c>
      <c r="L28" s="39">
        <f t="shared" si="2"/>
        <v>369.57014990857766</v>
      </c>
    </row>
    <row r="29" spans="1:12" ht="12.75" x14ac:dyDescent="0.2">
      <c r="A29" s="38"/>
      <c r="B29" s="38"/>
      <c r="C29" s="239">
        <v>2012</v>
      </c>
      <c r="D29" s="241"/>
      <c r="E29" s="42">
        <v>162.56190605484767</v>
      </c>
      <c r="F29" s="40"/>
      <c r="G29" s="253"/>
      <c r="H29" s="38"/>
      <c r="I29" s="38">
        <f t="shared" si="0"/>
        <v>2035</v>
      </c>
      <c r="J29" s="236">
        <v>1.99895568755789</v>
      </c>
      <c r="K29" s="39">
        <f t="shared" si="1"/>
        <v>14.763194181116754</v>
      </c>
      <c r="L29" s="39">
        <f t="shared" si="2"/>
        <v>376.95769343969135</v>
      </c>
    </row>
    <row r="30" spans="1:12" ht="12.75" x14ac:dyDescent="0.2">
      <c r="A30" s="38"/>
      <c r="B30" s="38"/>
      <c r="C30" s="239">
        <f t="shared" ref="C30:C39" si="5">+C29+1</f>
        <v>2013</v>
      </c>
      <c r="D30" s="241">
        <v>173.90606893095188</v>
      </c>
      <c r="E30" s="42">
        <v>175.56311998912787</v>
      </c>
      <c r="F30" s="40"/>
      <c r="G30" s="16"/>
      <c r="H30" s="38"/>
      <c r="I30" s="38">
        <f t="shared" si="0"/>
        <v>2036</v>
      </c>
      <c r="J30" s="236">
        <v>2</v>
      </c>
      <c r="K30" s="39">
        <f t="shared" si="1"/>
        <v>15.058458064739089</v>
      </c>
      <c r="L30" s="39">
        <f t="shared" si="2"/>
        <v>384.4968473084852</v>
      </c>
    </row>
    <row r="31" spans="1:12" ht="12.75" x14ac:dyDescent="0.2">
      <c r="A31" s="38"/>
      <c r="B31" s="38"/>
      <c r="C31" s="239">
        <f t="shared" si="5"/>
        <v>2014</v>
      </c>
      <c r="D31" s="241">
        <v>155.06690250274286</v>
      </c>
      <c r="E31" s="42">
        <v>189.65736622186526</v>
      </c>
      <c r="F31" s="40"/>
      <c r="G31" s="16"/>
      <c r="H31" s="38"/>
      <c r="I31" s="38">
        <f t="shared" si="0"/>
        <v>2037</v>
      </c>
      <c r="J31" s="236">
        <v>2</v>
      </c>
      <c r="K31" s="39">
        <f t="shared" si="1"/>
        <v>15.35962722603387</v>
      </c>
      <c r="L31" s="39">
        <f t="shared" si="2"/>
        <v>392.18678425465492</v>
      </c>
    </row>
    <row r="32" spans="1:12" ht="12.75" x14ac:dyDescent="0.2">
      <c r="A32" s="38"/>
      <c r="B32" s="38"/>
      <c r="C32" s="239">
        <f t="shared" si="5"/>
        <v>2015</v>
      </c>
      <c r="D32" s="241">
        <v>171.66020567177543</v>
      </c>
      <c r="E32" s="42">
        <v>203.43306666666953</v>
      </c>
      <c r="F32" s="40"/>
      <c r="G32" s="229"/>
      <c r="H32" s="38"/>
      <c r="I32" s="38">
        <f t="shared" si="0"/>
        <v>2038</v>
      </c>
      <c r="J32" s="236">
        <v>2</v>
      </c>
      <c r="K32" s="39">
        <f t="shared" si="1"/>
        <v>15.666819770554548</v>
      </c>
      <c r="L32" s="39">
        <f t="shared" si="2"/>
        <v>400.03051993974805</v>
      </c>
    </row>
    <row r="33" spans="1:12" ht="12.75" x14ac:dyDescent="0.2">
      <c r="A33" s="38"/>
      <c r="B33" s="38"/>
      <c r="C33" s="239">
        <f t="shared" si="5"/>
        <v>2016</v>
      </c>
      <c r="D33" s="241">
        <v>182.81090715044334</v>
      </c>
      <c r="E33" s="42">
        <v>222.2309007232125</v>
      </c>
      <c r="F33" s="40"/>
      <c r="G33" s="229"/>
      <c r="H33" s="38"/>
      <c r="I33" s="38">
        <f t="shared" si="0"/>
        <v>2039</v>
      </c>
      <c r="J33" s="236">
        <v>2</v>
      </c>
      <c r="K33" s="39">
        <f t="shared" si="1"/>
        <v>15.98015616596564</v>
      </c>
      <c r="L33" s="39">
        <f t="shared" si="2"/>
        <v>408.03113033854299</v>
      </c>
    </row>
    <row r="34" spans="1:12" ht="12.75" x14ac:dyDescent="0.2">
      <c r="A34" s="38"/>
      <c r="B34" s="38"/>
      <c r="C34" s="239">
        <f t="shared" si="5"/>
        <v>2017</v>
      </c>
      <c r="D34" s="241">
        <v>203.10832218337998</v>
      </c>
      <c r="E34" s="42">
        <v>240.17438372245172</v>
      </c>
      <c r="F34" s="40"/>
      <c r="G34" s="229"/>
      <c r="H34" s="244"/>
      <c r="I34" s="38">
        <f t="shared" si="0"/>
        <v>2040</v>
      </c>
      <c r="J34" s="236">
        <v>2</v>
      </c>
      <c r="K34" s="39">
        <f t="shared" si="1"/>
        <v>16.299759289284953</v>
      </c>
      <c r="L34" s="39">
        <f t="shared" si="2"/>
        <v>416.19175294531385</v>
      </c>
    </row>
    <row r="35" spans="1:12" ht="12.75" x14ac:dyDescent="0.2">
      <c r="A35" s="38"/>
      <c r="B35" s="38"/>
      <c r="C35" s="239">
        <f t="shared" si="5"/>
        <v>2018</v>
      </c>
      <c r="D35" s="241">
        <v>223.74126978633342</v>
      </c>
      <c r="E35" s="42">
        <v>259.49503161697777</v>
      </c>
      <c r="F35" s="40"/>
      <c r="G35" s="229"/>
      <c r="H35" s="244"/>
      <c r="I35" s="38">
        <f t="shared" si="0"/>
        <v>2041</v>
      </c>
      <c r="J35" s="236">
        <v>2</v>
      </c>
      <c r="K35" s="39">
        <f t="shared" si="1"/>
        <v>16.625754475070654</v>
      </c>
      <c r="L35" s="39">
        <f t="shared" si="2"/>
        <v>424.51558800422015</v>
      </c>
    </row>
    <row r="36" spans="1:12" ht="12.75" x14ac:dyDescent="0.2">
      <c r="A36" s="38"/>
      <c r="B36" s="38"/>
      <c r="C36" s="239">
        <f t="shared" si="5"/>
        <v>2019</v>
      </c>
      <c r="D36" s="241">
        <v>273.07201382400177</v>
      </c>
      <c r="E36" s="42">
        <v>307.70342011231469</v>
      </c>
      <c r="F36" s="40"/>
      <c r="G36" s="229"/>
      <c r="H36" s="244"/>
      <c r="I36" s="38">
        <f t="shared" si="0"/>
        <v>2042</v>
      </c>
      <c r="J36" s="236">
        <v>2</v>
      </c>
      <c r="K36" s="39">
        <f t="shared" si="1"/>
        <v>16.958269564572067</v>
      </c>
      <c r="L36" s="39">
        <f t="shared" si="2"/>
        <v>433.00589976430456</v>
      </c>
    </row>
    <row r="37" spans="1:12" ht="12.75" x14ac:dyDescent="0.2">
      <c r="A37" s="38"/>
      <c r="B37" s="38"/>
      <c r="C37" s="239">
        <f t="shared" si="5"/>
        <v>2020</v>
      </c>
      <c r="D37" s="241">
        <v>260.29727898342975</v>
      </c>
      <c r="E37" s="42">
        <v>298.81201208764077</v>
      </c>
      <c r="F37" s="40"/>
      <c r="G37" s="229"/>
      <c r="H37" s="244"/>
      <c r="I37" s="38"/>
      <c r="J37" s="236"/>
      <c r="K37" s="38"/>
      <c r="L37" s="38"/>
    </row>
    <row r="38" spans="1:12" ht="12.75" x14ac:dyDescent="0.2">
      <c r="A38" s="38"/>
      <c r="B38" s="38"/>
      <c r="C38" s="239">
        <f t="shared" si="5"/>
        <v>2021</v>
      </c>
      <c r="D38" s="241">
        <v>266.64207215843226</v>
      </c>
      <c r="E38" s="42">
        <v>298.95992418153838</v>
      </c>
      <c r="F38" s="40"/>
      <c r="G38" s="229"/>
      <c r="H38" s="244"/>
      <c r="I38" s="38"/>
      <c r="J38" s="38"/>
      <c r="K38" s="38"/>
      <c r="L38" s="38"/>
    </row>
    <row r="39" spans="1:12" ht="12.75" x14ac:dyDescent="0.2">
      <c r="A39" s="38"/>
      <c r="B39" s="38"/>
      <c r="C39" s="239">
        <f t="shared" si="5"/>
        <v>2022</v>
      </c>
      <c r="D39" s="241">
        <v>268.64652307733803</v>
      </c>
      <c r="E39" s="42">
        <v>298.95992418153838</v>
      </c>
      <c r="F39" s="40"/>
      <c r="G39" s="229"/>
      <c r="H39" s="244"/>
      <c r="I39" s="38"/>
      <c r="J39" s="39"/>
      <c r="K39" s="222"/>
      <c r="L39" s="222"/>
    </row>
    <row r="40" spans="1:12" ht="12.75" x14ac:dyDescent="0.2">
      <c r="A40" s="38"/>
      <c r="B40" s="38"/>
      <c r="C40" s="238"/>
      <c r="D40" s="242">
        <f>AVERAGE(D30:D39)</f>
        <v>217.89515642688283</v>
      </c>
      <c r="E40" s="243">
        <f>AVERAGE(E29:E38)</f>
        <v>235.85911313766465</v>
      </c>
      <c r="F40" s="43"/>
      <c r="G40" s="253"/>
      <c r="H40" s="244"/>
      <c r="I40" s="38"/>
      <c r="J40" s="39"/>
      <c r="K40" s="39"/>
      <c r="L40" s="39"/>
    </row>
    <row r="41" spans="1:12" ht="12.75" x14ac:dyDescent="0.2">
      <c r="A41" s="38"/>
      <c r="B41" s="38"/>
      <c r="C41" s="38"/>
      <c r="D41" s="39"/>
      <c r="E41" s="38"/>
      <c r="F41" s="223"/>
      <c r="G41" s="38"/>
      <c r="H41" s="244"/>
      <c r="I41" s="38"/>
      <c r="J41" s="39"/>
      <c r="K41" s="39"/>
      <c r="L41" s="39"/>
    </row>
    <row r="42" spans="1:12" ht="12.75" x14ac:dyDescent="0.2">
      <c r="A42" s="38"/>
      <c r="B42" s="38" t="s">
        <v>61</v>
      </c>
      <c r="C42" s="38"/>
      <c r="D42" s="39"/>
      <c r="E42" s="38"/>
      <c r="F42" s="223" t="s">
        <v>70</v>
      </c>
      <c r="G42" s="254">
        <v>0.02</v>
      </c>
      <c r="H42" s="244"/>
      <c r="I42" s="38"/>
      <c r="J42" s="39"/>
      <c r="K42" s="39"/>
      <c r="L42" s="39"/>
    </row>
    <row r="43" spans="1:12" ht="12.75" x14ac:dyDescent="0.2">
      <c r="A43" s="38"/>
      <c r="B43" s="38"/>
      <c r="C43" s="38"/>
      <c r="D43" s="39"/>
      <c r="E43" s="38"/>
      <c r="F43" s="223"/>
      <c r="G43" s="38"/>
      <c r="H43" s="244"/>
      <c r="I43" s="38"/>
      <c r="J43" s="39"/>
      <c r="K43" s="222"/>
      <c r="L43" s="222"/>
    </row>
    <row r="44" spans="1:12" ht="12.75" x14ac:dyDescent="0.2">
      <c r="A44" s="38"/>
      <c r="B44" s="38"/>
      <c r="C44" s="238" t="s">
        <v>60</v>
      </c>
      <c r="D44" s="238">
        <v>2013</v>
      </c>
      <c r="E44" s="32">
        <v>2012</v>
      </c>
      <c r="F44" s="41"/>
      <c r="G44" s="252"/>
      <c r="H44" s="38"/>
      <c r="I44" s="38"/>
      <c r="J44" s="39"/>
      <c r="K44" s="222"/>
      <c r="L44" s="222"/>
    </row>
    <row r="45" spans="1:12" ht="12.75" x14ac:dyDescent="0.2">
      <c r="A45" s="38"/>
      <c r="B45" s="38"/>
      <c r="C45" s="239">
        <v>2012</v>
      </c>
      <c r="D45" s="241"/>
      <c r="E45" s="42">
        <v>157.26102724129197</v>
      </c>
      <c r="F45" s="43"/>
      <c r="G45" s="253"/>
      <c r="H45" s="38"/>
      <c r="I45" s="38"/>
      <c r="J45" s="39"/>
      <c r="K45" s="222"/>
      <c r="L45" s="222"/>
    </row>
    <row r="46" spans="1:12" ht="12.75" x14ac:dyDescent="0.2">
      <c r="A46" s="38"/>
      <c r="B46" s="38"/>
      <c r="C46" s="239">
        <f t="shared" ref="C46:C55" si="6">C45+1</f>
        <v>2013</v>
      </c>
      <c r="D46" s="241">
        <v>167.86284692742265</v>
      </c>
      <c r="E46" s="42">
        <v>169.4623155936942</v>
      </c>
      <c r="F46" s="43"/>
      <c r="G46" s="253"/>
      <c r="H46" s="38"/>
      <c r="I46" s="38"/>
      <c r="J46" s="39"/>
      <c r="K46" s="222"/>
      <c r="L46" s="222"/>
    </row>
    <row r="47" spans="1:12" ht="12.75" x14ac:dyDescent="0.2">
      <c r="A47" s="38"/>
      <c r="B47" s="38"/>
      <c r="C47" s="239">
        <f t="shared" si="6"/>
        <v>2014</v>
      </c>
      <c r="D47" s="241">
        <v>149.21711734327454</v>
      </c>
      <c r="E47" s="42">
        <v>182.50268118977795</v>
      </c>
      <c r="F47" s="43"/>
      <c r="G47" s="229"/>
      <c r="H47" s="38"/>
      <c r="I47" s="38"/>
      <c r="J47" s="39"/>
      <c r="K47" s="222"/>
      <c r="L47" s="222"/>
    </row>
    <row r="48" spans="1:12" ht="12.75" x14ac:dyDescent="0.2">
      <c r="A48" s="38"/>
      <c r="B48" s="38"/>
      <c r="C48" s="239">
        <f t="shared" si="6"/>
        <v>2015</v>
      </c>
      <c r="D48" s="241">
        <v>164.30687987773118</v>
      </c>
      <c r="E48" s="42">
        <v>194.71870208445637</v>
      </c>
      <c r="F48" s="43"/>
      <c r="G48" s="229"/>
      <c r="H48" s="38"/>
      <c r="I48" s="38"/>
      <c r="J48" s="39"/>
      <c r="K48" s="222"/>
      <c r="L48" s="222"/>
    </row>
    <row r="49" spans="1:12" ht="12.75" x14ac:dyDescent="0.2">
      <c r="A49" s="38"/>
      <c r="B49" s="38"/>
      <c r="C49" s="239">
        <f t="shared" si="6"/>
        <v>2016</v>
      </c>
      <c r="D49" s="241">
        <v>176.73991659894892</v>
      </c>
      <c r="E49" s="42">
        <v>214.8508066162978</v>
      </c>
      <c r="F49" s="40"/>
      <c r="G49" s="229"/>
      <c r="H49" s="244"/>
      <c r="I49" s="38"/>
      <c r="J49" s="38"/>
      <c r="K49" s="222"/>
      <c r="L49" s="222"/>
    </row>
    <row r="50" spans="1:12" ht="12.75" x14ac:dyDescent="0.2">
      <c r="A50" s="38"/>
      <c r="B50" s="38"/>
      <c r="C50" s="239">
        <f t="shared" si="6"/>
        <v>2017</v>
      </c>
      <c r="D50" s="241">
        <v>196.56624155144323</v>
      </c>
      <c r="E50" s="42">
        <v>232.43841226078325</v>
      </c>
      <c r="F50" s="40"/>
      <c r="G50" s="229"/>
      <c r="H50" s="244"/>
      <c r="I50" s="38"/>
      <c r="J50" s="39"/>
      <c r="K50" s="222"/>
      <c r="L50" s="222"/>
    </row>
    <row r="51" spans="1:12" ht="12.75" x14ac:dyDescent="0.2">
      <c r="A51" s="38"/>
      <c r="B51" s="38"/>
      <c r="C51" s="239">
        <f t="shared" si="6"/>
        <v>2018</v>
      </c>
      <c r="D51" s="241">
        <v>216.0409849487491</v>
      </c>
      <c r="E51" s="42">
        <v>250.56424446583267</v>
      </c>
      <c r="F51" s="40"/>
      <c r="G51" s="229"/>
      <c r="H51" s="244"/>
      <c r="I51" s="38"/>
      <c r="J51" s="39"/>
      <c r="K51" s="222"/>
      <c r="L51" s="222"/>
    </row>
    <row r="52" spans="1:12" ht="12.75" x14ac:dyDescent="0.2">
      <c r="A52" s="38"/>
      <c r="B52" s="38"/>
      <c r="C52" s="239">
        <f t="shared" si="6"/>
        <v>2019</v>
      </c>
      <c r="D52" s="241">
        <v>244.30193074524453</v>
      </c>
      <c r="E52" s="42">
        <v>275.28467153284777</v>
      </c>
      <c r="F52" s="40"/>
      <c r="G52" s="229"/>
      <c r="H52" s="244"/>
      <c r="I52" s="38"/>
      <c r="J52" s="39"/>
      <c r="K52" s="222"/>
      <c r="L52" s="222"/>
    </row>
    <row r="53" spans="1:12" ht="12.75" x14ac:dyDescent="0.2">
      <c r="A53" s="38"/>
      <c r="B53" s="38"/>
      <c r="C53" s="239">
        <f t="shared" si="6"/>
        <v>2020</v>
      </c>
      <c r="D53" s="241">
        <v>248.59259766238057</v>
      </c>
      <c r="E53" s="42">
        <v>285.37545450991064</v>
      </c>
      <c r="F53" s="40"/>
      <c r="G53" s="229"/>
      <c r="H53" s="244"/>
      <c r="I53" s="38"/>
      <c r="J53" s="39"/>
      <c r="K53" s="222"/>
      <c r="L53" s="222"/>
    </row>
    <row r="54" spans="1:12" ht="12.75" x14ac:dyDescent="0.2">
      <c r="A54" s="38"/>
      <c r="B54" s="38"/>
      <c r="C54" s="239">
        <f t="shared" si="6"/>
        <v>2021</v>
      </c>
      <c r="D54" s="241">
        <v>254.65208711676155</v>
      </c>
      <c r="E54" s="42">
        <v>285.51671550115498</v>
      </c>
      <c r="F54" s="40"/>
      <c r="G54" s="229"/>
      <c r="H54" s="244"/>
      <c r="I54" s="38"/>
      <c r="J54" s="39"/>
      <c r="K54" s="222"/>
      <c r="L54" s="222"/>
    </row>
    <row r="55" spans="1:12" ht="12.75" x14ac:dyDescent="0.2">
      <c r="A55" s="38"/>
      <c r="B55" s="38"/>
      <c r="C55" s="239">
        <f t="shared" si="6"/>
        <v>2022</v>
      </c>
      <c r="D55" s="241">
        <v>256.56640471072018</v>
      </c>
      <c r="E55" s="42">
        <v>285.51671550115498</v>
      </c>
      <c r="F55" s="40"/>
      <c r="G55" s="229"/>
      <c r="H55" s="244"/>
      <c r="I55" s="38"/>
      <c r="J55" s="39"/>
      <c r="K55" s="222"/>
      <c r="L55" s="222"/>
    </row>
    <row r="56" spans="1:12" ht="12.75" x14ac:dyDescent="0.2">
      <c r="A56" s="38"/>
      <c r="B56" s="38"/>
      <c r="C56" s="238"/>
      <c r="D56" s="242">
        <f>AVERAGE(D46:D55)</f>
        <v>207.48470074826764</v>
      </c>
      <c r="E56" s="243">
        <f>AVERAGE(E45:E54)</f>
        <v>224.79750309960477</v>
      </c>
      <c r="F56" s="43"/>
      <c r="G56" s="253"/>
      <c r="H56" s="244"/>
      <c r="I56" s="38"/>
      <c r="J56" s="39"/>
      <c r="K56" s="222"/>
      <c r="L56" s="222"/>
    </row>
    <row r="57" spans="1:12" ht="12.75" x14ac:dyDescent="0.2">
      <c r="A57" s="38"/>
      <c r="B57" s="38"/>
      <c r="C57" s="38"/>
      <c r="D57" s="39"/>
      <c r="E57" s="38"/>
      <c r="F57" s="223"/>
      <c r="G57" s="38"/>
      <c r="H57" s="244"/>
      <c r="I57" s="38"/>
      <c r="J57" s="39"/>
      <c r="K57" s="222"/>
      <c r="L57" s="222"/>
    </row>
    <row r="58" spans="1:12" ht="12.75" x14ac:dyDescent="0.2">
      <c r="A58" s="38"/>
      <c r="B58" s="38" t="s">
        <v>62</v>
      </c>
      <c r="C58" s="38"/>
      <c r="D58" s="39"/>
      <c r="E58" s="38"/>
      <c r="F58" s="223" t="s">
        <v>70</v>
      </c>
      <c r="G58" s="254">
        <v>0.02</v>
      </c>
      <c r="H58" s="244"/>
      <c r="I58" s="38"/>
      <c r="J58" s="39"/>
      <c r="K58" s="222"/>
      <c r="L58" s="222"/>
    </row>
    <row r="59" spans="1:12" ht="12.75" x14ac:dyDescent="0.2">
      <c r="A59" s="38"/>
      <c r="B59" s="38"/>
      <c r="C59" s="38"/>
      <c r="D59" s="39"/>
      <c r="E59" s="38"/>
      <c r="F59" s="223"/>
      <c r="G59" s="38"/>
      <c r="H59" s="38"/>
      <c r="I59" s="38"/>
      <c r="J59" s="39"/>
      <c r="K59" s="222"/>
      <c r="L59" s="222"/>
    </row>
    <row r="60" spans="1:12" ht="12.75" x14ac:dyDescent="0.2">
      <c r="A60" s="38"/>
      <c r="B60" s="38"/>
      <c r="C60" s="238" t="s">
        <v>60</v>
      </c>
      <c r="D60" s="238">
        <v>2013</v>
      </c>
      <c r="E60" s="32">
        <v>2012</v>
      </c>
      <c r="F60" s="41"/>
      <c r="G60" s="252"/>
      <c r="H60" s="38"/>
      <c r="I60" s="38"/>
      <c r="J60" s="39"/>
      <c r="K60" s="222"/>
      <c r="L60" s="222"/>
    </row>
    <row r="61" spans="1:12" ht="12.75" x14ac:dyDescent="0.2">
      <c r="A61" s="38"/>
      <c r="B61" s="38"/>
      <c r="C61" s="239">
        <v>2012</v>
      </c>
      <c r="D61" s="241"/>
      <c r="E61" s="42">
        <v>163.37806318275784</v>
      </c>
      <c r="F61" s="40"/>
      <c r="G61" s="253"/>
      <c r="H61" s="38"/>
      <c r="I61" s="38"/>
      <c r="J61" s="39"/>
      <c r="K61" s="222"/>
      <c r="L61" s="222"/>
    </row>
    <row r="62" spans="1:12" ht="12.75" x14ac:dyDescent="0.2">
      <c r="A62" s="38"/>
      <c r="B62" s="38"/>
      <c r="C62" s="239">
        <f t="shared" ref="C62:C71" si="7">C61+1</f>
        <v>2013</v>
      </c>
      <c r="D62" s="241">
        <v>174.51926013208353</v>
      </c>
      <c r="E62" s="42">
        <v>176.18215393706498</v>
      </c>
      <c r="F62" s="40"/>
      <c r="G62" s="229"/>
      <c r="H62" s="38"/>
      <c r="I62" s="38"/>
      <c r="J62" s="39"/>
      <c r="K62" s="222"/>
      <c r="L62" s="222"/>
    </row>
    <row r="63" spans="1:12" ht="12.75" x14ac:dyDescent="0.2">
      <c r="A63" s="38"/>
      <c r="B63" s="38"/>
      <c r="C63" s="239">
        <f t="shared" si="7"/>
        <v>2014</v>
      </c>
      <c r="D63" s="241">
        <v>156.2342839870395</v>
      </c>
      <c r="E63" s="42">
        <v>191.08515315843579</v>
      </c>
      <c r="F63" s="40"/>
      <c r="G63" s="229"/>
      <c r="H63" s="38"/>
      <c r="I63" s="38"/>
      <c r="J63" s="39"/>
      <c r="K63" s="222"/>
      <c r="L63" s="222"/>
    </row>
    <row r="64" spans="1:12" ht="12.75" x14ac:dyDescent="0.2">
      <c r="A64" s="38"/>
      <c r="B64" s="38"/>
      <c r="C64" s="239">
        <f t="shared" si="7"/>
        <v>2015</v>
      </c>
      <c r="D64" s="241">
        <v>173.23676629409684</v>
      </c>
      <c r="E64" s="42">
        <v>205.30143540670238</v>
      </c>
      <c r="F64" s="40"/>
      <c r="G64" s="229"/>
      <c r="H64" s="38"/>
      <c r="I64" s="38"/>
      <c r="J64" s="39"/>
      <c r="K64" s="222"/>
      <c r="L64" s="222"/>
    </row>
    <row r="65" spans="1:12" ht="12.75" x14ac:dyDescent="0.2">
      <c r="A65" s="38"/>
      <c r="B65" s="38"/>
      <c r="C65" s="239">
        <f t="shared" si="7"/>
        <v>2016</v>
      </c>
      <c r="D65" s="241">
        <v>184.41841705197041</v>
      </c>
      <c r="E65" s="42">
        <v>224.18504218504472</v>
      </c>
      <c r="F65" s="40"/>
      <c r="G65" s="229"/>
      <c r="H65" s="38"/>
      <c r="I65" s="38"/>
      <c r="J65" s="39"/>
      <c r="K65" s="222"/>
      <c r="L65" s="222"/>
    </row>
    <row r="66" spans="1:12" ht="12.75" x14ac:dyDescent="0.2">
      <c r="A66" s="38"/>
      <c r="B66" s="38"/>
      <c r="C66" s="239">
        <f t="shared" si="7"/>
        <v>2017</v>
      </c>
      <c r="D66" s="241">
        <v>204.9010097643548</v>
      </c>
      <c r="E66" s="42">
        <v>242.29422613136487</v>
      </c>
      <c r="F66" s="40"/>
      <c r="G66" s="229"/>
      <c r="H66" s="38"/>
      <c r="I66" s="38"/>
      <c r="J66" s="39"/>
      <c r="K66" s="222"/>
      <c r="L66" s="222"/>
    </row>
    <row r="67" spans="1:12" ht="12.75" x14ac:dyDescent="0.2">
      <c r="A67" s="38"/>
      <c r="B67" s="38"/>
      <c r="C67" s="239">
        <f t="shared" si="7"/>
        <v>2018</v>
      </c>
      <c r="D67" s="241">
        <v>225.91634395152107</v>
      </c>
      <c r="E67" s="42">
        <v>262.0176817288845</v>
      </c>
      <c r="F67" s="40"/>
      <c r="G67" s="229"/>
      <c r="H67" s="38"/>
      <c r="I67" s="38"/>
      <c r="J67" s="39"/>
      <c r="K67" s="222"/>
      <c r="L67" s="222"/>
    </row>
    <row r="68" spans="1:12" ht="12.75" x14ac:dyDescent="0.2">
      <c r="A68" s="38"/>
      <c r="B68" s="38"/>
      <c r="C68" s="239">
        <f t="shared" si="7"/>
        <v>2019</v>
      </c>
      <c r="D68" s="241">
        <v>277.9929515252793</v>
      </c>
      <c r="E68" s="42">
        <v>313.24843858432348</v>
      </c>
      <c r="F68" s="40"/>
      <c r="G68" s="229"/>
      <c r="H68" s="38"/>
      <c r="I68" s="38"/>
      <c r="J68" s="39"/>
      <c r="K68" s="222"/>
      <c r="L68" s="222"/>
    </row>
    <row r="69" spans="1:12" ht="12.75" x14ac:dyDescent="0.2">
      <c r="A69" s="38"/>
      <c r="B69" s="38"/>
      <c r="C69" s="239">
        <f t="shared" si="7"/>
        <v>2020</v>
      </c>
      <c r="D69" s="241">
        <v>263.15808164038458</v>
      </c>
      <c r="E69" s="42">
        <v>302.09611171960336</v>
      </c>
      <c r="F69" s="40"/>
      <c r="G69" s="229"/>
      <c r="H69" s="38"/>
      <c r="I69" s="38"/>
      <c r="J69" s="39"/>
      <c r="K69" s="222"/>
      <c r="L69" s="222"/>
    </row>
    <row r="70" spans="1:12" ht="12.75" x14ac:dyDescent="0.2">
      <c r="A70" s="38"/>
      <c r="B70" s="38"/>
      <c r="C70" s="239">
        <f t="shared" si="7"/>
        <v>2021</v>
      </c>
      <c r="D70" s="241">
        <v>269.57260739670198</v>
      </c>
      <c r="E70" s="42">
        <v>302.24564944444393</v>
      </c>
      <c r="F70" s="40"/>
      <c r="G70" s="229"/>
      <c r="H70" s="38"/>
      <c r="I70" s="38"/>
      <c r="J70" s="39"/>
      <c r="K70" s="222"/>
      <c r="L70" s="222"/>
    </row>
    <row r="71" spans="1:12" ht="12.75" x14ac:dyDescent="0.2">
      <c r="A71" s="38"/>
      <c r="B71" s="38"/>
      <c r="C71" s="239">
        <f t="shared" si="7"/>
        <v>2022</v>
      </c>
      <c r="D71" s="241">
        <v>271.59908827510998</v>
      </c>
      <c r="E71" s="42">
        <v>302.24564944444393</v>
      </c>
      <c r="F71" s="40"/>
      <c r="G71" s="229"/>
      <c r="H71" s="38"/>
      <c r="I71" s="38"/>
      <c r="J71" s="39"/>
      <c r="K71" s="222"/>
      <c r="L71" s="222"/>
    </row>
    <row r="72" spans="1:12" ht="12.75" x14ac:dyDescent="0.2">
      <c r="A72" s="38"/>
      <c r="B72" s="38"/>
      <c r="C72" s="238"/>
      <c r="D72" s="242">
        <f>AVERAGE(D62:D71)</f>
        <v>220.15488100185416</v>
      </c>
      <c r="E72" s="243">
        <f>AVERAGE(E61:E70)</f>
        <v>238.20339554786261</v>
      </c>
      <c r="F72" s="43"/>
      <c r="G72" s="253"/>
      <c r="H72" s="38"/>
      <c r="I72" s="38"/>
      <c r="J72" s="39"/>
      <c r="K72" s="222"/>
      <c r="L72" s="222"/>
    </row>
    <row r="73" spans="1:12" x14ac:dyDescent="0.2">
      <c r="K73" s="196"/>
      <c r="L73" s="196"/>
    </row>
    <row r="74" spans="1:12" x14ac:dyDescent="0.2">
      <c r="K74" s="196"/>
      <c r="L74" s="196"/>
    </row>
    <row r="75" spans="1:12" x14ac:dyDescent="0.2">
      <c r="K75" s="196"/>
      <c r="L75" s="196"/>
    </row>
    <row r="76" spans="1:12" x14ac:dyDescent="0.2">
      <c r="K76" s="196"/>
      <c r="L76" s="196"/>
    </row>
    <row r="77" spans="1:12" x14ac:dyDescent="0.2">
      <c r="K77" s="196"/>
      <c r="L77" s="196"/>
    </row>
    <row r="78" spans="1:12" x14ac:dyDescent="0.2">
      <c r="K78" s="196"/>
      <c r="L78" s="196"/>
    </row>
    <row r="79" spans="1:12" x14ac:dyDescent="0.2">
      <c r="K79" s="196"/>
      <c r="L79" s="196"/>
    </row>
    <row r="80" spans="1:12" x14ac:dyDescent="0.2">
      <c r="K80" s="196"/>
      <c r="L80" s="196"/>
    </row>
    <row r="81" spans="11:12" x14ac:dyDescent="0.2">
      <c r="K81" s="196"/>
      <c r="L81" s="196"/>
    </row>
    <row r="82" spans="11:12" x14ac:dyDescent="0.2">
      <c r="K82" s="196"/>
      <c r="L82" s="196"/>
    </row>
    <row r="83" spans="11:12" x14ac:dyDescent="0.2">
      <c r="K83" s="196"/>
      <c r="L83" s="196"/>
    </row>
    <row r="84" spans="11:12" x14ac:dyDescent="0.2">
      <c r="K84" s="196"/>
      <c r="L84" s="196"/>
    </row>
    <row r="85" spans="11:12" x14ac:dyDescent="0.2">
      <c r="K85" s="196"/>
      <c r="L85" s="196"/>
    </row>
    <row r="86" spans="11:12" x14ac:dyDescent="0.2">
      <c r="K86" s="196"/>
      <c r="L86" s="196"/>
    </row>
    <row r="87" spans="11:12" x14ac:dyDescent="0.2">
      <c r="K87" s="196"/>
      <c r="L87" s="196"/>
    </row>
    <row r="88" spans="11:12" x14ac:dyDescent="0.2">
      <c r="K88" s="196"/>
      <c r="L88" s="196"/>
    </row>
    <row r="89" spans="11:12" x14ac:dyDescent="0.2">
      <c r="K89" s="196"/>
      <c r="L89" s="196"/>
    </row>
    <row r="90" spans="11:12" x14ac:dyDescent="0.2">
      <c r="K90" s="196"/>
      <c r="L90" s="196"/>
    </row>
    <row r="91" spans="11:12" x14ac:dyDescent="0.2">
      <c r="K91" s="196"/>
      <c r="L91" s="196"/>
    </row>
    <row r="92" spans="11:12" x14ac:dyDescent="0.2">
      <c r="K92" s="196"/>
      <c r="L92" s="196"/>
    </row>
    <row r="93" spans="11:12" x14ac:dyDescent="0.2">
      <c r="K93" s="196"/>
      <c r="L93" s="196"/>
    </row>
    <row r="94" spans="11:12" x14ac:dyDescent="0.2">
      <c r="K94" s="196"/>
      <c r="L94" s="196"/>
    </row>
    <row r="95" spans="11:12" x14ac:dyDescent="0.2">
      <c r="K95" s="196"/>
      <c r="L95" s="196"/>
    </row>
    <row r="96" spans="11:12" x14ac:dyDescent="0.2">
      <c r="K96" s="196"/>
      <c r="L96" s="196"/>
    </row>
    <row r="97" spans="11:12" x14ac:dyDescent="0.2">
      <c r="K97" s="196"/>
      <c r="L97" s="196"/>
    </row>
    <row r="98" spans="11:12" x14ac:dyDescent="0.2">
      <c r="K98" s="196"/>
      <c r="L98" s="196"/>
    </row>
    <row r="99" spans="11:12" x14ac:dyDescent="0.2">
      <c r="K99" s="196"/>
      <c r="L99" s="196"/>
    </row>
    <row r="100" spans="11:12" x14ac:dyDescent="0.2">
      <c r="K100" s="196"/>
      <c r="L100" s="196"/>
    </row>
    <row r="101" spans="11:12" x14ac:dyDescent="0.2">
      <c r="K101" s="196"/>
      <c r="L101" s="196"/>
    </row>
    <row r="102" spans="11:12" x14ac:dyDescent="0.2">
      <c r="K102" s="196"/>
      <c r="L102" s="196"/>
    </row>
    <row r="103" spans="11:12" x14ac:dyDescent="0.2">
      <c r="K103" s="196"/>
      <c r="L103" s="196"/>
    </row>
    <row r="104" spans="11:12" x14ac:dyDescent="0.2">
      <c r="K104" s="196"/>
      <c r="L104" s="196"/>
    </row>
    <row r="105" spans="11:12" x14ac:dyDescent="0.2">
      <c r="K105" s="196"/>
      <c r="L105" s="196"/>
    </row>
    <row r="106" spans="11:12" x14ac:dyDescent="0.2">
      <c r="K106" s="196"/>
      <c r="L106" s="196"/>
    </row>
    <row r="107" spans="11:12" x14ac:dyDescent="0.2">
      <c r="K107" s="196"/>
      <c r="L107" s="196"/>
    </row>
    <row r="108" spans="11:12" x14ac:dyDescent="0.2">
      <c r="K108" s="196"/>
      <c r="L108" s="196"/>
    </row>
    <row r="109" spans="11:12" x14ac:dyDescent="0.2">
      <c r="K109" s="196"/>
      <c r="L109" s="196"/>
    </row>
    <row r="110" spans="11:12" x14ac:dyDescent="0.2">
      <c r="K110" s="196"/>
      <c r="L110" s="196"/>
    </row>
    <row r="111" spans="11:12" x14ac:dyDescent="0.2">
      <c r="K111" s="196"/>
      <c r="L111" s="196"/>
    </row>
    <row r="112" spans="11:12" x14ac:dyDescent="0.2">
      <c r="K112" s="196"/>
      <c r="L112" s="196"/>
    </row>
    <row r="113" spans="11:12" x14ac:dyDescent="0.2">
      <c r="K113" s="196"/>
      <c r="L113" s="196"/>
    </row>
    <row r="114" spans="11:12" x14ac:dyDescent="0.2">
      <c r="K114" s="196"/>
      <c r="L114" s="196"/>
    </row>
    <row r="115" spans="11:12" x14ac:dyDescent="0.2">
      <c r="K115" s="196"/>
      <c r="L115" s="196"/>
    </row>
    <row r="116" spans="11:12" x14ac:dyDescent="0.2">
      <c r="K116" s="196"/>
      <c r="L116" s="196"/>
    </row>
    <row r="117" spans="11:12" x14ac:dyDescent="0.2">
      <c r="K117" s="196"/>
      <c r="L117" s="196"/>
    </row>
    <row r="118" spans="11:12" x14ac:dyDescent="0.2">
      <c r="K118" s="196"/>
      <c r="L118" s="196"/>
    </row>
    <row r="119" spans="11:12" x14ac:dyDescent="0.2">
      <c r="K119" s="196"/>
      <c r="L119" s="196"/>
    </row>
    <row r="120" spans="11:12" x14ac:dyDescent="0.2">
      <c r="K120" s="196"/>
      <c r="L120" s="196"/>
    </row>
    <row r="121" spans="11:12" x14ac:dyDescent="0.2">
      <c r="K121" s="196"/>
      <c r="L121" s="196"/>
    </row>
    <row r="122" spans="11:12" x14ac:dyDescent="0.2">
      <c r="K122" s="196"/>
      <c r="L122" s="196"/>
    </row>
    <row r="123" spans="11:12" x14ac:dyDescent="0.2">
      <c r="K123" s="196"/>
      <c r="L123" s="196"/>
    </row>
    <row r="124" spans="11:12" x14ac:dyDescent="0.2">
      <c r="K124" s="196"/>
      <c r="L124" s="196"/>
    </row>
    <row r="125" spans="11:12" x14ac:dyDescent="0.2">
      <c r="K125" s="196"/>
      <c r="L125" s="196"/>
    </row>
    <row r="126" spans="11:12" x14ac:dyDescent="0.2">
      <c r="K126" s="196"/>
      <c r="L126" s="196"/>
    </row>
    <row r="127" spans="11:12" x14ac:dyDescent="0.2">
      <c r="K127" s="196"/>
      <c r="L127" s="196"/>
    </row>
    <row r="128" spans="11:12" x14ac:dyDescent="0.2">
      <c r="K128" s="196"/>
      <c r="L128" s="196"/>
    </row>
    <row r="129" spans="11:12" x14ac:dyDescent="0.2">
      <c r="K129" s="196"/>
      <c r="L129" s="196"/>
    </row>
    <row r="130" spans="11:12" x14ac:dyDescent="0.2">
      <c r="K130" s="196"/>
      <c r="L130" s="196"/>
    </row>
    <row r="131" spans="11:12" x14ac:dyDescent="0.2">
      <c r="K131" s="196"/>
      <c r="L131" s="196"/>
    </row>
    <row r="132" spans="11:12" x14ac:dyDescent="0.2">
      <c r="K132" s="196"/>
      <c r="L132" s="196"/>
    </row>
    <row r="133" spans="11:12" x14ac:dyDescent="0.2">
      <c r="K133" s="196"/>
      <c r="L133" s="196"/>
    </row>
    <row r="134" spans="11:12" x14ac:dyDescent="0.2">
      <c r="K134" s="196"/>
      <c r="L134" s="196"/>
    </row>
    <row r="135" spans="11:12" x14ac:dyDescent="0.2">
      <c r="K135" s="196"/>
      <c r="L135" s="196"/>
    </row>
    <row r="136" spans="11:12" x14ac:dyDescent="0.2">
      <c r="K136" s="196"/>
      <c r="L136" s="196"/>
    </row>
    <row r="137" spans="11:12" x14ac:dyDescent="0.2">
      <c r="K137" s="196"/>
      <c r="L137" s="196"/>
    </row>
    <row r="138" spans="11:12" x14ac:dyDescent="0.2">
      <c r="K138" s="196"/>
      <c r="L138" s="196"/>
    </row>
    <row r="139" spans="11:12" x14ac:dyDescent="0.2">
      <c r="K139" s="196"/>
      <c r="L139" s="196"/>
    </row>
    <row r="140" spans="11:12" x14ac:dyDescent="0.2">
      <c r="K140" s="196"/>
      <c r="L140" s="196"/>
    </row>
    <row r="141" spans="11:12" x14ac:dyDescent="0.2">
      <c r="K141" s="196"/>
      <c r="L141" s="196"/>
    </row>
  </sheetData>
  <customSheetViews>
    <customSheetView guid="{D3618886-EC92-4244-941D-CAF99D049731}" showRuler="0">
      <selection activeCell="G29" sqref="G29"/>
      <pageMargins left="0.26" right="0.22" top="0.5" bottom="0.48" header="0.32" footer="0.28999999999999998"/>
      <pageSetup scale="65" orientation="landscape" r:id="rId1"/>
      <headerFooter alignWithMargins="0">
        <oddFooter>&amp;R&amp;Z&amp;F&amp;A</oddFooter>
      </headerFooter>
    </customSheetView>
  </customSheetViews>
  <phoneticPr fontId="18" type="noConversion"/>
  <pageMargins left="0.26" right="0.22" top="0.5" bottom="0.48" header="0.32" footer="0.28999999999999998"/>
  <pageSetup scale="65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rgb="FFFFFF00"/>
    <pageSetUpPr fitToPage="1"/>
  </sheetPr>
  <dimension ref="A1:AG1116"/>
  <sheetViews>
    <sheetView tabSelected="1" zoomScale="85" zoomScaleNormal="85" workbookViewId="0">
      <pane xSplit="3" ySplit="4" topLeftCell="D1087" activePane="bottomRight" state="frozen"/>
      <selection activeCell="AC1036" activeCellId="1" sqref="AV1047 AC1036:AC1037"/>
      <selection pane="topRight" activeCell="AC1036" activeCellId="1" sqref="AV1047 AC1036:AC1037"/>
      <selection pane="bottomLeft" activeCell="AC1036" activeCellId="1" sqref="AV1047 AC1036:AC1037"/>
      <selection pane="bottomRight"/>
    </sheetView>
  </sheetViews>
  <sheetFormatPr defaultColWidth="9.140625" defaultRowHeight="12.75" x14ac:dyDescent="0.2"/>
  <cols>
    <col min="1" max="1" width="40.5703125" style="2" customWidth="1"/>
    <col min="2" max="2" width="48.5703125" style="2" bestFit="1" customWidth="1"/>
    <col min="3" max="3" width="19.28515625" style="3" customWidth="1"/>
    <col min="4" max="4" width="16.5703125" style="48" customWidth="1"/>
    <col min="5" max="5" width="11.140625" style="57" customWidth="1"/>
    <col min="6" max="6" width="7.7109375" style="12" customWidth="1"/>
    <col min="7" max="7" width="10.28515625" style="13" customWidth="1"/>
    <col min="8" max="8" width="12.42578125" style="48" customWidth="1"/>
    <col min="9" max="9" width="16.140625" style="48" customWidth="1"/>
    <col min="10" max="10" width="13.42578125" style="48" customWidth="1"/>
    <col min="11" max="11" width="11.140625" style="57" customWidth="1"/>
    <col min="12" max="12" width="11.7109375" style="48" customWidth="1"/>
    <col min="13" max="13" width="12.5703125" style="48" customWidth="1"/>
    <col min="14" max="14" width="11.7109375" style="48" customWidth="1"/>
    <col min="15" max="15" width="11" style="91" customWidth="1"/>
    <col min="16" max="16" width="10.28515625" style="48" customWidth="1"/>
    <col min="17" max="17" width="12.5703125" style="48" customWidth="1"/>
    <col min="18" max="18" width="10.7109375" style="48" customWidth="1"/>
    <col min="19" max="19" width="13.7109375" style="7" customWidth="1"/>
    <col min="20" max="20" width="8.7109375" style="3" customWidth="1"/>
    <col min="21" max="21" width="12.7109375" style="68" customWidth="1"/>
    <col min="22" max="22" width="12.28515625" style="68" customWidth="1"/>
    <col min="23" max="23" width="11.28515625" style="68" customWidth="1"/>
    <col min="24" max="24" width="12.7109375" style="68" customWidth="1"/>
    <col min="25" max="25" width="13.5703125" style="82" customWidth="1"/>
    <col min="26" max="26" width="12.28515625" style="68" customWidth="1"/>
    <col min="27" max="27" width="14.5703125" style="68" customWidth="1"/>
    <col min="28" max="28" width="17.28515625" style="68" customWidth="1"/>
    <col min="29" max="29" width="13" style="68" customWidth="1"/>
    <col min="30" max="30" width="14.28515625" style="68" customWidth="1"/>
    <col min="31" max="31" width="16.42578125" style="68" customWidth="1"/>
    <col min="32" max="32" width="15.42578125" style="48" customWidth="1"/>
    <col min="33" max="33" width="16" style="48" customWidth="1"/>
    <col min="34" max="16384" width="9.140625" style="2"/>
  </cols>
  <sheetData>
    <row r="1" spans="1:33" ht="18.75" x14ac:dyDescent="0.3">
      <c r="A1" s="255" t="s">
        <v>1215</v>
      </c>
      <c r="D1" s="44"/>
      <c r="E1" s="58"/>
      <c r="F1" s="5"/>
      <c r="G1" s="6"/>
      <c r="H1" s="44"/>
      <c r="I1" s="44"/>
      <c r="J1" s="44"/>
      <c r="M1" s="44"/>
      <c r="Q1" s="44"/>
      <c r="AB1" s="69"/>
      <c r="AC1" s="69"/>
    </row>
    <row r="2" spans="1:33" ht="13.5" thickBot="1" x14ac:dyDescent="0.25">
      <c r="A2" s="2" t="s">
        <v>89</v>
      </c>
      <c r="D2" s="45"/>
      <c r="E2" s="98" t="s">
        <v>75</v>
      </c>
      <c r="F2" s="37"/>
      <c r="G2" s="37"/>
      <c r="H2" s="46"/>
      <c r="I2" s="256"/>
      <c r="J2" s="256"/>
      <c r="K2" s="59" t="s">
        <v>50</v>
      </c>
      <c r="L2" s="45"/>
      <c r="M2" s="256"/>
      <c r="N2" s="256"/>
      <c r="O2" s="93" t="s">
        <v>2</v>
      </c>
      <c r="P2" s="45"/>
      <c r="Q2" s="256"/>
      <c r="R2" s="256"/>
      <c r="U2" s="136"/>
      <c r="V2" s="136"/>
      <c r="W2" s="136"/>
      <c r="X2" s="136"/>
      <c r="Z2" s="136"/>
      <c r="AD2" s="136" t="s">
        <v>198</v>
      </c>
      <c r="AE2" s="257" t="s">
        <v>199</v>
      </c>
      <c r="AF2" s="258"/>
      <c r="AG2" s="258"/>
    </row>
    <row r="3" spans="1:33" ht="13.5" thickBot="1" x14ac:dyDescent="0.25">
      <c r="A3" s="149"/>
      <c r="B3" s="259" t="s">
        <v>3</v>
      </c>
      <c r="C3" s="259"/>
      <c r="D3" s="47"/>
      <c r="E3" s="99"/>
      <c r="F3" s="9"/>
      <c r="G3" s="10"/>
      <c r="H3" s="47"/>
      <c r="I3" s="138" t="s">
        <v>5</v>
      </c>
      <c r="J3" s="139" t="s">
        <v>5</v>
      </c>
      <c r="K3" s="60"/>
      <c r="L3" s="64"/>
      <c r="M3" s="138" t="s">
        <v>5</v>
      </c>
      <c r="N3" s="139" t="s">
        <v>5</v>
      </c>
      <c r="O3" s="94"/>
      <c r="P3" s="64"/>
      <c r="Q3" s="138" t="s">
        <v>5</v>
      </c>
      <c r="R3" s="139" t="s">
        <v>5</v>
      </c>
      <c r="S3" s="8"/>
      <c r="T3" s="11"/>
      <c r="U3" s="70" t="s">
        <v>82</v>
      </c>
      <c r="V3" s="70"/>
      <c r="W3" s="71"/>
      <c r="X3" s="260" t="s">
        <v>4</v>
      </c>
      <c r="Y3" s="88"/>
      <c r="Z3" s="140" t="s">
        <v>5</v>
      </c>
      <c r="AA3" s="261" t="s">
        <v>40</v>
      </c>
      <c r="AB3" s="262"/>
      <c r="AC3" s="263"/>
      <c r="AD3" s="140" t="s">
        <v>5</v>
      </c>
      <c r="AE3" s="140" t="s">
        <v>5</v>
      </c>
      <c r="AF3" s="139" t="s">
        <v>5</v>
      </c>
      <c r="AG3" s="139" t="s">
        <v>5</v>
      </c>
    </row>
    <row r="4" spans="1:33" ht="77.25" thickBot="1" x14ac:dyDescent="0.25">
      <c r="A4" s="264" t="s">
        <v>54</v>
      </c>
      <c r="B4" s="265" t="s">
        <v>76</v>
      </c>
      <c r="C4" s="266" t="s">
        <v>86</v>
      </c>
      <c r="D4" s="267" t="s">
        <v>157</v>
      </c>
      <c r="E4" s="268" t="s">
        <v>7</v>
      </c>
      <c r="F4" s="269" t="s">
        <v>6</v>
      </c>
      <c r="G4" s="270" t="s">
        <v>84</v>
      </c>
      <c r="H4" s="267" t="s">
        <v>38</v>
      </c>
      <c r="I4" s="267" t="s">
        <v>0</v>
      </c>
      <c r="J4" s="267" t="s">
        <v>8</v>
      </c>
      <c r="K4" s="271" t="s">
        <v>63</v>
      </c>
      <c r="L4" s="272" t="s">
        <v>39</v>
      </c>
      <c r="M4" s="267" t="s">
        <v>1</v>
      </c>
      <c r="N4" s="273" t="s">
        <v>64</v>
      </c>
      <c r="O4" s="274" t="s">
        <v>79</v>
      </c>
      <c r="P4" s="272" t="s">
        <v>80</v>
      </c>
      <c r="Q4" s="267" t="s">
        <v>81</v>
      </c>
      <c r="R4" s="273" t="s">
        <v>197</v>
      </c>
      <c r="S4" s="275" t="s">
        <v>9</v>
      </c>
      <c r="T4" s="276" t="s">
        <v>106</v>
      </c>
      <c r="U4" s="277" t="s">
        <v>10</v>
      </c>
      <c r="V4" s="277" t="s">
        <v>11</v>
      </c>
      <c r="W4" s="277" t="s">
        <v>12</v>
      </c>
      <c r="X4" s="278" t="s">
        <v>1220</v>
      </c>
      <c r="Y4" s="279" t="s">
        <v>28</v>
      </c>
      <c r="Z4" s="280" t="s">
        <v>41</v>
      </c>
      <c r="AA4" s="278" t="s">
        <v>1212</v>
      </c>
      <c r="AB4" s="278" t="s">
        <v>65</v>
      </c>
      <c r="AC4" s="278" t="s">
        <v>25</v>
      </c>
      <c r="AD4" s="281" t="s">
        <v>23</v>
      </c>
      <c r="AE4" s="280" t="s">
        <v>77</v>
      </c>
      <c r="AF4" s="282" t="s">
        <v>90</v>
      </c>
      <c r="AG4" s="267" t="s">
        <v>191</v>
      </c>
    </row>
    <row r="5" spans="1:33" x14ac:dyDescent="0.2">
      <c r="A5" s="17"/>
      <c r="B5" s="2" t="s">
        <v>159</v>
      </c>
      <c r="AF5" s="79"/>
      <c r="AG5" s="79"/>
    </row>
    <row r="6" spans="1:33" x14ac:dyDescent="0.2">
      <c r="A6" s="150" t="s">
        <v>1213</v>
      </c>
      <c r="B6" s="2" t="s">
        <v>1214</v>
      </c>
      <c r="J6" s="44"/>
      <c r="R6" s="44"/>
      <c r="AA6" s="68">
        <v>-275125.38</v>
      </c>
      <c r="AB6" s="68">
        <v>2005.48</v>
      </c>
      <c r="AC6" s="68">
        <v>-273119.90000000002</v>
      </c>
      <c r="AD6" s="72">
        <f>Z6+AB6</f>
        <v>2005.48</v>
      </c>
      <c r="AE6" s="72">
        <f>X6-AD6</f>
        <v>-2005.48</v>
      </c>
      <c r="AF6" s="79">
        <f>J6*S6</f>
        <v>0</v>
      </c>
      <c r="AG6" s="79">
        <f>(I6*S6)</f>
        <v>0</v>
      </c>
    </row>
    <row r="7" spans="1:33" x14ac:dyDescent="0.2">
      <c r="A7" s="150" t="s">
        <v>124</v>
      </c>
      <c r="B7" s="2" t="s">
        <v>1211</v>
      </c>
      <c r="C7" s="3" t="s">
        <v>85</v>
      </c>
      <c r="D7" s="117">
        <v>1649</v>
      </c>
      <c r="E7" s="57">
        <f>H7/D7</f>
        <v>1390.5226290992198</v>
      </c>
      <c r="F7" s="14">
        <v>0.15</v>
      </c>
      <c r="H7" s="48">
        <v>2292971.8153846134</v>
      </c>
      <c r="I7" s="48">
        <f>H7</f>
        <v>2292971.8153846134</v>
      </c>
      <c r="J7" s="44">
        <f>(E7*D7)*(1-F7)*(1-G7)</f>
        <v>1949026.0430769213</v>
      </c>
      <c r="K7" s="57">
        <f>L7/D7</f>
        <v>238.14802910855019</v>
      </c>
      <c r="L7" s="44">
        <v>392706.09999999928</v>
      </c>
      <c r="M7" s="48">
        <f>L7</f>
        <v>392706.09999999928</v>
      </c>
      <c r="N7" s="48">
        <f>(K7*D7)*(1-F7)*(1-G7)</f>
        <v>333800.18499999936</v>
      </c>
      <c r="P7" s="44"/>
      <c r="Q7" s="48">
        <f>P7</f>
        <v>0</v>
      </c>
      <c r="R7" s="44">
        <f>(O7*D7)*(1-F7)*(1-G7)</f>
        <v>0</v>
      </c>
      <c r="S7" s="15">
        <v>20</v>
      </c>
      <c r="T7" s="16" t="s">
        <v>201</v>
      </c>
      <c r="U7" s="68">
        <f>SUMIF('Avoided Costs 2013-2021'!$A:$A,'2013 Actuals'!T7&amp;'2013 Actuals'!S7,'Avoided Costs 2013-2021'!$E:$E)*J7</f>
        <v>5339787.5004181974</v>
      </c>
      <c r="V7" s="68">
        <f>SUMIF('Avoided Costs 2013-2021'!$A:$A,'2013 Actuals'!T7&amp;'2013 Actuals'!S7,'Avoided Costs 2013-2021'!$K:$K)*N7</f>
        <v>420287.18124862574</v>
      </c>
      <c r="W7" s="68">
        <f>SUMIF('Avoided Costs 2013-2021'!$A:$A,'2013 Actuals'!T7&amp;'2013 Actuals'!S7,'Avoided Costs 2013-2021'!$M:$M)*R7</f>
        <v>0</v>
      </c>
      <c r="X7" s="68">
        <f>SUM(U7:W7)</f>
        <v>5760074.6816668231</v>
      </c>
      <c r="Y7" s="82">
        <v>3500</v>
      </c>
      <c r="Z7" s="72">
        <f>(Y7*D7)*(1-F7)</f>
        <v>4905775</v>
      </c>
      <c r="AA7" s="141">
        <v>2197445</v>
      </c>
      <c r="AB7" s="141">
        <v>452572</v>
      </c>
      <c r="AC7" s="68">
        <f>AA7+AB7</f>
        <v>2650017</v>
      </c>
      <c r="AD7" s="72">
        <f>Z7+AB7</f>
        <v>5358347</v>
      </c>
      <c r="AE7" s="72">
        <f>X7-AD7</f>
        <v>401727.6816668231</v>
      </c>
      <c r="AF7" s="79">
        <f>J7*S7</f>
        <v>38980520.861538425</v>
      </c>
      <c r="AG7" s="79">
        <f>(I7*S7)</f>
        <v>45859436.307692267</v>
      </c>
    </row>
    <row r="8" spans="1:33" x14ac:dyDescent="0.2">
      <c r="A8" s="283" t="s">
        <v>56</v>
      </c>
      <c r="B8" s="283"/>
      <c r="C8" s="147"/>
      <c r="D8" s="284">
        <f>SUM(D7:D7)</f>
        <v>1649</v>
      </c>
      <c r="E8" s="142"/>
      <c r="F8" s="143"/>
      <c r="G8" s="144"/>
      <c r="H8" s="284">
        <f>SUM(H7:H7)</f>
        <v>2292971.8153846134</v>
      </c>
      <c r="I8" s="284">
        <f>SUM(I6:I7)</f>
        <v>2292971.8153846134</v>
      </c>
      <c r="J8" s="284">
        <f>SUM(J6:J7)</f>
        <v>1949026.0430769213</v>
      </c>
      <c r="K8" s="142"/>
      <c r="L8" s="284">
        <f>SUM(L7:L7)</f>
        <v>392706.09999999928</v>
      </c>
      <c r="M8" s="284">
        <f>SUM(M6:M7)</f>
        <v>392706.09999999928</v>
      </c>
      <c r="N8" s="284">
        <f>SUM(N6:N7)</f>
        <v>333800.18499999936</v>
      </c>
      <c r="O8" s="145"/>
      <c r="P8" s="284">
        <f>SUM(P7:P7)</f>
        <v>0</v>
      </c>
      <c r="Q8" s="284">
        <f>SUM(Q6:Q7)</f>
        <v>0</v>
      </c>
      <c r="R8" s="284">
        <f>SUM(R6:R7)</f>
        <v>0</v>
      </c>
      <c r="S8" s="146"/>
      <c r="T8" s="147"/>
      <c r="U8" s="285">
        <f>SUM(U6:U7)</f>
        <v>5339787.5004181974</v>
      </c>
      <c r="V8" s="285">
        <f>SUM(V6:V7)</f>
        <v>420287.18124862574</v>
      </c>
      <c r="W8" s="285">
        <f>SUM(W6:W7)</f>
        <v>0</v>
      </c>
      <c r="X8" s="285">
        <f>SUM(X6:X7)</f>
        <v>5760074.6816668231</v>
      </c>
      <c r="Y8" s="148"/>
      <c r="Z8" s="285">
        <f>SUM(Z6:Z7)</f>
        <v>4905775</v>
      </c>
      <c r="AA8" s="286">
        <f>SUM(AA6:AA7)</f>
        <v>1922319.62</v>
      </c>
      <c r="AB8" s="286">
        <f t="shared" ref="AB8:AG8" si="0">SUM(AB6:AB7)</f>
        <v>454577.48</v>
      </c>
      <c r="AC8" s="286">
        <f t="shared" si="0"/>
        <v>2376897.1</v>
      </c>
      <c r="AD8" s="286">
        <f t="shared" si="0"/>
        <v>5360352.4800000004</v>
      </c>
      <c r="AE8" s="286">
        <f t="shared" si="0"/>
        <v>399722.20166682312</v>
      </c>
      <c r="AF8" s="287">
        <f t="shared" si="0"/>
        <v>38980520.861538425</v>
      </c>
      <c r="AG8" s="287">
        <f t="shared" si="0"/>
        <v>45859436.307692267</v>
      </c>
    </row>
    <row r="9" spans="1:33" x14ac:dyDescent="0.2">
      <c r="A9" s="150"/>
      <c r="B9" s="2" t="s">
        <v>173</v>
      </c>
      <c r="AF9" s="79"/>
      <c r="AG9" s="79"/>
    </row>
    <row r="10" spans="1:33" x14ac:dyDescent="0.2">
      <c r="A10" s="150" t="s">
        <v>125</v>
      </c>
      <c r="B10" s="18" t="s">
        <v>126</v>
      </c>
      <c r="D10" s="48">
        <v>12</v>
      </c>
      <c r="E10" s="57">
        <v>667</v>
      </c>
      <c r="F10" s="14">
        <v>0.05</v>
      </c>
      <c r="G10" s="13">
        <v>0</v>
      </c>
      <c r="H10" s="48">
        <f>D10*E10</f>
        <v>8004</v>
      </c>
      <c r="I10" s="48">
        <f t="shared" ref="I10:I35" si="1">H10</f>
        <v>8004</v>
      </c>
      <c r="J10" s="44">
        <f t="shared" ref="J10:J35" si="2">(E10*D10)*(1-F10)*(1-G10)</f>
        <v>7603.7999999999993</v>
      </c>
      <c r="K10" s="57">
        <v>172</v>
      </c>
      <c r="L10" s="44">
        <v>2064</v>
      </c>
      <c r="M10" s="48">
        <f t="shared" ref="M10:M35" si="3">L10</f>
        <v>2064</v>
      </c>
      <c r="N10" s="48">
        <f t="shared" ref="N10:N35" si="4">(K10*D10)*(1-F10)*(1-G10)</f>
        <v>1960.8</v>
      </c>
      <c r="O10" s="91">
        <v>0</v>
      </c>
      <c r="P10" s="44">
        <v>0</v>
      </c>
      <c r="Q10" s="48">
        <f t="shared" ref="Q10:Q35" si="5">P10</f>
        <v>0</v>
      </c>
      <c r="R10" s="44">
        <f t="shared" ref="R10:R35" si="6">(O10*D10)*(1-F10)*(1-G10)</f>
        <v>0</v>
      </c>
      <c r="S10" s="7">
        <v>15</v>
      </c>
      <c r="T10" s="3" t="s">
        <v>201</v>
      </c>
      <c r="U10" s="68">
        <f>SUMIF('Avoided Costs 2013-2021'!$A:$A,'2013 Actuals'!T10&amp;'2013 Actuals'!S10,'Avoided Costs 2013-2021'!$E:$E)*J10</f>
        <v>16993.447870658838</v>
      </c>
      <c r="V10" s="68">
        <f>SUMIF('Avoided Costs 2013-2021'!$A:$A,'2013 Actuals'!T10&amp;'2013 Actuals'!S10,'Avoided Costs 2013-2021'!$K:$K)*N10</f>
        <v>2052.7491060814123</v>
      </c>
      <c r="W10" s="68">
        <f>SUMIF('Avoided Costs 2013-2021'!$A:$A,'2013 Actuals'!T10&amp;'2013 Actuals'!S10,'Avoided Costs 2013-2021'!$M:$M)*R10</f>
        <v>0</v>
      </c>
      <c r="X10" s="68">
        <f t="shared" ref="X10:X35" si="7">SUM(U10:W10)</f>
        <v>19046.196976740252</v>
      </c>
      <c r="Y10" s="82">
        <v>1650</v>
      </c>
      <c r="Z10" s="72">
        <f t="shared" ref="Z10:Z35" si="8">(Y10*D10)*(1-F10)</f>
        <v>18810</v>
      </c>
      <c r="AC10" s="72"/>
      <c r="AD10" s="72">
        <f t="shared" ref="AD10:AD35" si="9">Z10+AB10</f>
        <v>18810</v>
      </c>
      <c r="AE10" s="72">
        <f t="shared" ref="AE10:AE35" si="10">X10-AD10</f>
        <v>236.19697674025156</v>
      </c>
      <c r="AF10" s="79">
        <f t="shared" ref="AF10:AF35" si="11">J10*S10</f>
        <v>114056.99999999999</v>
      </c>
      <c r="AG10" s="79">
        <f t="shared" ref="AG10:AG35" si="12">(I10*S10)</f>
        <v>120060</v>
      </c>
    </row>
    <row r="11" spans="1:33" x14ac:dyDescent="0.2">
      <c r="A11" s="150" t="s">
        <v>127</v>
      </c>
      <c r="B11" s="18" t="s">
        <v>128</v>
      </c>
      <c r="D11" s="48">
        <v>23</v>
      </c>
      <c r="E11" s="57">
        <v>1529</v>
      </c>
      <c r="F11" s="14">
        <v>0.05</v>
      </c>
      <c r="G11" s="13">
        <v>0</v>
      </c>
      <c r="H11" s="48">
        <f>D11*E11</f>
        <v>35167</v>
      </c>
      <c r="I11" s="48">
        <f t="shared" si="1"/>
        <v>35167</v>
      </c>
      <c r="J11" s="44">
        <f t="shared" si="2"/>
        <v>33408.65</v>
      </c>
      <c r="K11" s="57">
        <v>1023</v>
      </c>
      <c r="L11" s="44">
        <v>23529</v>
      </c>
      <c r="M11" s="48">
        <f t="shared" si="3"/>
        <v>23529</v>
      </c>
      <c r="N11" s="48">
        <f t="shared" si="4"/>
        <v>22352.55</v>
      </c>
      <c r="O11" s="91">
        <v>0</v>
      </c>
      <c r="P11" s="44">
        <v>0</v>
      </c>
      <c r="Q11" s="48">
        <f t="shared" si="5"/>
        <v>0</v>
      </c>
      <c r="R11" s="44">
        <f t="shared" si="6"/>
        <v>0</v>
      </c>
      <c r="S11" s="7">
        <v>15</v>
      </c>
      <c r="T11" s="3" t="s">
        <v>201</v>
      </c>
      <c r="U11" s="68">
        <f>SUMIF('Avoided Costs 2013-2021'!$A:$A,'2013 Actuals'!T11&amp;'2013 Actuals'!S11,'Avoided Costs 2013-2021'!$E:$E)*J11</f>
        <v>74663.740788038413</v>
      </c>
      <c r="V11" s="68">
        <f>SUMIF('Avoided Costs 2013-2021'!$A:$A,'2013 Actuals'!T11&amp;'2013 Actuals'!S11,'Avoided Costs 2013-2021'!$K:$K)*N11</f>
        <v>23400.743079936798</v>
      </c>
      <c r="W11" s="68">
        <f>SUMIF('Avoided Costs 2013-2021'!$A:$A,'2013 Actuals'!T11&amp;'2013 Actuals'!S11,'Avoided Costs 2013-2021'!$M:$M)*R11</f>
        <v>0</v>
      </c>
      <c r="X11" s="68">
        <f t="shared" si="7"/>
        <v>98064.483867975214</v>
      </c>
      <c r="Y11" s="82">
        <v>2500</v>
      </c>
      <c r="Z11" s="72">
        <f t="shared" si="8"/>
        <v>54625</v>
      </c>
      <c r="AC11" s="72"/>
      <c r="AD11" s="72">
        <f t="shared" si="9"/>
        <v>54625</v>
      </c>
      <c r="AE11" s="72">
        <f t="shared" si="10"/>
        <v>43439.483867975214</v>
      </c>
      <c r="AF11" s="79">
        <f t="shared" si="11"/>
        <v>501129.75</v>
      </c>
      <c r="AG11" s="79">
        <f t="shared" si="12"/>
        <v>527505</v>
      </c>
    </row>
    <row r="12" spans="1:33" x14ac:dyDescent="0.2">
      <c r="A12" s="150" t="s">
        <v>129</v>
      </c>
      <c r="B12" s="18" t="s">
        <v>130</v>
      </c>
      <c r="D12" s="48">
        <v>2</v>
      </c>
      <c r="E12" s="57">
        <v>4669</v>
      </c>
      <c r="F12" s="14">
        <v>0.05</v>
      </c>
      <c r="G12" s="13">
        <v>0</v>
      </c>
      <c r="H12" s="48">
        <f>D12*E12</f>
        <v>9338</v>
      </c>
      <c r="I12" s="48">
        <f t="shared" si="1"/>
        <v>9338</v>
      </c>
      <c r="J12" s="44">
        <f>(E12*D12)*(1-F12)*(1-G12)</f>
        <v>8871.1</v>
      </c>
      <c r="K12" s="57">
        <v>-1947</v>
      </c>
      <c r="L12" s="44">
        <v>-3894</v>
      </c>
      <c r="M12" s="48">
        <f t="shared" si="3"/>
        <v>-3894</v>
      </c>
      <c r="N12" s="48">
        <f t="shared" si="4"/>
        <v>-3699.2999999999997</v>
      </c>
      <c r="O12" s="91">
        <v>0</v>
      </c>
      <c r="P12" s="44">
        <v>0</v>
      </c>
      <c r="Q12" s="48">
        <f t="shared" si="5"/>
        <v>0</v>
      </c>
      <c r="R12" s="44">
        <f t="shared" si="6"/>
        <v>0</v>
      </c>
      <c r="S12" s="7">
        <v>15</v>
      </c>
      <c r="T12" s="3" t="s">
        <v>201</v>
      </c>
      <c r="U12" s="68">
        <f>SUMIF('Avoided Costs 2013-2021'!$A:$A,'2013 Actuals'!T12&amp;'2013 Actuals'!S12,'Avoided Costs 2013-2021'!$E:$E)*J12</f>
        <v>19825.689182435312</v>
      </c>
      <c r="V12" s="68">
        <f>SUMIF('Avoided Costs 2013-2021'!$A:$A,'2013 Actuals'!T12&amp;'2013 Actuals'!S12,'Avoided Costs 2013-2021'!$K:$K)*N12</f>
        <v>-3872.7737495547572</v>
      </c>
      <c r="W12" s="68">
        <f>SUMIF('Avoided Costs 2013-2021'!$A:$A,'2013 Actuals'!T12&amp;'2013 Actuals'!S12,'Avoided Costs 2013-2021'!$M:$M)*R12</f>
        <v>0</v>
      </c>
      <c r="X12" s="68">
        <f t="shared" si="7"/>
        <v>15952.915432880554</v>
      </c>
      <c r="Y12" s="82">
        <v>8242</v>
      </c>
      <c r="Z12" s="72">
        <f t="shared" si="8"/>
        <v>15659.8</v>
      </c>
      <c r="AC12" s="72"/>
      <c r="AD12" s="72">
        <f t="shared" si="9"/>
        <v>15659.8</v>
      </c>
      <c r="AE12" s="72">
        <f t="shared" si="10"/>
        <v>293.11543288055509</v>
      </c>
      <c r="AF12" s="79">
        <f t="shared" si="11"/>
        <v>133066.5</v>
      </c>
      <c r="AG12" s="79">
        <f t="shared" si="12"/>
        <v>140070</v>
      </c>
    </row>
    <row r="13" spans="1:33" x14ac:dyDescent="0.2">
      <c r="A13" s="150" t="s">
        <v>131</v>
      </c>
      <c r="B13" s="18" t="s">
        <v>132</v>
      </c>
      <c r="D13" s="48">
        <v>13</v>
      </c>
      <c r="E13" s="57">
        <v>5837</v>
      </c>
      <c r="F13" s="19">
        <v>0.05</v>
      </c>
      <c r="G13" s="13">
        <v>0</v>
      </c>
      <c r="H13" s="48">
        <f>D13*E13</f>
        <v>75881</v>
      </c>
      <c r="I13" s="48">
        <f t="shared" si="1"/>
        <v>75881</v>
      </c>
      <c r="J13" s="44">
        <f t="shared" si="2"/>
        <v>72086.95</v>
      </c>
      <c r="K13" s="57">
        <v>-1866</v>
      </c>
      <c r="L13" s="44">
        <v>-24258</v>
      </c>
      <c r="M13" s="48">
        <f t="shared" si="3"/>
        <v>-24258</v>
      </c>
      <c r="N13" s="48">
        <f t="shared" si="4"/>
        <v>-23045.1</v>
      </c>
      <c r="O13" s="91">
        <v>0</v>
      </c>
      <c r="P13" s="44">
        <v>0</v>
      </c>
      <c r="Q13" s="48">
        <f t="shared" si="5"/>
        <v>0</v>
      </c>
      <c r="R13" s="44">
        <f t="shared" si="6"/>
        <v>0</v>
      </c>
      <c r="S13" s="7">
        <v>15</v>
      </c>
      <c r="T13" s="3" t="s">
        <v>201</v>
      </c>
      <c r="U13" s="68">
        <f>SUMIF('Avoided Costs 2013-2021'!$A:$A,'2013 Actuals'!T13&amp;'2013 Actuals'!S13,'Avoided Costs 2013-2021'!$E:$E)*J13</f>
        <v>161104.42502167207</v>
      </c>
      <c r="V13" s="68">
        <f>SUMIF('Avoided Costs 2013-2021'!$A:$A,'2013 Actuals'!T13&amp;'2013 Actuals'!S13,'Avoided Costs 2013-2021'!$K:$K)*N13</f>
        <v>-24125.769290369619</v>
      </c>
      <c r="W13" s="68">
        <f>SUMIF('Avoided Costs 2013-2021'!$A:$A,'2013 Actuals'!T13&amp;'2013 Actuals'!S13,'Avoided Costs 2013-2021'!$M:$M)*R13</f>
        <v>0</v>
      </c>
      <c r="X13" s="68">
        <f t="shared" si="7"/>
        <v>136978.65573130245</v>
      </c>
      <c r="Y13" s="82">
        <v>8242</v>
      </c>
      <c r="Z13" s="72">
        <f t="shared" si="8"/>
        <v>101788.7</v>
      </c>
      <c r="AC13" s="72"/>
      <c r="AD13" s="72">
        <f t="shared" si="9"/>
        <v>101788.7</v>
      </c>
      <c r="AE13" s="72">
        <f t="shared" si="10"/>
        <v>35189.955731302456</v>
      </c>
      <c r="AF13" s="79">
        <f t="shared" si="11"/>
        <v>1081304.25</v>
      </c>
      <c r="AG13" s="79">
        <f t="shared" si="12"/>
        <v>1138215</v>
      </c>
    </row>
    <row r="14" spans="1:33" x14ac:dyDescent="0.2">
      <c r="A14" s="150" t="s">
        <v>133</v>
      </c>
      <c r="B14" s="18" t="s">
        <v>134</v>
      </c>
      <c r="D14" s="48">
        <v>3</v>
      </c>
      <c r="E14" s="57">
        <v>20605</v>
      </c>
      <c r="F14" s="19">
        <v>0.05</v>
      </c>
      <c r="G14" s="13">
        <v>0</v>
      </c>
      <c r="H14" s="48">
        <f>D14*E14</f>
        <v>61815</v>
      </c>
      <c r="I14" s="48">
        <f t="shared" si="1"/>
        <v>61815</v>
      </c>
      <c r="J14" s="44">
        <f t="shared" si="2"/>
        <v>58724.25</v>
      </c>
      <c r="K14" s="57">
        <v>-936</v>
      </c>
      <c r="L14" s="44">
        <v>-2808</v>
      </c>
      <c r="M14" s="48">
        <f t="shared" si="3"/>
        <v>-2808</v>
      </c>
      <c r="N14" s="48">
        <f t="shared" si="4"/>
        <v>-2667.6</v>
      </c>
      <c r="O14" s="91">
        <v>0</v>
      </c>
      <c r="P14" s="44">
        <v>0</v>
      </c>
      <c r="Q14" s="48">
        <f t="shared" si="5"/>
        <v>0</v>
      </c>
      <c r="R14" s="44">
        <f t="shared" si="6"/>
        <v>0</v>
      </c>
      <c r="S14" s="7">
        <v>15</v>
      </c>
      <c r="T14" s="3" t="s">
        <v>201</v>
      </c>
      <c r="U14" s="68">
        <f>SUMIF('Avoided Costs 2013-2021'!$A:$A,'2013 Actuals'!T14&amp;'2013 Actuals'!S14,'Avoided Costs 2013-2021'!$E:$E)*J14</f>
        <v>131240.62720199602</v>
      </c>
      <c r="V14" s="68">
        <f>SUMIF('Avoided Costs 2013-2021'!$A:$A,'2013 Actuals'!T14&amp;'2013 Actuals'!S14,'Avoided Costs 2013-2021'!$K:$K)*N14</f>
        <v>-2792.6935512968048</v>
      </c>
      <c r="W14" s="68">
        <f>SUMIF('Avoided Costs 2013-2021'!$A:$A,'2013 Actuals'!T14&amp;'2013 Actuals'!S14,'Avoided Costs 2013-2021'!$M:$M)*R14</f>
        <v>0</v>
      </c>
      <c r="X14" s="68">
        <f t="shared" si="7"/>
        <v>128447.93365069921</v>
      </c>
      <c r="Y14" s="82">
        <v>10170</v>
      </c>
      <c r="Z14" s="72">
        <f t="shared" si="8"/>
        <v>28984.5</v>
      </c>
      <c r="AC14" s="72"/>
      <c r="AD14" s="72">
        <f t="shared" si="9"/>
        <v>28984.5</v>
      </c>
      <c r="AE14" s="72">
        <f t="shared" si="10"/>
        <v>99463.433650699211</v>
      </c>
      <c r="AF14" s="79">
        <f t="shared" si="11"/>
        <v>880863.75</v>
      </c>
      <c r="AG14" s="79">
        <f t="shared" si="12"/>
        <v>927225</v>
      </c>
    </row>
    <row r="15" spans="1:33" x14ac:dyDescent="0.2">
      <c r="A15" s="150" t="s">
        <v>145</v>
      </c>
      <c r="B15" s="18" t="s">
        <v>78</v>
      </c>
      <c r="D15" s="48">
        <v>27</v>
      </c>
      <c r="E15" s="57">
        <f>H15/D15</f>
        <v>2172.6666666666665</v>
      </c>
      <c r="F15" s="19">
        <v>0.05</v>
      </c>
      <c r="G15" s="13">
        <v>0</v>
      </c>
      <c r="H15" s="48">
        <v>58662</v>
      </c>
      <c r="I15" s="48">
        <f>H15</f>
        <v>58662</v>
      </c>
      <c r="J15" s="44">
        <f t="shared" si="2"/>
        <v>55728.899999999987</v>
      </c>
      <c r="L15" s="44">
        <v>0</v>
      </c>
      <c r="M15" s="48">
        <f t="shared" si="3"/>
        <v>0</v>
      </c>
      <c r="N15" s="48">
        <f t="shared" si="4"/>
        <v>0</v>
      </c>
      <c r="P15" s="44">
        <v>0</v>
      </c>
      <c r="Q15" s="48">
        <f t="shared" si="5"/>
        <v>0</v>
      </c>
      <c r="R15" s="44">
        <f t="shared" si="6"/>
        <v>0</v>
      </c>
      <c r="S15" s="7">
        <v>25</v>
      </c>
      <c r="T15" s="3" t="s">
        <v>201</v>
      </c>
      <c r="U15" s="68">
        <f>SUMIF('Avoided Costs 2013-2021'!$A:$A,'2013 Actuals'!T15&amp;'2013 Actuals'!S15,'Avoided Costs 2013-2021'!$E:$E)*J15</f>
        <v>174829.50886955799</v>
      </c>
      <c r="V15" s="68">
        <f>SUMIF('Avoided Costs 2013-2021'!$A:$A,'2013 Actuals'!T15&amp;'2013 Actuals'!S15,'Avoided Costs 2013-2021'!$K:$K)*N15</f>
        <v>0</v>
      </c>
      <c r="W15" s="68">
        <f>SUMIF('Avoided Costs 2013-2021'!$A:$A,'2013 Actuals'!T15&amp;'2013 Actuals'!S15,'Avoided Costs 2013-2021'!$M:$M)*R15</f>
        <v>0</v>
      </c>
      <c r="X15" s="68">
        <f t="shared" si="7"/>
        <v>174829.50886955799</v>
      </c>
      <c r="Y15" s="82">
        <v>4247.727272727273</v>
      </c>
      <c r="Z15" s="72">
        <f t="shared" si="8"/>
        <v>108954.20454545454</v>
      </c>
      <c r="AC15" s="72"/>
      <c r="AD15" s="72">
        <f t="shared" si="9"/>
        <v>108954.20454545454</v>
      </c>
      <c r="AE15" s="72">
        <f t="shared" si="10"/>
        <v>65875.304324103447</v>
      </c>
      <c r="AF15" s="79">
        <f t="shared" si="11"/>
        <v>1393222.4999999998</v>
      </c>
      <c r="AG15" s="79">
        <f t="shared" si="12"/>
        <v>1466550</v>
      </c>
    </row>
    <row r="16" spans="1:33" x14ac:dyDescent="0.2">
      <c r="A16" s="150" t="s">
        <v>146</v>
      </c>
      <c r="B16" s="18" t="s">
        <v>78</v>
      </c>
      <c r="D16" s="48">
        <v>32</v>
      </c>
      <c r="E16" s="57">
        <f>H16/D16</f>
        <v>2438.15625</v>
      </c>
      <c r="F16" s="19">
        <v>0.05</v>
      </c>
      <c r="G16" s="13">
        <v>0</v>
      </c>
      <c r="H16" s="48">
        <v>78021</v>
      </c>
      <c r="I16" s="48">
        <f t="shared" si="1"/>
        <v>78021</v>
      </c>
      <c r="J16" s="44">
        <f t="shared" si="2"/>
        <v>74119.95</v>
      </c>
      <c r="L16" s="44">
        <v>0</v>
      </c>
      <c r="M16" s="48">
        <f t="shared" si="3"/>
        <v>0</v>
      </c>
      <c r="N16" s="48">
        <f>(K16*D16)*(1-F16)*(1-G16)</f>
        <v>0</v>
      </c>
      <c r="O16" s="91">
        <f>P16/D16</f>
        <v>186.5</v>
      </c>
      <c r="P16" s="44">
        <v>5968</v>
      </c>
      <c r="Q16" s="48">
        <f t="shared" si="5"/>
        <v>5968</v>
      </c>
      <c r="R16" s="44">
        <f t="shared" si="6"/>
        <v>5669.5999999999995</v>
      </c>
      <c r="S16" s="7">
        <v>25</v>
      </c>
      <c r="T16" s="3" t="s">
        <v>217</v>
      </c>
      <c r="U16" s="68">
        <f>SUMIF('Avoided Costs 2013-2021'!$A:$A,'2013 Actuals'!T16&amp;'2013 Actuals'!S16,'Avoided Costs 2013-2021'!$E:$E)*J16</f>
        <v>218214.38458411279</v>
      </c>
      <c r="V16" s="68">
        <f>SUMIF('Avoided Costs 2013-2021'!$A:$A,'2013 Actuals'!T16&amp;'2013 Actuals'!S16,'Avoided Costs 2013-2021'!$K:$K)*N16</f>
        <v>0</v>
      </c>
      <c r="W16" s="68">
        <f>SUMIF('Avoided Costs 2013-2021'!$A:$A,'2013 Actuals'!T16&amp;'2013 Actuals'!S16,'Avoided Costs 2013-2021'!$M:$M)*R16</f>
        <v>206449.47615397876</v>
      </c>
      <c r="X16" s="68">
        <f t="shared" si="7"/>
        <v>424663.86073809152</v>
      </c>
      <c r="Y16" s="82">
        <v>3577.516129032258</v>
      </c>
      <c r="Z16" s="72">
        <f t="shared" si="8"/>
        <v>108756.49032258063</v>
      </c>
      <c r="AC16" s="72"/>
      <c r="AD16" s="72">
        <f t="shared" si="9"/>
        <v>108756.49032258063</v>
      </c>
      <c r="AE16" s="72">
        <f t="shared" si="10"/>
        <v>315907.3704155109</v>
      </c>
      <c r="AF16" s="79">
        <f t="shared" si="11"/>
        <v>1852998.75</v>
      </c>
      <c r="AG16" s="79">
        <f t="shared" si="12"/>
        <v>1950525</v>
      </c>
    </row>
    <row r="17" spans="1:33" x14ac:dyDescent="0.2">
      <c r="A17" s="150" t="s">
        <v>1200</v>
      </c>
      <c r="B17" s="18" t="s">
        <v>1201</v>
      </c>
      <c r="D17" s="48">
        <v>8</v>
      </c>
      <c r="E17" s="57">
        <f t="shared" ref="E17:E19" si="13">H17/D17</f>
        <v>332</v>
      </c>
      <c r="F17" s="12">
        <v>0.05</v>
      </c>
      <c r="G17" s="13">
        <v>0</v>
      </c>
      <c r="H17" s="48">
        <v>2656</v>
      </c>
      <c r="I17" s="48">
        <f t="shared" si="1"/>
        <v>2656</v>
      </c>
      <c r="J17" s="44">
        <f t="shared" si="2"/>
        <v>2523.1999999999998</v>
      </c>
      <c r="L17" s="44"/>
      <c r="M17" s="48">
        <f t="shared" si="3"/>
        <v>0</v>
      </c>
      <c r="N17" s="48">
        <f t="shared" si="4"/>
        <v>0</v>
      </c>
      <c r="P17" s="44"/>
      <c r="Q17" s="48">
        <f t="shared" si="5"/>
        <v>0</v>
      </c>
      <c r="R17" s="44">
        <f t="shared" si="6"/>
        <v>0</v>
      </c>
      <c r="S17" s="7">
        <v>13</v>
      </c>
      <c r="T17" s="3" t="s">
        <v>217</v>
      </c>
      <c r="U17" s="68">
        <f>SUMIF('Avoided Costs 2013-2021'!$A:$A,'2013 Actuals'!T17&amp;'2013 Actuals'!S17,'Avoided Costs 2013-2021'!$E:$E)*J17</f>
        <v>4729.153007593035</v>
      </c>
      <c r="V17" s="68">
        <f>SUMIF('Avoided Costs 2013-2021'!$A:$A,'2013 Actuals'!T17&amp;'2013 Actuals'!S17,'Avoided Costs 2013-2021'!$K:$K)*N17</f>
        <v>0</v>
      </c>
      <c r="W17" s="68">
        <f>SUMIF('Avoided Costs 2013-2021'!$A:$A,'2013 Actuals'!T17&amp;'2013 Actuals'!S17,'Avoided Costs 2013-2021'!$M:$M)*R17</f>
        <v>0</v>
      </c>
      <c r="X17" s="68">
        <f t="shared" si="7"/>
        <v>4729.153007593035</v>
      </c>
      <c r="Y17" s="82">
        <v>2320</v>
      </c>
      <c r="Z17" s="72">
        <f t="shared" si="8"/>
        <v>17632</v>
      </c>
      <c r="AC17" s="72"/>
      <c r="AD17" s="72">
        <f t="shared" si="9"/>
        <v>17632</v>
      </c>
      <c r="AE17" s="72">
        <f t="shared" si="10"/>
        <v>-12902.846992406965</v>
      </c>
      <c r="AF17" s="79">
        <f t="shared" si="11"/>
        <v>32801.599999999999</v>
      </c>
      <c r="AG17" s="79">
        <f t="shared" si="12"/>
        <v>34528</v>
      </c>
    </row>
    <row r="18" spans="1:33" x14ac:dyDescent="0.2">
      <c r="A18" s="150" t="s">
        <v>1202</v>
      </c>
      <c r="B18" s="18" t="s">
        <v>1203</v>
      </c>
      <c r="D18" s="48">
        <v>9</v>
      </c>
      <c r="E18" s="57">
        <f t="shared" si="13"/>
        <v>1551</v>
      </c>
      <c r="F18" s="12">
        <v>0.05</v>
      </c>
      <c r="G18" s="13">
        <v>0</v>
      </c>
      <c r="H18" s="48">
        <v>13959</v>
      </c>
      <c r="I18" s="48">
        <f t="shared" si="1"/>
        <v>13959</v>
      </c>
      <c r="J18" s="44">
        <f t="shared" si="2"/>
        <v>13261.05</v>
      </c>
      <c r="L18" s="44"/>
      <c r="M18" s="48">
        <f t="shared" si="3"/>
        <v>0</v>
      </c>
      <c r="N18" s="48">
        <f t="shared" si="4"/>
        <v>0</v>
      </c>
      <c r="P18" s="44"/>
      <c r="Q18" s="48">
        <f t="shared" si="5"/>
        <v>0</v>
      </c>
      <c r="R18" s="44">
        <f t="shared" si="6"/>
        <v>0</v>
      </c>
      <c r="S18" s="7">
        <v>13</v>
      </c>
      <c r="T18" s="3" t="s">
        <v>217</v>
      </c>
      <c r="U18" s="68">
        <f>SUMIF('Avoided Costs 2013-2021'!$A:$A,'2013 Actuals'!T18&amp;'2013 Actuals'!S18,'Avoided Costs 2013-2021'!$E:$E)*J18</f>
        <v>24854.761608806919</v>
      </c>
      <c r="V18" s="68">
        <f>SUMIF('Avoided Costs 2013-2021'!$A:$A,'2013 Actuals'!T18&amp;'2013 Actuals'!S18,'Avoided Costs 2013-2021'!$K:$K)*N18</f>
        <v>0</v>
      </c>
      <c r="W18" s="68">
        <f>SUMIF('Avoided Costs 2013-2021'!$A:$A,'2013 Actuals'!T18&amp;'2013 Actuals'!S18,'Avoided Costs 2013-2021'!$M:$M)*R18</f>
        <v>0</v>
      </c>
      <c r="X18" s="68">
        <f t="shared" si="7"/>
        <v>24854.761608806919</v>
      </c>
      <c r="Y18" s="82">
        <v>2320</v>
      </c>
      <c r="Z18" s="72">
        <f t="shared" si="8"/>
        <v>19836</v>
      </c>
      <c r="AC18" s="72"/>
      <c r="AD18" s="72">
        <f t="shared" si="9"/>
        <v>19836</v>
      </c>
      <c r="AE18" s="72">
        <f t="shared" si="10"/>
        <v>5018.761608806919</v>
      </c>
      <c r="AF18" s="79">
        <f t="shared" si="11"/>
        <v>172393.65</v>
      </c>
      <c r="AG18" s="79">
        <f t="shared" si="12"/>
        <v>181467</v>
      </c>
    </row>
    <row r="19" spans="1:33" x14ac:dyDescent="0.2">
      <c r="A19" s="150" t="s">
        <v>1204</v>
      </c>
      <c r="B19" s="18" t="s">
        <v>1205</v>
      </c>
      <c r="D19" s="48">
        <v>1</v>
      </c>
      <c r="E19" s="57">
        <f t="shared" si="13"/>
        <v>873</v>
      </c>
      <c r="F19" s="12">
        <v>0.05</v>
      </c>
      <c r="G19" s="13">
        <v>0</v>
      </c>
      <c r="H19" s="48">
        <v>873</v>
      </c>
      <c r="I19" s="48">
        <f t="shared" si="1"/>
        <v>873</v>
      </c>
      <c r="J19" s="44">
        <f t="shared" si="2"/>
        <v>829.34999999999991</v>
      </c>
      <c r="L19" s="44"/>
      <c r="M19" s="48">
        <f t="shared" si="3"/>
        <v>0</v>
      </c>
      <c r="N19" s="48">
        <f t="shared" si="4"/>
        <v>0</v>
      </c>
      <c r="P19" s="44"/>
      <c r="Q19" s="48">
        <f t="shared" si="5"/>
        <v>0</v>
      </c>
      <c r="R19" s="44">
        <f t="shared" si="6"/>
        <v>0</v>
      </c>
      <c r="S19" s="7">
        <v>13</v>
      </c>
      <c r="T19" s="3" t="s">
        <v>217</v>
      </c>
      <c r="U19" s="68">
        <f>SUMIF('Avoided Costs 2013-2021'!$A:$A,'2013 Actuals'!T19&amp;'2013 Actuals'!S19,'Avoided Costs 2013-2021'!$E:$E)*J19</f>
        <v>1554.4241625108132</v>
      </c>
      <c r="V19" s="68">
        <f>SUMIF('Avoided Costs 2013-2021'!$A:$A,'2013 Actuals'!T19&amp;'2013 Actuals'!S19,'Avoided Costs 2013-2021'!$K:$K)*N19</f>
        <v>0</v>
      </c>
      <c r="W19" s="68">
        <f>SUMIF('Avoided Costs 2013-2021'!$A:$A,'2013 Actuals'!T19&amp;'2013 Actuals'!S19,'Avoided Costs 2013-2021'!$M:$M)*R19</f>
        <v>0</v>
      </c>
      <c r="X19" s="68">
        <f t="shared" si="7"/>
        <v>1554.4241625108132</v>
      </c>
      <c r="Y19" s="82">
        <v>2320</v>
      </c>
      <c r="Z19" s="72">
        <f t="shared" si="8"/>
        <v>2204</v>
      </c>
      <c r="AC19" s="72"/>
      <c r="AD19" s="72">
        <f t="shared" si="9"/>
        <v>2204</v>
      </c>
      <c r="AE19" s="72">
        <f t="shared" si="10"/>
        <v>-649.57583748918682</v>
      </c>
      <c r="AF19" s="79">
        <f t="shared" si="11"/>
        <v>10781.55</v>
      </c>
      <c r="AG19" s="79">
        <f t="shared" si="12"/>
        <v>11349</v>
      </c>
    </row>
    <row r="20" spans="1:33" x14ac:dyDescent="0.2">
      <c r="A20" s="150" t="s">
        <v>136</v>
      </c>
      <c r="B20" s="2" t="s">
        <v>137</v>
      </c>
      <c r="D20" s="48">
        <v>24</v>
      </c>
      <c r="E20" s="57">
        <v>4801</v>
      </c>
      <c r="F20" s="14">
        <v>0.05</v>
      </c>
      <c r="G20" s="13">
        <v>0</v>
      </c>
      <c r="H20" s="48">
        <f>D20*E20</f>
        <v>115224</v>
      </c>
      <c r="I20" s="48">
        <f t="shared" si="1"/>
        <v>115224</v>
      </c>
      <c r="J20" s="44">
        <f t="shared" si="2"/>
        <v>109462.79999999999</v>
      </c>
      <c r="K20" s="57">
        <v>13521</v>
      </c>
      <c r="L20" s="44">
        <v>283941</v>
      </c>
      <c r="M20" s="48">
        <f t="shared" si="3"/>
        <v>283941</v>
      </c>
      <c r="N20" s="48">
        <f t="shared" si="4"/>
        <v>308278.8</v>
      </c>
      <c r="O20" s="91">
        <v>0</v>
      </c>
      <c r="P20" s="44">
        <v>0</v>
      </c>
      <c r="Q20" s="48">
        <f t="shared" si="5"/>
        <v>0</v>
      </c>
      <c r="R20" s="44">
        <f t="shared" si="6"/>
        <v>0</v>
      </c>
      <c r="S20" s="7">
        <v>15</v>
      </c>
      <c r="T20" s="3" t="s">
        <v>201</v>
      </c>
      <c r="U20" s="68">
        <f>SUMIF('Avoided Costs 2013-2021'!$A:$A,'2013 Actuals'!T20&amp;'2013 Actuals'!S20,'Avoided Costs 2013-2021'!$E:$E)*J20</f>
        <v>244634.3125248368</v>
      </c>
      <c r="V20" s="68">
        <f>SUMIF('Avoided Costs 2013-2021'!$A:$A,'2013 Actuals'!T20&amp;'2013 Actuals'!S20,'Avoided Costs 2013-2021'!$K:$K)*N20</f>
        <v>322735.12399217178</v>
      </c>
      <c r="W20" s="68">
        <f>SUMIF('Avoided Costs 2013-2021'!$A:$A,'2013 Actuals'!T20&amp;'2013 Actuals'!S20,'Avoided Costs 2013-2021'!$M:$M)*R20</f>
        <v>0</v>
      </c>
      <c r="X20" s="68">
        <f t="shared" si="7"/>
        <v>567369.43651700858</v>
      </c>
      <c r="Y20" s="82">
        <v>10000</v>
      </c>
      <c r="Z20" s="72">
        <f t="shared" si="8"/>
        <v>228000</v>
      </c>
      <c r="AC20" s="72"/>
      <c r="AD20" s="72">
        <f t="shared" si="9"/>
        <v>228000</v>
      </c>
      <c r="AE20" s="72">
        <f t="shared" si="10"/>
        <v>339369.43651700858</v>
      </c>
      <c r="AF20" s="79">
        <f t="shared" si="11"/>
        <v>1641941.9999999998</v>
      </c>
      <c r="AG20" s="79">
        <f t="shared" si="12"/>
        <v>1728360</v>
      </c>
    </row>
    <row r="21" spans="1:33" x14ac:dyDescent="0.2">
      <c r="A21" s="150" t="s">
        <v>138</v>
      </c>
      <c r="B21" s="2" t="s">
        <v>139</v>
      </c>
      <c r="D21" s="48">
        <v>30</v>
      </c>
      <c r="E21" s="57">
        <v>11486</v>
      </c>
      <c r="F21" s="14">
        <v>0.05</v>
      </c>
      <c r="G21" s="13">
        <v>0</v>
      </c>
      <c r="H21" s="48">
        <f>D21*E21</f>
        <v>344580</v>
      </c>
      <c r="I21" s="48">
        <f t="shared" si="1"/>
        <v>344580</v>
      </c>
      <c r="J21" s="44">
        <f t="shared" si="2"/>
        <v>327351</v>
      </c>
      <c r="K21" s="57">
        <v>30901</v>
      </c>
      <c r="L21" s="44">
        <v>927030</v>
      </c>
      <c r="M21" s="48">
        <f t="shared" si="3"/>
        <v>927030</v>
      </c>
      <c r="N21" s="48">
        <f t="shared" si="4"/>
        <v>880678.5</v>
      </c>
      <c r="O21" s="91">
        <v>0</v>
      </c>
      <c r="P21" s="44">
        <v>0</v>
      </c>
      <c r="Q21" s="48">
        <f t="shared" si="5"/>
        <v>0</v>
      </c>
      <c r="R21" s="44">
        <f t="shared" si="6"/>
        <v>0</v>
      </c>
      <c r="S21" s="7">
        <v>15</v>
      </c>
      <c r="T21" s="3" t="s">
        <v>201</v>
      </c>
      <c r="U21" s="68">
        <f>SUMIF('Avoided Costs 2013-2021'!$A:$A,'2013 Actuals'!T21&amp;'2013 Actuals'!S21,'Avoided Costs 2013-2021'!$E:$E)*J21</f>
        <v>731584.49116337113</v>
      </c>
      <c r="V21" s="68">
        <f>SUMIF('Avoided Costs 2013-2021'!$A:$A,'2013 Actuals'!T21&amp;'2013 Actuals'!S21,'Avoided Costs 2013-2021'!$K:$K)*N21</f>
        <v>921976.74603229249</v>
      </c>
      <c r="W21" s="68">
        <f>SUMIF('Avoided Costs 2013-2021'!$A:$A,'2013 Actuals'!T21&amp;'2013 Actuals'!S21,'Avoided Costs 2013-2021'!$M:$M)*R21</f>
        <v>0</v>
      </c>
      <c r="X21" s="68">
        <f t="shared" si="7"/>
        <v>1653561.2371956636</v>
      </c>
      <c r="Y21" s="82">
        <v>15000</v>
      </c>
      <c r="Z21" s="72">
        <f t="shared" si="8"/>
        <v>427500</v>
      </c>
      <c r="AC21" s="72"/>
      <c r="AD21" s="72">
        <f t="shared" si="9"/>
        <v>427500</v>
      </c>
      <c r="AE21" s="72">
        <f t="shared" si="10"/>
        <v>1226061.2371956636</v>
      </c>
      <c r="AF21" s="79">
        <f t="shared" si="11"/>
        <v>4910265</v>
      </c>
      <c r="AG21" s="79">
        <f t="shared" si="12"/>
        <v>5168700</v>
      </c>
    </row>
    <row r="22" spans="1:33" x14ac:dyDescent="0.2">
      <c r="A22" s="150" t="s">
        <v>140</v>
      </c>
      <c r="B22" s="2" t="s">
        <v>141</v>
      </c>
      <c r="D22" s="48">
        <v>7</v>
      </c>
      <c r="E22" s="57">
        <v>18924</v>
      </c>
      <c r="F22" s="14">
        <v>0.05</v>
      </c>
      <c r="G22" s="13">
        <v>0</v>
      </c>
      <c r="H22" s="48">
        <f>D22*E22</f>
        <v>132468</v>
      </c>
      <c r="I22" s="48">
        <f t="shared" si="1"/>
        <v>132468</v>
      </c>
      <c r="J22" s="44">
        <f t="shared" si="2"/>
        <v>125844.59999999999</v>
      </c>
      <c r="K22" s="57">
        <v>49102</v>
      </c>
      <c r="L22" s="44">
        <v>343714</v>
      </c>
      <c r="M22" s="48">
        <f t="shared" si="3"/>
        <v>343714</v>
      </c>
      <c r="N22" s="48">
        <f t="shared" si="4"/>
        <v>326528.3</v>
      </c>
      <c r="O22" s="91">
        <v>0</v>
      </c>
      <c r="P22" s="44">
        <v>0</v>
      </c>
      <c r="Q22" s="48">
        <f t="shared" si="5"/>
        <v>0</v>
      </c>
      <c r="R22" s="44">
        <f t="shared" si="6"/>
        <v>0</v>
      </c>
      <c r="S22" s="7">
        <v>15</v>
      </c>
      <c r="T22" s="3" t="s">
        <v>201</v>
      </c>
      <c r="U22" s="68">
        <f>SUMIF('Avoided Costs 2013-2021'!$A:$A,'2013 Actuals'!T22&amp;'2013 Actuals'!S22,'Avoided Costs 2013-2021'!$E:$E)*J22</f>
        <v>281245.38387436717</v>
      </c>
      <c r="V22" s="68">
        <f>SUMIF('Avoided Costs 2013-2021'!$A:$A,'2013 Actuals'!T22&amp;'2013 Actuals'!S22,'Avoided Costs 2013-2021'!$K:$K)*N22</f>
        <v>341840.41000371438</v>
      </c>
      <c r="W22" s="68">
        <f>SUMIF('Avoided Costs 2013-2021'!$A:$A,'2013 Actuals'!T22&amp;'2013 Actuals'!S22,'Avoided Costs 2013-2021'!$M:$M)*R22</f>
        <v>0</v>
      </c>
      <c r="X22" s="68">
        <f t="shared" si="7"/>
        <v>623085.79387808149</v>
      </c>
      <c r="Y22" s="82">
        <v>20000</v>
      </c>
      <c r="Z22" s="72">
        <f t="shared" si="8"/>
        <v>133000</v>
      </c>
      <c r="AC22" s="72"/>
      <c r="AD22" s="72">
        <f t="shared" si="9"/>
        <v>133000</v>
      </c>
      <c r="AE22" s="72">
        <f t="shared" si="10"/>
        <v>490085.79387808149</v>
      </c>
      <c r="AF22" s="79">
        <f t="shared" si="11"/>
        <v>1887668.9999999998</v>
      </c>
      <c r="AG22" s="79">
        <f t="shared" si="12"/>
        <v>1987020</v>
      </c>
    </row>
    <row r="23" spans="1:33" x14ac:dyDescent="0.2">
      <c r="A23" s="150" t="s">
        <v>147</v>
      </c>
      <c r="B23" s="2" t="s">
        <v>35</v>
      </c>
      <c r="D23" s="48">
        <v>55</v>
      </c>
      <c r="E23" s="57">
        <f>H23/D23</f>
        <v>17447.81818181818</v>
      </c>
      <c r="F23" s="14">
        <v>4.9999999999999996E-2</v>
      </c>
      <c r="G23" s="13">
        <v>0</v>
      </c>
      <c r="H23" s="48">
        <v>959630</v>
      </c>
      <c r="I23" s="48">
        <f t="shared" si="1"/>
        <v>959630</v>
      </c>
      <c r="J23" s="44">
        <f t="shared" si="2"/>
        <v>911648.49999999988</v>
      </c>
      <c r="K23" s="57">
        <f>L23/D23</f>
        <v>659.12727272727273</v>
      </c>
      <c r="L23" s="44">
        <v>36252</v>
      </c>
      <c r="M23" s="48">
        <f t="shared" si="3"/>
        <v>36252</v>
      </c>
      <c r="N23" s="48">
        <f t="shared" si="4"/>
        <v>34439.4</v>
      </c>
      <c r="P23" s="44">
        <v>0</v>
      </c>
      <c r="Q23" s="48">
        <f t="shared" si="5"/>
        <v>0</v>
      </c>
      <c r="R23" s="44">
        <f t="shared" si="6"/>
        <v>0</v>
      </c>
      <c r="S23" s="7">
        <v>14</v>
      </c>
      <c r="T23" s="20" t="s">
        <v>201</v>
      </c>
      <c r="U23" s="68">
        <f>SUMIF('Avoided Costs 2013-2021'!$A:$A,'2013 Actuals'!T23&amp;'2013 Actuals'!S23,'Avoided Costs 2013-2021'!$E:$E)*J23</f>
        <v>1931390.0936618217</v>
      </c>
      <c r="V23" s="68">
        <f>SUMIF('Avoided Costs 2013-2021'!$A:$A,'2013 Actuals'!T23&amp;'2013 Actuals'!S23,'Avoided Costs 2013-2021'!$K:$K)*N23</f>
        <v>34370.755189322081</v>
      </c>
      <c r="W23" s="68">
        <f>SUMIF('Avoided Costs 2013-2021'!$A:$A,'2013 Actuals'!T23&amp;'2013 Actuals'!S23,'Avoided Costs 2013-2021'!$M:$M)*R23</f>
        <v>0</v>
      </c>
      <c r="X23" s="68">
        <f t="shared" si="7"/>
        <v>1965760.8488511438</v>
      </c>
      <c r="Y23" s="82">
        <v>18949.860434782604</v>
      </c>
      <c r="Z23" s="72">
        <f t="shared" si="8"/>
        <v>990130.20771739108</v>
      </c>
      <c r="AC23" s="72"/>
      <c r="AD23" s="72">
        <f t="shared" si="9"/>
        <v>990130.20771739108</v>
      </c>
      <c r="AE23" s="72">
        <f t="shared" si="10"/>
        <v>975630.64113375277</v>
      </c>
      <c r="AF23" s="79">
        <f t="shared" si="11"/>
        <v>12763078.999999998</v>
      </c>
      <c r="AG23" s="79">
        <f t="shared" si="12"/>
        <v>13434820</v>
      </c>
    </row>
    <row r="24" spans="1:33" x14ac:dyDescent="0.2">
      <c r="A24" s="150" t="s">
        <v>144</v>
      </c>
      <c r="B24" s="2" t="s">
        <v>83</v>
      </c>
      <c r="D24" s="48">
        <v>54</v>
      </c>
      <c r="E24" s="57">
        <f>H24/D24</f>
        <v>26306.425925925927</v>
      </c>
      <c r="F24" s="14">
        <v>8.0000000000000043E-2</v>
      </c>
      <c r="G24" s="13">
        <v>0</v>
      </c>
      <c r="H24" s="48">
        <v>1420547</v>
      </c>
      <c r="I24" s="48">
        <f t="shared" si="1"/>
        <v>1420547</v>
      </c>
      <c r="J24" s="44">
        <f t="shared" si="2"/>
        <v>1306903.24</v>
      </c>
      <c r="K24" s="57">
        <f>L24/D24</f>
        <v>1609.6111111111111</v>
      </c>
      <c r="L24" s="44">
        <v>86919</v>
      </c>
      <c r="M24" s="48">
        <f t="shared" si="3"/>
        <v>86919</v>
      </c>
      <c r="N24" s="48">
        <f t="shared" si="4"/>
        <v>79965.48</v>
      </c>
      <c r="O24" s="91">
        <f>P24/D24</f>
        <v>1474.537037037037</v>
      </c>
      <c r="P24" s="44">
        <v>79625</v>
      </c>
      <c r="Q24" s="48">
        <f t="shared" si="5"/>
        <v>79625</v>
      </c>
      <c r="R24" s="44">
        <f t="shared" si="6"/>
        <v>73255</v>
      </c>
      <c r="S24" s="7">
        <v>15</v>
      </c>
      <c r="T24" s="20" t="s">
        <v>217</v>
      </c>
      <c r="U24" s="68">
        <f>SUMIF('Avoided Costs 2013-2021'!$A:$A,'2013 Actuals'!T24&amp;'2013 Actuals'!S24,'Avoided Costs 2013-2021'!$E:$E)*J24</f>
        <v>2741584.7374215005</v>
      </c>
      <c r="V24" s="68">
        <f>SUMIF('Avoided Costs 2013-2021'!$A:$A,'2013 Actuals'!T24&amp;'2013 Actuals'!S24,'Avoided Costs 2013-2021'!$K:$K)*N24</f>
        <v>83715.354746721263</v>
      </c>
      <c r="W24" s="68">
        <f>SUMIF('Avoided Costs 2013-2021'!$A:$A,'2013 Actuals'!T24&amp;'2013 Actuals'!S24,'Avoided Costs 2013-2021'!$M:$M)*R24</f>
        <v>1958177.8125416667</v>
      </c>
      <c r="X24" s="68">
        <f t="shared" si="7"/>
        <v>4783477.9047098886</v>
      </c>
      <c r="Y24" s="82">
        <v>10970</v>
      </c>
      <c r="Z24" s="72">
        <f t="shared" si="8"/>
        <v>544989.6</v>
      </c>
      <c r="AC24" s="72"/>
      <c r="AD24" s="72">
        <f t="shared" si="9"/>
        <v>544989.6</v>
      </c>
      <c r="AE24" s="72">
        <f t="shared" si="10"/>
        <v>4238488.304709889</v>
      </c>
      <c r="AF24" s="79">
        <f t="shared" si="11"/>
        <v>19603548.600000001</v>
      </c>
      <c r="AG24" s="79">
        <f t="shared" si="12"/>
        <v>21308205</v>
      </c>
    </row>
    <row r="25" spans="1:33" x14ac:dyDescent="0.2">
      <c r="A25" s="150" t="s">
        <v>148</v>
      </c>
      <c r="B25" s="2" t="s">
        <v>87</v>
      </c>
      <c r="D25" s="48">
        <v>6</v>
      </c>
      <c r="E25" s="57">
        <f>H25/D25</f>
        <v>1786</v>
      </c>
      <c r="F25" s="14">
        <v>4.9999999999999996E-2</v>
      </c>
      <c r="G25" s="13">
        <v>0</v>
      </c>
      <c r="H25" s="48">
        <v>10716</v>
      </c>
      <c r="I25" s="48">
        <f t="shared" si="1"/>
        <v>10716</v>
      </c>
      <c r="J25" s="44">
        <f t="shared" si="2"/>
        <v>10180.199999999999</v>
      </c>
      <c r="L25" s="44">
        <v>0</v>
      </c>
      <c r="M25" s="48">
        <f t="shared" si="3"/>
        <v>0</v>
      </c>
      <c r="N25" s="48">
        <f t="shared" si="4"/>
        <v>0</v>
      </c>
      <c r="P25" s="44">
        <v>0</v>
      </c>
      <c r="Q25" s="48">
        <f t="shared" si="5"/>
        <v>0</v>
      </c>
      <c r="R25" s="44">
        <f t="shared" si="6"/>
        <v>0</v>
      </c>
      <c r="S25" s="7">
        <v>25</v>
      </c>
      <c r="T25" s="20" t="s">
        <v>201</v>
      </c>
      <c r="U25" s="68">
        <f>SUMIF('Avoided Costs 2013-2021'!$A:$A,'2013 Actuals'!T25&amp;'2013 Actuals'!S25,'Avoided Costs 2013-2021'!$E:$E)*J25</f>
        <v>31936.73957666264</v>
      </c>
      <c r="V25" s="68">
        <f>SUMIF('Avoided Costs 2013-2021'!$A:$A,'2013 Actuals'!T25&amp;'2013 Actuals'!S25,'Avoided Costs 2013-2021'!$K:$K)*N25</f>
        <v>0</v>
      </c>
      <c r="W25" s="68">
        <f>SUMIF('Avoided Costs 2013-2021'!$A:$A,'2013 Actuals'!T25&amp;'2013 Actuals'!S25,'Avoided Costs 2013-2021'!$M:$M)*R25</f>
        <v>0</v>
      </c>
      <c r="X25" s="68">
        <f t="shared" si="7"/>
        <v>31936.73957666264</v>
      </c>
      <c r="Y25" s="82">
        <v>1941.6666666666667</v>
      </c>
      <c r="Z25" s="72">
        <f t="shared" si="8"/>
        <v>11067.5</v>
      </c>
      <c r="AC25" s="72"/>
      <c r="AD25" s="72">
        <f t="shared" si="9"/>
        <v>11067.5</v>
      </c>
      <c r="AE25" s="72">
        <f t="shared" si="10"/>
        <v>20869.23957666264</v>
      </c>
      <c r="AF25" s="79">
        <f t="shared" si="11"/>
        <v>254504.99999999997</v>
      </c>
      <c r="AG25" s="79">
        <f t="shared" si="12"/>
        <v>267900</v>
      </c>
    </row>
    <row r="26" spans="1:33" x14ac:dyDescent="0.2">
      <c r="A26" s="150" t="s">
        <v>149</v>
      </c>
      <c r="B26" s="2" t="s">
        <v>36</v>
      </c>
      <c r="D26" s="48">
        <v>10</v>
      </c>
      <c r="E26" s="57">
        <f>H26/D26</f>
        <v>7479.7</v>
      </c>
      <c r="F26" s="14">
        <v>0.05</v>
      </c>
      <c r="G26" s="13">
        <v>0</v>
      </c>
      <c r="H26" s="48">
        <v>74797</v>
      </c>
      <c r="I26" s="48">
        <f t="shared" si="1"/>
        <v>74797</v>
      </c>
      <c r="J26" s="44">
        <f t="shared" si="2"/>
        <v>71057.149999999994</v>
      </c>
      <c r="L26" s="44">
        <v>0</v>
      </c>
      <c r="M26" s="48">
        <f t="shared" si="3"/>
        <v>0</v>
      </c>
      <c r="N26" s="48">
        <f t="shared" si="4"/>
        <v>0</v>
      </c>
      <c r="P26" s="44">
        <v>0</v>
      </c>
      <c r="Q26" s="48">
        <f t="shared" si="5"/>
        <v>0</v>
      </c>
      <c r="R26" s="44">
        <f t="shared" si="6"/>
        <v>0</v>
      </c>
      <c r="S26" s="7">
        <v>14</v>
      </c>
      <c r="T26" s="3" t="s">
        <v>201</v>
      </c>
      <c r="U26" s="68">
        <f>SUMIF('Avoided Costs 2013-2021'!$A:$A,'2013 Actuals'!T26&amp;'2013 Actuals'!S26,'Avoided Costs 2013-2021'!$E:$E)*J26</f>
        <v>150539.46295512153</v>
      </c>
      <c r="V26" s="68">
        <f>SUMIF('Avoided Costs 2013-2021'!$A:$A,'2013 Actuals'!T26&amp;'2013 Actuals'!S26,'Avoided Costs 2013-2021'!$K:$K)*N26</f>
        <v>0</v>
      </c>
      <c r="W26" s="68">
        <f>SUMIF('Avoided Costs 2013-2021'!$A:$A,'2013 Actuals'!T26&amp;'2013 Actuals'!S26,'Avoided Costs 2013-2021'!$M:$M)*R26</f>
        <v>0</v>
      </c>
      <c r="X26" s="68">
        <f t="shared" si="7"/>
        <v>150539.46295512153</v>
      </c>
      <c r="Y26" s="82">
        <v>14378.8</v>
      </c>
      <c r="Z26" s="72">
        <f t="shared" si="8"/>
        <v>136598.6</v>
      </c>
      <c r="AC26" s="72"/>
      <c r="AD26" s="72">
        <f t="shared" si="9"/>
        <v>136598.6</v>
      </c>
      <c r="AE26" s="72">
        <f t="shared" si="10"/>
        <v>13940.862955121527</v>
      </c>
      <c r="AF26" s="79">
        <f t="shared" si="11"/>
        <v>994800.09999999986</v>
      </c>
      <c r="AG26" s="79">
        <f t="shared" si="12"/>
        <v>1047158</v>
      </c>
    </row>
    <row r="27" spans="1:33" x14ac:dyDescent="0.2">
      <c r="A27" s="150" t="s">
        <v>150</v>
      </c>
      <c r="B27" s="2" t="s">
        <v>37</v>
      </c>
      <c r="D27" s="48">
        <v>401</v>
      </c>
      <c r="E27" s="57">
        <f>H27/D27</f>
        <v>2477.5660847880299</v>
      </c>
      <c r="F27" s="14">
        <v>0.32999999999999891</v>
      </c>
      <c r="G27" s="13">
        <v>0</v>
      </c>
      <c r="H27" s="48">
        <v>993504</v>
      </c>
      <c r="I27" s="48">
        <f t="shared" si="1"/>
        <v>993504</v>
      </c>
      <c r="J27" s="44">
        <f t="shared" si="2"/>
        <v>665647.68000000098</v>
      </c>
      <c r="K27" s="57">
        <f>L27/D27</f>
        <v>459.33167082294267</v>
      </c>
      <c r="L27" s="44">
        <v>184192</v>
      </c>
      <c r="M27" s="48">
        <f t="shared" si="3"/>
        <v>184192</v>
      </c>
      <c r="N27" s="48">
        <f>(K27*D27)*(1-F27)*(1-G27)</f>
        <v>123408.64000000019</v>
      </c>
      <c r="P27" s="44">
        <v>0</v>
      </c>
      <c r="Q27" s="48">
        <f t="shared" si="5"/>
        <v>0</v>
      </c>
      <c r="R27" s="44">
        <f t="shared" si="6"/>
        <v>0</v>
      </c>
      <c r="S27" s="7">
        <v>20</v>
      </c>
      <c r="T27" s="3" t="s">
        <v>201</v>
      </c>
      <c r="U27" s="68">
        <f>SUMIF('Avoided Costs 2013-2021'!$A:$A,'2013 Actuals'!T27&amp;'2013 Actuals'!S27,'Avoided Costs 2013-2021'!$E:$E)*J27</f>
        <v>1823688.9003981857</v>
      </c>
      <c r="V27" s="68">
        <f>SUMIF('Avoided Costs 2013-2021'!$A:$A,'2013 Actuals'!T27&amp;'2013 Actuals'!S27,'Avoided Costs 2013-2021'!$K:$K)*N27</f>
        <v>155383.58508497107</v>
      </c>
      <c r="W27" s="68">
        <f>SUMIF('Avoided Costs 2013-2021'!$A:$A,'2013 Actuals'!T27&amp;'2013 Actuals'!S27,'Avoided Costs 2013-2021'!$M:$M)*R27</f>
        <v>0</v>
      </c>
      <c r="X27" s="68">
        <f t="shared" si="7"/>
        <v>1979072.4854831567</v>
      </c>
      <c r="Y27" s="82">
        <v>4665.3928571428569</v>
      </c>
      <c r="Z27" s="72">
        <f t="shared" si="8"/>
        <v>1253451.0989285733</v>
      </c>
      <c r="AC27" s="72"/>
      <c r="AD27" s="72">
        <f t="shared" si="9"/>
        <v>1253451.0989285733</v>
      </c>
      <c r="AE27" s="72">
        <f t="shared" si="10"/>
        <v>725621.38655458344</v>
      </c>
      <c r="AF27" s="79">
        <f t="shared" si="11"/>
        <v>13312953.60000002</v>
      </c>
      <c r="AG27" s="79">
        <f t="shared" si="12"/>
        <v>19870080</v>
      </c>
    </row>
    <row r="28" spans="1:33" x14ac:dyDescent="0.2">
      <c r="A28" s="150" t="s">
        <v>151</v>
      </c>
      <c r="B28" s="2" t="s">
        <v>177</v>
      </c>
      <c r="D28" s="48">
        <v>27</v>
      </c>
      <c r="E28" s="57">
        <v>801</v>
      </c>
      <c r="F28" s="14">
        <v>0.4</v>
      </c>
      <c r="G28" s="13">
        <v>0</v>
      </c>
      <c r="H28" s="48">
        <f t="shared" ref="H28:H35" si="14">D28*E28</f>
        <v>21627</v>
      </c>
      <c r="I28" s="48">
        <f t="shared" si="1"/>
        <v>21627</v>
      </c>
      <c r="J28" s="44">
        <f t="shared" si="2"/>
        <v>12976.199999999999</v>
      </c>
      <c r="K28" s="57">
        <v>3754</v>
      </c>
      <c r="L28" s="44">
        <v>101358</v>
      </c>
      <c r="M28" s="48">
        <f t="shared" si="3"/>
        <v>101358</v>
      </c>
      <c r="N28" s="48">
        <f t="shared" si="4"/>
        <v>60814.799999999996</v>
      </c>
      <c r="O28" s="91">
        <v>112.8</v>
      </c>
      <c r="P28" s="44">
        <v>3046</v>
      </c>
      <c r="Q28" s="48">
        <f t="shared" si="5"/>
        <v>3046</v>
      </c>
      <c r="R28" s="44">
        <f t="shared" si="6"/>
        <v>1827.36</v>
      </c>
      <c r="S28" s="7">
        <v>10</v>
      </c>
      <c r="T28" s="3" t="s">
        <v>217</v>
      </c>
      <c r="U28" s="68">
        <f>SUMIF('Avoided Costs 2013-2021'!$A:$A,'2013 Actuals'!T28&amp;'2013 Actuals'!S28,'Avoided Costs 2013-2021'!$E:$E)*J28</f>
        <v>19415.302182512638</v>
      </c>
      <c r="V28" s="68">
        <f>SUMIF('Avoided Costs 2013-2021'!$A:$A,'2013 Actuals'!T28&amp;'2013 Actuals'!S28,'Avoided Costs 2013-2021'!$K:$K)*N28</f>
        <v>47267.586942637179</v>
      </c>
      <c r="W28" s="68">
        <f>SUMIF('Avoided Costs 2013-2021'!$A:$A,'2013 Actuals'!T28&amp;'2013 Actuals'!S28,'Avoided Costs 2013-2021'!$M:$M)*R28</f>
        <v>36265.238866694381</v>
      </c>
      <c r="X28" s="68">
        <f t="shared" si="7"/>
        <v>102948.1279918442</v>
      </c>
      <c r="Y28" s="82">
        <v>-13</v>
      </c>
      <c r="Z28" s="72">
        <f t="shared" si="8"/>
        <v>-210.6</v>
      </c>
      <c r="AC28" s="72"/>
      <c r="AD28" s="72">
        <f t="shared" si="9"/>
        <v>-210.6</v>
      </c>
      <c r="AE28" s="72">
        <f t="shared" si="10"/>
        <v>103158.72799184421</v>
      </c>
      <c r="AF28" s="79">
        <f t="shared" si="11"/>
        <v>129761.99999999999</v>
      </c>
      <c r="AG28" s="79">
        <f t="shared" si="12"/>
        <v>216270</v>
      </c>
    </row>
    <row r="29" spans="1:33" x14ac:dyDescent="0.2">
      <c r="A29" s="150" t="s">
        <v>152</v>
      </c>
      <c r="B29" s="2" t="s">
        <v>182</v>
      </c>
      <c r="D29" s="48">
        <v>149</v>
      </c>
      <c r="E29" s="57">
        <v>1083</v>
      </c>
      <c r="F29" s="14">
        <v>0.2</v>
      </c>
      <c r="G29" s="13">
        <v>0</v>
      </c>
      <c r="H29" s="48">
        <f t="shared" si="14"/>
        <v>161367</v>
      </c>
      <c r="I29" s="48">
        <f t="shared" si="1"/>
        <v>161367</v>
      </c>
      <c r="J29" s="44">
        <f t="shared" si="2"/>
        <v>129093.6</v>
      </c>
      <c r="K29" s="57">
        <v>17</v>
      </c>
      <c r="L29" s="44">
        <v>2533</v>
      </c>
      <c r="M29" s="48">
        <f t="shared" si="3"/>
        <v>2533</v>
      </c>
      <c r="N29" s="48">
        <f t="shared" si="4"/>
        <v>2026.4</v>
      </c>
      <c r="O29" s="91">
        <v>0</v>
      </c>
      <c r="P29" s="44">
        <v>0</v>
      </c>
      <c r="Q29" s="48">
        <f t="shared" si="5"/>
        <v>0</v>
      </c>
      <c r="R29" s="44">
        <f t="shared" si="6"/>
        <v>0</v>
      </c>
      <c r="S29" s="7">
        <v>12</v>
      </c>
      <c r="T29" s="3" t="s">
        <v>201</v>
      </c>
      <c r="U29" s="68">
        <f>SUMIF('Avoided Costs 2013-2021'!$A:$A,'2013 Actuals'!T29&amp;'2013 Actuals'!S29,'Avoided Costs 2013-2021'!$E:$E)*J29</f>
        <v>241224.29009293279</v>
      </c>
      <c r="V29" s="68">
        <f>SUMIF('Avoided Costs 2013-2021'!$A:$A,'2013 Actuals'!T29&amp;'2013 Actuals'!S29,'Avoided Costs 2013-2021'!$K:$K)*N29</f>
        <v>1809.3912818339163</v>
      </c>
      <c r="W29" s="68">
        <f>SUMIF('Avoided Costs 2013-2021'!$A:$A,'2013 Actuals'!T29&amp;'2013 Actuals'!S29,'Avoided Costs 2013-2021'!$M:$M)*R29</f>
        <v>0</v>
      </c>
      <c r="X29" s="68">
        <f t="shared" si="7"/>
        <v>243033.68137476672</v>
      </c>
      <c r="Y29" s="82">
        <v>1028</v>
      </c>
      <c r="Z29" s="72">
        <f t="shared" si="8"/>
        <v>122537.60000000001</v>
      </c>
      <c r="AC29" s="72"/>
      <c r="AD29" s="72">
        <f t="shared" si="9"/>
        <v>122537.60000000001</v>
      </c>
      <c r="AE29" s="72">
        <f t="shared" si="10"/>
        <v>120496.08137476671</v>
      </c>
      <c r="AF29" s="79">
        <f t="shared" si="11"/>
        <v>1549123.2000000002</v>
      </c>
      <c r="AG29" s="79">
        <f t="shared" si="12"/>
        <v>1936404</v>
      </c>
    </row>
    <row r="30" spans="1:33" x14ac:dyDescent="0.2">
      <c r="A30" s="150" t="s">
        <v>153</v>
      </c>
      <c r="B30" s="2" t="s">
        <v>179</v>
      </c>
      <c r="D30" s="48">
        <v>70</v>
      </c>
      <c r="E30" s="57">
        <v>619</v>
      </c>
      <c r="F30" s="14">
        <v>0.2</v>
      </c>
      <c r="G30" s="13">
        <v>0</v>
      </c>
      <c r="H30" s="48">
        <f t="shared" si="14"/>
        <v>43330</v>
      </c>
      <c r="I30" s="48">
        <f t="shared" si="1"/>
        <v>43330</v>
      </c>
      <c r="J30" s="44">
        <f t="shared" si="2"/>
        <v>34664</v>
      </c>
      <c r="K30" s="57">
        <v>3553</v>
      </c>
      <c r="L30" s="44">
        <v>248710</v>
      </c>
      <c r="M30" s="48">
        <f t="shared" si="3"/>
        <v>248710</v>
      </c>
      <c r="N30" s="48">
        <f t="shared" si="4"/>
        <v>198968</v>
      </c>
      <c r="O30" s="91">
        <v>87.12</v>
      </c>
      <c r="P30" s="44">
        <v>6099</v>
      </c>
      <c r="Q30" s="48">
        <f t="shared" si="5"/>
        <v>6099</v>
      </c>
      <c r="R30" s="44">
        <f t="shared" si="6"/>
        <v>4878.72</v>
      </c>
      <c r="S30" s="7">
        <v>15</v>
      </c>
      <c r="T30" s="3" t="s">
        <v>217</v>
      </c>
      <c r="U30" s="68">
        <f>SUMIF('Avoided Costs 2013-2021'!$A:$A,'2013 Actuals'!T30&amp;'2013 Actuals'!S30,'Avoided Costs 2013-2021'!$E:$E)*J30</f>
        <v>72717.161017964041</v>
      </c>
      <c r="V30" s="68">
        <f>SUMIF('Avoided Costs 2013-2021'!$A:$A,'2013 Actuals'!T30&amp;'2013 Actuals'!S30,'Avoided Costs 2013-2021'!$K:$K)*N30</f>
        <v>208298.3395240751</v>
      </c>
      <c r="W30" s="68">
        <f>SUMIF('Avoided Costs 2013-2021'!$A:$A,'2013 Actuals'!T30&amp;'2013 Actuals'!S30,'Avoided Costs 2013-2021'!$M:$M)*R30</f>
        <v>130412.95826364454</v>
      </c>
      <c r="X30" s="68">
        <f t="shared" si="7"/>
        <v>411428.45880568371</v>
      </c>
      <c r="Y30" s="82">
        <v>-350</v>
      </c>
      <c r="Z30" s="72">
        <f t="shared" si="8"/>
        <v>-19600</v>
      </c>
      <c r="AC30" s="72"/>
      <c r="AD30" s="72">
        <f t="shared" si="9"/>
        <v>-19600</v>
      </c>
      <c r="AE30" s="72">
        <f t="shared" si="10"/>
        <v>431028.45880568371</v>
      </c>
      <c r="AF30" s="79">
        <f t="shared" si="11"/>
        <v>519960</v>
      </c>
      <c r="AG30" s="79">
        <f t="shared" si="12"/>
        <v>649950</v>
      </c>
    </row>
    <row r="31" spans="1:33" x14ac:dyDescent="0.2">
      <c r="A31" s="150" t="s">
        <v>154</v>
      </c>
      <c r="B31" s="2" t="s">
        <v>180</v>
      </c>
      <c r="D31" s="48">
        <v>175</v>
      </c>
      <c r="E31" s="57">
        <v>841</v>
      </c>
      <c r="F31" s="14">
        <v>0.2</v>
      </c>
      <c r="G31" s="13">
        <v>0</v>
      </c>
      <c r="H31" s="48">
        <f t="shared" si="14"/>
        <v>147175</v>
      </c>
      <c r="I31" s="48">
        <f t="shared" si="1"/>
        <v>147175</v>
      </c>
      <c r="J31" s="44">
        <f t="shared" si="2"/>
        <v>117740</v>
      </c>
      <c r="K31" s="57">
        <v>855</v>
      </c>
      <c r="L31" s="44">
        <v>149625</v>
      </c>
      <c r="M31" s="48">
        <f t="shared" si="3"/>
        <v>149625</v>
      </c>
      <c r="N31" s="48">
        <f t="shared" si="4"/>
        <v>119700</v>
      </c>
      <c r="O31" s="91">
        <v>118.37</v>
      </c>
      <c r="P31" s="44">
        <v>20714</v>
      </c>
      <c r="Q31" s="48">
        <f t="shared" si="5"/>
        <v>20714</v>
      </c>
      <c r="R31" s="44">
        <f t="shared" si="6"/>
        <v>16571.8</v>
      </c>
      <c r="S31" s="7">
        <v>15</v>
      </c>
      <c r="T31" s="3" t="s">
        <v>217</v>
      </c>
      <c r="U31" s="68">
        <f>SUMIF('Avoided Costs 2013-2021'!$A:$A,'2013 Actuals'!T31&amp;'2013 Actuals'!S31,'Avoided Costs 2013-2021'!$E:$E)*J31</f>
        <v>246991.64949962744</v>
      </c>
      <c r="V31" s="68">
        <f>SUMIF('Avoided Costs 2013-2021'!$A:$A,'2013 Actuals'!T31&amp;'2013 Actuals'!S31,'Avoided Costs 2013-2021'!$K:$K)*N31</f>
        <v>125313.17217357458</v>
      </c>
      <c r="W31" s="68">
        <f>SUMIF('Avoided Costs 2013-2021'!$A:$A,'2013 Actuals'!T31&amp;'2013 Actuals'!S31,'Avoided Costs 2013-2021'!$M:$M)*R31</f>
        <v>442980.42555290414</v>
      </c>
      <c r="X31" s="68">
        <f t="shared" si="7"/>
        <v>815285.24722610624</v>
      </c>
      <c r="Y31" s="82">
        <v>-350</v>
      </c>
      <c r="Z31" s="72">
        <f t="shared" si="8"/>
        <v>-49000</v>
      </c>
      <c r="AC31" s="72"/>
      <c r="AD31" s="72">
        <f t="shared" si="9"/>
        <v>-49000</v>
      </c>
      <c r="AE31" s="72">
        <f t="shared" si="10"/>
        <v>864285.24722610624</v>
      </c>
      <c r="AF31" s="79">
        <f t="shared" si="11"/>
        <v>1766100</v>
      </c>
      <c r="AG31" s="79">
        <f t="shared" si="12"/>
        <v>2207625</v>
      </c>
    </row>
    <row r="32" spans="1:33" x14ac:dyDescent="0.2">
      <c r="A32" s="150" t="s">
        <v>155</v>
      </c>
      <c r="B32" s="2" t="s">
        <v>178</v>
      </c>
      <c r="D32" s="48">
        <v>18</v>
      </c>
      <c r="E32" s="57">
        <v>2203</v>
      </c>
      <c r="F32" s="14">
        <v>0.27</v>
      </c>
      <c r="G32" s="13">
        <v>0</v>
      </c>
      <c r="H32" s="48">
        <f t="shared" si="14"/>
        <v>39654</v>
      </c>
      <c r="I32" s="48">
        <f t="shared" si="1"/>
        <v>39654</v>
      </c>
      <c r="J32" s="44">
        <f t="shared" si="2"/>
        <v>28947.42</v>
      </c>
      <c r="K32" s="57">
        <v>9811</v>
      </c>
      <c r="L32" s="44">
        <v>176598</v>
      </c>
      <c r="M32" s="48">
        <f t="shared" si="3"/>
        <v>176598</v>
      </c>
      <c r="N32" s="48">
        <f t="shared" si="4"/>
        <v>128916.54</v>
      </c>
      <c r="O32" s="91">
        <v>310.27</v>
      </c>
      <c r="P32" s="44">
        <v>5584</v>
      </c>
      <c r="Q32" s="48">
        <f t="shared" si="5"/>
        <v>5584</v>
      </c>
      <c r="R32" s="44">
        <f t="shared" si="6"/>
        <v>4076.9477999999995</v>
      </c>
      <c r="S32" s="7">
        <v>20</v>
      </c>
      <c r="T32" s="3" t="s">
        <v>217</v>
      </c>
      <c r="U32" s="68">
        <f>SUMIF('Avoided Costs 2013-2021'!$A:$A,'2013 Actuals'!T32&amp;'2013 Actuals'!S32,'Avoided Costs 2013-2021'!$E:$E)*J32</f>
        <v>74432.697272826073</v>
      </c>
      <c r="V32" s="68">
        <f>SUMIF('Avoided Costs 2013-2021'!$A:$A,'2013 Actuals'!T32&amp;'2013 Actuals'!S32,'Avoided Costs 2013-2021'!$K:$K)*N32</f>
        <v>162318.57155179771</v>
      </c>
      <c r="W32" s="68">
        <f>SUMIF('Avoided Costs 2013-2021'!$A:$A,'2013 Actuals'!T32&amp;'2013 Actuals'!S32,'Avoided Costs 2013-2021'!$M:$M)*R32</f>
        <v>131071.1172583259</v>
      </c>
      <c r="X32" s="68">
        <f t="shared" si="7"/>
        <v>367822.3860829497</v>
      </c>
      <c r="Y32" s="82">
        <v>2375</v>
      </c>
      <c r="Z32" s="72">
        <f t="shared" si="8"/>
        <v>31207.5</v>
      </c>
      <c r="AC32" s="72"/>
      <c r="AD32" s="72">
        <f t="shared" si="9"/>
        <v>31207.5</v>
      </c>
      <c r="AE32" s="72">
        <f t="shared" si="10"/>
        <v>336614.8860829497</v>
      </c>
      <c r="AF32" s="79">
        <f t="shared" si="11"/>
        <v>578948.39999999991</v>
      </c>
      <c r="AG32" s="79">
        <f t="shared" si="12"/>
        <v>793080</v>
      </c>
    </row>
    <row r="33" spans="1:33" x14ac:dyDescent="0.2">
      <c r="A33" s="150" t="s">
        <v>156</v>
      </c>
      <c r="B33" s="2" t="s">
        <v>185</v>
      </c>
      <c r="D33" s="48">
        <v>2</v>
      </c>
      <c r="E33" s="57">
        <v>1677</v>
      </c>
      <c r="F33" s="14">
        <v>0.2</v>
      </c>
      <c r="G33" s="13">
        <v>0</v>
      </c>
      <c r="H33" s="48">
        <f t="shared" si="14"/>
        <v>3354</v>
      </c>
      <c r="I33" s="48">
        <f t="shared" si="1"/>
        <v>3354</v>
      </c>
      <c r="J33" s="44">
        <f t="shared" si="2"/>
        <v>2683.2000000000003</v>
      </c>
      <c r="K33" s="57">
        <v>12</v>
      </c>
      <c r="L33" s="44">
        <v>24</v>
      </c>
      <c r="M33" s="48">
        <f t="shared" si="3"/>
        <v>24</v>
      </c>
      <c r="N33" s="48">
        <f t="shared" si="4"/>
        <v>19.200000000000003</v>
      </c>
      <c r="O33" s="91">
        <v>0</v>
      </c>
      <c r="P33" s="44">
        <v>0</v>
      </c>
      <c r="Q33" s="48">
        <f t="shared" si="5"/>
        <v>0</v>
      </c>
      <c r="R33" s="44">
        <f t="shared" si="6"/>
        <v>0</v>
      </c>
      <c r="S33" s="7">
        <v>12</v>
      </c>
      <c r="T33" s="3" t="s">
        <v>201</v>
      </c>
      <c r="U33" s="68">
        <f>SUMIF('Avoided Costs 2013-2021'!$A:$A,'2013 Actuals'!T33&amp;'2013 Actuals'!S33,'Avoided Costs 2013-2021'!$E:$E)*J33</f>
        <v>5013.8272941288897</v>
      </c>
      <c r="V33" s="68">
        <f>SUMIF('Avoided Costs 2013-2021'!$A:$A,'2013 Actuals'!T33&amp;'2013 Actuals'!S33,'Avoided Costs 2013-2021'!$K:$K)*N33</f>
        <v>17.143857388082903</v>
      </c>
      <c r="W33" s="68">
        <f>SUMIF('Avoided Costs 2013-2021'!$A:$A,'2013 Actuals'!T33&amp;'2013 Actuals'!S33,'Avoided Costs 2013-2021'!$M:$M)*R33</f>
        <v>0</v>
      </c>
      <c r="X33" s="68">
        <f t="shared" si="7"/>
        <v>5030.9711515169729</v>
      </c>
      <c r="Y33" s="82">
        <v>1270</v>
      </c>
      <c r="Z33" s="72">
        <f t="shared" si="8"/>
        <v>2032</v>
      </c>
      <c r="AC33" s="72"/>
      <c r="AD33" s="72">
        <f t="shared" si="9"/>
        <v>2032</v>
      </c>
      <c r="AE33" s="72">
        <f t="shared" si="10"/>
        <v>2998.9711515169729</v>
      </c>
      <c r="AF33" s="79">
        <f t="shared" si="11"/>
        <v>32198.400000000001</v>
      </c>
      <c r="AG33" s="79">
        <f t="shared" si="12"/>
        <v>40248</v>
      </c>
    </row>
    <row r="34" spans="1:33" x14ac:dyDescent="0.2">
      <c r="A34" s="150" t="s">
        <v>855</v>
      </c>
      <c r="B34" s="2" t="s">
        <v>856</v>
      </c>
      <c r="D34" s="48">
        <v>2</v>
      </c>
      <c r="E34" s="57">
        <v>847</v>
      </c>
      <c r="F34" s="14">
        <v>0.2</v>
      </c>
      <c r="G34" s="13">
        <v>0</v>
      </c>
      <c r="H34" s="48">
        <f t="shared" si="14"/>
        <v>1694</v>
      </c>
      <c r="I34" s="48">
        <f t="shared" si="1"/>
        <v>1694</v>
      </c>
      <c r="J34" s="44">
        <f t="shared" si="2"/>
        <v>1355.2</v>
      </c>
      <c r="K34" s="57">
        <v>1</v>
      </c>
      <c r="L34" s="44">
        <v>2</v>
      </c>
      <c r="M34" s="48">
        <f t="shared" si="3"/>
        <v>2</v>
      </c>
      <c r="N34" s="48">
        <f t="shared" si="4"/>
        <v>1.6</v>
      </c>
      <c r="O34" s="91">
        <v>0</v>
      </c>
      <c r="P34" s="44">
        <v>0</v>
      </c>
      <c r="Q34" s="48">
        <f t="shared" si="5"/>
        <v>0</v>
      </c>
      <c r="R34" s="44">
        <f t="shared" si="6"/>
        <v>0</v>
      </c>
      <c r="S34" s="7">
        <v>15</v>
      </c>
      <c r="T34" s="3" t="s">
        <v>201</v>
      </c>
      <c r="U34" s="68">
        <f>SUMIF('Avoided Costs 2013-2021'!$A:$A,'2013 Actuals'!T34&amp;'2013 Actuals'!S34,'Avoided Costs 2013-2021'!$E:$E)*J34</f>
        <v>3028.6857300713932</v>
      </c>
      <c r="V34" s="68">
        <f>SUMIF('Avoided Costs 2013-2021'!$A:$A,'2013 Actuals'!T34&amp;'2013 Actuals'!S34,'Avoided Costs 2013-2021'!$K:$K)*N34</f>
        <v>1.6750298703234698</v>
      </c>
      <c r="W34" s="68">
        <f>SUMIF('Avoided Costs 2013-2021'!$A:$A,'2013 Actuals'!T34&amp;'2013 Actuals'!S34,'Avoided Costs 2013-2021'!$M:$M)*R34</f>
        <v>0</v>
      </c>
      <c r="X34" s="68">
        <f t="shared" si="7"/>
        <v>3030.3607599417169</v>
      </c>
      <c r="Y34" s="82">
        <v>875</v>
      </c>
      <c r="Z34" s="72">
        <f t="shared" si="8"/>
        <v>1400</v>
      </c>
      <c r="AC34" s="72"/>
      <c r="AD34" s="72">
        <f t="shared" si="9"/>
        <v>1400</v>
      </c>
      <c r="AE34" s="72">
        <f t="shared" si="10"/>
        <v>1630.3607599417169</v>
      </c>
      <c r="AF34" s="79">
        <f t="shared" si="11"/>
        <v>20328</v>
      </c>
      <c r="AG34" s="79">
        <f t="shared" si="12"/>
        <v>25410</v>
      </c>
    </row>
    <row r="35" spans="1:33" x14ac:dyDescent="0.2">
      <c r="A35" s="150" t="s">
        <v>183</v>
      </c>
      <c r="B35" s="2" t="s">
        <v>184</v>
      </c>
      <c r="D35" s="48">
        <v>1</v>
      </c>
      <c r="E35" s="57">
        <v>3224</v>
      </c>
      <c r="F35" s="14">
        <v>0.2</v>
      </c>
      <c r="G35" s="13">
        <v>0</v>
      </c>
      <c r="H35" s="48">
        <f t="shared" si="14"/>
        <v>3224</v>
      </c>
      <c r="I35" s="48">
        <f t="shared" si="1"/>
        <v>3224</v>
      </c>
      <c r="J35" s="44">
        <f t="shared" si="2"/>
        <v>2579.2000000000003</v>
      </c>
      <c r="K35" s="57">
        <v>162</v>
      </c>
      <c r="L35" s="44">
        <v>162</v>
      </c>
      <c r="M35" s="48">
        <f t="shared" si="3"/>
        <v>162</v>
      </c>
      <c r="N35" s="48">
        <f t="shared" si="4"/>
        <v>129.6</v>
      </c>
      <c r="O35" s="91">
        <v>42.81</v>
      </c>
      <c r="P35" s="44">
        <v>43</v>
      </c>
      <c r="Q35" s="48">
        <f t="shared" si="5"/>
        <v>43</v>
      </c>
      <c r="R35" s="44">
        <f t="shared" si="6"/>
        <v>34.248000000000005</v>
      </c>
      <c r="S35" s="7">
        <v>10</v>
      </c>
      <c r="T35" s="3" t="s">
        <v>201</v>
      </c>
      <c r="U35" s="68">
        <f>SUMIF('Avoided Costs 2013-2021'!$A:$A,'2013 Actuals'!T35&amp;'2013 Actuals'!S35,'Avoided Costs 2013-2021'!$E:$E)*J35</f>
        <v>4110.0160495152504</v>
      </c>
      <c r="V35" s="68">
        <f>SUMIF('Avoided Costs 2013-2021'!$A:$A,'2013 Actuals'!T35&amp;'2013 Actuals'!S35,'Avoided Costs 2013-2021'!$K:$K)*N35</f>
        <v>100.73007339933336</v>
      </c>
      <c r="W35" s="68">
        <f>SUMIF('Avoided Costs 2013-2021'!$A:$A,'2013 Actuals'!T35&amp;'2013 Actuals'!S35,'Avoided Costs 2013-2021'!$M:$M)*R35</f>
        <v>679.67554324629486</v>
      </c>
      <c r="X35" s="68">
        <f t="shared" si="7"/>
        <v>4890.4216661608789</v>
      </c>
      <c r="Y35" s="82">
        <v>2000</v>
      </c>
      <c r="Z35" s="72">
        <f t="shared" si="8"/>
        <v>1600</v>
      </c>
      <c r="AC35" s="72"/>
      <c r="AD35" s="72">
        <f t="shared" si="9"/>
        <v>1600</v>
      </c>
      <c r="AE35" s="72">
        <f t="shared" si="10"/>
        <v>3290.4216661608789</v>
      </c>
      <c r="AF35" s="79">
        <f t="shared" si="11"/>
        <v>25792.000000000004</v>
      </c>
      <c r="AG35" s="79">
        <f t="shared" si="12"/>
        <v>32240</v>
      </c>
    </row>
    <row r="36" spans="1:33" x14ac:dyDescent="0.2">
      <c r="A36" s="283" t="s">
        <v>88</v>
      </c>
      <c r="B36" s="283"/>
      <c r="C36" s="147"/>
      <c r="D36" s="284">
        <f>SUM(D10:D35)</f>
        <v>1161</v>
      </c>
      <c r="E36" s="142">
        <f>SUM(E10:E35)</f>
        <v>142677.33310919878</v>
      </c>
      <c r="F36" s="143"/>
      <c r="G36" s="144"/>
      <c r="H36" s="284">
        <f t="shared" ref="H36:R36" si="15">SUM(H10:H35)</f>
        <v>4817267</v>
      </c>
      <c r="I36" s="284">
        <f t="shared" si="15"/>
        <v>4817267</v>
      </c>
      <c r="J36" s="284">
        <f t="shared" si="15"/>
        <v>4185291.1900000018</v>
      </c>
      <c r="K36" s="142">
        <f t="shared" si="15"/>
        <v>110863.07005466132</v>
      </c>
      <c r="L36" s="284">
        <f t="shared" si="15"/>
        <v>2535693</v>
      </c>
      <c r="M36" s="284">
        <f t="shared" si="15"/>
        <v>2535693</v>
      </c>
      <c r="N36" s="284">
        <f t="shared" si="15"/>
        <v>2258776.6100000003</v>
      </c>
      <c r="O36" s="145">
        <f t="shared" si="15"/>
        <v>2332.4070370370368</v>
      </c>
      <c r="P36" s="284">
        <f t="shared" si="15"/>
        <v>121079</v>
      </c>
      <c r="Q36" s="284">
        <f t="shared" si="15"/>
        <v>121079</v>
      </c>
      <c r="R36" s="284">
        <f t="shared" si="15"/>
        <v>106313.67580000001</v>
      </c>
      <c r="S36" s="146"/>
      <c r="T36" s="147"/>
      <c r="U36" s="285">
        <f>SUM(U10:U35)</f>
        <v>9431547.9130128268</v>
      </c>
      <c r="V36" s="285">
        <f>SUM(V10:V35)</f>
        <v>2399810.8410785664</v>
      </c>
      <c r="W36" s="285">
        <f>SUM(W10:W35)</f>
        <v>2906036.7041804604</v>
      </c>
      <c r="X36" s="285">
        <f>SUM(X10:X35)</f>
        <v>14737395.458271852</v>
      </c>
      <c r="Y36" s="288">
        <f>SUM(Y10:Y35)</f>
        <v>148329.96336035168</v>
      </c>
      <c r="Z36" s="285">
        <f t="shared" ref="Z36" si="16">SUM(Z10:Z35)</f>
        <v>4291954.2015140001</v>
      </c>
      <c r="AA36" s="285">
        <f t="shared" ref="AA36:AG36" si="17">SUM(AA10:AA35)</f>
        <v>0</v>
      </c>
      <c r="AB36" s="286">
        <f t="shared" si="17"/>
        <v>0</v>
      </c>
      <c r="AC36" s="285">
        <f>AA36+AB36</f>
        <v>0</v>
      </c>
      <c r="AD36" s="286">
        <f t="shared" si="17"/>
        <v>4291954.2015140001</v>
      </c>
      <c r="AE36" s="286">
        <f t="shared" si="17"/>
        <v>10445441.256757854</v>
      </c>
      <c r="AF36" s="287">
        <f t="shared" si="17"/>
        <v>66163593.600000024</v>
      </c>
      <c r="AG36" s="287">
        <f t="shared" si="17"/>
        <v>77210964</v>
      </c>
    </row>
    <row r="37" spans="1:33" x14ac:dyDescent="0.2">
      <c r="A37" s="18"/>
      <c r="B37" s="17"/>
      <c r="C37" s="16"/>
      <c r="D37" s="44"/>
      <c r="E37" s="58"/>
      <c r="F37" s="4"/>
      <c r="G37" s="4"/>
      <c r="H37" s="44"/>
      <c r="I37" s="44"/>
      <c r="J37" s="44"/>
      <c r="K37" s="58"/>
      <c r="L37" s="44"/>
      <c r="M37" s="44"/>
      <c r="N37" s="44"/>
      <c r="O37" s="92"/>
      <c r="P37" s="44"/>
      <c r="Q37" s="44"/>
      <c r="R37" s="44"/>
      <c r="S37" s="4"/>
      <c r="T37" s="4"/>
      <c r="U37" s="289"/>
      <c r="V37" s="289"/>
      <c r="W37" s="289"/>
      <c r="X37" s="289"/>
      <c r="Y37" s="84"/>
      <c r="Z37" s="289"/>
      <c r="AA37" s="72"/>
      <c r="AB37" s="72"/>
      <c r="AC37" s="72"/>
      <c r="AD37" s="72"/>
      <c r="AE37" s="72"/>
      <c r="AF37" s="81"/>
      <c r="AG37" s="81"/>
    </row>
    <row r="38" spans="1:33" x14ac:dyDescent="0.2">
      <c r="A38" s="150"/>
      <c r="B38" s="2" t="s">
        <v>172</v>
      </c>
      <c r="AF38" s="81"/>
      <c r="AG38" s="49"/>
    </row>
    <row r="39" spans="1:33" x14ac:dyDescent="0.2">
      <c r="A39" s="150" t="s">
        <v>98</v>
      </c>
      <c r="B39" s="2" t="s">
        <v>99</v>
      </c>
      <c r="H39" s="13">
        <v>0.88400000000000001</v>
      </c>
      <c r="L39" s="290">
        <v>1</v>
      </c>
      <c r="O39" s="92"/>
      <c r="P39" s="290">
        <v>1</v>
      </c>
      <c r="R39" s="44"/>
      <c r="S39" s="4"/>
      <c r="Z39" s="72"/>
      <c r="AA39" s="72"/>
      <c r="AC39" s="72"/>
      <c r="AD39" s="72"/>
      <c r="AE39" s="72"/>
      <c r="AF39" s="79"/>
      <c r="AG39" s="79"/>
    </row>
    <row r="40" spans="1:33" s="21" customFormat="1" x14ac:dyDescent="0.2">
      <c r="A40" s="116" t="s">
        <v>349</v>
      </c>
      <c r="B40" s="116"/>
      <c r="C40" s="116"/>
      <c r="D40" s="151">
        <v>1</v>
      </c>
      <c r="E40" s="152"/>
      <c r="F40" s="153">
        <v>0.12</v>
      </c>
      <c r="G40" s="153"/>
      <c r="H40" s="52">
        <v>45089</v>
      </c>
      <c r="I40" s="52">
        <f t="shared" ref="I40:I55" si="18">+$H$39*H40</f>
        <v>39858.675999999999</v>
      </c>
      <c r="J40" s="52">
        <f t="shared" ref="J40:J55" si="19">I40*(1-F40)</f>
        <v>35075.634879999998</v>
      </c>
      <c r="K40" s="152"/>
      <c r="L40" s="151">
        <v>0</v>
      </c>
      <c r="M40" s="55">
        <f t="shared" ref="M40:M55" si="20">+$L$39*L40</f>
        <v>0</v>
      </c>
      <c r="N40" s="55">
        <f t="shared" ref="N40:N55" si="21">M40*(1-F40)</f>
        <v>0</v>
      </c>
      <c r="O40" s="154"/>
      <c r="P40" s="151">
        <v>0</v>
      </c>
      <c r="Q40" s="55">
        <f t="shared" ref="Q40:Q55" si="22">+P40*$P$39</f>
        <v>0</v>
      </c>
      <c r="R40" s="65">
        <f t="shared" ref="R40:R55" si="23">Q40*(1-F40)</f>
        <v>0</v>
      </c>
      <c r="S40" s="129">
        <v>25</v>
      </c>
      <c r="T40" s="123" t="s">
        <v>201</v>
      </c>
      <c r="U40" s="73">
        <f>SUMIF('Avoided Costs 2013-2021'!$A:$A,'2013 Actuals'!T40&amp;'2013 Actuals'!S40,'Avoided Costs 2013-2021'!$E:$E)*J40</f>
        <v>110037.27005841384</v>
      </c>
      <c r="V40" s="73">
        <f>SUMIF('Avoided Costs 2013-2021'!$A:$A,'2013 Actuals'!T40&amp;'2013 Actuals'!S40,'Avoided Costs 2013-2021'!$K:$K)*N40</f>
        <v>0</v>
      </c>
      <c r="W40" s="73">
        <f>SUMIF('Avoided Costs 2013-2021'!$A:$A,'2013 Actuals'!T40&amp;'2013 Actuals'!S40,'Avoided Costs 2013-2021'!$M:$M)*R40</f>
        <v>0</v>
      </c>
      <c r="X40" s="73">
        <f t="shared" ref="X40:X55" si="24">SUM(U40:W40)</f>
        <v>110037.27005841384</v>
      </c>
      <c r="Y40" s="83">
        <v>4482</v>
      </c>
      <c r="Z40" s="74">
        <f t="shared" ref="Z40:Z55" si="25">Y40*(1-F40)</f>
        <v>3944.16</v>
      </c>
      <c r="AA40" s="74"/>
      <c r="AB40" s="74"/>
      <c r="AC40" s="74"/>
      <c r="AD40" s="74">
        <f t="shared" ref="AD40:AD56" si="26">Z40+AB40</f>
        <v>3944.16</v>
      </c>
      <c r="AE40" s="74">
        <f t="shared" ref="AE40:AE56" si="27">X40-AD40</f>
        <v>106093.11005841383</v>
      </c>
      <c r="AF40" s="52">
        <f t="shared" ref="AF40:AF55" si="28">J40*S40</f>
        <v>876890.87199999997</v>
      </c>
      <c r="AG40" s="52">
        <f t="shared" ref="AG40:AG55" si="29">(I40*S40)</f>
        <v>996466.9</v>
      </c>
    </row>
    <row r="41" spans="1:33" s="21" customFormat="1" x14ac:dyDescent="0.2">
      <c r="A41" s="116" t="s">
        <v>350</v>
      </c>
      <c r="B41" s="116"/>
      <c r="C41" s="116"/>
      <c r="D41" s="151">
        <v>1</v>
      </c>
      <c r="E41" s="152"/>
      <c r="F41" s="153">
        <v>0.12</v>
      </c>
      <c r="G41" s="153"/>
      <c r="H41" s="52">
        <v>24539</v>
      </c>
      <c r="I41" s="52">
        <f t="shared" si="18"/>
        <v>21692.475999999999</v>
      </c>
      <c r="J41" s="52">
        <f t="shared" si="19"/>
        <v>19089.37888</v>
      </c>
      <c r="K41" s="152"/>
      <c r="L41" s="151">
        <v>0</v>
      </c>
      <c r="M41" s="55">
        <f t="shared" si="20"/>
        <v>0</v>
      </c>
      <c r="N41" s="55">
        <f t="shared" si="21"/>
        <v>0</v>
      </c>
      <c r="O41" s="154"/>
      <c r="P41" s="151">
        <v>0</v>
      </c>
      <c r="Q41" s="55">
        <f t="shared" si="22"/>
        <v>0</v>
      </c>
      <c r="R41" s="65">
        <f t="shared" si="23"/>
        <v>0</v>
      </c>
      <c r="S41" s="129">
        <v>25</v>
      </c>
      <c r="T41" s="123" t="s">
        <v>217</v>
      </c>
      <c r="U41" s="73">
        <f>SUMIF('Avoided Costs 2013-2021'!$A:$A,'2013 Actuals'!T41&amp;'2013 Actuals'!S41,'Avoided Costs 2013-2021'!$E:$E)*J41</f>
        <v>56200.484004538062</v>
      </c>
      <c r="V41" s="73">
        <f>SUMIF('Avoided Costs 2013-2021'!$A:$A,'2013 Actuals'!T41&amp;'2013 Actuals'!S41,'Avoided Costs 2013-2021'!$K:$K)*N41</f>
        <v>0</v>
      </c>
      <c r="W41" s="73">
        <f>SUMIF('Avoided Costs 2013-2021'!$A:$A,'2013 Actuals'!T41&amp;'2013 Actuals'!S41,'Avoided Costs 2013-2021'!$M:$M)*R41</f>
        <v>0</v>
      </c>
      <c r="X41" s="73">
        <f t="shared" si="24"/>
        <v>56200.484004538062</v>
      </c>
      <c r="Y41" s="83">
        <v>14490</v>
      </c>
      <c r="Z41" s="74">
        <f t="shared" si="25"/>
        <v>12751.2</v>
      </c>
      <c r="AA41" s="74"/>
      <c r="AB41" s="74"/>
      <c r="AC41" s="74"/>
      <c r="AD41" s="74">
        <f t="shared" si="26"/>
        <v>12751.2</v>
      </c>
      <c r="AE41" s="74">
        <f t="shared" si="27"/>
        <v>43449.284004538058</v>
      </c>
      <c r="AF41" s="52">
        <f t="shared" si="28"/>
        <v>477234.47200000001</v>
      </c>
      <c r="AG41" s="52">
        <f t="shared" si="29"/>
        <v>542311.9</v>
      </c>
    </row>
    <row r="42" spans="1:33" s="21" customFormat="1" x14ac:dyDescent="0.2">
      <c r="A42" s="116" t="s">
        <v>351</v>
      </c>
      <c r="B42" s="116"/>
      <c r="C42" s="116"/>
      <c r="D42" s="151">
        <v>1</v>
      </c>
      <c r="E42" s="152"/>
      <c r="F42" s="153">
        <v>0.12</v>
      </c>
      <c r="G42" s="153"/>
      <c r="H42" s="52">
        <v>21400</v>
      </c>
      <c r="I42" s="52">
        <f t="shared" si="18"/>
        <v>18917.599999999999</v>
      </c>
      <c r="J42" s="52">
        <f t="shared" si="19"/>
        <v>16647.487999999998</v>
      </c>
      <c r="K42" s="152"/>
      <c r="L42" s="151">
        <v>0</v>
      </c>
      <c r="M42" s="55">
        <f t="shared" si="20"/>
        <v>0</v>
      </c>
      <c r="N42" s="55">
        <f t="shared" si="21"/>
        <v>0</v>
      </c>
      <c r="O42" s="154"/>
      <c r="P42" s="151">
        <v>0</v>
      </c>
      <c r="Q42" s="55">
        <f t="shared" si="22"/>
        <v>0</v>
      </c>
      <c r="R42" s="65">
        <f t="shared" si="23"/>
        <v>0</v>
      </c>
      <c r="S42" s="129">
        <v>25</v>
      </c>
      <c r="T42" s="123" t="s">
        <v>217</v>
      </c>
      <c r="U42" s="73">
        <f>SUMIF('Avoided Costs 2013-2021'!$A:$A,'2013 Actuals'!T42&amp;'2013 Actuals'!S42,'Avoided Costs 2013-2021'!$E:$E)*J42</f>
        <v>49011.384233143741</v>
      </c>
      <c r="V42" s="73">
        <f>SUMIF('Avoided Costs 2013-2021'!$A:$A,'2013 Actuals'!T42&amp;'2013 Actuals'!S42,'Avoided Costs 2013-2021'!$K:$K)*N42</f>
        <v>0</v>
      </c>
      <c r="W42" s="73">
        <f>SUMIF('Avoided Costs 2013-2021'!$A:$A,'2013 Actuals'!T42&amp;'2013 Actuals'!S42,'Avoided Costs 2013-2021'!$M:$M)*R42</f>
        <v>0</v>
      </c>
      <c r="X42" s="73">
        <f t="shared" si="24"/>
        <v>49011.384233143741</v>
      </c>
      <c r="Y42" s="83">
        <v>8783</v>
      </c>
      <c r="Z42" s="74">
        <f t="shared" si="25"/>
        <v>7729.04</v>
      </c>
      <c r="AA42" s="74"/>
      <c r="AB42" s="74"/>
      <c r="AC42" s="74"/>
      <c r="AD42" s="74">
        <f t="shared" si="26"/>
        <v>7729.04</v>
      </c>
      <c r="AE42" s="74">
        <f t="shared" si="27"/>
        <v>41282.34423314374</v>
      </c>
      <c r="AF42" s="52">
        <f t="shared" si="28"/>
        <v>416187.19999999995</v>
      </c>
      <c r="AG42" s="52">
        <f t="shared" si="29"/>
        <v>472939.99999999994</v>
      </c>
    </row>
    <row r="43" spans="1:33" s="21" customFormat="1" x14ac:dyDescent="0.2">
      <c r="A43" s="116" t="s">
        <v>352</v>
      </c>
      <c r="B43" s="116"/>
      <c r="C43" s="116"/>
      <c r="D43" s="151">
        <v>1</v>
      </c>
      <c r="E43" s="152"/>
      <c r="F43" s="153">
        <v>0.12</v>
      </c>
      <c r="G43" s="153"/>
      <c r="H43" s="52">
        <v>58839</v>
      </c>
      <c r="I43" s="52">
        <f t="shared" si="18"/>
        <v>52013.675999999999</v>
      </c>
      <c r="J43" s="52">
        <f t="shared" si="19"/>
        <v>45772.034879999999</v>
      </c>
      <c r="K43" s="152"/>
      <c r="L43" s="151">
        <v>0</v>
      </c>
      <c r="M43" s="55">
        <f>+$L$39*L43</f>
        <v>0</v>
      </c>
      <c r="N43" s="55">
        <f t="shared" si="21"/>
        <v>0</v>
      </c>
      <c r="O43" s="154"/>
      <c r="P43" s="151">
        <v>0</v>
      </c>
      <c r="Q43" s="55">
        <f t="shared" si="22"/>
        <v>0</v>
      </c>
      <c r="R43" s="65">
        <f t="shared" si="23"/>
        <v>0</v>
      </c>
      <c r="S43" s="129">
        <v>25</v>
      </c>
      <c r="T43" s="123" t="s">
        <v>217</v>
      </c>
      <c r="U43" s="73">
        <f>SUMIF('Avoided Costs 2013-2021'!$A:$A,'2013 Actuals'!T43&amp;'2013 Actuals'!S43,'Avoided Costs 2013-2021'!$E:$E)*J43</f>
        <v>134756.11387354883</v>
      </c>
      <c r="V43" s="73">
        <f>SUMIF('Avoided Costs 2013-2021'!$A:$A,'2013 Actuals'!T43&amp;'2013 Actuals'!S43,'Avoided Costs 2013-2021'!$K:$K)*N43</f>
        <v>0</v>
      </c>
      <c r="W43" s="73">
        <f>SUMIF('Avoided Costs 2013-2021'!$A:$A,'2013 Actuals'!T43&amp;'2013 Actuals'!S43,'Avoided Costs 2013-2021'!$M:$M)*R43</f>
        <v>0</v>
      </c>
      <c r="X43" s="73">
        <f t="shared" si="24"/>
        <v>134756.11387354883</v>
      </c>
      <c r="Y43" s="83">
        <v>28508</v>
      </c>
      <c r="Z43" s="74">
        <f t="shared" si="25"/>
        <v>25087.040000000001</v>
      </c>
      <c r="AA43" s="74"/>
      <c r="AB43" s="74"/>
      <c r="AC43" s="74"/>
      <c r="AD43" s="74">
        <f t="shared" si="26"/>
        <v>25087.040000000001</v>
      </c>
      <c r="AE43" s="74">
        <f t="shared" si="27"/>
        <v>109669.07387354883</v>
      </c>
      <c r="AF43" s="52">
        <f t="shared" si="28"/>
        <v>1144300.872</v>
      </c>
      <c r="AG43" s="52">
        <f t="shared" si="29"/>
        <v>1300341.8999999999</v>
      </c>
    </row>
    <row r="44" spans="1:33" s="21" customFormat="1" x14ac:dyDescent="0.2">
      <c r="A44" s="116" t="s">
        <v>353</v>
      </c>
      <c r="B44" s="116"/>
      <c r="C44" s="116"/>
      <c r="D44" s="151">
        <v>1</v>
      </c>
      <c r="E44" s="152"/>
      <c r="F44" s="153">
        <v>0.12</v>
      </c>
      <c r="G44" s="153"/>
      <c r="H44" s="52">
        <v>6996</v>
      </c>
      <c r="I44" s="52">
        <f t="shared" si="18"/>
        <v>6184.4639999999999</v>
      </c>
      <c r="J44" s="52">
        <f t="shared" si="19"/>
        <v>5442.3283199999996</v>
      </c>
      <c r="K44" s="152"/>
      <c r="L44" s="151">
        <v>0</v>
      </c>
      <c r="M44" s="55">
        <f t="shared" si="20"/>
        <v>0</v>
      </c>
      <c r="N44" s="55">
        <f t="shared" si="21"/>
        <v>0</v>
      </c>
      <c r="O44" s="154"/>
      <c r="P44" s="151">
        <v>0</v>
      </c>
      <c r="Q44" s="55">
        <f t="shared" si="22"/>
        <v>0</v>
      </c>
      <c r="R44" s="65">
        <f t="shared" si="23"/>
        <v>0</v>
      </c>
      <c r="S44" s="129">
        <v>25</v>
      </c>
      <c r="T44" s="123" t="s">
        <v>217</v>
      </c>
      <c r="U44" s="73">
        <f>SUMIF('Avoided Costs 2013-2021'!$A:$A,'2013 Actuals'!T44&amp;'2013 Actuals'!S44,'Avoided Costs 2013-2021'!$E:$E)*J44</f>
        <v>16022.600191358582</v>
      </c>
      <c r="V44" s="73">
        <f>SUMIF('Avoided Costs 2013-2021'!$A:$A,'2013 Actuals'!T44&amp;'2013 Actuals'!S44,'Avoided Costs 2013-2021'!$K:$K)*N44</f>
        <v>0</v>
      </c>
      <c r="W44" s="73">
        <f>SUMIF('Avoided Costs 2013-2021'!$A:$A,'2013 Actuals'!T44&amp;'2013 Actuals'!S44,'Avoided Costs 2013-2021'!$M:$M)*R44</f>
        <v>0</v>
      </c>
      <c r="X44" s="73">
        <f t="shared" si="24"/>
        <v>16022.600191358582</v>
      </c>
      <c r="Y44" s="83">
        <v>7274</v>
      </c>
      <c r="Z44" s="74">
        <f t="shared" si="25"/>
        <v>6401.12</v>
      </c>
      <c r="AA44" s="74"/>
      <c r="AB44" s="74"/>
      <c r="AC44" s="74"/>
      <c r="AD44" s="74">
        <f t="shared" si="26"/>
        <v>6401.12</v>
      </c>
      <c r="AE44" s="74">
        <f t="shared" si="27"/>
        <v>9621.4801913585834</v>
      </c>
      <c r="AF44" s="52">
        <f t="shared" si="28"/>
        <v>136058.20799999998</v>
      </c>
      <c r="AG44" s="52">
        <f t="shared" si="29"/>
        <v>154611.6</v>
      </c>
    </row>
    <row r="45" spans="1:33" s="21" customFormat="1" x14ac:dyDescent="0.2">
      <c r="A45" s="116" t="s">
        <v>354</v>
      </c>
      <c r="B45" s="116"/>
      <c r="C45" s="116"/>
      <c r="D45" s="151">
        <v>1</v>
      </c>
      <c r="E45" s="152"/>
      <c r="F45" s="153">
        <v>0.12</v>
      </c>
      <c r="G45" s="153"/>
      <c r="H45" s="52">
        <v>84537</v>
      </c>
      <c r="I45" s="52">
        <f t="shared" si="18"/>
        <v>74730.707999999999</v>
      </c>
      <c r="J45" s="52">
        <f t="shared" si="19"/>
        <v>65763.02304</v>
      </c>
      <c r="K45" s="152"/>
      <c r="L45" s="151">
        <v>0</v>
      </c>
      <c r="M45" s="55">
        <f t="shared" si="20"/>
        <v>0</v>
      </c>
      <c r="N45" s="55">
        <f t="shared" si="21"/>
        <v>0</v>
      </c>
      <c r="O45" s="154"/>
      <c r="P45" s="151">
        <v>0</v>
      </c>
      <c r="Q45" s="55">
        <f t="shared" si="22"/>
        <v>0</v>
      </c>
      <c r="R45" s="65">
        <f t="shared" si="23"/>
        <v>0</v>
      </c>
      <c r="S45" s="129">
        <v>25</v>
      </c>
      <c r="T45" s="123" t="s">
        <v>217</v>
      </c>
      <c r="U45" s="73">
        <f>SUMIF('Avoided Costs 2013-2021'!$A:$A,'2013 Actuals'!T45&amp;'2013 Actuals'!S45,'Avoided Costs 2013-2021'!$E:$E)*J45</f>
        <v>193610.99948211556</v>
      </c>
      <c r="V45" s="73">
        <f>SUMIF('Avoided Costs 2013-2021'!$A:$A,'2013 Actuals'!T45&amp;'2013 Actuals'!S45,'Avoided Costs 2013-2021'!$K:$K)*N45</f>
        <v>0</v>
      </c>
      <c r="W45" s="73">
        <f>SUMIF('Avoided Costs 2013-2021'!$A:$A,'2013 Actuals'!T45&amp;'2013 Actuals'!S45,'Avoided Costs 2013-2021'!$M:$M)*R45</f>
        <v>0</v>
      </c>
      <c r="X45" s="73">
        <f t="shared" si="24"/>
        <v>193610.99948211556</v>
      </c>
      <c r="Y45" s="83">
        <v>75000</v>
      </c>
      <c r="Z45" s="74">
        <f t="shared" si="25"/>
        <v>66000</v>
      </c>
      <c r="AA45" s="74"/>
      <c r="AB45" s="74"/>
      <c r="AC45" s="74"/>
      <c r="AD45" s="74">
        <f t="shared" si="26"/>
        <v>66000</v>
      </c>
      <c r="AE45" s="74">
        <f t="shared" si="27"/>
        <v>127610.99948211556</v>
      </c>
      <c r="AF45" s="52">
        <f t="shared" si="28"/>
        <v>1644075.5759999999</v>
      </c>
      <c r="AG45" s="52">
        <f t="shared" si="29"/>
        <v>1868267.7</v>
      </c>
    </row>
    <row r="46" spans="1:33" s="21" customFormat="1" x14ac:dyDescent="0.2">
      <c r="A46" s="116" t="s">
        <v>355</v>
      </c>
      <c r="B46" s="116"/>
      <c r="C46" s="116"/>
      <c r="D46" s="151">
        <v>1</v>
      </c>
      <c r="E46" s="152"/>
      <c r="F46" s="153">
        <v>0.12</v>
      </c>
      <c r="G46" s="153"/>
      <c r="H46" s="52">
        <v>104888</v>
      </c>
      <c r="I46" s="52">
        <f t="shared" si="18"/>
        <v>92720.991999999998</v>
      </c>
      <c r="J46" s="52">
        <f t="shared" si="19"/>
        <v>81594.472959999999</v>
      </c>
      <c r="K46" s="152"/>
      <c r="L46" s="151">
        <v>38121</v>
      </c>
      <c r="M46" s="55">
        <f t="shared" si="20"/>
        <v>38121</v>
      </c>
      <c r="N46" s="55">
        <f t="shared" si="21"/>
        <v>33546.480000000003</v>
      </c>
      <c r="O46" s="154"/>
      <c r="P46" s="151">
        <v>0</v>
      </c>
      <c r="Q46" s="55">
        <f t="shared" si="22"/>
        <v>0</v>
      </c>
      <c r="R46" s="65">
        <f t="shared" si="23"/>
        <v>0</v>
      </c>
      <c r="S46" s="129">
        <v>15</v>
      </c>
      <c r="T46" s="123" t="s">
        <v>201</v>
      </c>
      <c r="U46" s="73">
        <f>SUMIF('Avoided Costs 2013-2021'!$A:$A,'2013 Actuals'!T46&amp;'2013 Actuals'!S46,'Avoided Costs 2013-2021'!$E:$E)*J46</f>
        <v>182352.432044457</v>
      </c>
      <c r="V46" s="73">
        <f>SUMIF('Avoided Costs 2013-2021'!$A:$A,'2013 Actuals'!T46&amp;'2013 Actuals'!S46,'Avoided Costs 2013-2021'!$K:$K)*N46</f>
        <v>35119.597527630547</v>
      </c>
      <c r="W46" s="73">
        <f>SUMIF('Avoided Costs 2013-2021'!$A:$A,'2013 Actuals'!T46&amp;'2013 Actuals'!S46,'Avoided Costs 2013-2021'!$M:$M)*R46</f>
        <v>0</v>
      </c>
      <c r="X46" s="73">
        <f t="shared" si="24"/>
        <v>217472.02957208754</v>
      </c>
      <c r="Y46" s="83">
        <v>43000</v>
      </c>
      <c r="Z46" s="74">
        <f t="shared" si="25"/>
        <v>37840</v>
      </c>
      <c r="AA46" s="74"/>
      <c r="AB46" s="74"/>
      <c r="AC46" s="74"/>
      <c r="AD46" s="74">
        <f t="shared" si="26"/>
        <v>37840</v>
      </c>
      <c r="AE46" s="74">
        <f t="shared" si="27"/>
        <v>179632.02957208754</v>
      </c>
      <c r="AF46" s="52">
        <f t="shared" si="28"/>
        <v>1223917.0944000001</v>
      </c>
      <c r="AG46" s="52">
        <f t="shared" si="29"/>
        <v>1390814.88</v>
      </c>
    </row>
    <row r="47" spans="1:33" s="21" customFormat="1" x14ac:dyDescent="0.2">
      <c r="A47" s="116" t="s">
        <v>356</v>
      </c>
      <c r="B47" s="116"/>
      <c r="C47" s="116"/>
      <c r="D47" s="151">
        <v>1</v>
      </c>
      <c r="E47" s="152"/>
      <c r="F47" s="153">
        <v>0.12</v>
      </c>
      <c r="G47" s="153"/>
      <c r="H47" s="52">
        <v>35479</v>
      </c>
      <c r="I47" s="52">
        <f t="shared" si="18"/>
        <v>31363.436000000002</v>
      </c>
      <c r="J47" s="52">
        <f t="shared" si="19"/>
        <v>27599.823680000001</v>
      </c>
      <c r="K47" s="152"/>
      <c r="L47" s="151">
        <v>0</v>
      </c>
      <c r="M47" s="55">
        <f t="shared" si="20"/>
        <v>0</v>
      </c>
      <c r="N47" s="55">
        <f t="shared" si="21"/>
        <v>0</v>
      </c>
      <c r="O47" s="154"/>
      <c r="P47" s="151">
        <v>0</v>
      </c>
      <c r="Q47" s="55">
        <f t="shared" si="22"/>
        <v>0</v>
      </c>
      <c r="R47" s="65">
        <f t="shared" si="23"/>
        <v>0</v>
      </c>
      <c r="S47" s="129">
        <v>25</v>
      </c>
      <c r="T47" s="123" t="s">
        <v>217</v>
      </c>
      <c r="U47" s="73">
        <f>SUMIF('Avoided Costs 2013-2021'!$A:$A,'2013 Actuals'!T47&amp;'2013 Actuals'!S47,'Avoided Costs 2013-2021'!$E:$E)*J47</f>
        <v>81255.836505033047</v>
      </c>
      <c r="V47" s="73">
        <f>SUMIF('Avoided Costs 2013-2021'!$A:$A,'2013 Actuals'!T47&amp;'2013 Actuals'!S47,'Avoided Costs 2013-2021'!$K:$K)*N47</f>
        <v>0</v>
      </c>
      <c r="W47" s="73">
        <f>SUMIF('Avoided Costs 2013-2021'!$A:$A,'2013 Actuals'!T47&amp;'2013 Actuals'!S47,'Avoided Costs 2013-2021'!$M:$M)*R47</f>
        <v>0</v>
      </c>
      <c r="X47" s="73">
        <f t="shared" si="24"/>
        <v>81255.836505033047</v>
      </c>
      <c r="Y47" s="83">
        <v>16164</v>
      </c>
      <c r="Z47" s="74">
        <f t="shared" si="25"/>
        <v>14224.32</v>
      </c>
      <c r="AA47" s="74"/>
      <c r="AB47" s="74"/>
      <c r="AC47" s="74"/>
      <c r="AD47" s="74">
        <f t="shared" si="26"/>
        <v>14224.32</v>
      </c>
      <c r="AE47" s="74">
        <f t="shared" si="27"/>
        <v>67031.51650503304</v>
      </c>
      <c r="AF47" s="52">
        <f t="shared" si="28"/>
        <v>689995.59200000006</v>
      </c>
      <c r="AG47" s="52">
        <f t="shared" si="29"/>
        <v>784085.9</v>
      </c>
    </row>
    <row r="48" spans="1:33" s="21" customFormat="1" x14ac:dyDescent="0.2">
      <c r="A48" s="116" t="s">
        <v>357</v>
      </c>
      <c r="B48" s="116"/>
      <c r="C48" s="116"/>
      <c r="D48" s="151">
        <v>1</v>
      </c>
      <c r="E48" s="152"/>
      <c r="F48" s="153">
        <v>0.12</v>
      </c>
      <c r="G48" s="153"/>
      <c r="H48" s="52">
        <v>8949</v>
      </c>
      <c r="I48" s="52">
        <f t="shared" si="18"/>
        <v>7910.9160000000002</v>
      </c>
      <c r="J48" s="52">
        <f t="shared" si="19"/>
        <v>6961.6060800000005</v>
      </c>
      <c r="K48" s="152"/>
      <c r="L48" s="151">
        <v>0</v>
      </c>
      <c r="M48" s="55">
        <f t="shared" si="20"/>
        <v>0</v>
      </c>
      <c r="N48" s="55">
        <f t="shared" si="21"/>
        <v>0</v>
      </c>
      <c r="O48" s="154"/>
      <c r="P48" s="151">
        <v>0</v>
      </c>
      <c r="Q48" s="55">
        <f t="shared" si="22"/>
        <v>0</v>
      </c>
      <c r="R48" s="65">
        <f t="shared" si="23"/>
        <v>0</v>
      </c>
      <c r="S48" s="129">
        <v>15</v>
      </c>
      <c r="T48" s="123" t="s">
        <v>201</v>
      </c>
      <c r="U48" s="73">
        <f>SUMIF('Avoided Costs 2013-2021'!$A:$A,'2013 Actuals'!T48&amp;'2013 Actuals'!S48,'Avoided Costs 2013-2021'!$E:$E)*J48</f>
        <v>15558.232727917835</v>
      </c>
      <c r="V48" s="73">
        <f>SUMIF('Avoided Costs 2013-2021'!$A:$A,'2013 Actuals'!T48&amp;'2013 Actuals'!S48,'Avoided Costs 2013-2021'!$K:$K)*N48</f>
        <v>0</v>
      </c>
      <c r="W48" s="73">
        <f>SUMIF('Avoided Costs 2013-2021'!$A:$A,'2013 Actuals'!T48&amp;'2013 Actuals'!S48,'Avoided Costs 2013-2021'!$M:$M)*R48</f>
        <v>0</v>
      </c>
      <c r="X48" s="73">
        <f t="shared" si="24"/>
        <v>15558.232727917835</v>
      </c>
      <c r="Y48" s="83">
        <v>37454.400000000001</v>
      </c>
      <c r="Z48" s="74">
        <f t="shared" si="25"/>
        <v>32959.872000000003</v>
      </c>
      <c r="AA48" s="74"/>
      <c r="AB48" s="74"/>
      <c r="AC48" s="74"/>
      <c r="AD48" s="74">
        <f t="shared" si="26"/>
        <v>32959.872000000003</v>
      </c>
      <c r="AE48" s="74">
        <f t="shared" si="27"/>
        <v>-17401.639272082168</v>
      </c>
      <c r="AF48" s="52">
        <f t="shared" si="28"/>
        <v>104424.09120000001</v>
      </c>
      <c r="AG48" s="52">
        <f t="shared" si="29"/>
        <v>118663.74</v>
      </c>
    </row>
    <row r="49" spans="1:33" s="21" customFormat="1" x14ac:dyDescent="0.2">
      <c r="A49" s="116" t="s">
        <v>358</v>
      </c>
      <c r="B49" s="116"/>
      <c r="C49" s="116"/>
      <c r="D49" s="151">
        <v>1</v>
      </c>
      <c r="E49" s="152"/>
      <c r="F49" s="153">
        <v>0.12</v>
      </c>
      <c r="G49" s="153"/>
      <c r="H49" s="52">
        <v>22357</v>
      </c>
      <c r="I49" s="52">
        <f t="shared" si="18"/>
        <v>19763.588</v>
      </c>
      <c r="J49" s="52">
        <f t="shared" si="19"/>
        <v>17391.957439999998</v>
      </c>
      <c r="K49" s="152"/>
      <c r="L49" s="151">
        <v>0</v>
      </c>
      <c r="M49" s="55">
        <f t="shared" si="20"/>
        <v>0</v>
      </c>
      <c r="N49" s="55">
        <f t="shared" si="21"/>
        <v>0</v>
      </c>
      <c r="O49" s="154"/>
      <c r="P49" s="151">
        <v>0</v>
      </c>
      <c r="Q49" s="55">
        <f t="shared" si="22"/>
        <v>0</v>
      </c>
      <c r="R49" s="65">
        <f t="shared" si="23"/>
        <v>0</v>
      </c>
      <c r="S49" s="129">
        <v>15</v>
      </c>
      <c r="T49" s="123" t="s">
        <v>201</v>
      </c>
      <c r="U49" s="73">
        <f>SUMIF('Avoided Costs 2013-2021'!$A:$A,'2013 Actuals'!T49&amp;'2013 Actuals'!S49,'Avoided Costs 2013-2021'!$E:$E)*J49</f>
        <v>38868.634383513127</v>
      </c>
      <c r="V49" s="73">
        <f>SUMIF('Avoided Costs 2013-2021'!$A:$A,'2013 Actuals'!T49&amp;'2013 Actuals'!S49,'Avoided Costs 2013-2021'!$K:$K)*N49</f>
        <v>0</v>
      </c>
      <c r="W49" s="73">
        <f>SUMIF('Avoided Costs 2013-2021'!$A:$A,'2013 Actuals'!T49&amp;'2013 Actuals'!S49,'Avoided Costs 2013-2021'!$M:$M)*R49</f>
        <v>0</v>
      </c>
      <c r="X49" s="73">
        <f t="shared" si="24"/>
        <v>38868.634383513127</v>
      </c>
      <c r="Y49" s="83">
        <v>61761</v>
      </c>
      <c r="Z49" s="74">
        <f t="shared" si="25"/>
        <v>54349.68</v>
      </c>
      <c r="AA49" s="74"/>
      <c r="AB49" s="74"/>
      <c r="AC49" s="74"/>
      <c r="AD49" s="74">
        <f t="shared" si="26"/>
        <v>54349.68</v>
      </c>
      <c r="AE49" s="74">
        <f t="shared" si="27"/>
        <v>-15481.045616486874</v>
      </c>
      <c r="AF49" s="52">
        <f t="shared" si="28"/>
        <v>260879.36159999997</v>
      </c>
      <c r="AG49" s="52">
        <f t="shared" si="29"/>
        <v>296453.82</v>
      </c>
    </row>
    <row r="50" spans="1:33" s="21" customFormat="1" x14ac:dyDescent="0.2">
      <c r="A50" s="116" t="s">
        <v>359</v>
      </c>
      <c r="B50" s="116"/>
      <c r="C50" s="116"/>
      <c r="D50" s="151">
        <v>1</v>
      </c>
      <c r="E50" s="152"/>
      <c r="F50" s="153">
        <v>0.12</v>
      </c>
      <c r="G50" s="153"/>
      <c r="H50" s="52">
        <v>7181</v>
      </c>
      <c r="I50" s="52">
        <f t="shared" si="18"/>
        <v>6348.0039999999999</v>
      </c>
      <c r="J50" s="52">
        <f t="shared" si="19"/>
        <v>5586.24352</v>
      </c>
      <c r="K50" s="152"/>
      <c r="L50" s="151">
        <v>0</v>
      </c>
      <c r="M50" s="55">
        <f t="shared" si="20"/>
        <v>0</v>
      </c>
      <c r="N50" s="55">
        <f t="shared" si="21"/>
        <v>0</v>
      </c>
      <c r="O50" s="154"/>
      <c r="P50" s="151">
        <v>0</v>
      </c>
      <c r="Q50" s="55">
        <f t="shared" si="22"/>
        <v>0</v>
      </c>
      <c r="R50" s="65">
        <f t="shared" si="23"/>
        <v>0</v>
      </c>
      <c r="S50" s="129">
        <v>15</v>
      </c>
      <c r="T50" s="123" t="s">
        <v>201</v>
      </c>
      <c r="U50" s="73">
        <f>SUMIF('Avoided Costs 2013-2021'!$A:$A,'2013 Actuals'!T50&amp;'2013 Actuals'!S50,'Avoided Costs 2013-2021'!$E:$E)*J50</f>
        <v>12484.486447555924</v>
      </c>
      <c r="V50" s="73">
        <f>SUMIF('Avoided Costs 2013-2021'!$A:$A,'2013 Actuals'!T50&amp;'2013 Actuals'!S50,'Avoided Costs 2013-2021'!$K:$K)*N50</f>
        <v>0</v>
      </c>
      <c r="W50" s="73">
        <f>SUMIF('Avoided Costs 2013-2021'!$A:$A,'2013 Actuals'!T50&amp;'2013 Actuals'!S50,'Avoided Costs 2013-2021'!$M:$M)*R50</f>
        <v>0</v>
      </c>
      <c r="X50" s="73">
        <f t="shared" si="24"/>
        <v>12484.486447555924</v>
      </c>
      <c r="Y50" s="83">
        <v>16245.95</v>
      </c>
      <c r="Z50" s="74">
        <f t="shared" si="25"/>
        <v>14296.436000000002</v>
      </c>
      <c r="AA50" s="74"/>
      <c r="AB50" s="74"/>
      <c r="AC50" s="74"/>
      <c r="AD50" s="74">
        <f t="shared" si="26"/>
        <v>14296.436000000002</v>
      </c>
      <c r="AE50" s="74">
        <f t="shared" si="27"/>
        <v>-1811.9495524440772</v>
      </c>
      <c r="AF50" s="52">
        <f t="shared" si="28"/>
        <v>83793.652799999996</v>
      </c>
      <c r="AG50" s="52">
        <f t="shared" si="29"/>
        <v>95220.06</v>
      </c>
    </row>
    <row r="51" spans="1:33" s="21" customFormat="1" x14ac:dyDescent="0.2">
      <c r="A51" s="155" t="s">
        <v>360</v>
      </c>
      <c r="B51" s="155"/>
      <c r="C51" s="155"/>
      <c r="D51" s="156">
        <v>1</v>
      </c>
      <c r="E51" s="157"/>
      <c r="F51" s="158">
        <v>0.12</v>
      </c>
      <c r="G51" s="158"/>
      <c r="H51" s="51">
        <v>31305</v>
      </c>
      <c r="I51" s="52">
        <f t="shared" si="18"/>
        <v>27673.62</v>
      </c>
      <c r="J51" s="52">
        <f t="shared" si="19"/>
        <v>24352.785599999999</v>
      </c>
      <c r="K51" s="157"/>
      <c r="L51" s="156">
        <v>0</v>
      </c>
      <c r="M51" s="55">
        <f t="shared" si="20"/>
        <v>0</v>
      </c>
      <c r="N51" s="55">
        <f t="shared" si="21"/>
        <v>0</v>
      </c>
      <c r="O51" s="159"/>
      <c r="P51" s="156">
        <v>0</v>
      </c>
      <c r="Q51" s="55">
        <f t="shared" si="22"/>
        <v>0</v>
      </c>
      <c r="R51" s="65">
        <f t="shared" si="23"/>
        <v>0</v>
      </c>
      <c r="S51" s="130">
        <v>15</v>
      </c>
      <c r="T51" s="124" t="s">
        <v>201</v>
      </c>
      <c r="U51" s="73">
        <f>SUMIF('Avoided Costs 2013-2021'!$A:$A,'2013 Actuals'!T51&amp;'2013 Actuals'!S51,'Avoided Costs 2013-2021'!$E:$E)*J51</f>
        <v>54425.128567154738</v>
      </c>
      <c r="V51" s="73">
        <f>SUMIF('Avoided Costs 2013-2021'!$A:$A,'2013 Actuals'!T51&amp;'2013 Actuals'!S51,'Avoided Costs 2013-2021'!$K:$K)*N51</f>
        <v>0</v>
      </c>
      <c r="W51" s="73">
        <f>SUMIF('Avoided Costs 2013-2021'!$A:$A,'2013 Actuals'!T51&amp;'2013 Actuals'!S51,'Avoided Costs 2013-2021'!$M:$M)*R51</f>
        <v>0</v>
      </c>
      <c r="X51" s="73">
        <f t="shared" si="24"/>
        <v>54425.128567154738</v>
      </c>
      <c r="Y51" s="89">
        <v>22135</v>
      </c>
      <c r="Z51" s="74">
        <f t="shared" si="25"/>
        <v>19478.8</v>
      </c>
      <c r="AA51" s="75"/>
      <c r="AB51" s="75"/>
      <c r="AC51" s="75"/>
      <c r="AD51" s="74">
        <f t="shared" si="26"/>
        <v>19478.8</v>
      </c>
      <c r="AE51" s="74">
        <f t="shared" si="27"/>
        <v>34946.328567154735</v>
      </c>
      <c r="AF51" s="52">
        <f t="shared" si="28"/>
        <v>365291.78399999999</v>
      </c>
      <c r="AG51" s="52">
        <f t="shared" si="29"/>
        <v>415104.3</v>
      </c>
    </row>
    <row r="52" spans="1:33" s="21" customFormat="1" x14ac:dyDescent="0.2">
      <c r="A52" s="155" t="s">
        <v>361</v>
      </c>
      <c r="B52" s="155"/>
      <c r="C52" s="155"/>
      <c r="D52" s="156">
        <v>1</v>
      </c>
      <c r="E52" s="157"/>
      <c r="F52" s="158">
        <v>0.12</v>
      </c>
      <c r="G52" s="158"/>
      <c r="H52" s="51">
        <v>45050</v>
      </c>
      <c r="I52" s="52">
        <f t="shared" si="18"/>
        <v>39824.199999999997</v>
      </c>
      <c r="J52" s="52">
        <f t="shared" si="19"/>
        <v>35045.295999999995</v>
      </c>
      <c r="K52" s="157"/>
      <c r="L52" s="156">
        <v>12632</v>
      </c>
      <c r="M52" s="55">
        <f>+$L$39*L52</f>
        <v>12632</v>
      </c>
      <c r="N52" s="55">
        <f t="shared" si="21"/>
        <v>11116.16</v>
      </c>
      <c r="O52" s="159"/>
      <c r="P52" s="156">
        <v>0</v>
      </c>
      <c r="Q52" s="55">
        <f t="shared" si="22"/>
        <v>0</v>
      </c>
      <c r="R52" s="65">
        <f t="shared" si="23"/>
        <v>0</v>
      </c>
      <c r="S52" s="130">
        <v>15</v>
      </c>
      <c r="T52" s="124" t="s">
        <v>201</v>
      </c>
      <c r="U52" s="73">
        <f>SUMIF('Avoided Costs 2013-2021'!$A:$A,'2013 Actuals'!T52&amp;'2013 Actuals'!S52,'Avoided Costs 2013-2021'!$E:$E)*J52</f>
        <v>78321.419643837115</v>
      </c>
      <c r="V52" s="73">
        <f>SUMIF('Avoided Costs 2013-2021'!$A:$A,'2013 Actuals'!T52&amp;'2013 Actuals'!S52,'Avoided Costs 2013-2021'!$K:$K)*N52</f>
        <v>11637.437527059339</v>
      </c>
      <c r="W52" s="73">
        <f>SUMIF('Avoided Costs 2013-2021'!$A:$A,'2013 Actuals'!T52&amp;'2013 Actuals'!S52,'Avoided Costs 2013-2021'!$M:$M)*R52</f>
        <v>0</v>
      </c>
      <c r="X52" s="73">
        <f t="shared" si="24"/>
        <v>89958.857170896459</v>
      </c>
      <c r="Y52" s="89">
        <v>25150</v>
      </c>
      <c r="Z52" s="74">
        <f t="shared" si="25"/>
        <v>22132</v>
      </c>
      <c r="AA52" s="75"/>
      <c r="AB52" s="75"/>
      <c r="AC52" s="75"/>
      <c r="AD52" s="74">
        <f t="shared" si="26"/>
        <v>22132</v>
      </c>
      <c r="AE52" s="74">
        <f t="shared" si="27"/>
        <v>67826.857170896459</v>
      </c>
      <c r="AF52" s="52">
        <f t="shared" si="28"/>
        <v>525679.43999999994</v>
      </c>
      <c r="AG52" s="52">
        <f t="shared" si="29"/>
        <v>597363</v>
      </c>
    </row>
    <row r="53" spans="1:33" s="21" customFormat="1" x14ac:dyDescent="0.2">
      <c r="A53" s="155" t="s">
        <v>362</v>
      </c>
      <c r="B53" s="155"/>
      <c r="C53" s="155"/>
      <c r="D53" s="156">
        <v>1</v>
      </c>
      <c r="E53" s="157"/>
      <c r="F53" s="158">
        <v>0.12</v>
      </c>
      <c r="G53" s="158"/>
      <c r="H53" s="51">
        <v>18131</v>
      </c>
      <c r="I53" s="52">
        <f t="shared" si="18"/>
        <v>16027.804</v>
      </c>
      <c r="J53" s="52">
        <f t="shared" si="19"/>
        <v>14104.46752</v>
      </c>
      <c r="K53" s="157"/>
      <c r="L53" s="156">
        <v>0</v>
      </c>
      <c r="M53" s="55">
        <f t="shared" si="20"/>
        <v>0</v>
      </c>
      <c r="N53" s="55">
        <f t="shared" si="21"/>
        <v>0</v>
      </c>
      <c r="O53" s="159"/>
      <c r="P53" s="156">
        <v>0</v>
      </c>
      <c r="Q53" s="55">
        <f t="shared" si="22"/>
        <v>0</v>
      </c>
      <c r="R53" s="65">
        <f t="shared" si="23"/>
        <v>0</v>
      </c>
      <c r="S53" s="130">
        <v>15</v>
      </c>
      <c r="T53" s="124" t="s">
        <v>201</v>
      </c>
      <c r="U53" s="73">
        <f>SUMIF('Avoided Costs 2013-2021'!$A:$A,'2013 Actuals'!T53&amp;'2013 Actuals'!S53,'Avoided Costs 2013-2021'!$E:$E)*J53</f>
        <v>31521.546272195581</v>
      </c>
      <c r="V53" s="73">
        <f>SUMIF('Avoided Costs 2013-2021'!$A:$A,'2013 Actuals'!T53&amp;'2013 Actuals'!S53,'Avoided Costs 2013-2021'!$K:$K)*N53</f>
        <v>0</v>
      </c>
      <c r="W53" s="73">
        <f>SUMIF('Avoided Costs 2013-2021'!$A:$A,'2013 Actuals'!T53&amp;'2013 Actuals'!S53,'Avoided Costs 2013-2021'!$M:$M)*R53</f>
        <v>0</v>
      </c>
      <c r="X53" s="73">
        <f t="shared" si="24"/>
        <v>31521.546272195581</v>
      </c>
      <c r="Y53" s="89">
        <v>108862</v>
      </c>
      <c r="Z53" s="74">
        <f t="shared" si="25"/>
        <v>95798.56</v>
      </c>
      <c r="AA53" s="75"/>
      <c r="AB53" s="75"/>
      <c r="AC53" s="75"/>
      <c r="AD53" s="74">
        <f t="shared" si="26"/>
        <v>95798.56</v>
      </c>
      <c r="AE53" s="74">
        <f t="shared" si="27"/>
        <v>-64277.013727804413</v>
      </c>
      <c r="AF53" s="52">
        <f t="shared" si="28"/>
        <v>211567.0128</v>
      </c>
      <c r="AG53" s="52">
        <f t="shared" si="29"/>
        <v>240417.06</v>
      </c>
    </row>
    <row r="54" spans="1:33" s="21" customFormat="1" x14ac:dyDescent="0.2">
      <c r="A54" s="116" t="s">
        <v>363</v>
      </c>
      <c r="B54" s="116"/>
      <c r="C54" s="116"/>
      <c r="D54" s="151">
        <v>1</v>
      </c>
      <c r="E54" s="152"/>
      <c r="F54" s="153">
        <v>0.12</v>
      </c>
      <c r="G54" s="153"/>
      <c r="H54" s="52">
        <v>71734</v>
      </c>
      <c r="I54" s="52">
        <f t="shared" si="18"/>
        <v>63412.856</v>
      </c>
      <c r="J54" s="52">
        <f t="shared" si="19"/>
        <v>55803.313280000002</v>
      </c>
      <c r="K54" s="152"/>
      <c r="L54" s="151">
        <v>0</v>
      </c>
      <c r="M54" s="55">
        <f t="shared" si="20"/>
        <v>0</v>
      </c>
      <c r="N54" s="55">
        <f t="shared" si="21"/>
        <v>0</v>
      </c>
      <c r="O54" s="154"/>
      <c r="P54" s="151">
        <v>0</v>
      </c>
      <c r="Q54" s="55">
        <f t="shared" si="22"/>
        <v>0</v>
      </c>
      <c r="R54" s="65">
        <f t="shared" si="23"/>
        <v>0</v>
      </c>
      <c r="S54" s="129">
        <v>15</v>
      </c>
      <c r="T54" s="123" t="s">
        <v>201</v>
      </c>
      <c r="U54" s="73">
        <f>SUMIF('Avoided Costs 2013-2021'!$A:$A,'2013 Actuals'!T54&amp;'2013 Actuals'!S54,'Avoided Costs 2013-2021'!$E:$E)*J54</f>
        <v>124712.73511056631</v>
      </c>
      <c r="V54" s="73">
        <f>SUMIF('Avoided Costs 2013-2021'!$A:$A,'2013 Actuals'!T54&amp;'2013 Actuals'!S54,'Avoided Costs 2013-2021'!$K:$K)*N54</f>
        <v>0</v>
      </c>
      <c r="W54" s="73">
        <f>SUMIF('Avoided Costs 2013-2021'!$A:$A,'2013 Actuals'!T54&amp;'2013 Actuals'!S54,'Avoided Costs 2013-2021'!$M:$M)*R54</f>
        <v>0</v>
      </c>
      <c r="X54" s="73">
        <f t="shared" si="24"/>
        <v>124712.73511056631</v>
      </c>
      <c r="Y54" s="83">
        <v>246996.15</v>
      </c>
      <c r="Z54" s="74">
        <f t="shared" si="25"/>
        <v>217356.61199999999</v>
      </c>
      <c r="AA54" s="74"/>
      <c r="AB54" s="74"/>
      <c r="AC54" s="74"/>
      <c r="AD54" s="74">
        <f t="shared" si="26"/>
        <v>217356.61199999999</v>
      </c>
      <c r="AE54" s="74">
        <f t="shared" si="27"/>
        <v>-92643.876889433683</v>
      </c>
      <c r="AF54" s="52">
        <f t="shared" si="28"/>
        <v>837049.69920000003</v>
      </c>
      <c r="AG54" s="52">
        <f t="shared" si="29"/>
        <v>951192.84</v>
      </c>
    </row>
    <row r="55" spans="1:33" s="21" customFormat="1" x14ac:dyDescent="0.2">
      <c r="A55" s="116" t="s">
        <v>364</v>
      </c>
      <c r="B55" s="116"/>
      <c r="C55" s="116"/>
      <c r="D55" s="151">
        <v>1</v>
      </c>
      <c r="E55" s="152"/>
      <c r="F55" s="153">
        <v>0.12</v>
      </c>
      <c r="G55" s="153"/>
      <c r="H55" s="52">
        <v>16170</v>
      </c>
      <c r="I55" s="52">
        <f t="shared" si="18"/>
        <v>14294.28</v>
      </c>
      <c r="J55" s="52">
        <f t="shared" si="19"/>
        <v>12578.966400000001</v>
      </c>
      <c r="K55" s="152"/>
      <c r="L55" s="151">
        <v>0</v>
      </c>
      <c r="M55" s="55">
        <f t="shared" si="20"/>
        <v>0</v>
      </c>
      <c r="N55" s="55">
        <f t="shared" si="21"/>
        <v>0</v>
      </c>
      <c r="O55" s="154"/>
      <c r="P55" s="151">
        <v>0</v>
      </c>
      <c r="Q55" s="55">
        <f t="shared" si="22"/>
        <v>0</v>
      </c>
      <c r="R55" s="65">
        <f t="shared" si="23"/>
        <v>0</v>
      </c>
      <c r="S55" s="129">
        <v>15</v>
      </c>
      <c r="T55" s="123" t="s">
        <v>201</v>
      </c>
      <c r="U55" s="73">
        <f>SUMIF('Avoided Costs 2013-2021'!$A:$A,'2013 Actuals'!T55&amp;'2013 Actuals'!S55,'Avoided Costs 2013-2021'!$E:$E)*J55</f>
        <v>28112.260946522674</v>
      </c>
      <c r="V55" s="73">
        <f>SUMIF('Avoided Costs 2013-2021'!$A:$A,'2013 Actuals'!T55&amp;'2013 Actuals'!S55,'Avoided Costs 2013-2021'!$K:$K)*N55</f>
        <v>0</v>
      </c>
      <c r="W55" s="73">
        <f>SUMIF('Avoided Costs 2013-2021'!$A:$A,'2013 Actuals'!T55&amp;'2013 Actuals'!S55,'Avoided Costs 2013-2021'!$M:$M)*R55</f>
        <v>0</v>
      </c>
      <c r="X55" s="73">
        <f t="shared" si="24"/>
        <v>28112.260946522674</v>
      </c>
      <c r="Y55" s="83">
        <v>16805</v>
      </c>
      <c r="Z55" s="74">
        <f t="shared" si="25"/>
        <v>14788.4</v>
      </c>
      <c r="AA55" s="74"/>
      <c r="AB55" s="74"/>
      <c r="AC55" s="74"/>
      <c r="AD55" s="74">
        <f t="shared" si="26"/>
        <v>14788.4</v>
      </c>
      <c r="AE55" s="74">
        <f t="shared" si="27"/>
        <v>13323.860946522675</v>
      </c>
      <c r="AF55" s="52">
        <f t="shared" si="28"/>
        <v>188684.49600000001</v>
      </c>
      <c r="AG55" s="52">
        <f t="shared" si="29"/>
        <v>214414.2</v>
      </c>
    </row>
    <row r="56" spans="1:33" s="17" customFormat="1" collapsed="1" x14ac:dyDescent="0.2">
      <c r="A56" s="166" t="s">
        <v>4</v>
      </c>
      <c r="B56" s="166" t="s">
        <v>174</v>
      </c>
      <c r="C56" s="125"/>
      <c r="D56" s="65">
        <f>SUM(D40:D55)</f>
        <v>16</v>
      </c>
      <c r="E56" s="291"/>
      <c r="F56" s="168"/>
      <c r="G56" s="292"/>
      <c r="H56" s="52">
        <v>602644</v>
      </c>
      <c r="I56" s="52">
        <f>SUM(I40:I55)</f>
        <v>532737.29600000009</v>
      </c>
      <c r="J56" s="52">
        <f>SUM(J40:J55)</f>
        <v>468808.82047999994</v>
      </c>
      <c r="K56" s="167"/>
      <c r="L56" s="52">
        <v>50753</v>
      </c>
      <c r="M56" s="52">
        <f>SUM(M40:M55)</f>
        <v>50753</v>
      </c>
      <c r="N56" s="52">
        <f>SUM(N40:N55)</f>
        <v>44662.64</v>
      </c>
      <c r="O56" s="169"/>
      <c r="P56" s="52">
        <v>0</v>
      </c>
      <c r="Q56" s="52">
        <f>SUM(Q40:Q55)</f>
        <v>0</v>
      </c>
      <c r="R56" s="52">
        <f>SUM(R40:R55)</f>
        <v>0</v>
      </c>
      <c r="S56" s="133"/>
      <c r="T56" s="125" t="s">
        <v>215</v>
      </c>
      <c r="U56" s="74">
        <f>SUM(U40:U55)</f>
        <v>1207251.564491872</v>
      </c>
      <c r="V56" s="74">
        <f>SUM(V40:V55)</f>
        <v>46757.035054689884</v>
      </c>
      <c r="W56" s="74">
        <f>SUM(W40:W55)</f>
        <v>0</v>
      </c>
      <c r="X56" s="74">
        <f>SUM(X40:X55)</f>
        <v>1254008.5995465619</v>
      </c>
      <c r="Y56" s="83"/>
      <c r="Z56" s="74">
        <f t="shared" ref="Z56" si="30">SUM(Z40:Z55)</f>
        <v>645137.24</v>
      </c>
      <c r="AA56" s="74">
        <v>189698.01</v>
      </c>
      <c r="AB56" s="74">
        <v>23520.94</v>
      </c>
      <c r="AC56" s="74">
        <f>AA56+AB56</f>
        <v>213218.95</v>
      </c>
      <c r="AD56" s="74">
        <f t="shared" si="26"/>
        <v>668658.17999999993</v>
      </c>
      <c r="AE56" s="293">
        <f t="shared" si="27"/>
        <v>585350.41954656201</v>
      </c>
      <c r="AF56" s="52">
        <f>SUM(AF40:AF55)</f>
        <v>9186029.4239999987</v>
      </c>
      <c r="AG56" s="52">
        <f>SUM(AG40:AG55)</f>
        <v>10438669.800000001</v>
      </c>
    </row>
    <row r="57" spans="1:33" s="40" customFormat="1" x14ac:dyDescent="0.2">
      <c r="A57" s="294"/>
      <c r="B57" s="294"/>
      <c r="C57" s="294"/>
      <c r="D57" s="295"/>
      <c r="E57" s="296"/>
      <c r="F57" s="297"/>
      <c r="G57" s="297"/>
      <c r="H57" s="49"/>
      <c r="I57" s="49"/>
      <c r="J57" s="49"/>
      <c r="K57" s="296"/>
      <c r="L57" s="295"/>
      <c r="M57" s="295"/>
      <c r="N57" s="295"/>
      <c r="O57" s="298"/>
      <c r="P57" s="295"/>
      <c r="Q57" s="295"/>
      <c r="R57" s="295"/>
      <c r="S57" s="299"/>
      <c r="T57" s="300"/>
      <c r="U57" s="76"/>
      <c r="V57" s="76"/>
      <c r="W57" s="76"/>
      <c r="X57" s="76"/>
      <c r="Y57" s="87"/>
      <c r="Z57" s="76"/>
      <c r="AA57" s="76"/>
      <c r="AB57" s="76"/>
      <c r="AC57" s="76"/>
      <c r="AD57" s="76"/>
      <c r="AE57" s="76"/>
      <c r="AF57" s="81"/>
      <c r="AG57" s="81"/>
    </row>
    <row r="58" spans="1:33" x14ac:dyDescent="0.2">
      <c r="A58" s="150" t="s">
        <v>109</v>
      </c>
      <c r="B58" s="2" t="s">
        <v>110</v>
      </c>
      <c r="O58" s="92"/>
      <c r="P58" s="44"/>
      <c r="R58" s="44"/>
      <c r="S58" s="4"/>
      <c r="Z58" s="72"/>
      <c r="AA58" s="72"/>
      <c r="AC58" s="72"/>
      <c r="AD58" s="72"/>
      <c r="AE58" s="72"/>
      <c r="AF58" s="79"/>
      <c r="AG58" s="79"/>
    </row>
    <row r="59" spans="1:33" s="21" customFormat="1" ht="11.25" customHeight="1" x14ac:dyDescent="0.2">
      <c r="A59" s="114" t="s">
        <v>778</v>
      </c>
      <c r="B59" s="114"/>
      <c r="C59" s="114"/>
      <c r="D59" s="160">
        <v>1</v>
      </c>
      <c r="E59" s="161"/>
      <c r="F59" s="162">
        <v>0.12</v>
      </c>
      <c r="G59" s="162"/>
      <c r="H59" s="52">
        <v>17281</v>
      </c>
      <c r="I59" s="52">
        <f t="shared" ref="I59:I90" si="31">+$H$39*H59</f>
        <v>15276.404</v>
      </c>
      <c r="J59" s="52">
        <f t="shared" ref="J59:J90" si="32">I59*(1-F59)</f>
        <v>13443.23552</v>
      </c>
      <c r="K59" s="61"/>
      <c r="L59" s="160">
        <v>0</v>
      </c>
      <c r="M59" s="55">
        <f t="shared" ref="M59:M90" si="33">+$L$39*L59</f>
        <v>0</v>
      </c>
      <c r="N59" s="55">
        <f t="shared" ref="N59:N90" si="34">M59*(1-F59)</f>
        <v>0</v>
      </c>
      <c r="O59" s="95"/>
      <c r="P59" s="160">
        <v>0</v>
      </c>
      <c r="Q59" s="55">
        <f t="shared" ref="Q59:Q90" si="35">+P59*$P$39</f>
        <v>0</v>
      </c>
      <c r="R59" s="65">
        <f t="shared" ref="R59:R90" si="36">Q59*(1-F59)</f>
        <v>0</v>
      </c>
      <c r="S59" s="118">
        <v>25</v>
      </c>
      <c r="T59" s="121" t="s">
        <v>201</v>
      </c>
      <c r="U59" s="73">
        <f>SUMIF('Avoided Costs 2013-2021'!$A:$A,'2013 Actuals'!T59&amp;'2013 Actuals'!S59,'Avoided Costs 2013-2021'!$E:$E)*J59</f>
        <v>42173.347465666782</v>
      </c>
      <c r="V59" s="73">
        <f>SUMIF('Avoided Costs 2013-2021'!$A:$A,'2013 Actuals'!T59&amp;'2013 Actuals'!S59,'Avoided Costs 2013-2021'!$K:$K)*N59</f>
        <v>0</v>
      </c>
      <c r="W59" s="73">
        <f>SUMIF('Avoided Costs 2013-2021'!$A:$A,'2013 Actuals'!T59&amp;'2013 Actuals'!S59,'Avoided Costs 2013-2021'!$M:$M)*R59</f>
        <v>0</v>
      </c>
      <c r="X59" s="73">
        <f t="shared" ref="X59:X90" si="37">SUM(U59:W59)</f>
        <v>42173.347465666782</v>
      </c>
      <c r="Y59" s="83">
        <v>5609</v>
      </c>
      <c r="Z59" s="74">
        <f t="shared" ref="Z59:Z90" si="38">Y59*(1-F59)</f>
        <v>4935.92</v>
      </c>
      <c r="AA59" s="74"/>
      <c r="AB59" s="74"/>
      <c r="AC59" s="74"/>
      <c r="AD59" s="74">
        <f t="shared" ref="AD59:AD90" si="39">Z59+AB59</f>
        <v>4935.92</v>
      </c>
      <c r="AE59" s="74">
        <f t="shared" ref="AE59:AE90" si="40">X59-AD59</f>
        <v>37237.427465666784</v>
      </c>
      <c r="AF59" s="52">
        <f t="shared" ref="AF59:AF90" si="41">J59*S59</f>
        <v>336080.88799999998</v>
      </c>
      <c r="AG59" s="52">
        <f t="shared" ref="AG59:AG90" si="42">(I59*S59)</f>
        <v>381910.10000000003</v>
      </c>
    </row>
    <row r="60" spans="1:33" s="21" customFormat="1" ht="11.25" customHeight="1" x14ac:dyDescent="0.2">
      <c r="A60" s="114" t="s">
        <v>779</v>
      </c>
      <c r="B60" s="114"/>
      <c r="C60" s="114"/>
      <c r="D60" s="160">
        <v>1</v>
      </c>
      <c r="E60" s="161"/>
      <c r="F60" s="162">
        <v>0.12</v>
      </c>
      <c r="G60" s="162"/>
      <c r="H60" s="52">
        <v>22403</v>
      </c>
      <c r="I60" s="52">
        <f t="shared" si="31"/>
        <v>19804.252</v>
      </c>
      <c r="J60" s="52">
        <f t="shared" si="32"/>
        <v>17427.741760000001</v>
      </c>
      <c r="K60" s="61"/>
      <c r="L60" s="160">
        <v>0</v>
      </c>
      <c r="M60" s="55">
        <f t="shared" si="33"/>
        <v>0</v>
      </c>
      <c r="N60" s="55">
        <f t="shared" si="34"/>
        <v>0</v>
      </c>
      <c r="O60" s="95"/>
      <c r="P60" s="160">
        <v>0</v>
      </c>
      <c r="Q60" s="55">
        <f t="shared" si="35"/>
        <v>0</v>
      </c>
      <c r="R60" s="65">
        <f t="shared" si="36"/>
        <v>0</v>
      </c>
      <c r="S60" s="118">
        <v>25</v>
      </c>
      <c r="T60" s="121" t="s">
        <v>201</v>
      </c>
      <c r="U60" s="73">
        <f>SUMIF('Avoided Costs 2013-2021'!$A:$A,'2013 Actuals'!T60&amp;'2013 Actuals'!S60,'Avoided Costs 2013-2021'!$E:$E)*J60</f>
        <v>54673.311919063308</v>
      </c>
      <c r="V60" s="73">
        <f>SUMIF('Avoided Costs 2013-2021'!$A:$A,'2013 Actuals'!T60&amp;'2013 Actuals'!S60,'Avoided Costs 2013-2021'!$K:$K)*N60</f>
        <v>0</v>
      </c>
      <c r="W60" s="73">
        <f>SUMIF('Avoided Costs 2013-2021'!$A:$A,'2013 Actuals'!T60&amp;'2013 Actuals'!S60,'Avoided Costs 2013-2021'!$M:$M)*R60</f>
        <v>0</v>
      </c>
      <c r="X60" s="73">
        <f t="shared" si="37"/>
        <v>54673.311919063308</v>
      </c>
      <c r="Y60" s="83">
        <v>5609</v>
      </c>
      <c r="Z60" s="74">
        <f t="shared" si="38"/>
        <v>4935.92</v>
      </c>
      <c r="AA60" s="74"/>
      <c r="AB60" s="74"/>
      <c r="AC60" s="74"/>
      <c r="AD60" s="74">
        <f t="shared" si="39"/>
        <v>4935.92</v>
      </c>
      <c r="AE60" s="74">
        <f t="shared" si="40"/>
        <v>49737.39191906331</v>
      </c>
      <c r="AF60" s="52">
        <f t="shared" si="41"/>
        <v>435693.54399999999</v>
      </c>
      <c r="AG60" s="52">
        <f t="shared" si="42"/>
        <v>495106.3</v>
      </c>
    </row>
    <row r="61" spans="1:33" s="21" customFormat="1" ht="11.25" customHeight="1" x14ac:dyDescent="0.2">
      <c r="A61" s="114" t="s">
        <v>780</v>
      </c>
      <c r="B61" s="114"/>
      <c r="C61" s="114"/>
      <c r="D61" s="160">
        <v>1</v>
      </c>
      <c r="E61" s="161"/>
      <c r="F61" s="162">
        <v>0.12</v>
      </c>
      <c r="G61" s="162"/>
      <c r="H61" s="52">
        <v>20913</v>
      </c>
      <c r="I61" s="52">
        <f t="shared" si="31"/>
        <v>18487.092000000001</v>
      </c>
      <c r="J61" s="52">
        <f t="shared" si="32"/>
        <v>16268.640960000001</v>
      </c>
      <c r="K61" s="61"/>
      <c r="L61" s="160">
        <v>0</v>
      </c>
      <c r="M61" s="55">
        <f t="shared" si="33"/>
        <v>0</v>
      </c>
      <c r="N61" s="55">
        <f t="shared" si="34"/>
        <v>0</v>
      </c>
      <c r="O61" s="95"/>
      <c r="P61" s="160">
        <v>0</v>
      </c>
      <c r="Q61" s="55">
        <f t="shared" si="35"/>
        <v>0</v>
      </c>
      <c r="R61" s="65">
        <f t="shared" si="36"/>
        <v>0</v>
      </c>
      <c r="S61" s="118">
        <v>25</v>
      </c>
      <c r="T61" s="121" t="s">
        <v>201</v>
      </c>
      <c r="U61" s="73">
        <f>SUMIF('Avoided Costs 2013-2021'!$A:$A,'2013 Actuals'!T61&amp;'2013 Actuals'!S61,'Avoided Costs 2013-2021'!$E:$E)*J61</f>
        <v>51037.047367020976</v>
      </c>
      <c r="V61" s="73">
        <f>SUMIF('Avoided Costs 2013-2021'!$A:$A,'2013 Actuals'!T61&amp;'2013 Actuals'!S61,'Avoided Costs 2013-2021'!$K:$K)*N61</f>
        <v>0</v>
      </c>
      <c r="W61" s="73">
        <f>SUMIF('Avoided Costs 2013-2021'!$A:$A,'2013 Actuals'!T61&amp;'2013 Actuals'!S61,'Avoided Costs 2013-2021'!$M:$M)*R61</f>
        <v>0</v>
      </c>
      <c r="X61" s="73">
        <f t="shared" si="37"/>
        <v>51037.047367020976</v>
      </c>
      <c r="Y61" s="83">
        <v>5609</v>
      </c>
      <c r="Z61" s="74">
        <f t="shared" si="38"/>
        <v>4935.92</v>
      </c>
      <c r="AA61" s="74"/>
      <c r="AB61" s="74"/>
      <c r="AC61" s="74"/>
      <c r="AD61" s="74">
        <f t="shared" si="39"/>
        <v>4935.92</v>
      </c>
      <c r="AE61" s="74">
        <f t="shared" si="40"/>
        <v>46101.127367020978</v>
      </c>
      <c r="AF61" s="52">
        <f t="shared" si="41"/>
        <v>406716.02400000003</v>
      </c>
      <c r="AG61" s="52">
        <f t="shared" si="42"/>
        <v>462177.3</v>
      </c>
    </row>
    <row r="62" spans="1:33" s="21" customFormat="1" ht="11.25" customHeight="1" x14ac:dyDescent="0.2">
      <c r="A62" s="114" t="s">
        <v>781</v>
      </c>
      <c r="B62" s="114"/>
      <c r="C62" s="114"/>
      <c r="D62" s="160">
        <v>0</v>
      </c>
      <c r="E62" s="161"/>
      <c r="F62" s="162">
        <v>0.12</v>
      </c>
      <c r="G62" s="162"/>
      <c r="H62" s="52">
        <v>47535</v>
      </c>
      <c r="I62" s="52">
        <f t="shared" si="31"/>
        <v>42020.94</v>
      </c>
      <c r="J62" s="52">
        <f t="shared" si="32"/>
        <v>36978.427200000006</v>
      </c>
      <c r="K62" s="61"/>
      <c r="L62" s="160">
        <v>14472</v>
      </c>
      <c r="M62" s="55">
        <f t="shared" si="33"/>
        <v>14472</v>
      </c>
      <c r="N62" s="55">
        <f t="shared" si="34"/>
        <v>12735.36</v>
      </c>
      <c r="O62" s="95"/>
      <c r="P62" s="160">
        <v>0</v>
      </c>
      <c r="Q62" s="55">
        <f t="shared" si="35"/>
        <v>0</v>
      </c>
      <c r="R62" s="65">
        <f t="shared" si="36"/>
        <v>0</v>
      </c>
      <c r="S62" s="118">
        <v>15</v>
      </c>
      <c r="T62" s="121" t="s">
        <v>201</v>
      </c>
      <c r="U62" s="73">
        <f>SUMIF('Avoided Costs 2013-2021'!$A:$A,'2013 Actuals'!T62&amp;'2013 Actuals'!S62,'Avoided Costs 2013-2021'!$E:$E)*J62</f>
        <v>82641.702170250792</v>
      </c>
      <c r="V62" s="73">
        <f>SUMIF('Avoided Costs 2013-2021'!$A:$A,'2013 Actuals'!T62&amp;'2013 Actuals'!S62,'Avoided Costs 2013-2021'!$K:$K)*N62</f>
        <v>13332.567755826691</v>
      </c>
      <c r="W62" s="73">
        <f>SUMIF('Avoided Costs 2013-2021'!$A:$A,'2013 Actuals'!T62&amp;'2013 Actuals'!S62,'Avoided Costs 2013-2021'!$M:$M)*R62</f>
        <v>0</v>
      </c>
      <c r="X62" s="73">
        <f t="shared" si="37"/>
        <v>95974.269926077483</v>
      </c>
      <c r="Y62" s="83">
        <v>100000</v>
      </c>
      <c r="Z62" s="74">
        <f t="shared" si="38"/>
        <v>88000</v>
      </c>
      <c r="AA62" s="74"/>
      <c r="AB62" s="74"/>
      <c r="AC62" s="74"/>
      <c r="AD62" s="74">
        <f t="shared" si="39"/>
        <v>88000</v>
      </c>
      <c r="AE62" s="74">
        <f t="shared" si="40"/>
        <v>7974.2699260774825</v>
      </c>
      <c r="AF62" s="52">
        <f t="shared" si="41"/>
        <v>554676.40800000005</v>
      </c>
      <c r="AG62" s="52">
        <f t="shared" si="42"/>
        <v>630314.10000000009</v>
      </c>
    </row>
    <row r="63" spans="1:33" s="21" customFormat="1" ht="11.25" customHeight="1" x14ac:dyDescent="0.2">
      <c r="A63" s="114" t="s">
        <v>782</v>
      </c>
      <c r="B63" s="114"/>
      <c r="C63" s="114"/>
      <c r="D63" s="160">
        <v>1</v>
      </c>
      <c r="E63" s="161"/>
      <c r="F63" s="162">
        <v>0.12</v>
      </c>
      <c r="G63" s="162"/>
      <c r="H63" s="52">
        <v>30573</v>
      </c>
      <c r="I63" s="52">
        <f t="shared" si="31"/>
        <v>27026.531999999999</v>
      </c>
      <c r="J63" s="52">
        <f t="shared" si="32"/>
        <v>23783.348159999998</v>
      </c>
      <c r="K63" s="61"/>
      <c r="L63" s="160">
        <v>0</v>
      </c>
      <c r="M63" s="55">
        <f t="shared" si="33"/>
        <v>0</v>
      </c>
      <c r="N63" s="55">
        <f t="shared" si="34"/>
        <v>0</v>
      </c>
      <c r="O63" s="95"/>
      <c r="P63" s="160">
        <v>0</v>
      </c>
      <c r="Q63" s="55">
        <f t="shared" si="35"/>
        <v>0</v>
      </c>
      <c r="R63" s="65">
        <f t="shared" si="36"/>
        <v>0</v>
      </c>
      <c r="S63" s="118">
        <v>15</v>
      </c>
      <c r="T63" s="121" t="s">
        <v>201</v>
      </c>
      <c r="U63" s="73">
        <f>SUMIF('Avoided Costs 2013-2021'!$A:$A,'2013 Actuals'!T63&amp;'2013 Actuals'!S63,'Avoided Costs 2013-2021'!$E:$E)*J63</f>
        <v>53152.514156959645</v>
      </c>
      <c r="V63" s="73">
        <f>SUMIF('Avoided Costs 2013-2021'!$A:$A,'2013 Actuals'!T63&amp;'2013 Actuals'!S63,'Avoided Costs 2013-2021'!$K:$K)*N63</f>
        <v>0</v>
      </c>
      <c r="W63" s="73">
        <f>SUMIF('Avoided Costs 2013-2021'!$A:$A,'2013 Actuals'!T63&amp;'2013 Actuals'!S63,'Avoided Costs 2013-2021'!$M:$M)*R63</f>
        <v>0</v>
      </c>
      <c r="X63" s="73">
        <f t="shared" si="37"/>
        <v>53152.514156959645</v>
      </c>
      <c r="Y63" s="83">
        <v>100000</v>
      </c>
      <c r="Z63" s="74">
        <f t="shared" si="38"/>
        <v>88000</v>
      </c>
      <c r="AA63" s="74"/>
      <c r="AB63" s="74"/>
      <c r="AC63" s="74"/>
      <c r="AD63" s="74">
        <f t="shared" si="39"/>
        <v>88000</v>
      </c>
      <c r="AE63" s="74">
        <f t="shared" si="40"/>
        <v>-34847.485843040355</v>
      </c>
      <c r="AF63" s="52">
        <f t="shared" si="41"/>
        <v>356750.22239999997</v>
      </c>
      <c r="AG63" s="52">
        <f t="shared" si="42"/>
        <v>405397.98</v>
      </c>
    </row>
    <row r="64" spans="1:33" s="21" customFormat="1" ht="11.25" customHeight="1" x14ac:dyDescent="0.2">
      <c r="A64" s="114" t="s">
        <v>783</v>
      </c>
      <c r="B64" s="114"/>
      <c r="C64" s="114"/>
      <c r="D64" s="160">
        <v>1</v>
      </c>
      <c r="E64" s="161"/>
      <c r="F64" s="162">
        <v>0.12</v>
      </c>
      <c r="G64" s="162"/>
      <c r="H64" s="52">
        <v>56170</v>
      </c>
      <c r="I64" s="52">
        <f t="shared" si="31"/>
        <v>49654.28</v>
      </c>
      <c r="J64" s="52">
        <f t="shared" si="32"/>
        <v>43695.7664</v>
      </c>
      <c r="K64" s="61"/>
      <c r="L64" s="160">
        <v>0</v>
      </c>
      <c r="M64" s="55">
        <f t="shared" si="33"/>
        <v>0</v>
      </c>
      <c r="N64" s="55">
        <f t="shared" si="34"/>
        <v>0</v>
      </c>
      <c r="O64" s="95"/>
      <c r="P64" s="160">
        <v>0</v>
      </c>
      <c r="Q64" s="55">
        <f t="shared" si="35"/>
        <v>0</v>
      </c>
      <c r="R64" s="65">
        <f t="shared" si="36"/>
        <v>0</v>
      </c>
      <c r="S64" s="118">
        <v>25</v>
      </c>
      <c r="T64" s="121" t="s">
        <v>201</v>
      </c>
      <c r="U64" s="73">
        <f>SUMIF('Avoided Costs 2013-2021'!$A:$A,'2013 Actuals'!T64&amp;'2013 Actuals'!S64,'Avoided Costs 2013-2021'!$E:$E)*J64</f>
        <v>137079.8522739716</v>
      </c>
      <c r="V64" s="73">
        <f>SUMIF('Avoided Costs 2013-2021'!$A:$A,'2013 Actuals'!T64&amp;'2013 Actuals'!S64,'Avoided Costs 2013-2021'!$K:$K)*N64</f>
        <v>0</v>
      </c>
      <c r="W64" s="73">
        <f>SUMIF('Avoided Costs 2013-2021'!$A:$A,'2013 Actuals'!T64&amp;'2013 Actuals'!S64,'Avoided Costs 2013-2021'!$M:$M)*R64</f>
        <v>0</v>
      </c>
      <c r="X64" s="73">
        <f t="shared" si="37"/>
        <v>137079.8522739716</v>
      </c>
      <c r="Y64" s="83">
        <v>31640</v>
      </c>
      <c r="Z64" s="74">
        <f t="shared" si="38"/>
        <v>27843.200000000001</v>
      </c>
      <c r="AA64" s="74"/>
      <c r="AB64" s="74"/>
      <c r="AC64" s="74"/>
      <c r="AD64" s="74">
        <f t="shared" si="39"/>
        <v>27843.200000000001</v>
      </c>
      <c r="AE64" s="74">
        <f t="shared" si="40"/>
        <v>109236.6522739716</v>
      </c>
      <c r="AF64" s="52">
        <f t="shared" si="41"/>
        <v>1092394.1599999999</v>
      </c>
      <c r="AG64" s="52">
        <f t="shared" si="42"/>
        <v>1241357</v>
      </c>
    </row>
    <row r="65" spans="1:33" s="21" customFormat="1" ht="11.25" customHeight="1" x14ac:dyDescent="0.2">
      <c r="A65" s="114" t="s">
        <v>784</v>
      </c>
      <c r="B65" s="114"/>
      <c r="C65" s="114"/>
      <c r="D65" s="160">
        <v>1</v>
      </c>
      <c r="E65" s="161"/>
      <c r="F65" s="162">
        <v>0.12</v>
      </c>
      <c r="G65" s="162"/>
      <c r="H65" s="52">
        <v>33387</v>
      </c>
      <c r="I65" s="52">
        <f t="shared" si="31"/>
        <v>29514.108</v>
      </c>
      <c r="J65" s="52">
        <f t="shared" si="32"/>
        <v>25972.41504</v>
      </c>
      <c r="K65" s="61"/>
      <c r="L65" s="160">
        <v>0</v>
      </c>
      <c r="M65" s="55">
        <f t="shared" si="33"/>
        <v>0</v>
      </c>
      <c r="N65" s="55">
        <f t="shared" si="34"/>
        <v>0</v>
      </c>
      <c r="O65" s="95"/>
      <c r="P65" s="160">
        <v>0</v>
      </c>
      <c r="Q65" s="55">
        <f t="shared" si="35"/>
        <v>0</v>
      </c>
      <c r="R65" s="65">
        <f t="shared" si="36"/>
        <v>0</v>
      </c>
      <c r="S65" s="118">
        <v>25</v>
      </c>
      <c r="T65" s="121" t="s">
        <v>201</v>
      </c>
      <c r="U65" s="73">
        <f>SUMIF('Avoided Costs 2013-2021'!$A:$A,'2013 Actuals'!T65&amp;'2013 Actuals'!S65,'Avoided Costs 2013-2021'!$E:$E)*J65</f>
        <v>81479.170871837094</v>
      </c>
      <c r="V65" s="73">
        <f>SUMIF('Avoided Costs 2013-2021'!$A:$A,'2013 Actuals'!T65&amp;'2013 Actuals'!S65,'Avoided Costs 2013-2021'!$K:$K)*N65</f>
        <v>0</v>
      </c>
      <c r="W65" s="73">
        <f>SUMIF('Avoided Costs 2013-2021'!$A:$A,'2013 Actuals'!T65&amp;'2013 Actuals'!S65,'Avoided Costs 2013-2021'!$M:$M)*R65</f>
        <v>0</v>
      </c>
      <c r="X65" s="73">
        <f t="shared" si="37"/>
        <v>81479.170871837094</v>
      </c>
      <c r="Y65" s="83">
        <v>36135</v>
      </c>
      <c r="Z65" s="74">
        <f t="shared" si="38"/>
        <v>31798.799999999999</v>
      </c>
      <c r="AA65" s="74"/>
      <c r="AB65" s="74"/>
      <c r="AC65" s="74"/>
      <c r="AD65" s="74">
        <f t="shared" si="39"/>
        <v>31798.799999999999</v>
      </c>
      <c r="AE65" s="74">
        <f t="shared" si="40"/>
        <v>49680.370871837091</v>
      </c>
      <c r="AF65" s="52">
        <f t="shared" si="41"/>
        <v>649310.37600000005</v>
      </c>
      <c r="AG65" s="52">
        <f t="shared" si="42"/>
        <v>737852.7</v>
      </c>
    </row>
    <row r="66" spans="1:33" s="21" customFormat="1" ht="11.25" customHeight="1" x14ac:dyDescent="0.2">
      <c r="A66" s="114" t="s">
        <v>785</v>
      </c>
      <c r="B66" s="114"/>
      <c r="C66" s="114"/>
      <c r="D66" s="160">
        <v>1</v>
      </c>
      <c r="E66" s="161"/>
      <c r="F66" s="162">
        <v>0.12</v>
      </c>
      <c r="G66" s="162"/>
      <c r="H66" s="52">
        <v>159434</v>
      </c>
      <c r="I66" s="52">
        <f t="shared" si="31"/>
        <v>140939.65599999999</v>
      </c>
      <c r="J66" s="52">
        <f t="shared" si="32"/>
        <v>124026.89727999999</v>
      </c>
      <c r="K66" s="61"/>
      <c r="L66" s="160">
        <v>0</v>
      </c>
      <c r="M66" s="55">
        <f t="shared" si="33"/>
        <v>0</v>
      </c>
      <c r="N66" s="55">
        <f t="shared" si="34"/>
        <v>0</v>
      </c>
      <c r="O66" s="95"/>
      <c r="P66" s="160">
        <v>0</v>
      </c>
      <c r="Q66" s="55">
        <f t="shared" si="35"/>
        <v>0</v>
      </c>
      <c r="R66" s="65">
        <f t="shared" si="36"/>
        <v>0</v>
      </c>
      <c r="S66" s="118">
        <v>15</v>
      </c>
      <c r="T66" s="121" t="s">
        <v>201</v>
      </c>
      <c r="U66" s="73">
        <f>SUMIF('Avoided Costs 2013-2021'!$A:$A,'2013 Actuals'!T66&amp;'2013 Actuals'!S66,'Avoided Costs 2013-2021'!$E:$E)*J66</f>
        <v>277183.06813530583</v>
      </c>
      <c r="V66" s="73">
        <f>SUMIF('Avoided Costs 2013-2021'!$A:$A,'2013 Actuals'!T66&amp;'2013 Actuals'!S66,'Avoided Costs 2013-2021'!$K:$K)*N66</f>
        <v>0</v>
      </c>
      <c r="W66" s="73">
        <f>SUMIF('Avoided Costs 2013-2021'!$A:$A,'2013 Actuals'!T66&amp;'2013 Actuals'!S66,'Avoided Costs 2013-2021'!$M:$M)*R66</f>
        <v>0</v>
      </c>
      <c r="X66" s="73">
        <f t="shared" si="37"/>
        <v>277183.06813530583</v>
      </c>
      <c r="Y66" s="83">
        <v>243100</v>
      </c>
      <c r="Z66" s="74">
        <f t="shared" si="38"/>
        <v>213928</v>
      </c>
      <c r="AA66" s="74"/>
      <c r="AB66" s="74"/>
      <c r="AC66" s="74"/>
      <c r="AD66" s="74">
        <f t="shared" si="39"/>
        <v>213928</v>
      </c>
      <c r="AE66" s="74">
        <f t="shared" si="40"/>
        <v>63255.068135305832</v>
      </c>
      <c r="AF66" s="52">
        <f t="shared" si="41"/>
        <v>1860403.4591999999</v>
      </c>
      <c r="AG66" s="52">
        <f t="shared" si="42"/>
        <v>2114094.84</v>
      </c>
    </row>
    <row r="67" spans="1:33" s="21" customFormat="1" ht="11.25" customHeight="1" x14ac:dyDescent="0.2">
      <c r="A67" s="114" t="s">
        <v>786</v>
      </c>
      <c r="B67" s="114"/>
      <c r="C67" s="114"/>
      <c r="D67" s="160">
        <v>1</v>
      </c>
      <c r="E67" s="161"/>
      <c r="F67" s="162">
        <v>0.12</v>
      </c>
      <c r="G67" s="162"/>
      <c r="H67" s="52">
        <v>25700</v>
      </c>
      <c r="I67" s="52">
        <f t="shared" si="31"/>
        <v>22718.799999999999</v>
      </c>
      <c r="J67" s="52">
        <f t="shared" si="32"/>
        <v>19992.543999999998</v>
      </c>
      <c r="K67" s="61"/>
      <c r="L67" s="160">
        <v>0</v>
      </c>
      <c r="M67" s="55">
        <f t="shared" si="33"/>
        <v>0</v>
      </c>
      <c r="N67" s="55">
        <f t="shared" si="34"/>
        <v>0</v>
      </c>
      <c r="O67" s="95"/>
      <c r="P67" s="160">
        <v>0</v>
      </c>
      <c r="Q67" s="55">
        <f t="shared" si="35"/>
        <v>0</v>
      </c>
      <c r="R67" s="65">
        <f t="shared" si="36"/>
        <v>0</v>
      </c>
      <c r="S67" s="118">
        <v>25</v>
      </c>
      <c r="T67" s="121" t="s">
        <v>201</v>
      </c>
      <c r="U67" s="73">
        <f>SUMIF('Avoided Costs 2013-2021'!$A:$A,'2013 Actuals'!T67&amp;'2013 Actuals'!S67,'Avoided Costs 2013-2021'!$E:$E)*J67</f>
        <v>62719.462407709987</v>
      </c>
      <c r="V67" s="73">
        <f>SUMIF('Avoided Costs 2013-2021'!$A:$A,'2013 Actuals'!T67&amp;'2013 Actuals'!S67,'Avoided Costs 2013-2021'!$K:$K)*N67</f>
        <v>0</v>
      </c>
      <c r="W67" s="73">
        <f>SUMIF('Avoided Costs 2013-2021'!$A:$A,'2013 Actuals'!T67&amp;'2013 Actuals'!S67,'Avoided Costs 2013-2021'!$M:$M)*R67</f>
        <v>0</v>
      </c>
      <c r="X67" s="73">
        <f t="shared" si="37"/>
        <v>62719.462407709987</v>
      </c>
      <c r="Y67" s="83">
        <v>39004</v>
      </c>
      <c r="Z67" s="74">
        <f t="shared" si="38"/>
        <v>34323.519999999997</v>
      </c>
      <c r="AA67" s="74"/>
      <c r="AB67" s="74"/>
      <c r="AC67" s="74"/>
      <c r="AD67" s="74">
        <f t="shared" si="39"/>
        <v>34323.519999999997</v>
      </c>
      <c r="AE67" s="74">
        <f t="shared" si="40"/>
        <v>28395.94240770999</v>
      </c>
      <c r="AF67" s="52">
        <f t="shared" si="41"/>
        <v>499813.6</v>
      </c>
      <c r="AG67" s="52">
        <f t="shared" si="42"/>
        <v>567970</v>
      </c>
    </row>
    <row r="68" spans="1:33" s="21" customFormat="1" ht="11.25" customHeight="1" x14ac:dyDescent="0.2">
      <c r="A68" s="114" t="s">
        <v>787</v>
      </c>
      <c r="B68" s="114"/>
      <c r="C68" s="114"/>
      <c r="D68" s="160">
        <v>1</v>
      </c>
      <c r="E68" s="161"/>
      <c r="F68" s="162">
        <v>0.12</v>
      </c>
      <c r="G68" s="162"/>
      <c r="H68" s="52">
        <v>40109</v>
      </c>
      <c r="I68" s="52">
        <f t="shared" si="31"/>
        <v>35456.356</v>
      </c>
      <c r="J68" s="52">
        <f t="shared" si="32"/>
        <v>31201.593280000001</v>
      </c>
      <c r="K68" s="61"/>
      <c r="L68" s="160">
        <v>65350</v>
      </c>
      <c r="M68" s="55">
        <f t="shared" si="33"/>
        <v>65350</v>
      </c>
      <c r="N68" s="55">
        <f t="shared" si="34"/>
        <v>57508</v>
      </c>
      <c r="O68" s="95"/>
      <c r="P68" s="160">
        <v>0</v>
      </c>
      <c r="Q68" s="55">
        <f t="shared" si="35"/>
        <v>0</v>
      </c>
      <c r="R68" s="65">
        <f t="shared" si="36"/>
        <v>0</v>
      </c>
      <c r="S68" s="118">
        <v>15</v>
      </c>
      <c r="T68" s="121" t="s">
        <v>201</v>
      </c>
      <c r="U68" s="73">
        <f>SUMIF('Avoided Costs 2013-2021'!$A:$A,'2013 Actuals'!T68&amp;'2013 Actuals'!S68,'Avoided Costs 2013-2021'!$E:$E)*J68</f>
        <v>69731.272375020271</v>
      </c>
      <c r="V68" s="73">
        <f>SUMIF('Avoided Costs 2013-2021'!$A:$A,'2013 Actuals'!T68&amp;'2013 Actuals'!S68,'Avoided Costs 2013-2021'!$K:$K)*N68</f>
        <v>60204.761114101311</v>
      </c>
      <c r="W68" s="73">
        <f>SUMIF('Avoided Costs 2013-2021'!$A:$A,'2013 Actuals'!T68&amp;'2013 Actuals'!S68,'Avoided Costs 2013-2021'!$M:$M)*R68</f>
        <v>0</v>
      </c>
      <c r="X68" s="73">
        <f t="shared" si="37"/>
        <v>129936.03348912159</v>
      </c>
      <c r="Y68" s="83">
        <v>16000</v>
      </c>
      <c r="Z68" s="74">
        <f t="shared" si="38"/>
        <v>14080</v>
      </c>
      <c r="AA68" s="74"/>
      <c r="AB68" s="74"/>
      <c r="AC68" s="74"/>
      <c r="AD68" s="74">
        <f t="shared" si="39"/>
        <v>14080</v>
      </c>
      <c r="AE68" s="74">
        <f t="shared" si="40"/>
        <v>115856.03348912159</v>
      </c>
      <c r="AF68" s="52">
        <f t="shared" si="41"/>
        <v>468023.89919999999</v>
      </c>
      <c r="AG68" s="52">
        <f t="shared" si="42"/>
        <v>531845.34</v>
      </c>
    </row>
    <row r="69" spans="1:33" s="21" customFormat="1" ht="11.25" customHeight="1" x14ac:dyDescent="0.2">
      <c r="A69" s="114" t="s">
        <v>788</v>
      </c>
      <c r="B69" s="114"/>
      <c r="C69" s="114"/>
      <c r="D69" s="160">
        <v>1</v>
      </c>
      <c r="E69" s="161"/>
      <c r="F69" s="162">
        <v>0.12</v>
      </c>
      <c r="G69" s="162"/>
      <c r="H69" s="52">
        <v>42217</v>
      </c>
      <c r="I69" s="52">
        <f t="shared" si="31"/>
        <v>37319.828000000001</v>
      </c>
      <c r="J69" s="52">
        <f t="shared" si="32"/>
        <v>32841.448640000002</v>
      </c>
      <c r="K69" s="61"/>
      <c r="L69" s="160">
        <v>65350</v>
      </c>
      <c r="M69" s="55">
        <f t="shared" si="33"/>
        <v>65350</v>
      </c>
      <c r="N69" s="55">
        <f t="shared" si="34"/>
        <v>57508</v>
      </c>
      <c r="O69" s="95"/>
      <c r="P69" s="160">
        <v>0</v>
      </c>
      <c r="Q69" s="55">
        <f t="shared" si="35"/>
        <v>0</v>
      </c>
      <c r="R69" s="65">
        <f t="shared" si="36"/>
        <v>0</v>
      </c>
      <c r="S69" s="118">
        <v>15</v>
      </c>
      <c r="T69" s="121" t="s">
        <v>201</v>
      </c>
      <c r="U69" s="73">
        <f>SUMIF('Avoided Costs 2013-2021'!$A:$A,'2013 Actuals'!T69&amp;'2013 Actuals'!S69,'Avoided Costs 2013-2021'!$E:$E)*J69</f>
        <v>73396.123709297943</v>
      </c>
      <c r="V69" s="73">
        <f>SUMIF('Avoided Costs 2013-2021'!$A:$A,'2013 Actuals'!T69&amp;'2013 Actuals'!S69,'Avoided Costs 2013-2021'!$K:$K)*N69</f>
        <v>60204.761114101311</v>
      </c>
      <c r="W69" s="73">
        <f>SUMIF('Avoided Costs 2013-2021'!$A:$A,'2013 Actuals'!T69&amp;'2013 Actuals'!S69,'Avoided Costs 2013-2021'!$M:$M)*R69</f>
        <v>0</v>
      </c>
      <c r="X69" s="73">
        <f t="shared" si="37"/>
        <v>133600.88482339925</v>
      </c>
      <c r="Y69" s="83">
        <v>14550</v>
      </c>
      <c r="Z69" s="74">
        <f t="shared" si="38"/>
        <v>12804</v>
      </c>
      <c r="AA69" s="74"/>
      <c r="AB69" s="74"/>
      <c r="AC69" s="74"/>
      <c r="AD69" s="74">
        <f t="shared" si="39"/>
        <v>12804</v>
      </c>
      <c r="AE69" s="74">
        <f t="shared" si="40"/>
        <v>120796.88482339925</v>
      </c>
      <c r="AF69" s="52">
        <f t="shared" si="41"/>
        <v>492621.72960000002</v>
      </c>
      <c r="AG69" s="52">
        <f t="shared" si="42"/>
        <v>559797.42000000004</v>
      </c>
    </row>
    <row r="70" spans="1:33" s="21" customFormat="1" ht="11.25" customHeight="1" x14ac:dyDescent="0.2">
      <c r="A70" s="114" t="s">
        <v>789</v>
      </c>
      <c r="B70" s="114"/>
      <c r="C70" s="114"/>
      <c r="D70" s="160">
        <v>1</v>
      </c>
      <c r="E70" s="161"/>
      <c r="F70" s="162">
        <v>0.12</v>
      </c>
      <c r="G70" s="162"/>
      <c r="H70" s="52">
        <v>32620</v>
      </c>
      <c r="I70" s="52">
        <f t="shared" si="31"/>
        <v>28836.080000000002</v>
      </c>
      <c r="J70" s="52">
        <f t="shared" si="32"/>
        <v>25375.750400000001</v>
      </c>
      <c r="K70" s="61"/>
      <c r="L70" s="160">
        <v>0</v>
      </c>
      <c r="M70" s="55">
        <f t="shared" si="33"/>
        <v>0</v>
      </c>
      <c r="N70" s="55">
        <f t="shared" si="34"/>
        <v>0</v>
      </c>
      <c r="O70" s="95"/>
      <c r="P70" s="160">
        <v>0</v>
      </c>
      <c r="Q70" s="55">
        <f t="shared" si="35"/>
        <v>0</v>
      </c>
      <c r="R70" s="65">
        <f t="shared" si="36"/>
        <v>0</v>
      </c>
      <c r="S70" s="118">
        <v>15</v>
      </c>
      <c r="T70" s="121" t="s">
        <v>201</v>
      </c>
      <c r="U70" s="73">
        <f>SUMIF('Avoided Costs 2013-2021'!$A:$A,'2013 Actuals'!T70&amp;'2013 Actuals'!S70,'Avoided Costs 2013-2021'!$E:$E)*J70</f>
        <v>56711.314290387723</v>
      </c>
      <c r="V70" s="73">
        <f>SUMIF('Avoided Costs 2013-2021'!$A:$A,'2013 Actuals'!T70&amp;'2013 Actuals'!S70,'Avoided Costs 2013-2021'!$K:$K)*N70</f>
        <v>0</v>
      </c>
      <c r="W70" s="73">
        <f>SUMIF('Avoided Costs 2013-2021'!$A:$A,'2013 Actuals'!T70&amp;'2013 Actuals'!S70,'Avoided Costs 2013-2021'!$M:$M)*R70</f>
        <v>0</v>
      </c>
      <c r="X70" s="73">
        <f t="shared" si="37"/>
        <v>56711.314290387723</v>
      </c>
      <c r="Y70" s="83">
        <v>26825</v>
      </c>
      <c r="Z70" s="74">
        <f t="shared" si="38"/>
        <v>23606</v>
      </c>
      <c r="AA70" s="74"/>
      <c r="AB70" s="74"/>
      <c r="AC70" s="74"/>
      <c r="AD70" s="74">
        <f t="shared" si="39"/>
        <v>23606</v>
      </c>
      <c r="AE70" s="74">
        <f t="shared" si="40"/>
        <v>33105.314290387723</v>
      </c>
      <c r="AF70" s="52">
        <f t="shared" si="41"/>
        <v>380636.25599999999</v>
      </c>
      <c r="AG70" s="52">
        <f t="shared" si="42"/>
        <v>432541.2</v>
      </c>
    </row>
    <row r="71" spans="1:33" s="21" customFormat="1" ht="11.25" customHeight="1" x14ac:dyDescent="0.2">
      <c r="A71" s="114" t="s">
        <v>790</v>
      </c>
      <c r="B71" s="114"/>
      <c r="C71" s="114"/>
      <c r="D71" s="160">
        <v>1</v>
      </c>
      <c r="E71" s="161"/>
      <c r="F71" s="162">
        <v>0.12</v>
      </c>
      <c r="G71" s="162"/>
      <c r="H71" s="52">
        <v>11291</v>
      </c>
      <c r="I71" s="52">
        <f t="shared" si="31"/>
        <v>9981.2440000000006</v>
      </c>
      <c r="J71" s="52">
        <f t="shared" si="32"/>
        <v>8783.4947200000006</v>
      </c>
      <c r="K71" s="61"/>
      <c r="L71" s="160">
        <v>0</v>
      </c>
      <c r="M71" s="55">
        <f t="shared" si="33"/>
        <v>0</v>
      </c>
      <c r="N71" s="55">
        <f t="shared" si="34"/>
        <v>0</v>
      </c>
      <c r="O71" s="95"/>
      <c r="P71" s="160">
        <v>0</v>
      </c>
      <c r="Q71" s="55">
        <f t="shared" si="35"/>
        <v>0</v>
      </c>
      <c r="R71" s="65">
        <f t="shared" si="36"/>
        <v>0</v>
      </c>
      <c r="S71" s="118">
        <v>15</v>
      </c>
      <c r="T71" s="121" t="s">
        <v>201</v>
      </c>
      <c r="U71" s="73">
        <f>SUMIF('Avoided Costs 2013-2021'!$A:$A,'2013 Actuals'!T71&amp;'2013 Actuals'!S71,'Avoided Costs 2013-2021'!$E:$E)*J71</f>
        <v>19629.90342283163</v>
      </c>
      <c r="V71" s="73">
        <f>SUMIF('Avoided Costs 2013-2021'!$A:$A,'2013 Actuals'!T71&amp;'2013 Actuals'!S71,'Avoided Costs 2013-2021'!$K:$K)*N71</f>
        <v>0</v>
      </c>
      <c r="W71" s="73">
        <f>SUMIF('Avoided Costs 2013-2021'!$A:$A,'2013 Actuals'!T71&amp;'2013 Actuals'!S71,'Avoided Costs 2013-2021'!$M:$M)*R71</f>
        <v>0</v>
      </c>
      <c r="X71" s="73">
        <f t="shared" si="37"/>
        <v>19629.90342283163</v>
      </c>
      <c r="Y71" s="83">
        <v>7795</v>
      </c>
      <c r="Z71" s="74">
        <f t="shared" si="38"/>
        <v>6859.6</v>
      </c>
      <c r="AA71" s="74"/>
      <c r="AB71" s="74"/>
      <c r="AC71" s="74"/>
      <c r="AD71" s="74">
        <f t="shared" si="39"/>
        <v>6859.6</v>
      </c>
      <c r="AE71" s="74">
        <f t="shared" si="40"/>
        <v>12770.30342283163</v>
      </c>
      <c r="AF71" s="52">
        <f t="shared" si="41"/>
        <v>131752.42080000002</v>
      </c>
      <c r="AG71" s="52">
        <f t="shared" si="42"/>
        <v>149718.66</v>
      </c>
    </row>
    <row r="72" spans="1:33" s="21" customFormat="1" ht="11.25" customHeight="1" x14ac:dyDescent="0.2">
      <c r="A72" s="114" t="s">
        <v>791</v>
      </c>
      <c r="B72" s="114"/>
      <c r="C72" s="114"/>
      <c r="D72" s="160">
        <v>1</v>
      </c>
      <c r="E72" s="161"/>
      <c r="F72" s="162">
        <v>0.12</v>
      </c>
      <c r="G72" s="162"/>
      <c r="H72" s="52">
        <v>24283</v>
      </c>
      <c r="I72" s="52">
        <f>H72</f>
        <v>24283</v>
      </c>
      <c r="J72" s="52">
        <f t="shared" si="32"/>
        <v>21369.040000000001</v>
      </c>
      <c r="K72" s="61"/>
      <c r="L72" s="160">
        <v>0</v>
      </c>
      <c r="M72" s="55">
        <f t="shared" si="33"/>
        <v>0</v>
      </c>
      <c r="N72" s="55">
        <f t="shared" si="34"/>
        <v>0</v>
      </c>
      <c r="O72" s="95"/>
      <c r="P72" s="160">
        <v>0</v>
      </c>
      <c r="Q72" s="55">
        <f t="shared" si="35"/>
        <v>0</v>
      </c>
      <c r="R72" s="65">
        <f t="shared" si="36"/>
        <v>0</v>
      </c>
      <c r="S72" s="118">
        <v>25</v>
      </c>
      <c r="T72" s="121" t="s">
        <v>201</v>
      </c>
      <c r="U72" s="73">
        <f>SUMIF('Avoided Costs 2013-2021'!$A:$A,'2013 Actuals'!T72&amp;'2013 Actuals'!S72,'Avoided Costs 2013-2021'!$E:$E)*J72</f>
        <v>67037.726712961143</v>
      </c>
      <c r="V72" s="73">
        <f>SUMIF('Avoided Costs 2013-2021'!$A:$A,'2013 Actuals'!T72&amp;'2013 Actuals'!S72,'Avoided Costs 2013-2021'!$K:$K)*N72</f>
        <v>0</v>
      </c>
      <c r="W72" s="73">
        <f>SUMIF('Avoided Costs 2013-2021'!$A:$A,'2013 Actuals'!T72&amp;'2013 Actuals'!S72,'Avoided Costs 2013-2021'!$M:$M)*R72</f>
        <v>0</v>
      </c>
      <c r="X72" s="73">
        <f t="shared" si="37"/>
        <v>67037.726712961143</v>
      </c>
      <c r="Y72" s="83">
        <v>20600</v>
      </c>
      <c r="Z72" s="74">
        <f t="shared" si="38"/>
        <v>18128</v>
      </c>
      <c r="AA72" s="74"/>
      <c r="AB72" s="74"/>
      <c r="AC72" s="74"/>
      <c r="AD72" s="74">
        <f t="shared" si="39"/>
        <v>18128</v>
      </c>
      <c r="AE72" s="74">
        <f t="shared" si="40"/>
        <v>48909.726712961143</v>
      </c>
      <c r="AF72" s="52">
        <f t="shared" si="41"/>
        <v>534226</v>
      </c>
      <c r="AG72" s="52">
        <f t="shared" si="42"/>
        <v>607075</v>
      </c>
    </row>
    <row r="73" spans="1:33" s="21" customFormat="1" ht="11.25" customHeight="1" x14ac:dyDescent="0.2">
      <c r="A73" s="114" t="s">
        <v>792</v>
      </c>
      <c r="B73" s="114"/>
      <c r="C73" s="114"/>
      <c r="D73" s="160">
        <v>0</v>
      </c>
      <c r="E73" s="161"/>
      <c r="F73" s="162">
        <v>0.12</v>
      </c>
      <c r="G73" s="162"/>
      <c r="H73" s="52">
        <v>1388</v>
      </c>
      <c r="I73" s="52">
        <f t="shared" si="31"/>
        <v>1226.992</v>
      </c>
      <c r="J73" s="52">
        <f t="shared" si="32"/>
        <v>1079.75296</v>
      </c>
      <c r="K73" s="61"/>
      <c r="L73" s="160">
        <v>0</v>
      </c>
      <c r="M73" s="55">
        <f t="shared" si="33"/>
        <v>0</v>
      </c>
      <c r="N73" s="55">
        <f t="shared" si="34"/>
        <v>0</v>
      </c>
      <c r="O73" s="95"/>
      <c r="P73" s="160">
        <v>0</v>
      </c>
      <c r="Q73" s="55">
        <f t="shared" si="35"/>
        <v>0</v>
      </c>
      <c r="R73" s="65">
        <f t="shared" si="36"/>
        <v>0</v>
      </c>
      <c r="S73" s="118">
        <v>25</v>
      </c>
      <c r="T73" s="121" t="s">
        <v>217</v>
      </c>
      <c r="U73" s="73">
        <f>SUMIF('Avoided Costs 2013-2021'!$A:$A,'2013 Actuals'!T73&amp;'2013 Actuals'!S73,'Avoided Costs 2013-2021'!$E:$E)*J73</f>
        <v>3178.8692203553051</v>
      </c>
      <c r="V73" s="73">
        <f>SUMIF('Avoided Costs 2013-2021'!$A:$A,'2013 Actuals'!T73&amp;'2013 Actuals'!S73,'Avoided Costs 2013-2021'!$K:$K)*N73</f>
        <v>0</v>
      </c>
      <c r="W73" s="73">
        <f>SUMIF('Avoided Costs 2013-2021'!$A:$A,'2013 Actuals'!T73&amp;'2013 Actuals'!S73,'Avoided Costs 2013-2021'!$M:$M)*R73</f>
        <v>0</v>
      </c>
      <c r="X73" s="73">
        <f t="shared" si="37"/>
        <v>3178.8692203553051</v>
      </c>
      <c r="Y73" s="83">
        <v>352</v>
      </c>
      <c r="Z73" s="74">
        <f t="shared" si="38"/>
        <v>309.76</v>
      </c>
      <c r="AA73" s="74"/>
      <c r="AB73" s="74"/>
      <c r="AC73" s="74"/>
      <c r="AD73" s="74">
        <f t="shared" si="39"/>
        <v>309.76</v>
      </c>
      <c r="AE73" s="74">
        <f t="shared" si="40"/>
        <v>2869.1092203553053</v>
      </c>
      <c r="AF73" s="52">
        <f t="shared" si="41"/>
        <v>26993.824000000001</v>
      </c>
      <c r="AG73" s="52">
        <f t="shared" si="42"/>
        <v>30674.799999999999</v>
      </c>
    </row>
    <row r="74" spans="1:33" s="21" customFormat="1" ht="11.25" customHeight="1" x14ac:dyDescent="0.2">
      <c r="A74" s="114" t="s">
        <v>793</v>
      </c>
      <c r="B74" s="114"/>
      <c r="C74" s="114"/>
      <c r="D74" s="160">
        <v>1</v>
      </c>
      <c r="E74" s="161"/>
      <c r="F74" s="162">
        <v>0.12</v>
      </c>
      <c r="G74" s="162"/>
      <c r="H74" s="52">
        <v>95724</v>
      </c>
      <c r="I74" s="52">
        <f t="shared" si="31"/>
        <v>84620.016000000003</v>
      </c>
      <c r="J74" s="52">
        <f t="shared" si="32"/>
        <v>74465.614079999999</v>
      </c>
      <c r="K74" s="61"/>
      <c r="L74" s="160">
        <v>0</v>
      </c>
      <c r="M74" s="55">
        <f t="shared" si="33"/>
        <v>0</v>
      </c>
      <c r="N74" s="55">
        <f t="shared" si="34"/>
        <v>0</v>
      </c>
      <c r="O74" s="95"/>
      <c r="P74" s="160">
        <v>0</v>
      </c>
      <c r="Q74" s="55">
        <f t="shared" si="35"/>
        <v>0</v>
      </c>
      <c r="R74" s="65">
        <f t="shared" si="36"/>
        <v>0</v>
      </c>
      <c r="S74" s="118">
        <v>25</v>
      </c>
      <c r="T74" s="121" t="s">
        <v>201</v>
      </c>
      <c r="U74" s="73">
        <f>SUMIF('Avoided Costs 2013-2021'!$A:$A,'2013 Actuals'!T74&amp;'2013 Actuals'!S74,'Avoided Costs 2013-2021'!$E:$E)*J74</f>
        <v>233609.25367765102</v>
      </c>
      <c r="V74" s="73">
        <f>SUMIF('Avoided Costs 2013-2021'!$A:$A,'2013 Actuals'!T74&amp;'2013 Actuals'!S74,'Avoided Costs 2013-2021'!$K:$K)*N74</f>
        <v>0</v>
      </c>
      <c r="W74" s="73">
        <f>SUMIF('Avoided Costs 2013-2021'!$A:$A,'2013 Actuals'!T74&amp;'2013 Actuals'!S74,'Avoided Costs 2013-2021'!$M:$M)*R74</f>
        <v>0</v>
      </c>
      <c r="X74" s="73">
        <f t="shared" si="37"/>
        <v>233609.25367765102</v>
      </c>
      <c r="Y74" s="83">
        <v>22379</v>
      </c>
      <c r="Z74" s="74">
        <f t="shared" si="38"/>
        <v>19693.52</v>
      </c>
      <c r="AA74" s="74"/>
      <c r="AB74" s="74"/>
      <c r="AC74" s="74"/>
      <c r="AD74" s="74">
        <f t="shared" si="39"/>
        <v>19693.52</v>
      </c>
      <c r="AE74" s="74">
        <f t="shared" si="40"/>
        <v>213915.73367765103</v>
      </c>
      <c r="AF74" s="52">
        <f t="shared" si="41"/>
        <v>1861640.352</v>
      </c>
      <c r="AG74" s="52">
        <f t="shared" si="42"/>
        <v>2115500.4</v>
      </c>
    </row>
    <row r="75" spans="1:33" s="21" customFormat="1" ht="11.25" customHeight="1" x14ac:dyDescent="0.2">
      <c r="A75" s="114" t="s">
        <v>794</v>
      </c>
      <c r="B75" s="114"/>
      <c r="C75" s="114"/>
      <c r="D75" s="160">
        <v>1</v>
      </c>
      <c r="E75" s="161"/>
      <c r="F75" s="162">
        <v>0.12</v>
      </c>
      <c r="G75" s="162"/>
      <c r="H75" s="52">
        <v>18471</v>
      </c>
      <c r="I75" s="52">
        <f t="shared" si="31"/>
        <v>16328.364</v>
      </c>
      <c r="J75" s="52">
        <f t="shared" si="32"/>
        <v>14368.96032</v>
      </c>
      <c r="K75" s="61"/>
      <c r="L75" s="160">
        <v>0</v>
      </c>
      <c r="M75" s="55">
        <f t="shared" si="33"/>
        <v>0</v>
      </c>
      <c r="N75" s="55">
        <f t="shared" si="34"/>
        <v>0</v>
      </c>
      <c r="O75" s="95"/>
      <c r="P75" s="160">
        <v>0</v>
      </c>
      <c r="Q75" s="55">
        <f t="shared" si="35"/>
        <v>0</v>
      </c>
      <c r="R75" s="65">
        <f t="shared" si="36"/>
        <v>0</v>
      </c>
      <c r="S75" s="118">
        <v>25</v>
      </c>
      <c r="T75" s="121" t="s">
        <v>201</v>
      </c>
      <c r="U75" s="73">
        <f>SUMIF('Avoided Costs 2013-2021'!$A:$A,'2013 Actuals'!T75&amp;'2013 Actuals'!S75,'Avoided Costs 2013-2021'!$E:$E)*J75</f>
        <v>45077.478215284485</v>
      </c>
      <c r="V75" s="73">
        <f>SUMIF('Avoided Costs 2013-2021'!$A:$A,'2013 Actuals'!T75&amp;'2013 Actuals'!S75,'Avoided Costs 2013-2021'!$K:$K)*N75</f>
        <v>0</v>
      </c>
      <c r="W75" s="73">
        <f>SUMIF('Avoided Costs 2013-2021'!$A:$A,'2013 Actuals'!T75&amp;'2013 Actuals'!S75,'Avoided Costs 2013-2021'!$M:$M)*R75</f>
        <v>0</v>
      </c>
      <c r="X75" s="73">
        <f t="shared" si="37"/>
        <v>45077.478215284485</v>
      </c>
      <c r="Y75" s="83">
        <v>30473</v>
      </c>
      <c r="Z75" s="74">
        <f t="shared" si="38"/>
        <v>26816.240000000002</v>
      </c>
      <c r="AA75" s="74"/>
      <c r="AB75" s="74"/>
      <c r="AC75" s="74"/>
      <c r="AD75" s="74">
        <f t="shared" si="39"/>
        <v>26816.240000000002</v>
      </c>
      <c r="AE75" s="74">
        <f t="shared" si="40"/>
        <v>18261.238215284484</v>
      </c>
      <c r="AF75" s="52">
        <f t="shared" si="41"/>
        <v>359224.00800000003</v>
      </c>
      <c r="AG75" s="52">
        <f t="shared" si="42"/>
        <v>408209.1</v>
      </c>
    </row>
    <row r="76" spans="1:33" s="21" customFormat="1" ht="11.25" customHeight="1" x14ac:dyDescent="0.2">
      <c r="A76" s="114" t="s">
        <v>795</v>
      </c>
      <c r="B76" s="114"/>
      <c r="C76" s="114"/>
      <c r="D76" s="160">
        <v>1</v>
      </c>
      <c r="E76" s="161"/>
      <c r="F76" s="162">
        <v>0.12</v>
      </c>
      <c r="G76" s="162"/>
      <c r="H76" s="52">
        <v>72778</v>
      </c>
      <c r="I76" s="52">
        <f t="shared" si="31"/>
        <v>64335.752</v>
      </c>
      <c r="J76" s="52">
        <f t="shared" si="32"/>
        <v>56615.461759999998</v>
      </c>
      <c r="K76" s="61"/>
      <c r="L76" s="160">
        <v>0</v>
      </c>
      <c r="M76" s="55">
        <f t="shared" si="33"/>
        <v>0</v>
      </c>
      <c r="N76" s="55">
        <f t="shared" si="34"/>
        <v>0</v>
      </c>
      <c r="O76" s="95"/>
      <c r="P76" s="160">
        <v>0</v>
      </c>
      <c r="Q76" s="55">
        <f t="shared" si="35"/>
        <v>0</v>
      </c>
      <c r="R76" s="65">
        <f t="shared" si="36"/>
        <v>0</v>
      </c>
      <c r="S76" s="118">
        <v>25</v>
      </c>
      <c r="T76" s="121" t="s">
        <v>201</v>
      </c>
      <c r="U76" s="73">
        <f>SUMIF('Avoided Costs 2013-2021'!$A:$A,'2013 Actuals'!T76&amp;'2013 Actuals'!S76,'Avoided Costs 2013-2021'!$E:$E)*J76</f>
        <v>177610.77957619913</v>
      </c>
      <c r="V76" s="73">
        <f>SUMIF('Avoided Costs 2013-2021'!$A:$A,'2013 Actuals'!T76&amp;'2013 Actuals'!S76,'Avoided Costs 2013-2021'!$K:$K)*N76</f>
        <v>0</v>
      </c>
      <c r="W76" s="73">
        <f>SUMIF('Avoided Costs 2013-2021'!$A:$A,'2013 Actuals'!T76&amp;'2013 Actuals'!S76,'Avoided Costs 2013-2021'!$M:$M)*R76</f>
        <v>0</v>
      </c>
      <c r="X76" s="73">
        <f t="shared" si="37"/>
        <v>177610.77957619913</v>
      </c>
      <c r="Y76" s="83">
        <v>10872</v>
      </c>
      <c r="Z76" s="74">
        <f t="shared" si="38"/>
        <v>9567.36</v>
      </c>
      <c r="AA76" s="74"/>
      <c r="AB76" s="74"/>
      <c r="AC76" s="74"/>
      <c r="AD76" s="74">
        <f t="shared" si="39"/>
        <v>9567.36</v>
      </c>
      <c r="AE76" s="74">
        <f t="shared" si="40"/>
        <v>168043.41957619914</v>
      </c>
      <c r="AF76" s="52">
        <f t="shared" si="41"/>
        <v>1415386.544</v>
      </c>
      <c r="AG76" s="52">
        <f t="shared" si="42"/>
        <v>1608393.8</v>
      </c>
    </row>
    <row r="77" spans="1:33" s="21" customFormat="1" ht="11.25" customHeight="1" x14ac:dyDescent="0.2">
      <c r="A77" s="114" t="s">
        <v>796</v>
      </c>
      <c r="B77" s="114"/>
      <c r="C77" s="114"/>
      <c r="D77" s="160">
        <v>1</v>
      </c>
      <c r="E77" s="161"/>
      <c r="F77" s="162">
        <v>0.12</v>
      </c>
      <c r="G77" s="162"/>
      <c r="H77" s="52">
        <v>32591</v>
      </c>
      <c r="I77" s="52">
        <f t="shared" si="31"/>
        <v>28810.444</v>
      </c>
      <c r="J77" s="52">
        <f t="shared" si="32"/>
        <v>25353.190719999999</v>
      </c>
      <c r="K77" s="61"/>
      <c r="L77" s="160">
        <v>10620</v>
      </c>
      <c r="M77" s="55">
        <f t="shared" si="33"/>
        <v>10620</v>
      </c>
      <c r="N77" s="55">
        <f t="shared" si="34"/>
        <v>9345.6</v>
      </c>
      <c r="O77" s="95"/>
      <c r="P77" s="160">
        <v>0</v>
      </c>
      <c r="Q77" s="55">
        <f t="shared" si="35"/>
        <v>0</v>
      </c>
      <c r="R77" s="65">
        <f t="shared" si="36"/>
        <v>0</v>
      </c>
      <c r="S77" s="118">
        <v>15</v>
      </c>
      <c r="T77" s="121" t="s">
        <v>201</v>
      </c>
      <c r="U77" s="73">
        <f>SUMIF('Avoided Costs 2013-2021'!$A:$A,'2013 Actuals'!T77&amp;'2013 Actuals'!S77,'Avoided Costs 2013-2021'!$E:$E)*J77</f>
        <v>56660.896506377263</v>
      </c>
      <c r="V77" s="73">
        <f>SUMIF('Avoided Costs 2013-2021'!$A:$A,'2013 Actuals'!T77&amp;'2013 Actuals'!S77,'Avoided Costs 2013-2021'!$K:$K)*N77</f>
        <v>9783.8494725593882</v>
      </c>
      <c r="W77" s="73">
        <f>SUMIF('Avoided Costs 2013-2021'!$A:$A,'2013 Actuals'!T77&amp;'2013 Actuals'!S77,'Avoided Costs 2013-2021'!$M:$M)*R77</f>
        <v>0</v>
      </c>
      <c r="X77" s="73">
        <f t="shared" si="37"/>
        <v>66444.745978936655</v>
      </c>
      <c r="Y77" s="83">
        <v>8530</v>
      </c>
      <c r="Z77" s="74">
        <f t="shared" si="38"/>
        <v>7506.4</v>
      </c>
      <c r="AA77" s="74"/>
      <c r="AB77" s="74"/>
      <c r="AC77" s="74"/>
      <c r="AD77" s="74">
        <f t="shared" si="39"/>
        <v>7506.4</v>
      </c>
      <c r="AE77" s="74">
        <f t="shared" si="40"/>
        <v>58938.345978936653</v>
      </c>
      <c r="AF77" s="52">
        <f t="shared" si="41"/>
        <v>380297.86079999997</v>
      </c>
      <c r="AG77" s="52">
        <f t="shared" si="42"/>
        <v>432156.66</v>
      </c>
    </row>
    <row r="78" spans="1:33" s="21" customFormat="1" ht="11.25" customHeight="1" x14ac:dyDescent="0.2">
      <c r="A78" s="114" t="s">
        <v>797</v>
      </c>
      <c r="B78" s="114"/>
      <c r="C78" s="114"/>
      <c r="D78" s="160">
        <v>1</v>
      </c>
      <c r="E78" s="161"/>
      <c r="F78" s="162">
        <v>0.12</v>
      </c>
      <c r="G78" s="162"/>
      <c r="H78" s="52">
        <v>10828</v>
      </c>
      <c r="I78" s="52">
        <f t="shared" si="31"/>
        <v>9571.9519999999993</v>
      </c>
      <c r="J78" s="52">
        <f t="shared" si="32"/>
        <v>8423.3177599999999</v>
      </c>
      <c r="K78" s="61"/>
      <c r="L78" s="160">
        <v>0</v>
      </c>
      <c r="M78" s="55">
        <f t="shared" si="33"/>
        <v>0</v>
      </c>
      <c r="N78" s="55">
        <f t="shared" si="34"/>
        <v>0</v>
      </c>
      <c r="O78" s="95"/>
      <c r="P78" s="160">
        <v>0</v>
      </c>
      <c r="Q78" s="55">
        <f t="shared" si="35"/>
        <v>0</v>
      </c>
      <c r="R78" s="65">
        <f t="shared" si="36"/>
        <v>0</v>
      </c>
      <c r="S78" s="118">
        <v>25</v>
      </c>
      <c r="T78" s="121" t="s">
        <v>201</v>
      </c>
      <c r="U78" s="73">
        <f>SUMIF('Avoided Costs 2013-2021'!$A:$A,'2013 Actuals'!T78&amp;'2013 Actuals'!S78,'Avoided Costs 2013-2021'!$E:$E)*J78</f>
        <v>26425.149375512989</v>
      </c>
      <c r="V78" s="73">
        <f>SUMIF('Avoided Costs 2013-2021'!$A:$A,'2013 Actuals'!T78&amp;'2013 Actuals'!S78,'Avoided Costs 2013-2021'!$K:$K)*N78</f>
        <v>0</v>
      </c>
      <c r="W78" s="73">
        <f>SUMIF('Avoided Costs 2013-2021'!$A:$A,'2013 Actuals'!T78&amp;'2013 Actuals'!S78,'Avoided Costs 2013-2021'!$M:$M)*R78</f>
        <v>0</v>
      </c>
      <c r="X78" s="73">
        <f t="shared" si="37"/>
        <v>26425.149375512989</v>
      </c>
      <c r="Y78" s="83">
        <v>3152</v>
      </c>
      <c r="Z78" s="74">
        <f t="shared" si="38"/>
        <v>2773.76</v>
      </c>
      <c r="AA78" s="74"/>
      <c r="AB78" s="74"/>
      <c r="AC78" s="74"/>
      <c r="AD78" s="74">
        <f t="shared" si="39"/>
        <v>2773.76</v>
      </c>
      <c r="AE78" s="74">
        <f t="shared" si="40"/>
        <v>23651.38937551299</v>
      </c>
      <c r="AF78" s="52">
        <f t="shared" si="41"/>
        <v>210582.94399999999</v>
      </c>
      <c r="AG78" s="52">
        <f t="shared" si="42"/>
        <v>239298.8</v>
      </c>
    </row>
    <row r="79" spans="1:33" s="21" customFormat="1" ht="11.25" customHeight="1" x14ac:dyDescent="0.2">
      <c r="A79" s="114" t="s">
        <v>798</v>
      </c>
      <c r="B79" s="114"/>
      <c r="C79" s="114"/>
      <c r="D79" s="160">
        <v>1</v>
      </c>
      <c r="E79" s="161"/>
      <c r="F79" s="162">
        <v>0.12</v>
      </c>
      <c r="G79" s="162"/>
      <c r="H79" s="52">
        <v>62640</v>
      </c>
      <c r="I79" s="52">
        <f t="shared" si="31"/>
        <v>55373.760000000002</v>
      </c>
      <c r="J79" s="52">
        <f t="shared" si="32"/>
        <v>48728.908800000005</v>
      </c>
      <c r="K79" s="61"/>
      <c r="L79" s="160">
        <v>0</v>
      </c>
      <c r="M79" s="55">
        <f t="shared" si="33"/>
        <v>0</v>
      </c>
      <c r="N79" s="55">
        <f t="shared" si="34"/>
        <v>0</v>
      </c>
      <c r="O79" s="95"/>
      <c r="P79" s="160">
        <v>0</v>
      </c>
      <c r="Q79" s="55">
        <f t="shared" si="35"/>
        <v>0</v>
      </c>
      <c r="R79" s="65">
        <f t="shared" si="36"/>
        <v>0</v>
      </c>
      <c r="S79" s="118">
        <v>15</v>
      </c>
      <c r="T79" s="121" t="s">
        <v>201</v>
      </c>
      <c r="U79" s="73">
        <f>SUMIF('Avoided Costs 2013-2021'!$A:$A,'2013 Actuals'!T79&amp;'2013 Actuals'!S79,'Avoided Costs 2013-2021'!$E:$E)*J79</f>
        <v>108902.41346259617</v>
      </c>
      <c r="V79" s="73">
        <f>SUMIF('Avoided Costs 2013-2021'!$A:$A,'2013 Actuals'!T79&amp;'2013 Actuals'!S79,'Avoided Costs 2013-2021'!$K:$K)*N79</f>
        <v>0</v>
      </c>
      <c r="W79" s="73">
        <f>SUMIF('Avoided Costs 2013-2021'!$A:$A,'2013 Actuals'!T79&amp;'2013 Actuals'!S79,'Avoided Costs 2013-2021'!$M:$M)*R79</f>
        <v>0</v>
      </c>
      <c r="X79" s="73">
        <f t="shared" si="37"/>
        <v>108902.41346259617</v>
      </c>
      <c r="Y79" s="83">
        <v>121999</v>
      </c>
      <c r="Z79" s="74">
        <f t="shared" si="38"/>
        <v>107359.12</v>
      </c>
      <c r="AA79" s="74"/>
      <c r="AB79" s="74"/>
      <c r="AC79" s="74"/>
      <c r="AD79" s="74">
        <f t="shared" si="39"/>
        <v>107359.12</v>
      </c>
      <c r="AE79" s="74">
        <f t="shared" si="40"/>
        <v>1543.2934625961789</v>
      </c>
      <c r="AF79" s="52">
        <f t="shared" si="41"/>
        <v>730933.6320000001</v>
      </c>
      <c r="AG79" s="52">
        <f t="shared" si="42"/>
        <v>830606.4</v>
      </c>
    </row>
    <row r="80" spans="1:33" s="21" customFormat="1" ht="11.25" customHeight="1" x14ac:dyDescent="0.2">
      <c r="A80" s="114" t="s">
        <v>799</v>
      </c>
      <c r="B80" s="114"/>
      <c r="C80" s="114"/>
      <c r="D80" s="160">
        <v>1</v>
      </c>
      <c r="E80" s="161"/>
      <c r="F80" s="162">
        <v>0.12</v>
      </c>
      <c r="G80" s="162"/>
      <c r="H80" s="52">
        <v>22405</v>
      </c>
      <c r="I80" s="52">
        <f t="shared" si="31"/>
        <v>19806.02</v>
      </c>
      <c r="J80" s="52">
        <f t="shared" si="32"/>
        <v>17429.297600000002</v>
      </c>
      <c r="K80" s="61"/>
      <c r="L80" s="160">
        <v>0</v>
      </c>
      <c r="M80" s="55">
        <f t="shared" si="33"/>
        <v>0</v>
      </c>
      <c r="N80" s="55">
        <f t="shared" si="34"/>
        <v>0</v>
      </c>
      <c r="O80" s="95"/>
      <c r="P80" s="160">
        <v>0</v>
      </c>
      <c r="Q80" s="55">
        <f t="shared" si="35"/>
        <v>0</v>
      </c>
      <c r="R80" s="65">
        <f t="shared" si="36"/>
        <v>0</v>
      </c>
      <c r="S80" s="118">
        <v>5</v>
      </c>
      <c r="T80" s="121" t="s">
        <v>201</v>
      </c>
      <c r="U80" s="73">
        <f>SUMIF('Avoided Costs 2013-2021'!$A:$A,'2013 Actuals'!T80&amp;'2013 Actuals'!S80,'Avoided Costs 2013-2021'!$E:$E)*J80</f>
        <v>13572.240613715794</v>
      </c>
      <c r="V80" s="73">
        <f>SUMIF('Avoided Costs 2013-2021'!$A:$A,'2013 Actuals'!T80&amp;'2013 Actuals'!S80,'Avoided Costs 2013-2021'!$K:$K)*N80</f>
        <v>0</v>
      </c>
      <c r="W80" s="73">
        <f>SUMIF('Avoided Costs 2013-2021'!$A:$A,'2013 Actuals'!T80&amp;'2013 Actuals'!S80,'Avoided Costs 2013-2021'!$M:$M)*R80</f>
        <v>0</v>
      </c>
      <c r="X80" s="73">
        <f t="shared" si="37"/>
        <v>13572.240613715794</v>
      </c>
      <c r="Y80" s="83">
        <v>8065</v>
      </c>
      <c r="Z80" s="74">
        <f t="shared" si="38"/>
        <v>7097.2</v>
      </c>
      <c r="AA80" s="74"/>
      <c r="AB80" s="74"/>
      <c r="AC80" s="74"/>
      <c r="AD80" s="74">
        <f t="shared" si="39"/>
        <v>7097.2</v>
      </c>
      <c r="AE80" s="74">
        <f t="shared" si="40"/>
        <v>6475.0406137157943</v>
      </c>
      <c r="AF80" s="52">
        <f t="shared" si="41"/>
        <v>87146.488000000012</v>
      </c>
      <c r="AG80" s="52">
        <f t="shared" si="42"/>
        <v>99030.1</v>
      </c>
    </row>
    <row r="81" spans="1:33" s="21" customFormat="1" ht="11.25" customHeight="1" x14ac:dyDescent="0.2">
      <c r="A81" s="114" t="s">
        <v>800</v>
      </c>
      <c r="B81" s="114"/>
      <c r="C81" s="114"/>
      <c r="D81" s="160">
        <v>1</v>
      </c>
      <c r="E81" s="161"/>
      <c r="F81" s="162">
        <v>0.12</v>
      </c>
      <c r="G81" s="162"/>
      <c r="H81" s="52">
        <v>10157</v>
      </c>
      <c r="I81" s="52">
        <f t="shared" si="31"/>
        <v>8978.7880000000005</v>
      </c>
      <c r="J81" s="52">
        <f t="shared" si="32"/>
        <v>7901.3334400000003</v>
      </c>
      <c r="K81" s="61"/>
      <c r="L81" s="160">
        <v>0</v>
      </c>
      <c r="M81" s="55">
        <f t="shared" si="33"/>
        <v>0</v>
      </c>
      <c r="N81" s="55">
        <f t="shared" si="34"/>
        <v>0</v>
      </c>
      <c r="O81" s="95"/>
      <c r="P81" s="160">
        <v>0</v>
      </c>
      <c r="Q81" s="55">
        <f t="shared" si="35"/>
        <v>0</v>
      </c>
      <c r="R81" s="65">
        <f t="shared" si="36"/>
        <v>0</v>
      </c>
      <c r="S81" s="118">
        <v>5</v>
      </c>
      <c r="T81" s="121" t="s">
        <v>201</v>
      </c>
      <c r="U81" s="73">
        <f>SUMIF('Avoided Costs 2013-2021'!$A:$A,'2013 Actuals'!T81&amp;'2013 Actuals'!S81,'Avoided Costs 2013-2021'!$E:$E)*J81</f>
        <v>6152.7894627766709</v>
      </c>
      <c r="V81" s="73">
        <f>SUMIF('Avoided Costs 2013-2021'!$A:$A,'2013 Actuals'!T81&amp;'2013 Actuals'!S81,'Avoided Costs 2013-2021'!$K:$K)*N81</f>
        <v>0</v>
      </c>
      <c r="W81" s="73">
        <f>SUMIF('Avoided Costs 2013-2021'!$A:$A,'2013 Actuals'!T81&amp;'2013 Actuals'!S81,'Avoided Costs 2013-2021'!$M:$M)*R81</f>
        <v>0</v>
      </c>
      <c r="X81" s="73">
        <f t="shared" si="37"/>
        <v>6152.7894627766709</v>
      </c>
      <c r="Y81" s="83">
        <v>5167</v>
      </c>
      <c r="Z81" s="74">
        <f t="shared" si="38"/>
        <v>4546.96</v>
      </c>
      <c r="AA81" s="74"/>
      <c r="AB81" s="74"/>
      <c r="AC81" s="74"/>
      <c r="AD81" s="74">
        <f t="shared" si="39"/>
        <v>4546.96</v>
      </c>
      <c r="AE81" s="74">
        <f t="shared" si="40"/>
        <v>1605.8294627766709</v>
      </c>
      <c r="AF81" s="52">
        <f t="shared" si="41"/>
        <v>39506.667200000004</v>
      </c>
      <c r="AG81" s="52">
        <f t="shared" si="42"/>
        <v>44893.94</v>
      </c>
    </row>
    <row r="82" spans="1:33" s="21" customFormat="1" ht="11.25" customHeight="1" x14ac:dyDescent="0.2">
      <c r="A82" s="114" t="s">
        <v>801</v>
      </c>
      <c r="B82" s="114"/>
      <c r="C82" s="114"/>
      <c r="D82" s="160">
        <v>1</v>
      </c>
      <c r="E82" s="161"/>
      <c r="F82" s="162">
        <v>0.12</v>
      </c>
      <c r="G82" s="162"/>
      <c r="H82" s="52">
        <v>51942</v>
      </c>
      <c r="I82" s="52">
        <f t="shared" si="31"/>
        <v>45916.728000000003</v>
      </c>
      <c r="J82" s="52">
        <f t="shared" si="32"/>
        <v>40406.72064</v>
      </c>
      <c r="K82" s="61"/>
      <c r="L82" s="160">
        <v>0</v>
      </c>
      <c r="M82" s="55">
        <f t="shared" si="33"/>
        <v>0</v>
      </c>
      <c r="N82" s="55">
        <f t="shared" si="34"/>
        <v>0</v>
      </c>
      <c r="O82" s="95"/>
      <c r="P82" s="160">
        <v>0</v>
      </c>
      <c r="Q82" s="55">
        <f t="shared" si="35"/>
        <v>0</v>
      </c>
      <c r="R82" s="65">
        <f t="shared" si="36"/>
        <v>0</v>
      </c>
      <c r="S82" s="118">
        <v>15</v>
      </c>
      <c r="T82" s="121" t="s">
        <v>201</v>
      </c>
      <c r="U82" s="73">
        <f>SUMIF('Avoided Costs 2013-2021'!$A:$A,'2013 Actuals'!T82&amp;'2013 Actuals'!S82,'Avoided Costs 2013-2021'!$E:$E)*J82</f>
        <v>90303.466795564658</v>
      </c>
      <c r="V82" s="73">
        <f>SUMIF('Avoided Costs 2013-2021'!$A:$A,'2013 Actuals'!T82&amp;'2013 Actuals'!S82,'Avoided Costs 2013-2021'!$K:$K)*N82</f>
        <v>0</v>
      </c>
      <c r="W82" s="73">
        <f>SUMIF('Avoided Costs 2013-2021'!$A:$A,'2013 Actuals'!T82&amp;'2013 Actuals'!S82,'Avoided Costs 2013-2021'!$M:$M)*R82</f>
        <v>0</v>
      </c>
      <c r="X82" s="73">
        <f t="shared" si="37"/>
        <v>90303.466795564658</v>
      </c>
      <c r="Y82" s="83">
        <v>99818</v>
      </c>
      <c r="Z82" s="74">
        <f t="shared" si="38"/>
        <v>87839.84</v>
      </c>
      <c r="AA82" s="74"/>
      <c r="AB82" s="74"/>
      <c r="AC82" s="74"/>
      <c r="AD82" s="74">
        <f t="shared" si="39"/>
        <v>87839.84</v>
      </c>
      <c r="AE82" s="74">
        <f t="shared" si="40"/>
        <v>2463.6267955646617</v>
      </c>
      <c r="AF82" s="52">
        <f t="shared" si="41"/>
        <v>606100.80960000004</v>
      </c>
      <c r="AG82" s="52">
        <f t="shared" si="42"/>
        <v>688750.92</v>
      </c>
    </row>
    <row r="83" spans="1:33" s="21" customFormat="1" ht="11.25" customHeight="1" x14ac:dyDescent="0.2">
      <c r="A83" s="114" t="s">
        <v>802</v>
      </c>
      <c r="B83" s="114"/>
      <c r="C83" s="114"/>
      <c r="D83" s="160">
        <v>1</v>
      </c>
      <c r="E83" s="161"/>
      <c r="F83" s="162">
        <v>0.12</v>
      </c>
      <c r="G83" s="162"/>
      <c r="H83" s="52">
        <v>17783</v>
      </c>
      <c r="I83" s="52">
        <f t="shared" si="31"/>
        <v>15720.172</v>
      </c>
      <c r="J83" s="52">
        <f t="shared" si="32"/>
        <v>13833.75136</v>
      </c>
      <c r="K83" s="61"/>
      <c r="L83" s="160">
        <v>0</v>
      </c>
      <c r="M83" s="55">
        <f t="shared" si="33"/>
        <v>0</v>
      </c>
      <c r="N83" s="55">
        <f t="shared" si="34"/>
        <v>0</v>
      </c>
      <c r="O83" s="95"/>
      <c r="P83" s="160">
        <v>0</v>
      </c>
      <c r="Q83" s="55">
        <f t="shared" si="35"/>
        <v>0</v>
      </c>
      <c r="R83" s="65">
        <f t="shared" si="36"/>
        <v>0</v>
      </c>
      <c r="S83" s="118">
        <v>5</v>
      </c>
      <c r="T83" s="121" t="s">
        <v>201</v>
      </c>
      <c r="U83" s="73">
        <f>SUMIF('Avoided Costs 2013-2021'!$A:$A,'2013 Actuals'!T83&amp;'2013 Actuals'!S83,'Avoided Costs 2013-2021'!$E:$E)*J83</f>
        <v>10772.3791490162</v>
      </c>
      <c r="V83" s="73">
        <f>SUMIF('Avoided Costs 2013-2021'!$A:$A,'2013 Actuals'!T83&amp;'2013 Actuals'!S83,'Avoided Costs 2013-2021'!$K:$K)*N83</f>
        <v>0</v>
      </c>
      <c r="W83" s="73">
        <f>SUMIF('Avoided Costs 2013-2021'!$A:$A,'2013 Actuals'!T83&amp;'2013 Actuals'!S83,'Avoided Costs 2013-2021'!$M:$M)*R83</f>
        <v>0</v>
      </c>
      <c r="X83" s="73">
        <f t="shared" si="37"/>
        <v>10772.3791490162</v>
      </c>
      <c r="Y83" s="83">
        <v>3520</v>
      </c>
      <c r="Z83" s="74">
        <f t="shared" si="38"/>
        <v>3097.6</v>
      </c>
      <c r="AA83" s="74"/>
      <c r="AB83" s="74"/>
      <c r="AC83" s="74"/>
      <c r="AD83" s="74">
        <f t="shared" si="39"/>
        <v>3097.6</v>
      </c>
      <c r="AE83" s="74">
        <f t="shared" si="40"/>
        <v>7674.7791490161999</v>
      </c>
      <c r="AF83" s="52">
        <f t="shared" si="41"/>
        <v>69168.756800000003</v>
      </c>
      <c r="AG83" s="52">
        <f t="shared" si="42"/>
        <v>78600.86</v>
      </c>
    </row>
    <row r="84" spans="1:33" s="21" customFormat="1" ht="11.25" customHeight="1" x14ac:dyDescent="0.2">
      <c r="A84" s="114" t="s">
        <v>803</v>
      </c>
      <c r="B84" s="114"/>
      <c r="C84" s="114"/>
      <c r="D84" s="160">
        <v>1</v>
      </c>
      <c r="E84" s="161"/>
      <c r="F84" s="162">
        <v>0.12</v>
      </c>
      <c r="G84" s="162"/>
      <c r="H84" s="52">
        <v>45861</v>
      </c>
      <c r="I84" s="52">
        <f t="shared" si="31"/>
        <v>40541.124000000003</v>
      </c>
      <c r="J84" s="52">
        <f t="shared" si="32"/>
        <v>35676.189120000003</v>
      </c>
      <c r="K84" s="61"/>
      <c r="L84" s="160">
        <v>0</v>
      </c>
      <c r="M84" s="55">
        <f t="shared" si="33"/>
        <v>0</v>
      </c>
      <c r="N84" s="55">
        <f t="shared" si="34"/>
        <v>0</v>
      </c>
      <c r="O84" s="95"/>
      <c r="P84" s="160">
        <v>0</v>
      </c>
      <c r="Q84" s="55">
        <f t="shared" si="35"/>
        <v>0</v>
      </c>
      <c r="R84" s="65">
        <f t="shared" si="36"/>
        <v>0</v>
      </c>
      <c r="S84" s="118">
        <v>25</v>
      </c>
      <c r="T84" s="121" t="s">
        <v>201</v>
      </c>
      <c r="U84" s="73">
        <f>SUMIF('Avoided Costs 2013-2021'!$A:$A,'2013 Actuals'!T84&amp;'2013 Actuals'!S84,'Avoided Costs 2013-2021'!$E:$E)*J84</f>
        <v>111921.29437665324</v>
      </c>
      <c r="V84" s="73">
        <f>SUMIF('Avoided Costs 2013-2021'!$A:$A,'2013 Actuals'!T84&amp;'2013 Actuals'!S84,'Avoided Costs 2013-2021'!$K:$K)*N84</f>
        <v>0</v>
      </c>
      <c r="W84" s="73">
        <f>SUMIF('Avoided Costs 2013-2021'!$A:$A,'2013 Actuals'!T84&amp;'2013 Actuals'!S84,'Avoided Costs 2013-2021'!$M:$M)*R84</f>
        <v>0</v>
      </c>
      <c r="X84" s="73">
        <f t="shared" si="37"/>
        <v>111921.29437665324</v>
      </c>
      <c r="Y84" s="83">
        <v>29883</v>
      </c>
      <c r="Z84" s="74">
        <f t="shared" si="38"/>
        <v>26297.040000000001</v>
      </c>
      <c r="AA84" s="74"/>
      <c r="AB84" s="74"/>
      <c r="AC84" s="74"/>
      <c r="AD84" s="74">
        <f t="shared" si="39"/>
        <v>26297.040000000001</v>
      </c>
      <c r="AE84" s="74">
        <f t="shared" si="40"/>
        <v>85624.254376653233</v>
      </c>
      <c r="AF84" s="52">
        <f t="shared" si="41"/>
        <v>891904.72800000012</v>
      </c>
      <c r="AG84" s="52">
        <f t="shared" si="42"/>
        <v>1013528.1000000001</v>
      </c>
    </row>
    <row r="85" spans="1:33" s="21" customFormat="1" ht="11.25" customHeight="1" x14ac:dyDescent="0.2">
      <c r="A85" s="114" t="s">
        <v>804</v>
      </c>
      <c r="B85" s="114"/>
      <c r="C85" s="114"/>
      <c r="D85" s="160">
        <v>1</v>
      </c>
      <c r="E85" s="161"/>
      <c r="F85" s="162">
        <v>0.12</v>
      </c>
      <c r="G85" s="162"/>
      <c r="H85" s="52">
        <v>6722</v>
      </c>
      <c r="I85" s="52">
        <f t="shared" si="31"/>
        <v>5942.2480000000005</v>
      </c>
      <c r="J85" s="52">
        <f t="shared" si="32"/>
        <v>5229.1782400000002</v>
      </c>
      <c r="K85" s="61"/>
      <c r="L85" s="160">
        <v>0</v>
      </c>
      <c r="M85" s="55">
        <f t="shared" si="33"/>
        <v>0</v>
      </c>
      <c r="N85" s="55">
        <f t="shared" si="34"/>
        <v>0</v>
      </c>
      <c r="O85" s="95"/>
      <c r="P85" s="160">
        <v>0</v>
      </c>
      <c r="Q85" s="55">
        <f t="shared" si="35"/>
        <v>0</v>
      </c>
      <c r="R85" s="65">
        <f t="shared" si="36"/>
        <v>0</v>
      </c>
      <c r="S85" s="118">
        <v>25</v>
      </c>
      <c r="T85" s="121" t="s">
        <v>201</v>
      </c>
      <c r="U85" s="73">
        <f>SUMIF('Avoided Costs 2013-2021'!$A:$A,'2013 Actuals'!T85&amp;'2013 Actuals'!S85,'Avoided Costs 2013-2021'!$E:$E)*J85</f>
        <v>16404.678066327881</v>
      </c>
      <c r="V85" s="73">
        <f>SUMIF('Avoided Costs 2013-2021'!$A:$A,'2013 Actuals'!T85&amp;'2013 Actuals'!S85,'Avoided Costs 2013-2021'!$K:$K)*N85</f>
        <v>0</v>
      </c>
      <c r="W85" s="73">
        <f>SUMIF('Avoided Costs 2013-2021'!$A:$A,'2013 Actuals'!T85&amp;'2013 Actuals'!S85,'Avoided Costs 2013-2021'!$M:$M)*R85</f>
        <v>0</v>
      </c>
      <c r="X85" s="73">
        <f t="shared" si="37"/>
        <v>16404.678066327881</v>
      </c>
      <c r="Y85" s="83">
        <v>15009</v>
      </c>
      <c r="Z85" s="74">
        <f t="shared" si="38"/>
        <v>13207.92</v>
      </c>
      <c r="AA85" s="74"/>
      <c r="AB85" s="74"/>
      <c r="AC85" s="74"/>
      <c r="AD85" s="74">
        <f t="shared" si="39"/>
        <v>13207.92</v>
      </c>
      <c r="AE85" s="74">
        <f t="shared" si="40"/>
        <v>3196.7580663278804</v>
      </c>
      <c r="AF85" s="52">
        <f t="shared" si="41"/>
        <v>130729.45600000001</v>
      </c>
      <c r="AG85" s="52">
        <f t="shared" si="42"/>
        <v>148556.20000000001</v>
      </c>
    </row>
    <row r="86" spans="1:33" s="21" customFormat="1" ht="11.25" customHeight="1" x14ac:dyDescent="0.2">
      <c r="A86" s="114" t="s">
        <v>805</v>
      </c>
      <c r="B86" s="114"/>
      <c r="C86" s="114"/>
      <c r="D86" s="160">
        <v>1</v>
      </c>
      <c r="E86" s="161"/>
      <c r="F86" s="162">
        <v>0.12</v>
      </c>
      <c r="G86" s="162"/>
      <c r="H86" s="52">
        <v>22066</v>
      </c>
      <c r="I86" s="52">
        <f t="shared" si="31"/>
        <v>19506.344000000001</v>
      </c>
      <c r="J86" s="52">
        <f t="shared" si="32"/>
        <v>17165.582720000002</v>
      </c>
      <c r="K86" s="61"/>
      <c r="L86" s="160">
        <v>0</v>
      </c>
      <c r="M86" s="55">
        <f t="shared" si="33"/>
        <v>0</v>
      </c>
      <c r="N86" s="55">
        <f t="shared" si="34"/>
        <v>0</v>
      </c>
      <c r="O86" s="95"/>
      <c r="P86" s="160">
        <v>0</v>
      </c>
      <c r="Q86" s="55">
        <f t="shared" si="35"/>
        <v>0</v>
      </c>
      <c r="R86" s="65">
        <f t="shared" si="36"/>
        <v>0</v>
      </c>
      <c r="S86" s="118">
        <v>25</v>
      </c>
      <c r="T86" s="121" t="s">
        <v>201</v>
      </c>
      <c r="U86" s="73">
        <f>SUMIF('Avoided Costs 2013-2021'!$A:$A,'2013 Actuals'!T86&amp;'2013 Actuals'!S86,'Avoided Costs 2013-2021'!$E:$E)*J86</f>
        <v>53850.88161433964</v>
      </c>
      <c r="V86" s="73">
        <f>SUMIF('Avoided Costs 2013-2021'!$A:$A,'2013 Actuals'!T86&amp;'2013 Actuals'!S86,'Avoided Costs 2013-2021'!$K:$K)*N86</f>
        <v>0</v>
      </c>
      <c r="W86" s="73">
        <f>SUMIF('Avoided Costs 2013-2021'!$A:$A,'2013 Actuals'!T86&amp;'2013 Actuals'!S86,'Avoided Costs 2013-2021'!$M:$M)*R86</f>
        <v>0</v>
      </c>
      <c r="X86" s="73">
        <f t="shared" si="37"/>
        <v>53850.88161433964</v>
      </c>
      <c r="Y86" s="83">
        <v>19610</v>
      </c>
      <c r="Z86" s="74">
        <f t="shared" si="38"/>
        <v>17256.8</v>
      </c>
      <c r="AA86" s="74"/>
      <c r="AB86" s="74"/>
      <c r="AC86" s="74"/>
      <c r="AD86" s="74">
        <f t="shared" si="39"/>
        <v>17256.8</v>
      </c>
      <c r="AE86" s="74">
        <f t="shared" si="40"/>
        <v>36594.081614339637</v>
      </c>
      <c r="AF86" s="52">
        <f t="shared" si="41"/>
        <v>429139.56800000003</v>
      </c>
      <c r="AG86" s="52">
        <f t="shared" si="42"/>
        <v>487658.60000000003</v>
      </c>
    </row>
    <row r="87" spans="1:33" s="21" customFormat="1" ht="11.25" customHeight="1" x14ac:dyDescent="0.2">
      <c r="A87" s="114" t="s">
        <v>806</v>
      </c>
      <c r="B87" s="114"/>
      <c r="C87" s="114"/>
      <c r="D87" s="160">
        <v>1</v>
      </c>
      <c r="E87" s="161"/>
      <c r="F87" s="162">
        <v>0.12</v>
      </c>
      <c r="G87" s="162"/>
      <c r="H87" s="52">
        <v>16644</v>
      </c>
      <c r="I87" s="52">
        <f t="shared" si="31"/>
        <v>14713.296</v>
      </c>
      <c r="J87" s="52">
        <f t="shared" si="32"/>
        <v>12947.70048</v>
      </c>
      <c r="K87" s="61"/>
      <c r="L87" s="160">
        <v>0</v>
      </c>
      <c r="M87" s="55">
        <f t="shared" si="33"/>
        <v>0</v>
      </c>
      <c r="N87" s="55">
        <f t="shared" si="34"/>
        <v>0</v>
      </c>
      <c r="O87" s="95"/>
      <c r="P87" s="160">
        <v>0</v>
      </c>
      <c r="Q87" s="55">
        <f t="shared" si="35"/>
        <v>0</v>
      </c>
      <c r="R87" s="65">
        <f t="shared" si="36"/>
        <v>0</v>
      </c>
      <c r="S87" s="118">
        <v>15</v>
      </c>
      <c r="T87" s="121" t="s">
        <v>201</v>
      </c>
      <c r="U87" s="73">
        <f>SUMIF('Avoided Costs 2013-2021'!$A:$A,'2013 Actuals'!T87&amp;'2013 Actuals'!S87,'Avoided Costs 2013-2021'!$E:$E)*J87</f>
        <v>28936.330933452275</v>
      </c>
      <c r="V87" s="73">
        <f>SUMIF('Avoided Costs 2013-2021'!$A:$A,'2013 Actuals'!T87&amp;'2013 Actuals'!S87,'Avoided Costs 2013-2021'!$K:$K)*N87</f>
        <v>0</v>
      </c>
      <c r="W87" s="73">
        <f>SUMIF('Avoided Costs 2013-2021'!$A:$A,'2013 Actuals'!T87&amp;'2013 Actuals'!S87,'Avoided Costs 2013-2021'!$M:$M)*R87</f>
        <v>0</v>
      </c>
      <c r="X87" s="73">
        <f t="shared" si="37"/>
        <v>28936.330933452275</v>
      </c>
      <c r="Y87" s="83">
        <v>16633</v>
      </c>
      <c r="Z87" s="74">
        <f t="shared" si="38"/>
        <v>14637.04</v>
      </c>
      <c r="AA87" s="74"/>
      <c r="AB87" s="74"/>
      <c r="AC87" s="74"/>
      <c r="AD87" s="74">
        <f t="shared" si="39"/>
        <v>14637.04</v>
      </c>
      <c r="AE87" s="74">
        <f t="shared" si="40"/>
        <v>14299.290933452274</v>
      </c>
      <c r="AF87" s="52">
        <f t="shared" si="41"/>
        <v>194215.50719999999</v>
      </c>
      <c r="AG87" s="52">
        <f t="shared" si="42"/>
        <v>220699.44</v>
      </c>
    </row>
    <row r="88" spans="1:33" s="21" customFormat="1" ht="11.25" customHeight="1" x14ac:dyDescent="0.2">
      <c r="A88" s="114" t="s">
        <v>807</v>
      </c>
      <c r="B88" s="114"/>
      <c r="C88" s="114"/>
      <c r="D88" s="160">
        <v>0</v>
      </c>
      <c r="E88" s="161"/>
      <c r="F88" s="162">
        <v>0.12</v>
      </c>
      <c r="G88" s="162"/>
      <c r="H88" s="52">
        <v>18924</v>
      </c>
      <c r="I88" s="52">
        <f t="shared" si="31"/>
        <v>16728.815999999999</v>
      </c>
      <c r="J88" s="52">
        <f t="shared" si="32"/>
        <v>14721.35808</v>
      </c>
      <c r="K88" s="61"/>
      <c r="L88" s="160">
        <v>49102</v>
      </c>
      <c r="M88" s="55">
        <f t="shared" si="33"/>
        <v>49102</v>
      </c>
      <c r="N88" s="55">
        <f t="shared" si="34"/>
        <v>43209.760000000002</v>
      </c>
      <c r="O88" s="95"/>
      <c r="P88" s="160">
        <v>0</v>
      </c>
      <c r="Q88" s="55">
        <f t="shared" si="35"/>
        <v>0</v>
      </c>
      <c r="R88" s="65">
        <f t="shared" si="36"/>
        <v>0</v>
      </c>
      <c r="S88" s="118">
        <v>15</v>
      </c>
      <c r="T88" s="121" t="s">
        <v>201</v>
      </c>
      <c r="U88" s="73">
        <f>SUMIF('Avoided Costs 2013-2021'!$A:$A,'2013 Actuals'!T88&amp;'2013 Actuals'!S88,'Avoided Costs 2013-2021'!$E:$E)*J88</f>
        <v>32900.211883240263</v>
      </c>
      <c r="V88" s="73">
        <f>SUMIF('Avoided Costs 2013-2021'!$A:$A,'2013 Actuals'!T88&amp;'2013 Actuals'!S88,'Avoided Costs 2013-2021'!$K:$K)*N88</f>
        <v>45236.024180942659</v>
      </c>
      <c r="W88" s="73">
        <f>SUMIF('Avoided Costs 2013-2021'!$A:$A,'2013 Actuals'!T88&amp;'2013 Actuals'!S88,'Avoided Costs 2013-2021'!$M:$M)*R88</f>
        <v>0</v>
      </c>
      <c r="X88" s="73">
        <f t="shared" si="37"/>
        <v>78136.236064182915</v>
      </c>
      <c r="Y88" s="83">
        <v>48264</v>
      </c>
      <c r="Z88" s="74">
        <f t="shared" si="38"/>
        <v>42472.32</v>
      </c>
      <c r="AA88" s="74"/>
      <c r="AB88" s="74"/>
      <c r="AC88" s="74"/>
      <c r="AD88" s="74">
        <f t="shared" si="39"/>
        <v>42472.32</v>
      </c>
      <c r="AE88" s="74">
        <f t="shared" si="40"/>
        <v>35663.916064182915</v>
      </c>
      <c r="AF88" s="52">
        <f t="shared" si="41"/>
        <v>220820.37119999999</v>
      </c>
      <c r="AG88" s="52">
        <f t="shared" si="42"/>
        <v>250932.24</v>
      </c>
    </row>
    <row r="89" spans="1:33" s="21" customFormat="1" ht="11.25" customHeight="1" x14ac:dyDescent="0.2">
      <c r="A89" s="114" t="s">
        <v>808</v>
      </c>
      <c r="B89" s="114"/>
      <c r="C89" s="114"/>
      <c r="D89" s="160">
        <v>1</v>
      </c>
      <c r="E89" s="161"/>
      <c r="F89" s="162">
        <v>0.12</v>
      </c>
      <c r="G89" s="162"/>
      <c r="H89" s="52">
        <v>61999</v>
      </c>
      <c r="I89" s="52">
        <f t="shared" si="31"/>
        <v>54807.116000000002</v>
      </c>
      <c r="J89" s="52">
        <f t="shared" si="32"/>
        <v>48230.26208</v>
      </c>
      <c r="K89" s="61"/>
      <c r="L89" s="160">
        <v>23329</v>
      </c>
      <c r="M89" s="55">
        <f t="shared" si="33"/>
        <v>23329</v>
      </c>
      <c r="N89" s="55">
        <f t="shared" si="34"/>
        <v>20529.52</v>
      </c>
      <c r="O89" s="95"/>
      <c r="P89" s="160">
        <v>0</v>
      </c>
      <c r="Q89" s="55">
        <f t="shared" si="35"/>
        <v>0</v>
      </c>
      <c r="R89" s="65">
        <f t="shared" si="36"/>
        <v>0</v>
      </c>
      <c r="S89" s="118">
        <v>15</v>
      </c>
      <c r="T89" s="121" t="s">
        <v>201</v>
      </c>
      <c r="U89" s="73">
        <f>SUMIF('Avoided Costs 2013-2021'!$A:$A,'2013 Actuals'!T89&amp;'2013 Actuals'!S89,'Avoided Costs 2013-2021'!$E:$E)*J89</f>
        <v>107788.00658153735</v>
      </c>
      <c r="V89" s="73">
        <f>SUMIF('Avoided Costs 2013-2021'!$A:$A,'2013 Actuals'!T89&amp;'2013 Actuals'!S89,'Avoided Costs 2013-2021'!$K:$K)*N89</f>
        <v>21492.224514626927</v>
      </c>
      <c r="W89" s="73">
        <f>SUMIF('Avoided Costs 2013-2021'!$A:$A,'2013 Actuals'!T89&amp;'2013 Actuals'!S89,'Avoided Costs 2013-2021'!$M:$M)*R89</f>
        <v>0</v>
      </c>
      <c r="X89" s="73">
        <f t="shared" si="37"/>
        <v>129280.23109616428</v>
      </c>
      <c r="Y89" s="83">
        <v>515585</v>
      </c>
      <c r="Z89" s="74">
        <f t="shared" si="38"/>
        <v>453714.8</v>
      </c>
      <c r="AA89" s="74"/>
      <c r="AB89" s="74"/>
      <c r="AC89" s="74"/>
      <c r="AD89" s="74">
        <f t="shared" si="39"/>
        <v>453714.8</v>
      </c>
      <c r="AE89" s="74">
        <f t="shared" si="40"/>
        <v>-324434.56890383572</v>
      </c>
      <c r="AF89" s="52">
        <f t="shared" si="41"/>
        <v>723453.93119999999</v>
      </c>
      <c r="AG89" s="52">
        <f t="shared" si="42"/>
        <v>822106.74</v>
      </c>
    </row>
    <row r="90" spans="1:33" s="21" customFormat="1" ht="11.25" customHeight="1" x14ac:dyDescent="0.2">
      <c r="A90" s="114" t="s">
        <v>809</v>
      </c>
      <c r="B90" s="114"/>
      <c r="C90" s="114"/>
      <c r="D90" s="160">
        <v>1</v>
      </c>
      <c r="E90" s="161"/>
      <c r="F90" s="162">
        <v>0.12</v>
      </c>
      <c r="G90" s="162"/>
      <c r="H90" s="52">
        <v>19126</v>
      </c>
      <c r="I90" s="52">
        <f t="shared" si="31"/>
        <v>16907.384000000002</v>
      </c>
      <c r="J90" s="52">
        <f t="shared" si="32"/>
        <v>14878.497920000002</v>
      </c>
      <c r="K90" s="61"/>
      <c r="L90" s="160">
        <v>5651</v>
      </c>
      <c r="M90" s="55">
        <f t="shared" si="33"/>
        <v>5651</v>
      </c>
      <c r="N90" s="55">
        <f t="shared" si="34"/>
        <v>4972.88</v>
      </c>
      <c r="O90" s="95"/>
      <c r="P90" s="160">
        <v>0</v>
      </c>
      <c r="Q90" s="55">
        <f t="shared" si="35"/>
        <v>0</v>
      </c>
      <c r="R90" s="65">
        <f t="shared" si="36"/>
        <v>0</v>
      </c>
      <c r="S90" s="118">
        <v>15</v>
      </c>
      <c r="T90" s="121" t="s">
        <v>201</v>
      </c>
      <c r="U90" s="73">
        <f>SUMIF('Avoided Costs 2013-2021'!$A:$A,'2013 Actuals'!T90&amp;'2013 Actuals'!S90,'Avoided Costs 2013-2021'!$E:$E)*J90</f>
        <v>33251.397827037268</v>
      </c>
      <c r="V90" s="73">
        <f>SUMIF('Avoided Costs 2013-2021'!$A:$A,'2013 Actuals'!T90&amp;'2013 Actuals'!S90,'Avoided Costs 2013-2021'!$K:$K)*N90</f>
        <v>5206.07658845886</v>
      </c>
      <c r="W90" s="73">
        <f>SUMIF('Avoided Costs 2013-2021'!$A:$A,'2013 Actuals'!T90&amp;'2013 Actuals'!S90,'Avoided Costs 2013-2021'!$M:$M)*R90</f>
        <v>0</v>
      </c>
      <c r="X90" s="73">
        <f t="shared" si="37"/>
        <v>38457.47441549613</v>
      </c>
      <c r="Y90" s="83">
        <v>14500</v>
      </c>
      <c r="Z90" s="74">
        <f t="shared" si="38"/>
        <v>12760</v>
      </c>
      <c r="AA90" s="74"/>
      <c r="AB90" s="74"/>
      <c r="AC90" s="74"/>
      <c r="AD90" s="74">
        <f t="shared" si="39"/>
        <v>12760</v>
      </c>
      <c r="AE90" s="74">
        <f t="shared" si="40"/>
        <v>25697.47441549613</v>
      </c>
      <c r="AF90" s="52">
        <f t="shared" si="41"/>
        <v>223177.46880000003</v>
      </c>
      <c r="AG90" s="52">
        <f t="shared" si="42"/>
        <v>253610.76000000004</v>
      </c>
    </row>
    <row r="91" spans="1:33" s="21" customFormat="1" ht="11.25" customHeight="1" x14ac:dyDescent="0.2">
      <c r="A91" s="114" t="s">
        <v>810</v>
      </c>
      <c r="B91" s="114"/>
      <c r="C91" s="114"/>
      <c r="D91" s="160">
        <v>1</v>
      </c>
      <c r="E91" s="161"/>
      <c r="F91" s="162">
        <v>0.12</v>
      </c>
      <c r="G91" s="162"/>
      <c r="H91" s="52">
        <v>140689</v>
      </c>
      <c r="I91" s="52">
        <f t="shared" ref="I91:I122" si="43">+$H$39*H91</f>
        <v>124369.076</v>
      </c>
      <c r="J91" s="52">
        <f t="shared" ref="J91:J122" si="44">I91*(1-F91)</f>
        <v>109444.78688</v>
      </c>
      <c r="K91" s="61"/>
      <c r="L91" s="160">
        <v>0</v>
      </c>
      <c r="M91" s="55">
        <f t="shared" ref="M91:M122" si="45">+$L$39*L91</f>
        <v>0</v>
      </c>
      <c r="N91" s="55">
        <f t="shared" ref="N91:N122" si="46">M91*(1-F91)</f>
        <v>0</v>
      </c>
      <c r="O91" s="95"/>
      <c r="P91" s="160">
        <v>0</v>
      </c>
      <c r="Q91" s="55">
        <f t="shared" ref="Q91:Q122" si="47">+P91*$P$39</f>
        <v>0</v>
      </c>
      <c r="R91" s="65">
        <f t="shared" ref="R91:R122" si="48">Q91*(1-F91)</f>
        <v>0</v>
      </c>
      <c r="S91" s="118">
        <v>25</v>
      </c>
      <c r="T91" s="121" t="s">
        <v>201</v>
      </c>
      <c r="U91" s="73">
        <f>SUMIF('Avoided Costs 2013-2021'!$A:$A,'2013 Actuals'!T91&amp;'2013 Actuals'!S91,'Avoided Costs 2013-2021'!$E:$E)*J91</f>
        <v>343343.90843106271</v>
      </c>
      <c r="V91" s="73">
        <f>SUMIF('Avoided Costs 2013-2021'!$A:$A,'2013 Actuals'!T91&amp;'2013 Actuals'!S91,'Avoided Costs 2013-2021'!$K:$K)*N91</f>
        <v>0</v>
      </c>
      <c r="W91" s="73">
        <f>SUMIF('Avoided Costs 2013-2021'!$A:$A,'2013 Actuals'!T91&amp;'2013 Actuals'!S91,'Avoided Costs 2013-2021'!$M:$M)*R91</f>
        <v>0</v>
      </c>
      <c r="X91" s="73">
        <f t="shared" ref="X91:X122" si="49">SUM(U91:W91)</f>
        <v>343343.90843106271</v>
      </c>
      <c r="Y91" s="83">
        <v>85557</v>
      </c>
      <c r="Z91" s="74">
        <f t="shared" ref="Z91:Z122" si="50">Y91*(1-F91)</f>
        <v>75290.16</v>
      </c>
      <c r="AA91" s="74"/>
      <c r="AB91" s="74"/>
      <c r="AC91" s="74"/>
      <c r="AD91" s="74">
        <f t="shared" ref="AD91:AD122" si="51">Z91+AB91</f>
        <v>75290.16</v>
      </c>
      <c r="AE91" s="74">
        <f t="shared" ref="AE91:AE122" si="52">X91-AD91</f>
        <v>268053.74843106268</v>
      </c>
      <c r="AF91" s="52">
        <f t="shared" ref="AF91:AF122" si="53">J91*S91</f>
        <v>2736119.6719999998</v>
      </c>
      <c r="AG91" s="52">
        <f t="shared" ref="AG91:AG122" si="54">(I91*S91)</f>
        <v>3109226.9</v>
      </c>
    </row>
    <row r="92" spans="1:33" s="21" customFormat="1" ht="11.25" customHeight="1" x14ac:dyDescent="0.2">
      <c r="A92" s="114" t="s">
        <v>811</v>
      </c>
      <c r="B92" s="114"/>
      <c r="C92" s="114"/>
      <c r="D92" s="160">
        <v>1</v>
      </c>
      <c r="E92" s="161"/>
      <c r="F92" s="162">
        <v>0.12</v>
      </c>
      <c r="G92" s="162"/>
      <c r="H92" s="52">
        <v>43765</v>
      </c>
      <c r="I92" s="52">
        <f t="shared" si="43"/>
        <v>38688.26</v>
      </c>
      <c r="J92" s="52">
        <f t="shared" si="44"/>
        <v>34045.668799999999</v>
      </c>
      <c r="K92" s="61"/>
      <c r="L92" s="160">
        <v>0</v>
      </c>
      <c r="M92" s="55">
        <f t="shared" si="45"/>
        <v>0</v>
      </c>
      <c r="N92" s="55">
        <f t="shared" si="46"/>
        <v>0</v>
      </c>
      <c r="O92" s="95"/>
      <c r="P92" s="160">
        <v>0</v>
      </c>
      <c r="Q92" s="55">
        <f t="shared" si="47"/>
        <v>0</v>
      </c>
      <c r="R92" s="65">
        <f t="shared" si="48"/>
        <v>0</v>
      </c>
      <c r="S92" s="118">
        <v>25</v>
      </c>
      <c r="T92" s="121" t="s">
        <v>201</v>
      </c>
      <c r="U92" s="73">
        <f>SUMIF('Avoided Costs 2013-2021'!$A:$A,'2013 Actuals'!T92&amp;'2013 Actuals'!S92,'Avoided Costs 2013-2021'!$E:$E)*J92</f>
        <v>106806.11954371314</v>
      </c>
      <c r="V92" s="73">
        <f>SUMIF('Avoided Costs 2013-2021'!$A:$A,'2013 Actuals'!T92&amp;'2013 Actuals'!S92,'Avoided Costs 2013-2021'!$K:$K)*N92</f>
        <v>0</v>
      </c>
      <c r="W92" s="73">
        <f>SUMIF('Avoided Costs 2013-2021'!$A:$A,'2013 Actuals'!T92&amp;'2013 Actuals'!S92,'Avoided Costs 2013-2021'!$M:$M)*R92</f>
        <v>0</v>
      </c>
      <c r="X92" s="73">
        <f t="shared" si="49"/>
        <v>106806.11954371314</v>
      </c>
      <c r="Y92" s="83">
        <v>5376</v>
      </c>
      <c r="Z92" s="74">
        <f t="shared" si="50"/>
        <v>4730.88</v>
      </c>
      <c r="AA92" s="74"/>
      <c r="AB92" s="74"/>
      <c r="AC92" s="74"/>
      <c r="AD92" s="74">
        <f t="shared" si="51"/>
        <v>4730.88</v>
      </c>
      <c r="AE92" s="74">
        <f t="shared" si="52"/>
        <v>102075.23954371313</v>
      </c>
      <c r="AF92" s="52">
        <f t="shared" si="53"/>
        <v>851141.72</v>
      </c>
      <c r="AG92" s="52">
        <f t="shared" si="54"/>
        <v>967206.5</v>
      </c>
    </row>
    <row r="93" spans="1:33" s="21" customFormat="1" ht="11.25" customHeight="1" x14ac:dyDescent="0.2">
      <c r="A93" s="114" t="s">
        <v>812</v>
      </c>
      <c r="B93" s="114"/>
      <c r="C93" s="114"/>
      <c r="D93" s="160">
        <v>1</v>
      </c>
      <c r="E93" s="161"/>
      <c r="F93" s="162">
        <v>0.12</v>
      </c>
      <c r="G93" s="162"/>
      <c r="H93" s="52">
        <v>66643</v>
      </c>
      <c r="I93" s="52">
        <f t="shared" si="43"/>
        <v>58912.412000000004</v>
      </c>
      <c r="J93" s="52">
        <f t="shared" si="44"/>
        <v>51842.922560000006</v>
      </c>
      <c r="K93" s="61"/>
      <c r="L93" s="160">
        <v>0</v>
      </c>
      <c r="M93" s="55">
        <f t="shared" si="45"/>
        <v>0</v>
      </c>
      <c r="N93" s="55">
        <f t="shared" si="46"/>
        <v>0</v>
      </c>
      <c r="O93" s="95"/>
      <c r="P93" s="160">
        <v>0</v>
      </c>
      <c r="Q93" s="55">
        <f t="shared" si="47"/>
        <v>0</v>
      </c>
      <c r="R93" s="65">
        <f t="shared" si="48"/>
        <v>0</v>
      </c>
      <c r="S93" s="118">
        <v>25</v>
      </c>
      <c r="T93" s="121" t="s">
        <v>217</v>
      </c>
      <c r="U93" s="73">
        <f>SUMIF('Avoided Costs 2013-2021'!$A:$A,'2013 Actuals'!T93&amp;'2013 Actuals'!S93,'Avoided Costs 2013-2021'!$E:$E)*J93</f>
        <v>152629.23735744855</v>
      </c>
      <c r="V93" s="73">
        <f>SUMIF('Avoided Costs 2013-2021'!$A:$A,'2013 Actuals'!T93&amp;'2013 Actuals'!S93,'Avoided Costs 2013-2021'!$K:$K)*N93</f>
        <v>0</v>
      </c>
      <c r="W93" s="73">
        <f>SUMIF('Avoided Costs 2013-2021'!$A:$A,'2013 Actuals'!T93&amp;'2013 Actuals'!S93,'Avoided Costs 2013-2021'!$M:$M)*R93</f>
        <v>0</v>
      </c>
      <c r="X93" s="73">
        <f t="shared" si="49"/>
        <v>152629.23735744855</v>
      </c>
      <c r="Y93" s="83">
        <v>110946</v>
      </c>
      <c r="Z93" s="74">
        <f t="shared" si="50"/>
        <v>97632.48</v>
      </c>
      <c r="AA93" s="74"/>
      <c r="AB93" s="74"/>
      <c r="AC93" s="74"/>
      <c r="AD93" s="74">
        <f t="shared" si="51"/>
        <v>97632.48</v>
      </c>
      <c r="AE93" s="74">
        <f t="shared" si="52"/>
        <v>54996.757357448558</v>
      </c>
      <c r="AF93" s="52">
        <f t="shared" si="53"/>
        <v>1296073.0640000002</v>
      </c>
      <c r="AG93" s="52">
        <f t="shared" si="54"/>
        <v>1472810.3</v>
      </c>
    </row>
    <row r="94" spans="1:33" s="21" customFormat="1" ht="11.25" customHeight="1" x14ac:dyDescent="0.2">
      <c r="A94" s="114" t="s">
        <v>813</v>
      </c>
      <c r="B94" s="114"/>
      <c r="C94" s="114"/>
      <c r="D94" s="160">
        <v>1</v>
      </c>
      <c r="E94" s="161"/>
      <c r="F94" s="162">
        <v>0.12</v>
      </c>
      <c r="G94" s="162"/>
      <c r="H94" s="52">
        <v>54069</v>
      </c>
      <c r="I94" s="52">
        <f t="shared" si="43"/>
        <v>47796.995999999999</v>
      </c>
      <c r="J94" s="52">
        <f t="shared" si="44"/>
        <v>42061.356480000002</v>
      </c>
      <c r="K94" s="61"/>
      <c r="L94" s="160">
        <v>0</v>
      </c>
      <c r="M94" s="55">
        <f t="shared" si="45"/>
        <v>0</v>
      </c>
      <c r="N94" s="55">
        <f t="shared" si="46"/>
        <v>0</v>
      </c>
      <c r="O94" s="95"/>
      <c r="P94" s="160">
        <v>0</v>
      </c>
      <c r="Q94" s="55">
        <f t="shared" si="47"/>
        <v>0</v>
      </c>
      <c r="R94" s="65">
        <f t="shared" si="48"/>
        <v>0</v>
      </c>
      <c r="S94" s="118">
        <v>25</v>
      </c>
      <c r="T94" s="121" t="s">
        <v>201</v>
      </c>
      <c r="U94" s="73">
        <f>SUMIF('Avoided Costs 2013-2021'!$A:$A,'2013 Actuals'!T94&amp;'2013 Actuals'!S94,'Avoided Costs 2013-2021'!$E:$E)*J94</f>
        <v>131952.47521099111</v>
      </c>
      <c r="V94" s="73">
        <f>SUMIF('Avoided Costs 2013-2021'!$A:$A,'2013 Actuals'!T94&amp;'2013 Actuals'!S94,'Avoided Costs 2013-2021'!$K:$K)*N94</f>
        <v>0</v>
      </c>
      <c r="W94" s="73">
        <f>SUMIF('Avoided Costs 2013-2021'!$A:$A,'2013 Actuals'!T94&amp;'2013 Actuals'!S94,'Avoided Costs 2013-2021'!$M:$M)*R94</f>
        <v>0</v>
      </c>
      <c r="X94" s="73">
        <f t="shared" si="49"/>
        <v>131952.47521099111</v>
      </c>
      <c r="Y94" s="83">
        <v>2688</v>
      </c>
      <c r="Z94" s="74">
        <f t="shared" si="50"/>
        <v>2365.44</v>
      </c>
      <c r="AA94" s="74"/>
      <c r="AB94" s="74"/>
      <c r="AC94" s="74"/>
      <c r="AD94" s="74">
        <f t="shared" si="51"/>
        <v>2365.44</v>
      </c>
      <c r="AE94" s="74">
        <f t="shared" si="52"/>
        <v>129587.0352109911</v>
      </c>
      <c r="AF94" s="52">
        <f t="shared" si="53"/>
        <v>1051533.912</v>
      </c>
      <c r="AG94" s="52">
        <f t="shared" si="54"/>
        <v>1194924.8999999999</v>
      </c>
    </row>
    <row r="95" spans="1:33" s="21" customFormat="1" ht="11.25" customHeight="1" x14ac:dyDescent="0.2">
      <c r="A95" s="114" t="s">
        <v>814</v>
      </c>
      <c r="B95" s="114"/>
      <c r="C95" s="114"/>
      <c r="D95" s="160">
        <v>0</v>
      </c>
      <c r="E95" s="161"/>
      <c r="F95" s="162">
        <v>0.12</v>
      </c>
      <c r="G95" s="162"/>
      <c r="H95" s="52">
        <v>1055</v>
      </c>
      <c r="I95" s="52">
        <f t="shared" si="43"/>
        <v>932.62</v>
      </c>
      <c r="J95" s="52">
        <f t="shared" si="44"/>
        <v>820.7056</v>
      </c>
      <c r="K95" s="61"/>
      <c r="L95" s="160">
        <v>0</v>
      </c>
      <c r="M95" s="55">
        <f t="shared" si="45"/>
        <v>0</v>
      </c>
      <c r="N95" s="55">
        <f t="shared" si="46"/>
        <v>0</v>
      </c>
      <c r="O95" s="95"/>
      <c r="P95" s="160">
        <v>0</v>
      </c>
      <c r="Q95" s="55">
        <f t="shared" si="47"/>
        <v>0</v>
      </c>
      <c r="R95" s="65">
        <f t="shared" si="48"/>
        <v>0</v>
      </c>
      <c r="S95" s="118">
        <v>25</v>
      </c>
      <c r="T95" s="121" t="s">
        <v>217</v>
      </c>
      <c r="U95" s="73">
        <f>SUMIF('Avoided Costs 2013-2021'!$A:$A,'2013 Actuals'!T95&amp;'2013 Actuals'!S95,'Avoided Costs 2013-2021'!$E:$E)*J95</f>
        <v>2416.2154376619933</v>
      </c>
      <c r="V95" s="73">
        <f>SUMIF('Avoided Costs 2013-2021'!$A:$A,'2013 Actuals'!T95&amp;'2013 Actuals'!S95,'Avoided Costs 2013-2021'!$K:$K)*N95</f>
        <v>0</v>
      </c>
      <c r="W95" s="73">
        <f>SUMIF('Avoided Costs 2013-2021'!$A:$A,'2013 Actuals'!T95&amp;'2013 Actuals'!S95,'Avoided Costs 2013-2021'!$M:$M)*R95</f>
        <v>0</v>
      </c>
      <c r="X95" s="73">
        <f t="shared" si="49"/>
        <v>2416.2154376619933</v>
      </c>
      <c r="Y95" s="83">
        <v>867</v>
      </c>
      <c r="Z95" s="74">
        <f t="shared" si="50"/>
        <v>762.96</v>
      </c>
      <c r="AA95" s="74"/>
      <c r="AB95" s="74"/>
      <c r="AC95" s="74"/>
      <c r="AD95" s="74">
        <f t="shared" si="51"/>
        <v>762.96</v>
      </c>
      <c r="AE95" s="74">
        <f t="shared" si="52"/>
        <v>1653.2554376619933</v>
      </c>
      <c r="AF95" s="52">
        <f t="shared" si="53"/>
        <v>20517.64</v>
      </c>
      <c r="AG95" s="52">
        <f t="shared" si="54"/>
        <v>23315.5</v>
      </c>
    </row>
    <row r="96" spans="1:33" s="21" customFormat="1" ht="11.25" customHeight="1" x14ac:dyDescent="0.2">
      <c r="A96" s="114" t="s">
        <v>815</v>
      </c>
      <c r="B96" s="114"/>
      <c r="C96" s="114"/>
      <c r="D96" s="160">
        <v>1</v>
      </c>
      <c r="E96" s="161"/>
      <c r="F96" s="162">
        <v>0.12</v>
      </c>
      <c r="G96" s="162"/>
      <c r="H96" s="52">
        <v>59755</v>
      </c>
      <c r="I96" s="52">
        <f t="shared" si="43"/>
        <v>52823.42</v>
      </c>
      <c r="J96" s="52">
        <f t="shared" si="44"/>
        <v>46484.609599999996</v>
      </c>
      <c r="K96" s="61"/>
      <c r="L96" s="160">
        <v>0</v>
      </c>
      <c r="M96" s="55">
        <f t="shared" si="45"/>
        <v>0</v>
      </c>
      <c r="N96" s="55">
        <f t="shared" si="46"/>
        <v>0</v>
      </c>
      <c r="O96" s="95"/>
      <c r="P96" s="160">
        <v>0</v>
      </c>
      <c r="Q96" s="55">
        <f t="shared" si="47"/>
        <v>0</v>
      </c>
      <c r="R96" s="65">
        <f t="shared" si="48"/>
        <v>0</v>
      </c>
      <c r="S96" s="118">
        <v>25</v>
      </c>
      <c r="T96" s="121" t="s">
        <v>201</v>
      </c>
      <c r="U96" s="73">
        <f>SUMIF('Avoided Costs 2013-2021'!$A:$A,'2013 Actuals'!T96&amp;'2013 Actuals'!S96,'Avoided Costs 2013-2021'!$E:$E)*J96</f>
        <v>145828.85121294591</v>
      </c>
      <c r="V96" s="73">
        <f>SUMIF('Avoided Costs 2013-2021'!$A:$A,'2013 Actuals'!T96&amp;'2013 Actuals'!S96,'Avoided Costs 2013-2021'!$K:$K)*N96</f>
        <v>0</v>
      </c>
      <c r="W96" s="73">
        <f>SUMIF('Avoided Costs 2013-2021'!$A:$A,'2013 Actuals'!T96&amp;'2013 Actuals'!S96,'Avoided Costs 2013-2021'!$M:$M)*R96</f>
        <v>0</v>
      </c>
      <c r="X96" s="73">
        <f t="shared" si="49"/>
        <v>145828.85121294591</v>
      </c>
      <c r="Y96" s="83">
        <v>51942</v>
      </c>
      <c r="Z96" s="74">
        <f t="shared" si="50"/>
        <v>45708.959999999999</v>
      </c>
      <c r="AA96" s="74"/>
      <c r="AB96" s="74"/>
      <c r="AC96" s="74"/>
      <c r="AD96" s="74">
        <f t="shared" si="51"/>
        <v>45708.959999999999</v>
      </c>
      <c r="AE96" s="74">
        <f t="shared" si="52"/>
        <v>100119.89121294592</v>
      </c>
      <c r="AF96" s="52">
        <f t="shared" si="53"/>
        <v>1162115.24</v>
      </c>
      <c r="AG96" s="52">
        <f t="shared" si="54"/>
        <v>1320585.5</v>
      </c>
    </row>
    <row r="97" spans="1:33" s="21" customFormat="1" ht="11.25" customHeight="1" x14ac:dyDescent="0.2">
      <c r="A97" s="114" t="s">
        <v>816</v>
      </c>
      <c r="B97" s="114"/>
      <c r="C97" s="114"/>
      <c r="D97" s="160">
        <v>0</v>
      </c>
      <c r="E97" s="161"/>
      <c r="F97" s="162">
        <v>0.12</v>
      </c>
      <c r="G97" s="162"/>
      <c r="H97" s="52">
        <v>26013</v>
      </c>
      <c r="I97" s="52">
        <f t="shared" si="43"/>
        <v>22995.492000000002</v>
      </c>
      <c r="J97" s="52">
        <f t="shared" si="44"/>
        <v>20236.03296</v>
      </c>
      <c r="K97" s="61"/>
      <c r="L97" s="160">
        <v>122467</v>
      </c>
      <c r="M97" s="55">
        <f t="shared" si="45"/>
        <v>122467</v>
      </c>
      <c r="N97" s="55">
        <f t="shared" si="46"/>
        <v>107770.96</v>
      </c>
      <c r="O97" s="95"/>
      <c r="P97" s="160">
        <v>0</v>
      </c>
      <c r="Q97" s="55">
        <f t="shared" si="47"/>
        <v>0</v>
      </c>
      <c r="R97" s="65">
        <f t="shared" si="48"/>
        <v>0</v>
      </c>
      <c r="S97" s="118">
        <v>15</v>
      </c>
      <c r="T97" s="121" t="s">
        <v>201</v>
      </c>
      <c r="U97" s="73">
        <f>SUMIF('Avoided Costs 2013-2021'!$A:$A,'2013 Actuals'!T97&amp;'2013 Actuals'!S97,'Avoided Costs 2013-2021'!$E:$E)*J97</f>
        <v>45224.75225738369</v>
      </c>
      <c r="V97" s="73">
        <f>SUMIF('Avoided Costs 2013-2021'!$A:$A,'2013 Actuals'!T97&amp;'2013 Actuals'!S97,'Avoided Costs 2013-2021'!$K:$K)*N97</f>
        <v>112824.73572089741</v>
      </c>
      <c r="W97" s="73">
        <f>SUMIF('Avoided Costs 2013-2021'!$A:$A,'2013 Actuals'!T97&amp;'2013 Actuals'!S97,'Avoided Costs 2013-2021'!$M:$M)*R97</f>
        <v>0</v>
      </c>
      <c r="X97" s="73">
        <f t="shared" si="49"/>
        <v>158049.4879782811</v>
      </c>
      <c r="Y97" s="83">
        <v>19850</v>
      </c>
      <c r="Z97" s="74">
        <f t="shared" si="50"/>
        <v>17468</v>
      </c>
      <c r="AA97" s="74"/>
      <c r="AB97" s="74"/>
      <c r="AC97" s="74"/>
      <c r="AD97" s="74">
        <f t="shared" si="51"/>
        <v>17468</v>
      </c>
      <c r="AE97" s="74">
        <f t="shared" si="52"/>
        <v>140581.4879782811</v>
      </c>
      <c r="AF97" s="52">
        <f t="shared" si="53"/>
        <v>303540.49440000003</v>
      </c>
      <c r="AG97" s="52">
        <f t="shared" si="54"/>
        <v>344932.38</v>
      </c>
    </row>
    <row r="98" spans="1:33" s="21" customFormat="1" ht="11.25" customHeight="1" x14ac:dyDescent="0.2">
      <c r="A98" s="114" t="s">
        <v>817</v>
      </c>
      <c r="B98" s="114"/>
      <c r="C98" s="114"/>
      <c r="D98" s="160">
        <v>1</v>
      </c>
      <c r="E98" s="161"/>
      <c r="F98" s="162">
        <v>0.12</v>
      </c>
      <c r="G98" s="162"/>
      <c r="H98" s="52">
        <v>115139</v>
      </c>
      <c r="I98" s="52">
        <f t="shared" si="43"/>
        <v>101782.876</v>
      </c>
      <c r="J98" s="52">
        <f t="shared" si="44"/>
        <v>89568.93088</v>
      </c>
      <c r="K98" s="61"/>
      <c r="L98" s="160">
        <v>242700</v>
      </c>
      <c r="M98" s="55">
        <f t="shared" si="45"/>
        <v>242700</v>
      </c>
      <c r="N98" s="55">
        <f t="shared" si="46"/>
        <v>213576</v>
      </c>
      <c r="O98" s="95"/>
      <c r="P98" s="160">
        <v>0</v>
      </c>
      <c r="Q98" s="55">
        <f t="shared" si="47"/>
        <v>0</v>
      </c>
      <c r="R98" s="65">
        <f t="shared" si="48"/>
        <v>0</v>
      </c>
      <c r="S98" s="118">
        <v>15</v>
      </c>
      <c r="T98" s="121" t="s">
        <v>201</v>
      </c>
      <c r="U98" s="73">
        <f>SUMIF('Avoided Costs 2013-2021'!$A:$A,'2013 Actuals'!T98&amp;'2013 Actuals'!S98,'Avoided Costs 2013-2021'!$E:$E)*J98</f>
        <v>200174.24942001692</v>
      </c>
      <c r="V98" s="73">
        <f>SUMIF('Avoided Costs 2013-2021'!$A:$A,'2013 Actuals'!T98&amp;'2013 Actuals'!S98,'Avoided Costs 2013-2021'!$K:$K)*N98</f>
        <v>223591.36224012836</v>
      </c>
      <c r="W98" s="73">
        <f>SUMIF('Avoided Costs 2013-2021'!$A:$A,'2013 Actuals'!T98&amp;'2013 Actuals'!S98,'Avoided Costs 2013-2021'!$M:$M)*R98</f>
        <v>0</v>
      </c>
      <c r="X98" s="73">
        <f t="shared" si="49"/>
        <v>423765.61166014528</v>
      </c>
      <c r="Y98" s="83">
        <v>49110</v>
      </c>
      <c r="Z98" s="74">
        <f t="shared" si="50"/>
        <v>43216.800000000003</v>
      </c>
      <c r="AA98" s="74"/>
      <c r="AB98" s="74"/>
      <c r="AC98" s="74"/>
      <c r="AD98" s="74">
        <f t="shared" si="51"/>
        <v>43216.800000000003</v>
      </c>
      <c r="AE98" s="74">
        <f t="shared" si="52"/>
        <v>380548.81166014529</v>
      </c>
      <c r="AF98" s="52">
        <f t="shared" si="53"/>
        <v>1343533.9632000001</v>
      </c>
      <c r="AG98" s="52">
        <f t="shared" si="54"/>
        <v>1526743.1400000001</v>
      </c>
    </row>
    <row r="99" spans="1:33" s="21" customFormat="1" ht="11.25" customHeight="1" x14ac:dyDescent="0.2">
      <c r="A99" s="116" t="s">
        <v>818</v>
      </c>
      <c r="B99" s="116"/>
      <c r="C99" s="116"/>
      <c r="D99" s="151">
        <v>0</v>
      </c>
      <c r="E99" s="152"/>
      <c r="F99" s="153">
        <v>0.12</v>
      </c>
      <c r="G99" s="153"/>
      <c r="H99" s="52">
        <v>1868</v>
      </c>
      <c r="I99" s="52">
        <f t="shared" si="43"/>
        <v>1651.3120000000001</v>
      </c>
      <c r="J99" s="52">
        <f t="shared" si="44"/>
        <v>1453.1545600000002</v>
      </c>
      <c r="K99" s="152"/>
      <c r="L99" s="151">
        <v>0</v>
      </c>
      <c r="M99" s="55">
        <f t="shared" si="45"/>
        <v>0</v>
      </c>
      <c r="N99" s="55">
        <f t="shared" si="46"/>
        <v>0</v>
      </c>
      <c r="O99" s="154"/>
      <c r="P99" s="151">
        <v>0</v>
      </c>
      <c r="Q99" s="55">
        <f t="shared" si="47"/>
        <v>0</v>
      </c>
      <c r="R99" s="65">
        <f t="shared" si="48"/>
        <v>0</v>
      </c>
      <c r="S99" s="129">
        <v>25</v>
      </c>
      <c r="T99" s="123" t="s">
        <v>217</v>
      </c>
      <c r="U99" s="73">
        <f>SUMIF('Avoided Costs 2013-2021'!$A:$A,'2013 Actuals'!T99&amp;'2013 Actuals'!S99,'Avoided Costs 2013-2021'!$E:$E)*J99</f>
        <v>4278.1899882015205</v>
      </c>
      <c r="V99" s="73">
        <f>SUMIF('Avoided Costs 2013-2021'!$A:$A,'2013 Actuals'!T99&amp;'2013 Actuals'!S99,'Avoided Costs 2013-2021'!$K:$K)*N99</f>
        <v>0</v>
      </c>
      <c r="W99" s="73">
        <f>SUMIF('Avoided Costs 2013-2021'!$A:$A,'2013 Actuals'!T99&amp;'2013 Actuals'!S99,'Avoided Costs 2013-2021'!$M:$M)*R99</f>
        <v>0</v>
      </c>
      <c r="X99" s="73">
        <f t="shared" si="49"/>
        <v>4278.1899882015205</v>
      </c>
      <c r="Y99" s="83">
        <v>15546</v>
      </c>
      <c r="Z99" s="74">
        <f t="shared" si="50"/>
        <v>13680.48</v>
      </c>
      <c r="AA99" s="74"/>
      <c r="AB99" s="74"/>
      <c r="AC99" s="74"/>
      <c r="AD99" s="74">
        <f t="shared" si="51"/>
        <v>13680.48</v>
      </c>
      <c r="AE99" s="74">
        <f t="shared" si="52"/>
        <v>-9402.2900117984791</v>
      </c>
      <c r="AF99" s="52">
        <f t="shared" si="53"/>
        <v>36328.864000000001</v>
      </c>
      <c r="AG99" s="52">
        <f t="shared" si="54"/>
        <v>41282.800000000003</v>
      </c>
    </row>
    <row r="100" spans="1:33" s="21" customFormat="1" ht="11.25" customHeight="1" x14ac:dyDescent="0.2">
      <c r="A100" s="116" t="s">
        <v>819</v>
      </c>
      <c r="B100" s="116"/>
      <c r="C100" s="116"/>
      <c r="D100" s="151">
        <v>1</v>
      </c>
      <c r="E100" s="152"/>
      <c r="F100" s="153">
        <v>0.12</v>
      </c>
      <c r="G100" s="153"/>
      <c r="H100" s="52">
        <v>42490</v>
      </c>
      <c r="I100" s="52">
        <f t="shared" si="43"/>
        <v>37561.160000000003</v>
      </c>
      <c r="J100" s="52">
        <f t="shared" si="44"/>
        <v>33053.820800000001</v>
      </c>
      <c r="K100" s="152"/>
      <c r="L100" s="151">
        <v>0</v>
      </c>
      <c r="M100" s="55">
        <f t="shared" si="45"/>
        <v>0</v>
      </c>
      <c r="N100" s="55">
        <f t="shared" si="46"/>
        <v>0</v>
      </c>
      <c r="O100" s="154"/>
      <c r="P100" s="151">
        <v>0</v>
      </c>
      <c r="Q100" s="55">
        <f t="shared" si="47"/>
        <v>0</v>
      </c>
      <c r="R100" s="65">
        <f t="shared" si="48"/>
        <v>0</v>
      </c>
      <c r="S100" s="129">
        <v>25</v>
      </c>
      <c r="T100" s="123" t="s">
        <v>201</v>
      </c>
      <c r="U100" s="73">
        <f>SUMIF('Avoided Costs 2013-2021'!$A:$A,'2013 Actuals'!T100&amp;'2013 Actuals'!S100,'Avoided Costs 2013-2021'!$E:$E)*J100</f>
        <v>103694.55088340846</v>
      </c>
      <c r="V100" s="73">
        <f>SUMIF('Avoided Costs 2013-2021'!$A:$A,'2013 Actuals'!T100&amp;'2013 Actuals'!S100,'Avoided Costs 2013-2021'!$K:$K)*N100</f>
        <v>0</v>
      </c>
      <c r="W100" s="73">
        <f>SUMIF('Avoided Costs 2013-2021'!$A:$A,'2013 Actuals'!T100&amp;'2013 Actuals'!S100,'Avoided Costs 2013-2021'!$M:$M)*R100</f>
        <v>0</v>
      </c>
      <c r="X100" s="73">
        <f t="shared" si="49"/>
        <v>103694.55088340846</v>
      </c>
      <c r="Y100" s="83">
        <v>6980</v>
      </c>
      <c r="Z100" s="74">
        <f t="shared" si="50"/>
        <v>6142.4</v>
      </c>
      <c r="AA100" s="74"/>
      <c r="AB100" s="74"/>
      <c r="AC100" s="74"/>
      <c r="AD100" s="74">
        <f t="shared" si="51"/>
        <v>6142.4</v>
      </c>
      <c r="AE100" s="74">
        <f t="shared" si="52"/>
        <v>97552.150883408467</v>
      </c>
      <c r="AF100" s="52">
        <f t="shared" si="53"/>
        <v>826345.52</v>
      </c>
      <c r="AG100" s="52">
        <f t="shared" si="54"/>
        <v>939029.00000000012</v>
      </c>
    </row>
    <row r="101" spans="1:33" s="21" customFormat="1" ht="11.25" customHeight="1" x14ac:dyDescent="0.2">
      <c r="A101" s="114" t="s">
        <v>820</v>
      </c>
      <c r="B101" s="114"/>
      <c r="C101" s="114"/>
      <c r="D101" s="160">
        <v>1</v>
      </c>
      <c r="E101" s="161"/>
      <c r="F101" s="162">
        <v>0.12</v>
      </c>
      <c r="G101" s="162"/>
      <c r="H101" s="52">
        <v>39003</v>
      </c>
      <c r="I101" s="52">
        <f t="shared" si="43"/>
        <v>34478.652000000002</v>
      </c>
      <c r="J101" s="52">
        <f t="shared" si="44"/>
        <v>30341.213760000002</v>
      </c>
      <c r="K101" s="61"/>
      <c r="L101" s="160">
        <v>0</v>
      </c>
      <c r="M101" s="55">
        <f t="shared" si="45"/>
        <v>0</v>
      </c>
      <c r="N101" s="55">
        <f t="shared" si="46"/>
        <v>0</v>
      </c>
      <c r="O101" s="95"/>
      <c r="P101" s="160">
        <v>0</v>
      </c>
      <c r="Q101" s="55">
        <f t="shared" si="47"/>
        <v>0</v>
      </c>
      <c r="R101" s="65">
        <f t="shared" si="48"/>
        <v>0</v>
      </c>
      <c r="S101" s="118">
        <v>25</v>
      </c>
      <c r="T101" s="121" t="s">
        <v>201</v>
      </c>
      <c r="U101" s="73">
        <f>SUMIF('Avoided Costs 2013-2021'!$A:$A,'2013 Actuals'!T101&amp;'2013 Actuals'!S101,'Avoided Costs 2013-2021'!$E:$E)*J101</f>
        <v>95184.715653226187</v>
      </c>
      <c r="V101" s="73">
        <f>SUMIF('Avoided Costs 2013-2021'!$A:$A,'2013 Actuals'!T101&amp;'2013 Actuals'!S101,'Avoided Costs 2013-2021'!$K:$K)*N101</f>
        <v>0</v>
      </c>
      <c r="W101" s="73">
        <f>SUMIF('Avoided Costs 2013-2021'!$A:$A,'2013 Actuals'!T101&amp;'2013 Actuals'!S101,'Avoided Costs 2013-2021'!$M:$M)*R101</f>
        <v>0</v>
      </c>
      <c r="X101" s="73">
        <f t="shared" si="49"/>
        <v>95184.715653226187</v>
      </c>
      <c r="Y101" s="83">
        <v>13986</v>
      </c>
      <c r="Z101" s="74">
        <f t="shared" si="50"/>
        <v>12307.68</v>
      </c>
      <c r="AA101" s="74"/>
      <c r="AB101" s="74"/>
      <c r="AC101" s="74"/>
      <c r="AD101" s="74">
        <f t="shared" si="51"/>
        <v>12307.68</v>
      </c>
      <c r="AE101" s="74">
        <f t="shared" si="52"/>
        <v>82877.035653226194</v>
      </c>
      <c r="AF101" s="52">
        <f t="shared" si="53"/>
        <v>758530.34400000004</v>
      </c>
      <c r="AG101" s="52">
        <f t="shared" si="54"/>
        <v>861966.3</v>
      </c>
    </row>
    <row r="102" spans="1:33" s="21" customFormat="1" ht="11.25" customHeight="1" x14ac:dyDescent="0.2">
      <c r="A102" s="114" t="s">
        <v>821</v>
      </c>
      <c r="B102" s="114"/>
      <c r="C102" s="114"/>
      <c r="D102" s="160">
        <v>1</v>
      </c>
      <c r="E102" s="161"/>
      <c r="F102" s="162">
        <v>0.12</v>
      </c>
      <c r="G102" s="162"/>
      <c r="H102" s="52">
        <v>101763</v>
      </c>
      <c r="I102" s="52">
        <f t="shared" si="43"/>
        <v>89958.491999999998</v>
      </c>
      <c r="J102" s="52">
        <f t="shared" si="44"/>
        <v>79163.472959999999</v>
      </c>
      <c r="K102" s="61"/>
      <c r="L102" s="160">
        <v>0</v>
      </c>
      <c r="M102" s="55">
        <f t="shared" si="45"/>
        <v>0</v>
      </c>
      <c r="N102" s="55">
        <f t="shared" si="46"/>
        <v>0</v>
      </c>
      <c r="O102" s="95"/>
      <c r="P102" s="160">
        <v>0</v>
      </c>
      <c r="Q102" s="55">
        <f t="shared" si="47"/>
        <v>0</v>
      </c>
      <c r="R102" s="65">
        <f t="shared" si="48"/>
        <v>0</v>
      </c>
      <c r="S102" s="118">
        <v>25</v>
      </c>
      <c r="T102" s="121" t="s">
        <v>201</v>
      </c>
      <c r="U102" s="73">
        <f>SUMIF('Avoided Costs 2013-2021'!$A:$A,'2013 Actuals'!T102&amp;'2013 Actuals'!S102,'Avoided Costs 2013-2021'!$E:$E)*J102</f>
        <v>248347.10712045882</v>
      </c>
      <c r="V102" s="73">
        <f>SUMIF('Avoided Costs 2013-2021'!$A:$A,'2013 Actuals'!T102&amp;'2013 Actuals'!S102,'Avoided Costs 2013-2021'!$K:$K)*N102</f>
        <v>0</v>
      </c>
      <c r="W102" s="73">
        <f>SUMIF('Avoided Costs 2013-2021'!$A:$A,'2013 Actuals'!T102&amp;'2013 Actuals'!S102,'Avoided Costs 2013-2021'!$M:$M)*R102</f>
        <v>0</v>
      </c>
      <c r="X102" s="73">
        <f t="shared" si="49"/>
        <v>248347.10712045882</v>
      </c>
      <c r="Y102" s="83">
        <v>191872</v>
      </c>
      <c r="Z102" s="74">
        <f t="shared" si="50"/>
        <v>168847.36000000002</v>
      </c>
      <c r="AA102" s="74"/>
      <c r="AB102" s="74"/>
      <c r="AC102" s="74"/>
      <c r="AD102" s="74">
        <f t="shared" si="51"/>
        <v>168847.36000000002</v>
      </c>
      <c r="AE102" s="74">
        <f t="shared" si="52"/>
        <v>79499.747120458807</v>
      </c>
      <c r="AF102" s="52">
        <f t="shared" si="53"/>
        <v>1979086.824</v>
      </c>
      <c r="AG102" s="52">
        <f t="shared" si="54"/>
        <v>2248962.2999999998</v>
      </c>
    </row>
    <row r="103" spans="1:33" s="21" customFormat="1" ht="11.25" customHeight="1" x14ac:dyDescent="0.2">
      <c r="A103" s="114" t="s">
        <v>822</v>
      </c>
      <c r="B103" s="114"/>
      <c r="C103" s="114"/>
      <c r="D103" s="160">
        <v>1</v>
      </c>
      <c r="E103" s="161"/>
      <c r="F103" s="162">
        <v>0.12</v>
      </c>
      <c r="G103" s="162"/>
      <c r="H103" s="52">
        <v>86676</v>
      </c>
      <c r="I103" s="52">
        <f t="shared" si="43"/>
        <v>76621.584000000003</v>
      </c>
      <c r="J103" s="52">
        <f t="shared" si="44"/>
        <v>67426.993920000008</v>
      </c>
      <c r="K103" s="61"/>
      <c r="L103" s="160">
        <v>0</v>
      </c>
      <c r="M103" s="55">
        <f t="shared" si="45"/>
        <v>0</v>
      </c>
      <c r="N103" s="55">
        <f t="shared" si="46"/>
        <v>0</v>
      </c>
      <c r="O103" s="95"/>
      <c r="P103" s="160">
        <v>0</v>
      </c>
      <c r="Q103" s="55">
        <f t="shared" si="47"/>
        <v>0</v>
      </c>
      <c r="R103" s="65">
        <f t="shared" si="48"/>
        <v>0</v>
      </c>
      <c r="S103" s="118">
        <v>25</v>
      </c>
      <c r="T103" s="121" t="s">
        <v>201</v>
      </c>
      <c r="U103" s="73">
        <f>SUMIF('Avoided Costs 2013-2021'!$A:$A,'2013 Actuals'!T103&amp;'2013 Actuals'!S103,'Avoided Costs 2013-2021'!$E:$E)*J103</f>
        <v>211528.0981965242</v>
      </c>
      <c r="V103" s="73">
        <f>SUMIF('Avoided Costs 2013-2021'!$A:$A,'2013 Actuals'!T103&amp;'2013 Actuals'!S103,'Avoided Costs 2013-2021'!$K:$K)*N103</f>
        <v>0</v>
      </c>
      <c r="W103" s="73">
        <f>SUMIF('Avoided Costs 2013-2021'!$A:$A,'2013 Actuals'!T103&amp;'2013 Actuals'!S103,'Avoided Costs 2013-2021'!$M:$M)*R103</f>
        <v>0</v>
      </c>
      <c r="X103" s="73">
        <f t="shared" si="49"/>
        <v>211528.0981965242</v>
      </c>
      <c r="Y103" s="83">
        <v>46776</v>
      </c>
      <c r="Z103" s="74">
        <f t="shared" si="50"/>
        <v>41162.879999999997</v>
      </c>
      <c r="AA103" s="74"/>
      <c r="AB103" s="74"/>
      <c r="AC103" s="74"/>
      <c r="AD103" s="74">
        <f t="shared" si="51"/>
        <v>41162.879999999997</v>
      </c>
      <c r="AE103" s="74">
        <f t="shared" si="52"/>
        <v>170365.21819652419</v>
      </c>
      <c r="AF103" s="52">
        <f t="shared" si="53"/>
        <v>1685674.8480000002</v>
      </c>
      <c r="AG103" s="52">
        <f t="shared" si="54"/>
        <v>1915539.6</v>
      </c>
    </row>
    <row r="104" spans="1:33" s="21" customFormat="1" ht="11.25" customHeight="1" x14ac:dyDescent="0.2">
      <c r="A104" s="114" t="s">
        <v>823</v>
      </c>
      <c r="B104" s="114"/>
      <c r="C104" s="114"/>
      <c r="D104" s="160">
        <v>1</v>
      </c>
      <c r="E104" s="161"/>
      <c r="F104" s="162">
        <v>0.12</v>
      </c>
      <c r="G104" s="162"/>
      <c r="H104" s="52">
        <v>47574</v>
      </c>
      <c r="I104" s="52">
        <f t="shared" si="43"/>
        <v>42055.415999999997</v>
      </c>
      <c r="J104" s="52">
        <f t="shared" si="44"/>
        <v>37008.766080000001</v>
      </c>
      <c r="K104" s="61"/>
      <c r="L104" s="160">
        <v>21788</v>
      </c>
      <c r="M104" s="55">
        <f t="shared" si="45"/>
        <v>21788</v>
      </c>
      <c r="N104" s="55">
        <f t="shared" si="46"/>
        <v>19173.439999999999</v>
      </c>
      <c r="O104" s="95"/>
      <c r="P104" s="160">
        <v>0</v>
      </c>
      <c r="Q104" s="55">
        <f t="shared" si="47"/>
        <v>0</v>
      </c>
      <c r="R104" s="65">
        <f t="shared" si="48"/>
        <v>0</v>
      </c>
      <c r="S104" s="118">
        <v>15</v>
      </c>
      <c r="T104" s="121" t="s">
        <v>201</v>
      </c>
      <c r="U104" s="73">
        <f>SUMIF('Avoided Costs 2013-2021'!$A:$A,'2013 Actuals'!T104&amp;'2013 Actuals'!S104,'Avoided Costs 2013-2021'!$E:$E)*J104</f>
        <v>82709.505397023473</v>
      </c>
      <c r="V104" s="73">
        <f>SUMIF('Avoided Costs 2013-2021'!$A:$A,'2013 Actuals'!T104&amp;'2013 Actuals'!S104,'Avoided Costs 2013-2021'!$K:$K)*N104</f>
        <v>20072.552948034267</v>
      </c>
      <c r="W104" s="73">
        <f>SUMIF('Avoided Costs 2013-2021'!$A:$A,'2013 Actuals'!T104&amp;'2013 Actuals'!S104,'Avoided Costs 2013-2021'!$M:$M)*R104</f>
        <v>0</v>
      </c>
      <c r="X104" s="73">
        <f t="shared" si="49"/>
        <v>102782.05834505774</v>
      </c>
      <c r="Y104" s="83">
        <v>126526</v>
      </c>
      <c r="Z104" s="74">
        <f t="shared" si="50"/>
        <v>111342.88</v>
      </c>
      <c r="AA104" s="74"/>
      <c r="AB104" s="74"/>
      <c r="AC104" s="74"/>
      <c r="AD104" s="74">
        <f t="shared" si="51"/>
        <v>111342.88</v>
      </c>
      <c r="AE104" s="74">
        <f t="shared" si="52"/>
        <v>-8560.821654942265</v>
      </c>
      <c r="AF104" s="52">
        <f t="shared" si="53"/>
        <v>555131.49120000005</v>
      </c>
      <c r="AG104" s="52">
        <f t="shared" si="54"/>
        <v>630831.24</v>
      </c>
    </row>
    <row r="105" spans="1:33" s="21" customFormat="1" ht="11.25" customHeight="1" x14ac:dyDescent="0.2">
      <c r="A105" s="114" t="s">
        <v>824</v>
      </c>
      <c r="B105" s="114"/>
      <c r="C105" s="114"/>
      <c r="D105" s="160">
        <v>1</v>
      </c>
      <c r="E105" s="161"/>
      <c r="F105" s="162">
        <v>0.12</v>
      </c>
      <c r="G105" s="162"/>
      <c r="H105" s="52">
        <v>15106</v>
      </c>
      <c r="I105" s="52">
        <f t="shared" si="43"/>
        <v>13353.704</v>
      </c>
      <c r="J105" s="52">
        <f t="shared" si="44"/>
        <v>11751.25952</v>
      </c>
      <c r="K105" s="61"/>
      <c r="L105" s="160">
        <v>0</v>
      </c>
      <c r="M105" s="55">
        <f t="shared" si="45"/>
        <v>0</v>
      </c>
      <c r="N105" s="55">
        <f t="shared" si="46"/>
        <v>0</v>
      </c>
      <c r="O105" s="95"/>
      <c r="P105" s="160">
        <v>0</v>
      </c>
      <c r="Q105" s="55">
        <f t="shared" si="47"/>
        <v>0</v>
      </c>
      <c r="R105" s="65">
        <f t="shared" si="48"/>
        <v>0</v>
      </c>
      <c r="S105" s="118">
        <v>25</v>
      </c>
      <c r="T105" s="121" t="s">
        <v>201</v>
      </c>
      <c r="U105" s="73">
        <f>SUMIF('Avoided Costs 2013-2021'!$A:$A,'2013 Actuals'!T105&amp;'2013 Actuals'!S105,'Avoided Costs 2013-2021'!$E:$E)*J105</f>
        <v>36865.377398088211</v>
      </c>
      <c r="V105" s="73">
        <f>SUMIF('Avoided Costs 2013-2021'!$A:$A,'2013 Actuals'!T105&amp;'2013 Actuals'!S105,'Avoided Costs 2013-2021'!$K:$K)*N105</f>
        <v>0</v>
      </c>
      <c r="W105" s="73">
        <f>SUMIF('Avoided Costs 2013-2021'!$A:$A,'2013 Actuals'!T105&amp;'2013 Actuals'!S105,'Avoided Costs 2013-2021'!$M:$M)*R105</f>
        <v>0</v>
      </c>
      <c r="X105" s="73">
        <f t="shared" si="49"/>
        <v>36865.377398088211</v>
      </c>
      <c r="Y105" s="83">
        <v>3466</v>
      </c>
      <c r="Z105" s="74">
        <f t="shared" si="50"/>
        <v>3050.08</v>
      </c>
      <c r="AA105" s="74"/>
      <c r="AB105" s="74"/>
      <c r="AC105" s="74"/>
      <c r="AD105" s="74">
        <f t="shared" si="51"/>
        <v>3050.08</v>
      </c>
      <c r="AE105" s="74">
        <f t="shared" si="52"/>
        <v>33815.297398088209</v>
      </c>
      <c r="AF105" s="52">
        <f t="shared" si="53"/>
        <v>293781.48800000001</v>
      </c>
      <c r="AG105" s="52">
        <f t="shared" si="54"/>
        <v>333842.59999999998</v>
      </c>
    </row>
    <row r="106" spans="1:33" s="21" customFormat="1" ht="11.25" customHeight="1" x14ac:dyDescent="0.2">
      <c r="A106" s="114" t="s">
        <v>825</v>
      </c>
      <c r="B106" s="114"/>
      <c r="C106" s="114"/>
      <c r="D106" s="160">
        <v>1</v>
      </c>
      <c r="E106" s="161"/>
      <c r="F106" s="162">
        <v>0.12</v>
      </c>
      <c r="G106" s="162"/>
      <c r="H106" s="52">
        <v>125678</v>
      </c>
      <c r="I106" s="52">
        <f t="shared" si="43"/>
        <v>111099.352</v>
      </c>
      <c r="J106" s="52">
        <f t="shared" si="44"/>
        <v>97767.429759999999</v>
      </c>
      <c r="K106" s="61"/>
      <c r="L106" s="160">
        <v>21362</v>
      </c>
      <c r="M106" s="55">
        <f t="shared" si="45"/>
        <v>21362</v>
      </c>
      <c r="N106" s="55">
        <f t="shared" si="46"/>
        <v>18798.560000000001</v>
      </c>
      <c r="O106" s="95"/>
      <c r="P106" s="160">
        <v>0</v>
      </c>
      <c r="Q106" s="55">
        <f t="shared" si="47"/>
        <v>0</v>
      </c>
      <c r="R106" s="65">
        <f t="shared" si="48"/>
        <v>0</v>
      </c>
      <c r="S106" s="118">
        <v>15</v>
      </c>
      <c r="T106" s="121" t="s">
        <v>201</v>
      </c>
      <c r="U106" s="73">
        <f>SUMIF('Avoided Costs 2013-2021'!$A:$A,'2013 Actuals'!T106&amp;'2013 Actuals'!S106,'Avoided Costs 2013-2021'!$E:$E)*J106</f>
        <v>218496.76754712901</v>
      </c>
      <c r="V106" s="73">
        <f>SUMIF('Avoided Costs 2013-2021'!$A:$A,'2013 Actuals'!T106&amp;'2013 Actuals'!S106,'Avoided Costs 2013-2021'!$K:$K)*N106</f>
        <v>19680.09344941748</v>
      </c>
      <c r="W106" s="73">
        <f>SUMIF('Avoided Costs 2013-2021'!$A:$A,'2013 Actuals'!T106&amp;'2013 Actuals'!S106,'Avoided Costs 2013-2021'!$M:$M)*R106</f>
        <v>0</v>
      </c>
      <c r="X106" s="73">
        <f t="shared" si="49"/>
        <v>238176.86099654649</v>
      </c>
      <c r="Y106" s="83">
        <v>295228</v>
      </c>
      <c r="Z106" s="74">
        <f t="shared" si="50"/>
        <v>259800.64</v>
      </c>
      <c r="AA106" s="74"/>
      <c r="AB106" s="74"/>
      <c r="AC106" s="74"/>
      <c r="AD106" s="74">
        <f t="shared" si="51"/>
        <v>259800.64</v>
      </c>
      <c r="AE106" s="74">
        <f t="shared" si="52"/>
        <v>-21623.779003453528</v>
      </c>
      <c r="AF106" s="52">
        <f t="shared" si="53"/>
        <v>1466511.4464</v>
      </c>
      <c r="AG106" s="52">
        <f t="shared" si="54"/>
        <v>1666490.28</v>
      </c>
    </row>
    <row r="107" spans="1:33" s="21" customFormat="1" ht="11.25" customHeight="1" x14ac:dyDescent="0.2">
      <c r="A107" s="114" t="s">
        <v>826</v>
      </c>
      <c r="B107" s="114"/>
      <c r="C107" s="114"/>
      <c r="D107" s="160">
        <v>1</v>
      </c>
      <c r="E107" s="161"/>
      <c r="F107" s="162">
        <v>0.12</v>
      </c>
      <c r="G107" s="162"/>
      <c r="H107" s="52">
        <v>38514</v>
      </c>
      <c r="I107" s="52">
        <f t="shared" si="43"/>
        <v>34046.376000000004</v>
      </c>
      <c r="J107" s="52">
        <f t="shared" si="44"/>
        <v>29960.810880000005</v>
      </c>
      <c r="K107" s="61"/>
      <c r="L107" s="160">
        <v>0</v>
      </c>
      <c r="M107" s="55">
        <f t="shared" si="45"/>
        <v>0</v>
      </c>
      <c r="N107" s="55">
        <f t="shared" si="46"/>
        <v>0</v>
      </c>
      <c r="O107" s="95"/>
      <c r="P107" s="160">
        <v>0</v>
      </c>
      <c r="Q107" s="55">
        <f t="shared" si="47"/>
        <v>0</v>
      </c>
      <c r="R107" s="65">
        <f t="shared" si="48"/>
        <v>0</v>
      </c>
      <c r="S107" s="118">
        <v>25</v>
      </c>
      <c r="T107" s="121" t="s">
        <v>201</v>
      </c>
      <c r="U107" s="73">
        <f>SUMIF('Avoided Costs 2013-2021'!$A:$A,'2013 Actuals'!T107&amp;'2013 Actuals'!S107,'Avoided Costs 2013-2021'!$E:$E)*J107</f>
        <v>93991.337555274047</v>
      </c>
      <c r="V107" s="73">
        <f>SUMIF('Avoided Costs 2013-2021'!$A:$A,'2013 Actuals'!T107&amp;'2013 Actuals'!S107,'Avoided Costs 2013-2021'!$K:$K)*N107</f>
        <v>0</v>
      </c>
      <c r="W107" s="73">
        <f>SUMIF('Avoided Costs 2013-2021'!$A:$A,'2013 Actuals'!T107&amp;'2013 Actuals'!S107,'Avoided Costs 2013-2021'!$M:$M)*R107</f>
        <v>0</v>
      </c>
      <c r="X107" s="73">
        <f t="shared" si="49"/>
        <v>93991.337555274047</v>
      </c>
      <c r="Y107" s="83">
        <v>6776</v>
      </c>
      <c r="Z107" s="74">
        <f t="shared" si="50"/>
        <v>5962.88</v>
      </c>
      <c r="AA107" s="74"/>
      <c r="AB107" s="74"/>
      <c r="AC107" s="74"/>
      <c r="AD107" s="74">
        <f t="shared" si="51"/>
        <v>5962.88</v>
      </c>
      <c r="AE107" s="74">
        <f t="shared" si="52"/>
        <v>88028.457555274043</v>
      </c>
      <c r="AF107" s="52">
        <f t="shared" si="53"/>
        <v>749020.27200000011</v>
      </c>
      <c r="AG107" s="52">
        <f t="shared" si="54"/>
        <v>851159.40000000014</v>
      </c>
    </row>
    <row r="108" spans="1:33" s="21" customFormat="1" ht="11.25" customHeight="1" x14ac:dyDescent="0.2">
      <c r="A108" s="116" t="s">
        <v>827</v>
      </c>
      <c r="B108" s="116"/>
      <c r="C108" s="116"/>
      <c r="D108" s="151">
        <v>1</v>
      </c>
      <c r="E108" s="152"/>
      <c r="F108" s="153">
        <v>0.12</v>
      </c>
      <c r="G108" s="153"/>
      <c r="H108" s="52">
        <v>73546</v>
      </c>
      <c r="I108" s="52">
        <f t="shared" si="43"/>
        <v>65014.663999999997</v>
      </c>
      <c r="J108" s="52">
        <f t="shared" si="44"/>
        <v>57212.904319999994</v>
      </c>
      <c r="K108" s="152"/>
      <c r="L108" s="151">
        <v>0</v>
      </c>
      <c r="M108" s="55">
        <f t="shared" si="45"/>
        <v>0</v>
      </c>
      <c r="N108" s="55">
        <f t="shared" si="46"/>
        <v>0</v>
      </c>
      <c r="O108" s="154"/>
      <c r="P108" s="151">
        <v>0</v>
      </c>
      <c r="Q108" s="55">
        <f t="shared" si="47"/>
        <v>0</v>
      </c>
      <c r="R108" s="65">
        <f t="shared" si="48"/>
        <v>0</v>
      </c>
      <c r="S108" s="129">
        <v>15</v>
      </c>
      <c r="T108" s="123" t="s">
        <v>201</v>
      </c>
      <c r="U108" s="73">
        <f>SUMIF('Avoided Costs 2013-2021'!$A:$A,'2013 Actuals'!T108&amp;'2013 Actuals'!S108,'Avoided Costs 2013-2021'!$E:$E)*J108</f>
        <v>127862.977339082</v>
      </c>
      <c r="V108" s="73">
        <f>SUMIF('Avoided Costs 2013-2021'!$A:$A,'2013 Actuals'!T108&amp;'2013 Actuals'!S108,'Avoided Costs 2013-2021'!$K:$K)*N108</f>
        <v>0</v>
      </c>
      <c r="W108" s="73">
        <f>SUMIF('Avoided Costs 2013-2021'!$A:$A,'2013 Actuals'!T108&amp;'2013 Actuals'!S108,'Avoided Costs 2013-2021'!$M:$M)*R108</f>
        <v>0</v>
      </c>
      <c r="X108" s="73">
        <f t="shared" si="49"/>
        <v>127862.977339082</v>
      </c>
      <c r="Y108" s="83">
        <v>41170</v>
      </c>
      <c r="Z108" s="74">
        <f t="shared" si="50"/>
        <v>36229.599999999999</v>
      </c>
      <c r="AA108" s="74"/>
      <c r="AB108" s="74"/>
      <c r="AC108" s="74"/>
      <c r="AD108" s="74">
        <f t="shared" si="51"/>
        <v>36229.599999999999</v>
      </c>
      <c r="AE108" s="74">
        <f t="shared" si="52"/>
        <v>91633.377339082013</v>
      </c>
      <c r="AF108" s="52">
        <f t="shared" si="53"/>
        <v>858193.56479999993</v>
      </c>
      <c r="AG108" s="52">
        <f t="shared" si="54"/>
        <v>975219.96</v>
      </c>
    </row>
    <row r="109" spans="1:33" s="21" customFormat="1" ht="11.25" customHeight="1" x14ac:dyDescent="0.2">
      <c r="A109" s="116" t="s">
        <v>828</v>
      </c>
      <c r="B109" s="116"/>
      <c r="C109" s="116"/>
      <c r="D109" s="151">
        <v>1</v>
      </c>
      <c r="E109" s="152"/>
      <c r="F109" s="153">
        <v>0.12</v>
      </c>
      <c r="G109" s="153"/>
      <c r="H109" s="52">
        <v>43264</v>
      </c>
      <c r="I109" s="52">
        <f t="shared" si="43"/>
        <v>38245.376000000004</v>
      </c>
      <c r="J109" s="52">
        <f t="shared" si="44"/>
        <v>33655.930880000007</v>
      </c>
      <c r="K109" s="152"/>
      <c r="L109" s="151">
        <v>209051</v>
      </c>
      <c r="M109" s="55">
        <f t="shared" si="45"/>
        <v>209051</v>
      </c>
      <c r="N109" s="55">
        <f t="shared" si="46"/>
        <v>183964.88</v>
      </c>
      <c r="O109" s="154"/>
      <c r="P109" s="151">
        <v>0</v>
      </c>
      <c r="Q109" s="55">
        <f t="shared" si="47"/>
        <v>0</v>
      </c>
      <c r="R109" s="65">
        <f t="shared" si="48"/>
        <v>0</v>
      </c>
      <c r="S109" s="129">
        <v>15</v>
      </c>
      <c r="T109" s="123" t="s">
        <v>201</v>
      </c>
      <c r="U109" s="73">
        <f>SUMIF('Avoided Costs 2013-2021'!$A:$A,'2013 Actuals'!T109&amp;'2013 Actuals'!S109,'Avoided Costs 2013-2021'!$E:$E)*J109</f>
        <v>75216.379566503223</v>
      </c>
      <c r="V109" s="73">
        <f>SUMIF('Avoided Costs 2013-2021'!$A:$A,'2013 Actuals'!T109&amp;'2013 Actuals'!S109,'Avoided Costs 2013-2021'!$K:$K)*N109</f>
        <v>192591.66818154542</v>
      </c>
      <c r="W109" s="73">
        <f>SUMIF('Avoided Costs 2013-2021'!$A:$A,'2013 Actuals'!T109&amp;'2013 Actuals'!S109,'Avoided Costs 2013-2021'!$M:$M)*R109</f>
        <v>0</v>
      </c>
      <c r="X109" s="73">
        <f t="shared" si="49"/>
        <v>267808.04774804867</v>
      </c>
      <c r="Y109" s="83">
        <v>135000</v>
      </c>
      <c r="Z109" s="74">
        <f t="shared" si="50"/>
        <v>118800</v>
      </c>
      <c r="AA109" s="74"/>
      <c r="AB109" s="74"/>
      <c r="AC109" s="74"/>
      <c r="AD109" s="74">
        <f t="shared" si="51"/>
        <v>118800</v>
      </c>
      <c r="AE109" s="74">
        <f t="shared" si="52"/>
        <v>149008.04774804867</v>
      </c>
      <c r="AF109" s="52">
        <f t="shared" si="53"/>
        <v>504838.96320000011</v>
      </c>
      <c r="AG109" s="52">
        <f t="shared" si="54"/>
        <v>573680.64000000001</v>
      </c>
    </row>
    <row r="110" spans="1:33" s="21" customFormat="1" ht="11.25" customHeight="1" x14ac:dyDescent="0.2">
      <c r="A110" s="114" t="s">
        <v>829</v>
      </c>
      <c r="B110" s="114"/>
      <c r="C110" s="114"/>
      <c r="D110" s="160">
        <v>0</v>
      </c>
      <c r="E110" s="161"/>
      <c r="F110" s="162">
        <v>0.12</v>
      </c>
      <c r="G110" s="162"/>
      <c r="H110" s="52">
        <v>44385</v>
      </c>
      <c r="I110" s="52">
        <f t="shared" si="43"/>
        <v>39236.340000000004</v>
      </c>
      <c r="J110" s="52">
        <f t="shared" si="44"/>
        <v>34527.979200000002</v>
      </c>
      <c r="K110" s="61"/>
      <c r="L110" s="160">
        <v>0</v>
      </c>
      <c r="M110" s="55">
        <f t="shared" si="45"/>
        <v>0</v>
      </c>
      <c r="N110" s="55">
        <f t="shared" si="46"/>
        <v>0</v>
      </c>
      <c r="O110" s="95"/>
      <c r="P110" s="160">
        <v>0</v>
      </c>
      <c r="Q110" s="55">
        <f t="shared" si="47"/>
        <v>0</v>
      </c>
      <c r="R110" s="65">
        <f t="shared" si="48"/>
        <v>0</v>
      </c>
      <c r="S110" s="118">
        <v>15</v>
      </c>
      <c r="T110" s="121" t="s">
        <v>201</v>
      </c>
      <c r="U110" s="73">
        <f>SUMIF('Avoided Costs 2013-2021'!$A:$A,'2013 Actuals'!T110&amp;'2013 Actuals'!S110,'Avoided Costs 2013-2021'!$E:$E)*J110</f>
        <v>77165.287700148969</v>
      </c>
      <c r="V110" s="73">
        <f>SUMIF('Avoided Costs 2013-2021'!$A:$A,'2013 Actuals'!T110&amp;'2013 Actuals'!S110,'Avoided Costs 2013-2021'!$K:$K)*N110</f>
        <v>0</v>
      </c>
      <c r="W110" s="73">
        <f>SUMIF('Avoided Costs 2013-2021'!$A:$A,'2013 Actuals'!T110&amp;'2013 Actuals'!S110,'Avoided Costs 2013-2021'!$M:$M)*R110</f>
        <v>0</v>
      </c>
      <c r="X110" s="73">
        <f t="shared" si="49"/>
        <v>77165.287700148969</v>
      </c>
      <c r="Y110" s="83">
        <v>66336</v>
      </c>
      <c r="Z110" s="74">
        <f t="shared" si="50"/>
        <v>58375.68</v>
      </c>
      <c r="AA110" s="74"/>
      <c r="AB110" s="74"/>
      <c r="AC110" s="74"/>
      <c r="AD110" s="74">
        <f t="shared" si="51"/>
        <v>58375.68</v>
      </c>
      <c r="AE110" s="74">
        <f t="shared" si="52"/>
        <v>18789.607700148968</v>
      </c>
      <c r="AF110" s="52">
        <f t="shared" si="53"/>
        <v>517919.68800000002</v>
      </c>
      <c r="AG110" s="52">
        <f t="shared" si="54"/>
        <v>588545.10000000009</v>
      </c>
    </row>
    <row r="111" spans="1:33" s="21" customFormat="1" ht="11.25" customHeight="1" x14ac:dyDescent="0.2">
      <c r="A111" s="114" t="s">
        <v>830</v>
      </c>
      <c r="B111" s="114"/>
      <c r="C111" s="114"/>
      <c r="D111" s="160">
        <v>1</v>
      </c>
      <c r="E111" s="161"/>
      <c r="F111" s="162">
        <v>0.12</v>
      </c>
      <c r="G111" s="162"/>
      <c r="H111" s="52">
        <v>47668</v>
      </c>
      <c r="I111" s="52">
        <f t="shared" si="43"/>
        <v>42138.512000000002</v>
      </c>
      <c r="J111" s="52">
        <f t="shared" si="44"/>
        <v>37081.89056</v>
      </c>
      <c r="K111" s="61"/>
      <c r="L111" s="160">
        <v>0</v>
      </c>
      <c r="M111" s="55">
        <f t="shared" si="45"/>
        <v>0</v>
      </c>
      <c r="N111" s="55">
        <f t="shared" si="46"/>
        <v>0</v>
      </c>
      <c r="O111" s="95"/>
      <c r="P111" s="160">
        <v>0</v>
      </c>
      <c r="Q111" s="55">
        <f t="shared" si="47"/>
        <v>0</v>
      </c>
      <c r="R111" s="65">
        <f t="shared" si="48"/>
        <v>0</v>
      </c>
      <c r="S111" s="118">
        <v>15</v>
      </c>
      <c r="T111" s="121" t="s">
        <v>201</v>
      </c>
      <c r="U111" s="73">
        <f>SUMIF('Avoided Costs 2013-2021'!$A:$A,'2013 Actuals'!T111&amp;'2013 Actuals'!S111,'Avoided Costs 2013-2021'!$E:$E)*J111</f>
        <v>82872.928558988409</v>
      </c>
      <c r="V111" s="73">
        <f>SUMIF('Avoided Costs 2013-2021'!$A:$A,'2013 Actuals'!T111&amp;'2013 Actuals'!S111,'Avoided Costs 2013-2021'!$K:$K)*N111</f>
        <v>0</v>
      </c>
      <c r="W111" s="73">
        <f>SUMIF('Avoided Costs 2013-2021'!$A:$A,'2013 Actuals'!T111&amp;'2013 Actuals'!S111,'Avoided Costs 2013-2021'!$M:$M)*R111</f>
        <v>0</v>
      </c>
      <c r="X111" s="73">
        <f t="shared" si="49"/>
        <v>82872.928558988409</v>
      </c>
      <c r="Y111" s="83">
        <v>95929</v>
      </c>
      <c r="Z111" s="74">
        <f t="shared" si="50"/>
        <v>84417.52</v>
      </c>
      <c r="AA111" s="74"/>
      <c r="AB111" s="74"/>
      <c r="AC111" s="74"/>
      <c r="AD111" s="74">
        <f t="shared" si="51"/>
        <v>84417.52</v>
      </c>
      <c r="AE111" s="74">
        <f t="shared" si="52"/>
        <v>-1544.5914410115947</v>
      </c>
      <c r="AF111" s="52">
        <f t="shared" si="53"/>
        <v>556228.35840000003</v>
      </c>
      <c r="AG111" s="52">
        <f t="shared" si="54"/>
        <v>632077.68000000005</v>
      </c>
    </row>
    <row r="112" spans="1:33" s="21" customFormat="1" ht="11.25" customHeight="1" x14ac:dyDescent="0.2">
      <c r="A112" s="114" t="s">
        <v>831</v>
      </c>
      <c r="B112" s="114"/>
      <c r="C112" s="114"/>
      <c r="D112" s="160">
        <v>1</v>
      </c>
      <c r="E112" s="161"/>
      <c r="F112" s="162">
        <v>0.12</v>
      </c>
      <c r="G112" s="162"/>
      <c r="H112" s="52">
        <v>6337</v>
      </c>
      <c r="I112" s="52">
        <f t="shared" si="43"/>
        <v>5601.9080000000004</v>
      </c>
      <c r="J112" s="52">
        <f t="shared" si="44"/>
        <v>4929.67904</v>
      </c>
      <c r="K112" s="61"/>
      <c r="L112" s="160">
        <v>0</v>
      </c>
      <c r="M112" s="55">
        <f t="shared" si="45"/>
        <v>0</v>
      </c>
      <c r="N112" s="55">
        <f t="shared" si="46"/>
        <v>0</v>
      </c>
      <c r="O112" s="95"/>
      <c r="P112" s="160">
        <v>0</v>
      </c>
      <c r="Q112" s="55">
        <f t="shared" si="47"/>
        <v>0</v>
      </c>
      <c r="R112" s="65">
        <f t="shared" si="48"/>
        <v>0</v>
      </c>
      <c r="S112" s="118">
        <v>25</v>
      </c>
      <c r="T112" s="121" t="s">
        <v>201</v>
      </c>
      <c r="U112" s="73">
        <f>SUMIF('Avoided Costs 2013-2021'!$A:$A,'2013 Actuals'!T112&amp;'2013 Actuals'!S112,'Avoided Costs 2013-2021'!$E:$E)*J112</f>
        <v>15465.106353216273</v>
      </c>
      <c r="V112" s="73">
        <f>SUMIF('Avoided Costs 2013-2021'!$A:$A,'2013 Actuals'!T112&amp;'2013 Actuals'!S112,'Avoided Costs 2013-2021'!$K:$K)*N112</f>
        <v>0</v>
      </c>
      <c r="W112" s="73">
        <f>SUMIF('Avoided Costs 2013-2021'!$A:$A,'2013 Actuals'!T112&amp;'2013 Actuals'!S112,'Avoided Costs 2013-2021'!$M:$M)*R112</f>
        <v>0</v>
      </c>
      <c r="X112" s="73">
        <f t="shared" si="49"/>
        <v>15465.106353216273</v>
      </c>
      <c r="Y112" s="83">
        <v>21463</v>
      </c>
      <c r="Z112" s="74">
        <f t="shared" si="50"/>
        <v>18887.439999999999</v>
      </c>
      <c r="AA112" s="74"/>
      <c r="AB112" s="74"/>
      <c r="AC112" s="74"/>
      <c r="AD112" s="74">
        <f t="shared" si="51"/>
        <v>18887.439999999999</v>
      </c>
      <c r="AE112" s="74">
        <f t="shared" si="52"/>
        <v>-3422.3336467837253</v>
      </c>
      <c r="AF112" s="52">
        <f t="shared" si="53"/>
        <v>123241.976</v>
      </c>
      <c r="AG112" s="52">
        <f t="shared" si="54"/>
        <v>140047.70000000001</v>
      </c>
    </row>
    <row r="113" spans="1:33" s="21" customFormat="1" ht="11.25" customHeight="1" x14ac:dyDescent="0.2">
      <c r="A113" s="114" t="s">
        <v>832</v>
      </c>
      <c r="B113" s="114"/>
      <c r="C113" s="114"/>
      <c r="D113" s="160">
        <v>1</v>
      </c>
      <c r="E113" s="161"/>
      <c r="F113" s="162">
        <v>0.12</v>
      </c>
      <c r="G113" s="162"/>
      <c r="H113" s="52">
        <v>19717</v>
      </c>
      <c r="I113" s="52">
        <f t="shared" si="43"/>
        <v>17429.828000000001</v>
      </c>
      <c r="J113" s="52">
        <f t="shared" si="44"/>
        <v>15338.248640000002</v>
      </c>
      <c r="K113" s="61"/>
      <c r="L113" s="160">
        <v>0</v>
      </c>
      <c r="M113" s="55">
        <f t="shared" si="45"/>
        <v>0</v>
      </c>
      <c r="N113" s="55">
        <f t="shared" si="46"/>
        <v>0</v>
      </c>
      <c r="O113" s="95"/>
      <c r="P113" s="160">
        <v>0</v>
      </c>
      <c r="Q113" s="55">
        <f t="shared" si="47"/>
        <v>0</v>
      </c>
      <c r="R113" s="65">
        <f t="shared" si="48"/>
        <v>0</v>
      </c>
      <c r="S113" s="118">
        <v>5</v>
      </c>
      <c r="T113" s="121" t="s">
        <v>201</v>
      </c>
      <c r="U113" s="73">
        <f>SUMIF('Avoided Costs 2013-2021'!$A:$A,'2013 Actuals'!T113&amp;'2013 Actuals'!S113,'Avoided Costs 2013-2021'!$E:$E)*J113</f>
        <v>11943.935201099501</v>
      </c>
      <c r="V113" s="73">
        <f>SUMIF('Avoided Costs 2013-2021'!$A:$A,'2013 Actuals'!T113&amp;'2013 Actuals'!S113,'Avoided Costs 2013-2021'!$K:$K)*N113</f>
        <v>0</v>
      </c>
      <c r="W113" s="73">
        <f>SUMIF('Avoided Costs 2013-2021'!$A:$A,'2013 Actuals'!T113&amp;'2013 Actuals'!S113,'Avoided Costs 2013-2021'!$M:$M)*R113</f>
        <v>0</v>
      </c>
      <c r="X113" s="73">
        <f t="shared" si="49"/>
        <v>11943.935201099501</v>
      </c>
      <c r="Y113" s="83">
        <v>3855</v>
      </c>
      <c r="Z113" s="74">
        <f t="shared" si="50"/>
        <v>3392.4</v>
      </c>
      <c r="AA113" s="74"/>
      <c r="AB113" s="74"/>
      <c r="AC113" s="74"/>
      <c r="AD113" s="74">
        <f t="shared" si="51"/>
        <v>3392.4</v>
      </c>
      <c r="AE113" s="74">
        <f t="shared" si="52"/>
        <v>8551.5352010995011</v>
      </c>
      <c r="AF113" s="52">
        <f t="shared" si="53"/>
        <v>76691.243200000012</v>
      </c>
      <c r="AG113" s="52">
        <f t="shared" si="54"/>
        <v>87149.140000000014</v>
      </c>
    </row>
    <row r="114" spans="1:33" s="21" customFormat="1" ht="11.25" customHeight="1" x14ac:dyDescent="0.2">
      <c r="A114" s="114" t="s">
        <v>833</v>
      </c>
      <c r="B114" s="114"/>
      <c r="C114" s="114"/>
      <c r="D114" s="160">
        <v>0</v>
      </c>
      <c r="E114" s="161"/>
      <c r="F114" s="162">
        <v>0.12</v>
      </c>
      <c r="G114" s="162"/>
      <c r="H114" s="52">
        <v>18166</v>
      </c>
      <c r="I114" s="52">
        <f t="shared" si="43"/>
        <v>16058.744000000001</v>
      </c>
      <c r="J114" s="52">
        <f t="shared" si="44"/>
        <v>14131.694720000001</v>
      </c>
      <c r="K114" s="61"/>
      <c r="L114" s="160">
        <v>19934</v>
      </c>
      <c r="M114" s="55">
        <f t="shared" si="45"/>
        <v>19934</v>
      </c>
      <c r="N114" s="55">
        <f t="shared" si="46"/>
        <v>17541.920000000002</v>
      </c>
      <c r="O114" s="95"/>
      <c r="P114" s="160">
        <v>0</v>
      </c>
      <c r="Q114" s="55">
        <f t="shared" si="47"/>
        <v>0</v>
      </c>
      <c r="R114" s="65">
        <f t="shared" si="48"/>
        <v>0</v>
      </c>
      <c r="S114" s="118">
        <v>15</v>
      </c>
      <c r="T114" s="121" t="s">
        <v>201</v>
      </c>
      <c r="U114" s="73">
        <f>SUMIF('Avoided Costs 2013-2021'!$A:$A,'2013 Actuals'!T114&amp;'2013 Actuals'!S114,'Avoided Costs 2013-2021'!$E:$E)*J114</f>
        <v>31582.39532186338</v>
      </c>
      <c r="V114" s="73">
        <f>SUMIF('Avoided Costs 2013-2021'!$A:$A,'2013 Actuals'!T114&amp;'2013 Actuals'!S114,'Avoided Costs 2013-2021'!$K:$K)*N114</f>
        <v>18364.524989265428</v>
      </c>
      <c r="W114" s="73">
        <f>SUMIF('Avoided Costs 2013-2021'!$A:$A,'2013 Actuals'!T114&amp;'2013 Actuals'!S114,'Avoided Costs 2013-2021'!$M:$M)*R114</f>
        <v>0</v>
      </c>
      <c r="X114" s="73">
        <f t="shared" si="49"/>
        <v>49946.920311128808</v>
      </c>
      <c r="Y114" s="83">
        <v>22000</v>
      </c>
      <c r="Z114" s="74">
        <f t="shared" si="50"/>
        <v>19360</v>
      </c>
      <c r="AA114" s="74"/>
      <c r="AB114" s="74"/>
      <c r="AC114" s="74"/>
      <c r="AD114" s="74">
        <f t="shared" si="51"/>
        <v>19360</v>
      </c>
      <c r="AE114" s="74">
        <f t="shared" si="52"/>
        <v>30586.920311128808</v>
      </c>
      <c r="AF114" s="52">
        <f t="shared" si="53"/>
        <v>211975.42080000002</v>
      </c>
      <c r="AG114" s="52">
        <f t="shared" si="54"/>
        <v>240881.16</v>
      </c>
    </row>
    <row r="115" spans="1:33" s="21" customFormat="1" ht="11.25" customHeight="1" x14ac:dyDescent="0.2">
      <c r="A115" s="114" t="s">
        <v>834</v>
      </c>
      <c r="B115" s="114"/>
      <c r="C115" s="114"/>
      <c r="D115" s="160">
        <v>1</v>
      </c>
      <c r="E115" s="161"/>
      <c r="F115" s="162">
        <v>0.12</v>
      </c>
      <c r="G115" s="162"/>
      <c r="H115" s="52">
        <v>37746</v>
      </c>
      <c r="I115" s="52">
        <f t="shared" si="43"/>
        <v>33367.464</v>
      </c>
      <c r="J115" s="52">
        <f t="shared" si="44"/>
        <v>29363.368320000001</v>
      </c>
      <c r="K115" s="61"/>
      <c r="L115" s="160">
        <v>0</v>
      </c>
      <c r="M115" s="55">
        <f t="shared" si="45"/>
        <v>0</v>
      </c>
      <c r="N115" s="55">
        <f t="shared" si="46"/>
        <v>0</v>
      </c>
      <c r="O115" s="95"/>
      <c r="P115" s="160">
        <v>0</v>
      </c>
      <c r="Q115" s="55">
        <f t="shared" si="47"/>
        <v>0</v>
      </c>
      <c r="R115" s="65">
        <f t="shared" si="48"/>
        <v>0</v>
      </c>
      <c r="S115" s="118">
        <v>25</v>
      </c>
      <c r="T115" s="121" t="s">
        <v>201</v>
      </c>
      <c r="U115" s="73">
        <f>SUMIF('Avoided Costs 2013-2021'!$A:$A,'2013 Actuals'!T115&amp;'2013 Actuals'!S115,'Avoided Costs 2013-2021'!$E:$E)*J115</f>
        <v>92117.075021066979</v>
      </c>
      <c r="V115" s="73">
        <f>SUMIF('Avoided Costs 2013-2021'!$A:$A,'2013 Actuals'!T115&amp;'2013 Actuals'!S115,'Avoided Costs 2013-2021'!$K:$K)*N115</f>
        <v>0</v>
      </c>
      <c r="W115" s="73">
        <f>SUMIF('Avoided Costs 2013-2021'!$A:$A,'2013 Actuals'!T115&amp;'2013 Actuals'!S115,'Avoided Costs 2013-2021'!$M:$M)*R115</f>
        <v>0</v>
      </c>
      <c r="X115" s="73">
        <f t="shared" si="49"/>
        <v>92117.075021066979</v>
      </c>
      <c r="Y115" s="83">
        <v>19581</v>
      </c>
      <c r="Z115" s="74">
        <f t="shared" si="50"/>
        <v>17231.28</v>
      </c>
      <c r="AA115" s="74"/>
      <c r="AB115" s="74"/>
      <c r="AC115" s="74"/>
      <c r="AD115" s="74">
        <f t="shared" si="51"/>
        <v>17231.28</v>
      </c>
      <c r="AE115" s="74">
        <f t="shared" si="52"/>
        <v>74885.795021066981</v>
      </c>
      <c r="AF115" s="52">
        <f t="shared" si="53"/>
        <v>734084.20799999998</v>
      </c>
      <c r="AG115" s="52">
        <f t="shared" si="54"/>
        <v>834186.6</v>
      </c>
    </row>
    <row r="116" spans="1:33" s="21" customFormat="1" ht="11.25" customHeight="1" x14ac:dyDescent="0.2">
      <c r="A116" s="114" t="s">
        <v>835</v>
      </c>
      <c r="B116" s="114"/>
      <c r="C116" s="114"/>
      <c r="D116" s="160">
        <v>1</v>
      </c>
      <c r="E116" s="161"/>
      <c r="F116" s="162">
        <v>0.12</v>
      </c>
      <c r="G116" s="162"/>
      <c r="H116" s="52">
        <v>77369</v>
      </c>
      <c r="I116" s="52">
        <f t="shared" si="43"/>
        <v>68394.195999999996</v>
      </c>
      <c r="J116" s="52">
        <f t="shared" si="44"/>
        <v>60186.892479999995</v>
      </c>
      <c r="K116" s="61"/>
      <c r="L116" s="160">
        <v>0</v>
      </c>
      <c r="M116" s="55">
        <f t="shared" si="45"/>
        <v>0</v>
      </c>
      <c r="N116" s="55">
        <f t="shared" si="46"/>
        <v>0</v>
      </c>
      <c r="O116" s="95"/>
      <c r="P116" s="160">
        <v>0</v>
      </c>
      <c r="Q116" s="55">
        <f t="shared" si="47"/>
        <v>0</v>
      </c>
      <c r="R116" s="65">
        <f t="shared" si="48"/>
        <v>0</v>
      </c>
      <c r="S116" s="118">
        <v>25</v>
      </c>
      <c r="T116" s="121" t="s">
        <v>201</v>
      </c>
      <c r="U116" s="73">
        <f>SUMIF('Avoided Costs 2013-2021'!$A:$A,'2013 Actuals'!T116&amp;'2013 Actuals'!S116,'Avoided Costs 2013-2021'!$E:$E)*J116</f>
        <v>188814.86719930405</v>
      </c>
      <c r="V116" s="73">
        <f>SUMIF('Avoided Costs 2013-2021'!$A:$A,'2013 Actuals'!T116&amp;'2013 Actuals'!S116,'Avoided Costs 2013-2021'!$K:$K)*N116</f>
        <v>0</v>
      </c>
      <c r="W116" s="73">
        <f>SUMIF('Avoided Costs 2013-2021'!$A:$A,'2013 Actuals'!T116&amp;'2013 Actuals'!S116,'Avoided Costs 2013-2021'!$M:$M)*R116</f>
        <v>0</v>
      </c>
      <c r="X116" s="73">
        <f t="shared" si="49"/>
        <v>188814.86719930405</v>
      </c>
      <c r="Y116" s="83">
        <v>11049</v>
      </c>
      <c r="Z116" s="74">
        <f t="shared" si="50"/>
        <v>9723.1200000000008</v>
      </c>
      <c r="AA116" s="74"/>
      <c r="AB116" s="74"/>
      <c r="AC116" s="74"/>
      <c r="AD116" s="74">
        <f t="shared" si="51"/>
        <v>9723.1200000000008</v>
      </c>
      <c r="AE116" s="74">
        <f t="shared" si="52"/>
        <v>179091.74719930405</v>
      </c>
      <c r="AF116" s="52">
        <f t="shared" si="53"/>
        <v>1504672.3119999999</v>
      </c>
      <c r="AG116" s="52">
        <f t="shared" si="54"/>
        <v>1709854.9</v>
      </c>
    </row>
    <row r="117" spans="1:33" s="21" customFormat="1" ht="11.25" customHeight="1" x14ac:dyDescent="0.2">
      <c r="A117" s="114" t="s">
        <v>836</v>
      </c>
      <c r="B117" s="114"/>
      <c r="C117" s="114"/>
      <c r="D117" s="160">
        <v>1</v>
      </c>
      <c r="E117" s="161"/>
      <c r="F117" s="162">
        <v>0.12</v>
      </c>
      <c r="G117" s="162"/>
      <c r="H117" s="52">
        <v>26679</v>
      </c>
      <c r="I117" s="52">
        <f t="shared" si="43"/>
        <v>23584.236000000001</v>
      </c>
      <c r="J117" s="52">
        <f t="shared" si="44"/>
        <v>20754.127680000001</v>
      </c>
      <c r="K117" s="61"/>
      <c r="L117" s="160">
        <v>0</v>
      </c>
      <c r="M117" s="55">
        <f t="shared" si="45"/>
        <v>0</v>
      </c>
      <c r="N117" s="55">
        <f t="shared" si="46"/>
        <v>0</v>
      </c>
      <c r="O117" s="95"/>
      <c r="P117" s="160">
        <v>0</v>
      </c>
      <c r="Q117" s="55">
        <f t="shared" si="47"/>
        <v>0</v>
      </c>
      <c r="R117" s="65">
        <f t="shared" si="48"/>
        <v>0</v>
      </c>
      <c r="S117" s="118">
        <v>25</v>
      </c>
      <c r="T117" s="121" t="s">
        <v>201</v>
      </c>
      <c r="U117" s="73">
        <f>SUMIF('Avoided Costs 2013-2021'!$A:$A,'2013 Actuals'!T117&amp;'2013 Actuals'!S117,'Avoided Costs 2013-2021'!$E:$E)*J117</f>
        <v>65108.659049622373</v>
      </c>
      <c r="V117" s="73">
        <f>SUMIF('Avoided Costs 2013-2021'!$A:$A,'2013 Actuals'!T117&amp;'2013 Actuals'!S117,'Avoided Costs 2013-2021'!$K:$K)*N117</f>
        <v>0</v>
      </c>
      <c r="W117" s="73">
        <f>SUMIF('Avoided Costs 2013-2021'!$A:$A,'2013 Actuals'!T117&amp;'2013 Actuals'!S117,'Avoided Costs 2013-2021'!$M:$M)*R117</f>
        <v>0</v>
      </c>
      <c r="X117" s="73">
        <f t="shared" si="49"/>
        <v>65108.659049622373</v>
      </c>
      <c r="Y117" s="83">
        <v>2540</v>
      </c>
      <c r="Z117" s="74">
        <f t="shared" si="50"/>
        <v>2235.1999999999998</v>
      </c>
      <c r="AA117" s="74"/>
      <c r="AB117" s="74"/>
      <c r="AC117" s="74"/>
      <c r="AD117" s="74">
        <f t="shared" si="51"/>
        <v>2235.1999999999998</v>
      </c>
      <c r="AE117" s="74">
        <f t="shared" si="52"/>
        <v>62873.459049622375</v>
      </c>
      <c r="AF117" s="52">
        <f t="shared" si="53"/>
        <v>518853.19200000004</v>
      </c>
      <c r="AG117" s="52">
        <f t="shared" si="54"/>
        <v>589605.9</v>
      </c>
    </row>
    <row r="118" spans="1:33" s="21" customFormat="1" ht="11.25" customHeight="1" x14ac:dyDescent="0.2">
      <c r="A118" s="114" t="s">
        <v>837</v>
      </c>
      <c r="B118" s="114"/>
      <c r="C118" s="114"/>
      <c r="D118" s="160">
        <v>1</v>
      </c>
      <c r="E118" s="161"/>
      <c r="F118" s="162">
        <v>0.12</v>
      </c>
      <c r="G118" s="162"/>
      <c r="H118" s="52">
        <v>19457</v>
      </c>
      <c r="I118" s="52">
        <f t="shared" si="43"/>
        <v>17199.988000000001</v>
      </c>
      <c r="J118" s="52">
        <f t="shared" si="44"/>
        <v>15135.989440000001</v>
      </c>
      <c r="K118" s="61"/>
      <c r="L118" s="160">
        <v>0</v>
      </c>
      <c r="M118" s="55">
        <f t="shared" si="45"/>
        <v>0</v>
      </c>
      <c r="N118" s="55">
        <f t="shared" si="46"/>
        <v>0</v>
      </c>
      <c r="O118" s="95"/>
      <c r="P118" s="160">
        <v>0</v>
      </c>
      <c r="Q118" s="55">
        <f t="shared" si="47"/>
        <v>0</v>
      </c>
      <c r="R118" s="65">
        <f t="shared" si="48"/>
        <v>0</v>
      </c>
      <c r="S118" s="118">
        <v>25</v>
      </c>
      <c r="T118" s="121" t="s">
        <v>201</v>
      </c>
      <c r="U118" s="73">
        <f>SUMIF('Avoided Costs 2013-2021'!$A:$A,'2013 Actuals'!T118&amp;'2013 Actuals'!S118,'Avoided Costs 2013-2021'!$E:$E)*J118</f>
        <v>47483.757979253438</v>
      </c>
      <c r="V118" s="73">
        <f>SUMIF('Avoided Costs 2013-2021'!$A:$A,'2013 Actuals'!T118&amp;'2013 Actuals'!S118,'Avoided Costs 2013-2021'!$K:$K)*N118</f>
        <v>0</v>
      </c>
      <c r="W118" s="73">
        <f>SUMIF('Avoided Costs 2013-2021'!$A:$A,'2013 Actuals'!T118&amp;'2013 Actuals'!S118,'Avoided Costs 2013-2021'!$M:$M)*R118</f>
        <v>0</v>
      </c>
      <c r="X118" s="73">
        <f t="shared" si="49"/>
        <v>47483.757979253438</v>
      </c>
      <c r="Y118" s="83">
        <v>25432</v>
      </c>
      <c r="Z118" s="74">
        <f t="shared" si="50"/>
        <v>22380.16</v>
      </c>
      <c r="AA118" s="74"/>
      <c r="AB118" s="74"/>
      <c r="AC118" s="74"/>
      <c r="AD118" s="74">
        <f t="shared" si="51"/>
        <v>22380.16</v>
      </c>
      <c r="AE118" s="74">
        <f t="shared" si="52"/>
        <v>25103.597979253438</v>
      </c>
      <c r="AF118" s="52">
        <f t="shared" si="53"/>
        <v>378399.73600000003</v>
      </c>
      <c r="AG118" s="52">
        <f t="shared" si="54"/>
        <v>429999.7</v>
      </c>
    </row>
    <row r="119" spans="1:33" s="21" customFormat="1" ht="11.25" customHeight="1" x14ac:dyDescent="0.2">
      <c r="A119" s="115" t="s">
        <v>838</v>
      </c>
      <c r="B119" s="115"/>
      <c r="C119" s="115"/>
      <c r="D119" s="163">
        <v>1</v>
      </c>
      <c r="E119" s="164"/>
      <c r="F119" s="165">
        <v>0.12</v>
      </c>
      <c r="G119" s="165"/>
      <c r="H119" s="51">
        <v>17057</v>
      </c>
      <c r="I119" s="52">
        <f t="shared" si="43"/>
        <v>15078.388000000001</v>
      </c>
      <c r="J119" s="52">
        <f t="shared" si="44"/>
        <v>13268.981440000001</v>
      </c>
      <c r="K119" s="62"/>
      <c r="L119" s="163">
        <v>0</v>
      </c>
      <c r="M119" s="55">
        <f t="shared" si="45"/>
        <v>0</v>
      </c>
      <c r="N119" s="55">
        <f t="shared" si="46"/>
        <v>0</v>
      </c>
      <c r="O119" s="96"/>
      <c r="P119" s="163">
        <v>0</v>
      </c>
      <c r="Q119" s="55">
        <f t="shared" si="47"/>
        <v>0</v>
      </c>
      <c r="R119" s="65">
        <f t="shared" si="48"/>
        <v>0</v>
      </c>
      <c r="S119" s="119">
        <v>25</v>
      </c>
      <c r="T119" s="122" t="s">
        <v>201</v>
      </c>
      <c r="U119" s="73">
        <f>SUMIF('Avoided Costs 2013-2021'!$A:$A,'2013 Actuals'!T119&amp;'2013 Actuals'!S119,'Avoided Costs 2013-2021'!$E:$E)*J119</f>
        <v>41626.6875598564</v>
      </c>
      <c r="V119" s="73">
        <f>SUMIF('Avoided Costs 2013-2021'!$A:$A,'2013 Actuals'!T119&amp;'2013 Actuals'!S119,'Avoided Costs 2013-2021'!$K:$K)*N119</f>
        <v>0</v>
      </c>
      <c r="W119" s="73">
        <f>SUMIF('Avoided Costs 2013-2021'!$A:$A,'2013 Actuals'!T119&amp;'2013 Actuals'!S119,'Avoided Costs 2013-2021'!$M:$M)*R119</f>
        <v>0</v>
      </c>
      <c r="X119" s="73">
        <f t="shared" si="49"/>
        <v>41626.6875598564</v>
      </c>
      <c r="Y119" s="89">
        <v>14094</v>
      </c>
      <c r="Z119" s="74">
        <f t="shared" si="50"/>
        <v>12402.72</v>
      </c>
      <c r="AA119" s="75"/>
      <c r="AB119" s="75"/>
      <c r="AC119" s="75"/>
      <c r="AD119" s="74">
        <f t="shared" si="51"/>
        <v>12402.72</v>
      </c>
      <c r="AE119" s="74">
        <f t="shared" si="52"/>
        <v>29223.967559856399</v>
      </c>
      <c r="AF119" s="52">
        <f t="shared" si="53"/>
        <v>331724.53600000002</v>
      </c>
      <c r="AG119" s="52">
        <f t="shared" si="54"/>
        <v>376959.7</v>
      </c>
    </row>
    <row r="120" spans="1:33" s="21" customFormat="1" ht="11.25" customHeight="1" x14ac:dyDescent="0.2">
      <c r="A120" s="115" t="s">
        <v>839</v>
      </c>
      <c r="B120" s="115"/>
      <c r="C120" s="115"/>
      <c r="D120" s="163">
        <v>1</v>
      </c>
      <c r="E120" s="164"/>
      <c r="F120" s="165">
        <v>0.12</v>
      </c>
      <c r="G120" s="165"/>
      <c r="H120" s="51">
        <v>70144</v>
      </c>
      <c r="I120" s="52">
        <f t="shared" si="43"/>
        <v>62007.296000000002</v>
      </c>
      <c r="J120" s="52">
        <f t="shared" si="44"/>
        <v>54566.420480000001</v>
      </c>
      <c r="K120" s="62"/>
      <c r="L120" s="163">
        <v>0</v>
      </c>
      <c r="M120" s="55">
        <f t="shared" si="45"/>
        <v>0</v>
      </c>
      <c r="N120" s="55">
        <f t="shared" si="46"/>
        <v>0</v>
      </c>
      <c r="O120" s="96"/>
      <c r="P120" s="163">
        <v>0</v>
      </c>
      <c r="Q120" s="55">
        <f t="shared" si="47"/>
        <v>0</v>
      </c>
      <c r="R120" s="65">
        <f t="shared" si="48"/>
        <v>0</v>
      </c>
      <c r="S120" s="119">
        <v>25</v>
      </c>
      <c r="T120" s="122" t="s">
        <v>201</v>
      </c>
      <c r="U120" s="73">
        <f>SUMIF('Avoided Costs 2013-2021'!$A:$A,'2013 Actuals'!T120&amp;'2013 Actuals'!S120,'Avoided Costs 2013-2021'!$E:$E)*J120</f>
        <v>171182.64479091088</v>
      </c>
      <c r="V120" s="73">
        <f>SUMIF('Avoided Costs 2013-2021'!$A:$A,'2013 Actuals'!T120&amp;'2013 Actuals'!S120,'Avoided Costs 2013-2021'!$K:$K)*N120</f>
        <v>0</v>
      </c>
      <c r="W120" s="73">
        <f>SUMIF('Avoided Costs 2013-2021'!$A:$A,'2013 Actuals'!T120&amp;'2013 Actuals'!S120,'Avoided Costs 2013-2021'!$M:$M)*R120</f>
        <v>0</v>
      </c>
      <c r="X120" s="73">
        <f t="shared" si="49"/>
        <v>171182.64479091088</v>
      </c>
      <c r="Y120" s="89">
        <v>34670</v>
      </c>
      <c r="Z120" s="74">
        <f t="shared" si="50"/>
        <v>30509.599999999999</v>
      </c>
      <c r="AA120" s="75"/>
      <c r="AB120" s="75"/>
      <c r="AC120" s="75"/>
      <c r="AD120" s="74">
        <f t="shared" si="51"/>
        <v>30509.599999999999</v>
      </c>
      <c r="AE120" s="74">
        <f t="shared" si="52"/>
        <v>140673.04479091088</v>
      </c>
      <c r="AF120" s="52">
        <f t="shared" si="53"/>
        <v>1364160.5120000001</v>
      </c>
      <c r="AG120" s="52">
        <f t="shared" si="54"/>
        <v>1550182.4000000001</v>
      </c>
    </row>
    <row r="121" spans="1:33" s="21" customFormat="1" ht="11.25" customHeight="1" x14ac:dyDescent="0.2">
      <c r="A121" s="115" t="s">
        <v>840</v>
      </c>
      <c r="B121" s="115"/>
      <c r="C121" s="115"/>
      <c r="D121" s="163">
        <v>0</v>
      </c>
      <c r="E121" s="164"/>
      <c r="F121" s="165">
        <v>0.12</v>
      </c>
      <c r="G121" s="165"/>
      <c r="H121" s="51">
        <v>20338</v>
      </c>
      <c r="I121" s="52">
        <f t="shared" si="43"/>
        <v>17978.792000000001</v>
      </c>
      <c r="J121" s="52">
        <f t="shared" si="44"/>
        <v>15821.336960000001</v>
      </c>
      <c r="K121" s="62"/>
      <c r="L121" s="163">
        <v>0</v>
      </c>
      <c r="M121" s="55">
        <f t="shared" si="45"/>
        <v>0</v>
      </c>
      <c r="N121" s="55">
        <f t="shared" si="46"/>
        <v>0</v>
      </c>
      <c r="O121" s="96"/>
      <c r="P121" s="163">
        <v>0</v>
      </c>
      <c r="Q121" s="55">
        <f t="shared" si="47"/>
        <v>0</v>
      </c>
      <c r="R121" s="65">
        <f t="shared" si="48"/>
        <v>0</v>
      </c>
      <c r="S121" s="119">
        <v>15</v>
      </c>
      <c r="T121" s="122" t="s">
        <v>201</v>
      </c>
      <c r="U121" s="73">
        <f>SUMIF('Avoided Costs 2013-2021'!$A:$A,'2013 Actuals'!T121&amp;'2013 Actuals'!S121,'Avoided Costs 2013-2021'!$E:$E)*J121</f>
        <v>35358.513489819299</v>
      </c>
      <c r="V121" s="73">
        <f>SUMIF('Avoided Costs 2013-2021'!$A:$A,'2013 Actuals'!T121&amp;'2013 Actuals'!S121,'Avoided Costs 2013-2021'!$K:$K)*N121</f>
        <v>0</v>
      </c>
      <c r="W121" s="73">
        <f>SUMIF('Avoided Costs 2013-2021'!$A:$A,'2013 Actuals'!T121&amp;'2013 Actuals'!S121,'Avoided Costs 2013-2021'!$M:$M)*R121</f>
        <v>0</v>
      </c>
      <c r="X121" s="73">
        <f t="shared" si="49"/>
        <v>35358.513489819299</v>
      </c>
      <c r="Y121" s="89">
        <v>42900</v>
      </c>
      <c r="Z121" s="74">
        <f t="shared" si="50"/>
        <v>37752</v>
      </c>
      <c r="AA121" s="75"/>
      <c r="AB121" s="75"/>
      <c r="AC121" s="75"/>
      <c r="AD121" s="74">
        <f t="shared" si="51"/>
        <v>37752</v>
      </c>
      <c r="AE121" s="74">
        <f t="shared" si="52"/>
        <v>-2393.4865101807009</v>
      </c>
      <c r="AF121" s="52">
        <f t="shared" si="53"/>
        <v>237320.05440000002</v>
      </c>
      <c r="AG121" s="52">
        <f t="shared" si="54"/>
        <v>269681.88</v>
      </c>
    </row>
    <row r="122" spans="1:33" s="21" customFormat="1" ht="11.25" customHeight="1" x14ac:dyDescent="0.2">
      <c r="A122" s="115" t="s">
        <v>841</v>
      </c>
      <c r="B122" s="115"/>
      <c r="C122" s="115"/>
      <c r="D122" s="163">
        <v>0</v>
      </c>
      <c r="E122" s="164"/>
      <c r="F122" s="165">
        <v>0.12</v>
      </c>
      <c r="G122" s="165"/>
      <c r="H122" s="51">
        <v>15181</v>
      </c>
      <c r="I122" s="52">
        <f t="shared" si="43"/>
        <v>13420.004000000001</v>
      </c>
      <c r="J122" s="52">
        <f t="shared" si="44"/>
        <v>11809.603520000001</v>
      </c>
      <c r="K122" s="62"/>
      <c r="L122" s="163">
        <v>0</v>
      </c>
      <c r="M122" s="55">
        <f t="shared" si="45"/>
        <v>0</v>
      </c>
      <c r="N122" s="55">
        <f t="shared" si="46"/>
        <v>0</v>
      </c>
      <c r="O122" s="96"/>
      <c r="P122" s="163">
        <v>0</v>
      </c>
      <c r="Q122" s="55">
        <f t="shared" si="47"/>
        <v>0</v>
      </c>
      <c r="R122" s="65">
        <f t="shared" si="48"/>
        <v>0</v>
      </c>
      <c r="S122" s="119">
        <v>25</v>
      </c>
      <c r="T122" s="122" t="s">
        <v>201</v>
      </c>
      <c r="U122" s="73">
        <f>SUMIF('Avoided Costs 2013-2021'!$A:$A,'2013 Actuals'!T122&amp;'2013 Actuals'!S122,'Avoided Costs 2013-2021'!$E:$E)*J122</f>
        <v>37048.410848694373</v>
      </c>
      <c r="V122" s="73">
        <f>SUMIF('Avoided Costs 2013-2021'!$A:$A,'2013 Actuals'!T122&amp;'2013 Actuals'!S122,'Avoided Costs 2013-2021'!$K:$K)*N122</f>
        <v>0</v>
      </c>
      <c r="W122" s="73">
        <f>SUMIF('Avoided Costs 2013-2021'!$A:$A,'2013 Actuals'!T122&amp;'2013 Actuals'!S122,'Avoided Costs 2013-2021'!$M:$M)*R122</f>
        <v>0</v>
      </c>
      <c r="X122" s="73">
        <f t="shared" si="49"/>
        <v>37048.410848694373</v>
      </c>
      <c r="Y122" s="89">
        <v>2583</v>
      </c>
      <c r="Z122" s="74">
        <f t="shared" si="50"/>
        <v>2273.04</v>
      </c>
      <c r="AA122" s="75"/>
      <c r="AB122" s="75"/>
      <c r="AC122" s="75"/>
      <c r="AD122" s="74">
        <f t="shared" si="51"/>
        <v>2273.04</v>
      </c>
      <c r="AE122" s="74">
        <f t="shared" si="52"/>
        <v>34775.370848694372</v>
      </c>
      <c r="AF122" s="52">
        <f t="shared" si="53"/>
        <v>295240.08799999999</v>
      </c>
      <c r="AG122" s="52">
        <f t="shared" si="54"/>
        <v>335500.10000000003</v>
      </c>
    </row>
    <row r="123" spans="1:33" s="21" customFormat="1" ht="11.25" customHeight="1" x14ac:dyDescent="0.2">
      <c r="A123" s="115" t="s">
        <v>842</v>
      </c>
      <c r="B123" s="115"/>
      <c r="C123" s="115"/>
      <c r="D123" s="163">
        <v>1</v>
      </c>
      <c r="E123" s="164"/>
      <c r="F123" s="165">
        <v>0.12</v>
      </c>
      <c r="G123" s="165"/>
      <c r="H123" s="51">
        <v>39869</v>
      </c>
      <c r="I123" s="52">
        <f t="shared" ref="I123:I134" si="55">+$H$39*H123</f>
        <v>35244.196000000004</v>
      </c>
      <c r="J123" s="52">
        <f t="shared" ref="J123:J134" si="56">I123*(1-F123)</f>
        <v>31014.892480000002</v>
      </c>
      <c r="K123" s="62"/>
      <c r="L123" s="163">
        <v>0</v>
      </c>
      <c r="M123" s="55">
        <f t="shared" ref="M123:M134" si="57">+$L$39*L123</f>
        <v>0</v>
      </c>
      <c r="N123" s="55">
        <f t="shared" ref="N123:N134" si="58">M123*(1-F123)</f>
        <v>0</v>
      </c>
      <c r="O123" s="96"/>
      <c r="P123" s="163">
        <v>0</v>
      </c>
      <c r="Q123" s="55">
        <f t="shared" ref="Q123:Q134" si="59">+P123*$P$39</f>
        <v>0</v>
      </c>
      <c r="R123" s="65">
        <f t="shared" ref="R123:R134" si="60">Q123*(1-F123)</f>
        <v>0</v>
      </c>
      <c r="S123" s="119">
        <v>15</v>
      </c>
      <c r="T123" s="122" t="s">
        <v>201</v>
      </c>
      <c r="U123" s="73">
        <f>SUMIF('Avoided Costs 2013-2021'!$A:$A,'2013 Actuals'!T123&amp;'2013 Actuals'!S123,'Avoided Costs 2013-2021'!$E:$E)*J123</f>
        <v>69314.021748726809</v>
      </c>
      <c r="V123" s="73">
        <f>SUMIF('Avoided Costs 2013-2021'!$A:$A,'2013 Actuals'!T123&amp;'2013 Actuals'!S123,'Avoided Costs 2013-2021'!$K:$K)*N123</f>
        <v>0</v>
      </c>
      <c r="W123" s="73">
        <f>SUMIF('Avoided Costs 2013-2021'!$A:$A,'2013 Actuals'!T123&amp;'2013 Actuals'!S123,'Avoided Costs 2013-2021'!$M:$M)*R123</f>
        <v>0</v>
      </c>
      <c r="X123" s="73">
        <f t="shared" ref="X123:X134" si="61">SUM(U123:W123)</f>
        <v>69314.021748726809</v>
      </c>
      <c r="Y123" s="89">
        <v>84100</v>
      </c>
      <c r="Z123" s="74">
        <f t="shared" ref="Z123:Z134" si="62">Y123*(1-F123)</f>
        <v>74008</v>
      </c>
      <c r="AA123" s="75"/>
      <c r="AB123" s="75"/>
      <c r="AC123" s="75"/>
      <c r="AD123" s="74">
        <f t="shared" ref="AD123:AD135" si="63">Z123+AB123</f>
        <v>74008</v>
      </c>
      <c r="AE123" s="74">
        <f t="shared" ref="AE123:AE135" si="64">X123-AD123</f>
        <v>-4693.9782512731908</v>
      </c>
      <c r="AF123" s="52">
        <f t="shared" ref="AF123:AF134" si="65">J123*S123</f>
        <v>465223.38720000006</v>
      </c>
      <c r="AG123" s="52">
        <f t="shared" ref="AG123:AG134" si="66">(I123*S123)</f>
        <v>528662.94000000006</v>
      </c>
    </row>
    <row r="124" spans="1:33" s="21" customFormat="1" ht="11.25" customHeight="1" x14ac:dyDescent="0.2">
      <c r="A124" s="115" t="s">
        <v>843</v>
      </c>
      <c r="B124" s="115"/>
      <c r="C124" s="115"/>
      <c r="D124" s="163">
        <v>1</v>
      </c>
      <c r="E124" s="164"/>
      <c r="F124" s="165">
        <v>0.12</v>
      </c>
      <c r="G124" s="165"/>
      <c r="H124" s="51">
        <v>33520</v>
      </c>
      <c r="I124" s="52">
        <f t="shared" si="55"/>
        <v>29631.68</v>
      </c>
      <c r="J124" s="52">
        <f t="shared" si="56"/>
        <v>26075.878400000001</v>
      </c>
      <c r="K124" s="62"/>
      <c r="L124" s="163">
        <v>0</v>
      </c>
      <c r="M124" s="55">
        <f t="shared" si="57"/>
        <v>0</v>
      </c>
      <c r="N124" s="55">
        <f t="shared" si="58"/>
        <v>0</v>
      </c>
      <c r="O124" s="96"/>
      <c r="P124" s="163">
        <v>0</v>
      </c>
      <c r="Q124" s="55">
        <f t="shared" si="59"/>
        <v>0</v>
      </c>
      <c r="R124" s="65">
        <f t="shared" si="60"/>
        <v>0</v>
      </c>
      <c r="S124" s="119">
        <v>5</v>
      </c>
      <c r="T124" s="122" t="s">
        <v>201</v>
      </c>
      <c r="U124" s="73">
        <f>SUMIF('Avoided Costs 2013-2021'!$A:$A,'2013 Actuals'!T124&amp;'2013 Actuals'!S124,'Avoided Costs 2013-2021'!$E:$E)*J124</f>
        <v>20305.356187090088</v>
      </c>
      <c r="V124" s="73">
        <f>SUMIF('Avoided Costs 2013-2021'!$A:$A,'2013 Actuals'!T124&amp;'2013 Actuals'!S124,'Avoided Costs 2013-2021'!$K:$K)*N124</f>
        <v>0</v>
      </c>
      <c r="W124" s="73">
        <f>SUMIF('Avoided Costs 2013-2021'!$A:$A,'2013 Actuals'!T124&amp;'2013 Actuals'!S124,'Avoided Costs 2013-2021'!$M:$M)*R124</f>
        <v>0</v>
      </c>
      <c r="X124" s="73">
        <f t="shared" si="61"/>
        <v>20305.356187090088</v>
      </c>
      <c r="Y124" s="89">
        <v>10013</v>
      </c>
      <c r="Z124" s="74">
        <f t="shared" si="62"/>
        <v>8811.44</v>
      </c>
      <c r="AA124" s="75"/>
      <c r="AB124" s="75"/>
      <c r="AC124" s="75"/>
      <c r="AD124" s="74">
        <f t="shared" si="63"/>
        <v>8811.44</v>
      </c>
      <c r="AE124" s="74">
        <f t="shared" si="64"/>
        <v>11493.916187090088</v>
      </c>
      <c r="AF124" s="52">
        <f t="shared" si="65"/>
        <v>130379.39200000001</v>
      </c>
      <c r="AG124" s="52">
        <f t="shared" si="66"/>
        <v>148158.39999999999</v>
      </c>
    </row>
    <row r="125" spans="1:33" s="21" customFormat="1" ht="11.25" customHeight="1" x14ac:dyDescent="0.2">
      <c r="A125" s="115" t="s">
        <v>844</v>
      </c>
      <c r="B125" s="115"/>
      <c r="C125" s="115"/>
      <c r="D125" s="163">
        <v>1</v>
      </c>
      <c r="E125" s="164"/>
      <c r="F125" s="165">
        <v>0.12</v>
      </c>
      <c r="G125" s="165"/>
      <c r="H125" s="51">
        <v>3765</v>
      </c>
      <c r="I125" s="52">
        <f t="shared" si="55"/>
        <v>3328.26</v>
      </c>
      <c r="J125" s="52">
        <f t="shared" si="56"/>
        <v>2928.8688000000002</v>
      </c>
      <c r="K125" s="62"/>
      <c r="L125" s="163">
        <v>305</v>
      </c>
      <c r="M125" s="55">
        <f t="shared" si="57"/>
        <v>305</v>
      </c>
      <c r="N125" s="55">
        <f t="shared" si="58"/>
        <v>268.39999999999998</v>
      </c>
      <c r="O125" s="96"/>
      <c r="P125" s="163">
        <v>0</v>
      </c>
      <c r="Q125" s="55">
        <f t="shared" si="59"/>
        <v>0</v>
      </c>
      <c r="R125" s="65">
        <f t="shared" si="60"/>
        <v>0</v>
      </c>
      <c r="S125" s="119">
        <v>15</v>
      </c>
      <c r="T125" s="122" t="s">
        <v>201</v>
      </c>
      <c r="U125" s="73">
        <f>SUMIF('Avoided Costs 2013-2021'!$A:$A,'2013 Actuals'!T125&amp;'2013 Actuals'!S125,'Avoided Costs 2013-2021'!$E:$E)*J125</f>
        <v>6545.6191999788407</v>
      </c>
      <c r="V125" s="73">
        <f>SUMIF('Avoided Costs 2013-2021'!$A:$A,'2013 Actuals'!T125&amp;'2013 Actuals'!S125,'Avoided Costs 2013-2021'!$K:$K)*N125</f>
        <v>280.98626074676201</v>
      </c>
      <c r="W125" s="73">
        <f>SUMIF('Avoided Costs 2013-2021'!$A:$A,'2013 Actuals'!T125&amp;'2013 Actuals'!S125,'Avoided Costs 2013-2021'!$M:$M)*R125</f>
        <v>0</v>
      </c>
      <c r="X125" s="73">
        <f t="shared" si="61"/>
        <v>6826.6054607256028</v>
      </c>
      <c r="Y125" s="89">
        <v>1721</v>
      </c>
      <c r="Z125" s="74">
        <f t="shared" si="62"/>
        <v>1514.48</v>
      </c>
      <c r="AA125" s="75"/>
      <c r="AB125" s="75"/>
      <c r="AC125" s="75"/>
      <c r="AD125" s="74">
        <f t="shared" si="63"/>
        <v>1514.48</v>
      </c>
      <c r="AE125" s="74">
        <f t="shared" si="64"/>
        <v>5312.1254607256033</v>
      </c>
      <c r="AF125" s="52">
        <f t="shared" si="65"/>
        <v>43933.032000000007</v>
      </c>
      <c r="AG125" s="52">
        <f t="shared" si="66"/>
        <v>49923.9</v>
      </c>
    </row>
    <row r="126" spans="1:33" s="21" customFormat="1" ht="11.25" customHeight="1" x14ac:dyDescent="0.2">
      <c r="A126" s="114" t="s">
        <v>845</v>
      </c>
      <c r="B126" s="114"/>
      <c r="C126" s="114"/>
      <c r="D126" s="160">
        <v>1</v>
      </c>
      <c r="E126" s="161"/>
      <c r="F126" s="162">
        <v>0.12</v>
      </c>
      <c r="G126" s="162"/>
      <c r="H126" s="52">
        <v>24283</v>
      </c>
      <c r="I126" s="52">
        <f>H126</f>
        <v>24283</v>
      </c>
      <c r="J126" s="52">
        <f t="shared" si="56"/>
        <v>21369.040000000001</v>
      </c>
      <c r="K126" s="61"/>
      <c r="L126" s="160">
        <v>0</v>
      </c>
      <c r="M126" s="55">
        <f t="shared" si="57"/>
        <v>0</v>
      </c>
      <c r="N126" s="55">
        <f t="shared" si="58"/>
        <v>0</v>
      </c>
      <c r="O126" s="95"/>
      <c r="P126" s="160">
        <v>0</v>
      </c>
      <c r="Q126" s="55">
        <f t="shared" si="59"/>
        <v>0</v>
      </c>
      <c r="R126" s="65">
        <f t="shared" si="60"/>
        <v>0</v>
      </c>
      <c r="S126" s="118">
        <v>25</v>
      </c>
      <c r="T126" s="121" t="s">
        <v>201</v>
      </c>
      <c r="U126" s="73">
        <f>SUMIF('Avoided Costs 2013-2021'!$A:$A,'2013 Actuals'!T126&amp;'2013 Actuals'!S126,'Avoided Costs 2013-2021'!$E:$E)*J126</f>
        <v>67037.726712961143</v>
      </c>
      <c r="V126" s="73">
        <f>SUMIF('Avoided Costs 2013-2021'!$A:$A,'2013 Actuals'!T126&amp;'2013 Actuals'!S126,'Avoided Costs 2013-2021'!$K:$K)*N126</f>
        <v>0</v>
      </c>
      <c r="W126" s="73">
        <f>SUMIF('Avoided Costs 2013-2021'!$A:$A,'2013 Actuals'!T126&amp;'2013 Actuals'!S126,'Avoided Costs 2013-2021'!$M:$M)*R126</f>
        <v>0</v>
      </c>
      <c r="X126" s="73">
        <f t="shared" si="61"/>
        <v>67037.726712961143</v>
      </c>
      <c r="Y126" s="83">
        <v>20600</v>
      </c>
      <c r="Z126" s="74">
        <f t="shared" si="62"/>
        <v>18128</v>
      </c>
      <c r="AA126" s="74"/>
      <c r="AB126" s="74"/>
      <c r="AC126" s="74"/>
      <c r="AD126" s="74">
        <f t="shared" si="63"/>
        <v>18128</v>
      </c>
      <c r="AE126" s="74">
        <f t="shared" si="64"/>
        <v>48909.726712961143</v>
      </c>
      <c r="AF126" s="52">
        <f t="shared" si="65"/>
        <v>534226</v>
      </c>
      <c r="AG126" s="52">
        <f t="shared" si="66"/>
        <v>607075</v>
      </c>
    </row>
    <row r="127" spans="1:33" s="21" customFormat="1" ht="11.25" customHeight="1" x14ac:dyDescent="0.2">
      <c r="A127" s="116" t="s">
        <v>846</v>
      </c>
      <c r="B127" s="116"/>
      <c r="C127" s="116"/>
      <c r="D127" s="151">
        <v>1</v>
      </c>
      <c r="E127" s="152"/>
      <c r="F127" s="153">
        <v>0.12</v>
      </c>
      <c r="G127" s="153"/>
      <c r="H127" s="52">
        <v>37643</v>
      </c>
      <c r="I127" s="52">
        <f t="shared" si="55"/>
        <v>33276.412000000004</v>
      </c>
      <c r="J127" s="52">
        <f t="shared" si="56"/>
        <v>29283.242560000002</v>
      </c>
      <c r="K127" s="152"/>
      <c r="L127" s="151">
        <v>0</v>
      </c>
      <c r="M127" s="55">
        <f t="shared" si="57"/>
        <v>0</v>
      </c>
      <c r="N127" s="55">
        <f t="shared" si="58"/>
        <v>0</v>
      </c>
      <c r="O127" s="154"/>
      <c r="P127" s="151">
        <v>0</v>
      </c>
      <c r="Q127" s="55">
        <f t="shared" si="59"/>
        <v>0</v>
      </c>
      <c r="R127" s="65">
        <f t="shared" si="60"/>
        <v>0</v>
      </c>
      <c r="S127" s="129">
        <v>25</v>
      </c>
      <c r="T127" s="123" t="s">
        <v>201</v>
      </c>
      <c r="U127" s="73">
        <f>SUMIF('Avoided Costs 2013-2021'!$A:$A,'2013 Actuals'!T127&amp;'2013 Actuals'!S127,'Avoided Costs 2013-2021'!$E:$E)*J127</f>
        <v>91865.709082234534</v>
      </c>
      <c r="V127" s="73">
        <f>SUMIF('Avoided Costs 2013-2021'!$A:$A,'2013 Actuals'!T127&amp;'2013 Actuals'!S127,'Avoided Costs 2013-2021'!$K:$K)*N127</f>
        <v>0</v>
      </c>
      <c r="W127" s="73">
        <f>SUMIF('Avoided Costs 2013-2021'!$A:$A,'2013 Actuals'!T127&amp;'2013 Actuals'!S127,'Avoided Costs 2013-2021'!$M:$M)*R127</f>
        <v>0</v>
      </c>
      <c r="X127" s="73">
        <f t="shared" si="61"/>
        <v>91865.709082234534</v>
      </c>
      <c r="Y127" s="83">
        <v>7875</v>
      </c>
      <c r="Z127" s="74">
        <f t="shared" si="62"/>
        <v>6930</v>
      </c>
      <c r="AA127" s="74"/>
      <c r="AB127" s="74"/>
      <c r="AC127" s="74"/>
      <c r="AD127" s="74">
        <f t="shared" si="63"/>
        <v>6930</v>
      </c>
      <c r="AE127" s="74">
        <f t="shared" si="64"/>
        <v>84935.709082234534</v>
      </c>
      <c r="AF127" s="52">
        <f t="shared" si="65"/>
        <v>732081.06400000001</v>
      </c>
      <c r="AG127" s="52">
        <f t="shared" si="66"/>
        <v>831910.3</v>
      </c>
    </row>
    <row r="128" spans="1:33" s="21" customFormat="1" ht="11.25" customHeight="1" x14ac:dyDescent="0.2">
      <c r="A128" s="116" t="s">
        <v>847</v>
      </c>
      <c r="B128" s="116"/>
      <c r="C128" s="116"/>
      <c r="D128" s="151">
        <v>1</v>
      </c>
      <c r="E128" s="152"/>
      <c r="F128" s="153">
        <v>0.12</v>
      </c>
      <c r="G128" s="153"/>
      <c r="H128" s="52">
        <v>13890</v>
      </c>
      <c r="I128" s="52">
        <f t="shared" si="55"/>
        <v>12278.76</v>
      </c>
      <c r="J128" s="52">
        <f t="shared" si="56"/>
        <v>10805.308800000001</v>
      </c>
      <c r="K128" s="152"/>
      <c r="L128" s="151">
        <v>20755</v>
      </c>
      <c r="M128" s="55">
        <f t="shared" si="57"/>
        <v>20755</v>
      </c>
      <c r="N128" s="55">
        <f t="shared" si="58"/>
        <v>18264.400000000001</v>
      </c>
      <c r="O128" s="154"/>
      <c r="P128" s="151">
        <v>0</v>
      </c>
      <c r="Q128" s="55">
        <f t="shared" si="59"/>
        <v>0</v>
      </c>
      <c r="R128" s="65">
        <f t="shared" si="60"/>
        <v>0</v>
      </c>
      <c r="S128" s="129">
        <v>15</v>
      </c>
      <c r="T128" s="123" t="s">
        <v>201</v>
      </c>
      <c r="U128" s="73">
        <f>SUMIF('Avoided Costs 2013-2021'!$A:$A,'2013 Actuals'!T128&amp;'2013 Actuals'!S128,'Avoided Costs 2013-2021'!$E:$E)*J128</f>
        <v>24148.379996734689</v>
      </c>
      <c r="V128" s="73">
        <f>SUMIF('Avoided Costs 2013-2021'!$A:$A,'2013 Actuals'!T128&amp;'2013 Actuals'!S128,'Avoided Costs 2013-2021'!$K:$K)*N128</f>
        <v>19120.884727209988</v>
      </c>
      <c r="W128" s="73">
        <f>SUMIF('Avoided Costs 2013-2021'!$A:$A,'2013 Actuals'!T128&amp;'2013 Actuals'!S128,'Avoided Costs 2013-2021'!$M:$M)*R128</f>
        <v>0</v>
      </c>
      <c r="X128" s="73">
        <f t="shared" si="61"/>
        <v>43269.264723944681</v>
      </c>
      <c r="Y128" s="83">
        <v>20135</v>
      </c>
      <c r="Z128" s="74">
        <f t="shared" si="62"/>
        <v>17718.8</v>
      </c>
      <c r="AA128" s="74"/>
      <c r="AB128" s="74"/>
      <c r="AC128" s="74"/>
      <c r="AD128" s="74">
        <f t="shared" si="63"/>
        <v>17718.8</v>
      </c>
      <c r="AE128" s="74">
        <f t="shared" si="64"/>
        <v>25550.464723944682</v>
      </c>
      <c r="AF128" s="52">
        <f t="shared" si="65"/>
        <v>162079.63200000001</v>
      </c>
      <c r="AG128" s="52">
        <f t="shared" si="66"/>
        <v>184181.4</v>
      </c>
    </row>
    <row r="129" spans="1:33" s="21" customFormat="1" ht="11.25" customHeight="1" x14ac:dyDescent="0.2">
      <c r="A129" s="114" t="s">
        <v>848</v>
      </c>
      <c r="B129" s="114"/>
      <c r="C129" s="114"/>
      <c r="D129" s="160">
        <v>1</v>
      </c>
      <c r="E129" s="161"/>
      <c r="F129" s="162">
        <v>0.12</v>
      </c>
      <c r="G129" s="162"/>
      <c r="H129" s="52">
        <v>42493</v>
      </c>
      <c r="I129" s="52">
        <f t="shared" si="55"/>
        <v>37563.811999999998</v>
      </c>
      <c r="J129" s="52">
        <f t="shared" si="56"/>
        <v>33056.154559999995</v>
      </c>
      <c r="K129" s="61"/>
      <c r="L129" s="160">
        <v>0</v>
      </c>
      <c r="M129" s="55">
        <f t="shared" si="57"/>
        <v>0</v>
      </c>
      <c r="N129" s="55">
        <f t="shared" si="58"/>
        <v>0</v>
      </c>
      <c r="O129" s="95"/>
      <c r="P129" s="160">
        <v>0</v>
      </c>
      <c r="Q129" s="55">
        <f t="shared" si="59"/>
        <v>0</v>
      </c>
      <c r="R129" s="65">
        <f t="shared" si="60"/>
        <v>0</v>
      </c>
      <c r="S129" s="118">
        <v>25</v>
      </c>
      <c r="T129" s="121" t="s">
        <v>201</v>
      </c>
      <c r="U129" s="73">
        <f>SUMIF('Avoided Costs 2013-2021'!$A:$A,'2013 Actuals'!T129&amp;'2013 Actuals'!S129,'Avoided Costs 2013-2021'!$E:$E)*J129</f>
        <v>103701.8722214327</v>
      </c>
      <c r="V129" s="73">
        <f>SUMIF('Avoided Costs 2013-2021'!$A:$A,'2013 Actuals'!T129&amp;'2013 Actuals'!S129,'Avoided Costs 2013-2021'!$K:$K)*N129</f>
        <v>0</v>
      </c>
      <c r="W129" s="73">
        <f>SUMIF('Avoided Costs 2013-2021'!$A:$A,'2013 Actuals'!T129&amp;'2013 Actuals'!S129,'Avoided Costs 2013-2021'!$M:$M)*R129</f>
        <v>0</v>
      </c>
      <c r="X129" s="73">
        <f t="shared" si="61"/>
        <v>103701.8722214327</v>
      </c>
      <c r="Y129" s="83">
        <v>29811</v>
      </c>
      <c r="Z129" s="74">
        <f t="shared" si="62"/>
        <v>26233.68</v>
      </c>
      <c r="AA129" s="74"/>
      <c r="AB129" s="74"/>
      <c r="AC129" s="74"/>
      <c r="AD129" s="74">
        <f t="shared" si="63"/>
        <v>26233.68</v>
      </c>
      <c r="AE129" s="74">
        <f t="shared" si="64"/>
        <v>77468.192221432691</v>
      </c>
      <c r="AF129" s="52">
        <f t="shared" si="65"/>
        <v>826403.86399999983</v>
      </c>
      <c r="AG129" s="52">
        <f t="shared" si="66"/>
        <v>939095.29999999993</v>
      </c>
    </row>
    <row r="130" spans="1:33" s="21" customFormat="1" ht="11.25" customHeight="1" x14ac:dyDescent="0.2">
      <c r="A130" s="114" t="s">
        <v>849</v>
      </c>
      <c r="B130" s="114"/>
      <c r="C130" s="114"/>
      <c r="D130" s="160">
        <v>1</v>
      </c>
      <c r="E130" s="161"/>
      <c r="F130" s="162">
        <v>0.12</v>
      </c>
      <c r="G130" s="162"/>
      <c r="H130" s="52">
        <v>82539</v>
      </c>
      <c r="I130" s="52">
        <f t="shared" si="55"/>
        <v>72964.475999999995</v>
      </c>
      <c r="J130" s="52">
        <f t="shared" si="56"/>
        <v>64208.738879999997</v>
      </c>
      <c r="K130" s="61"/>
      <c r="L130" s="160">
        <v>0</v>
      </c>
      <c r="M130" s="55">
        <f t="shared" si="57"/>
        <v>0</v>
      </c>
      <c r="N130" s="55">
        <f t="shared" si="58"/>
        <v>0</v>
      </c>
      <c r="O130" s="95"/>
      <c r="P130" s="160">
        <v>0</v>
      </c>
      <c r="Q130" s="55">
        <f t="shared" si="59"/>
        <v>0</v>
      </c>
      <c r="R130" s="65">
        <f t="shared" si="60"/>
        <v>0</v>
      </c>
      <c r="S130" s="118">
        <v>15</v>
      </c>
      <c r="T130" s="121" t="s">
        <v>201</v>
      </c>
      <c r="U130" s="73">
        <f>SUMIF('Avoided Costs 2013-2021'!$A:$A,'2013 Actuals'!T130&amp;'2013 Actuals'!S130,'Avoided Costs 2013-2021'!$E:$E)*J130</f>
        <v>143497.70601515364</v>
      </c>
      <c r="V130" s="73">
        <f>SUMIF('Avoided Costs 2013-2021'!$A:$A,'2013 Actuals'!T130&amp;'2013 Actuals'!S130,'Avoided Costs 2013-2021'!$K:$K)*N130</f>
        <v>0</v>
      </c>
      <c r="W130" s="73">
        <f>SUMIF('Avoided Costs 2013-2021'!$A:$A,'2013 Actuals'!T130&amp;'2013 Actuals'!S130,'Avoided Costs 2013-2021'!$M:$M)*R130</f>
        <v>0</v>
      </c>
      <c r="X130" s="73">
        <f t="shared" si="61"/>
        <v>143497.70601515364</v>
      </c>
      <c r="Y130" s="83">
        <v>81840</v>
      </c>
      <c r="Z130" s="74">
        <f t="shared" si="62"/>
        <v>72019.199999999997</v>
      </c>
      <c r="AA130" s="74"/>
      <c r="AB130" s="74"/>
      <c r="AC130" s="74"/>
      <c r="AD130" s="74">
        <f t="shared" si="63"/>
        <v>72019.199999999997</v>
      </c>
      <c r="AE130" s="74">
        <f t="shared" si="64"/>
        <v>71478.506015153645</v>
      </c>
      <c r="AF130" s="52">
        <f t="shared" si="65"/>
        <v>963131.08319999999</v>
      </c>
      <c r="AG130" s="52">
        <f t="shared" si="66"/>
        <v>1094467.1399999999</v>
      </c>
    </row>
    <row r="131" spans="1:33" s="21" customFormat="1" ht="11.25" customHeight="1" x14ac:dyDescent="0.2">
      <c r="A131" s="114" t="s">
        <v>850</v>
      </c>
      <c r="B131" s="114"/>
      <c r="C131" s="114"/>
      <c r="D131" s="160">
        <v>1</v>
      </c>
      <c r="E131" s="161"/>
      <c r="F131" s="162">
        <v>0.12</v>
      </c>
      <c r="G131" s="162"/>
      <c r="H131" s="52">
        <v>86450</v>
      </c>
      <c r="I131" s="52">
        <f t="shared" si="55"/>
        <v>76421.8</v>
      </c>
      <c r="J131" s="52">
        <f t="shared" si="56"/>
        <v>67251.184000000008</v>
      </c>
      <c r="K131" s="61"/>
      <c r="L131" s="160">
        <v>0</v>
      </c>
      <c r="M131" s="55">
        <f t="shared" si="57"/>
        <v>0</v>
      </c>
      <c r="N131" s="55">
        <f t="shared" si="58"/>
        <v>0</v>
      </c>
      <c r="O131" s="95"/>
      <c r="P131" s="160">
        <v>0</v>
      </c>
      <c r="Q131" s="55">
        <f t="shared" si="59"/>
        <v>0</v>
      </c>
      <c r="R131" s="65">
        <f t="shared" si="60"/>
        <v>0</v>
      </c>
      <c r="S131" s="118">
        <v>25</v>
      </c>
      <c r="T131" s="121" t="s">
        <v>201</v>
      </c>
      <c r="U131" s="73">
        <f>SUMIF('Avoided Costs 2013-2021'!$A:$A,'2013 Actuals'!T131&amp;'2013 Actuals'!S131,'Avoided Costs 2013-2021'!$E:$E)*J131</f>
        <v>210976.55739869765</v>
      </c>
      <c r="V131" s="73">
        <f>SUMIF('Avoided Costs 2013-2021'!$A:$A,'2013 Actuals'!T131&amp;'2013 Actuals'!S131,'Avoided Costs 2013-2021'!$K:$K)*N131</f>
        <v>0</v>
      </c>
      <c r="W131" s="73">
        <f>SUMIF('Avoided Costs 2013-2021'!$A:$A,'2013 Actuals'!T131&amp;'2013 Actuals'!S131,'Avoided Costs 2013-2021'!$M:$M)*R131</f>
        <v>0</v>
      </c>
      <c r="X131" s="73">
        <f t="shared" si="61"/>
        <v>210976.55739869765</v>
      </c>
      <c r="Y131" s="83">
        <v>89114</v>
      </c>
      <c r="Z131" s="74">
        <f t="shared" si="62"/>
        <v>78420.320000000007</v>
      </c>
      <c r="AA131" s="74"/>
      <c r="AB131" s="74"/>
      <c r="AC131" s="74"/>
      <c r="AD131" s="74">
        <f t="shared" si="63"/>
        <v>78420.320000000007</v>
      </c>
      <c r="AE131" s="74">
        <f t="shared" si="64"/>
        <v>132556.23739869765</v>
      </c>
      <c r="AF131" s="52">
        <f t="shared" si="65"/>
        <v>1681279.6</v>
      </c>
      <c r="AG131" s="52">
        <f t="shared" si="66"/>
        <v>1910545</v>
      </c>
    </row>
    <row r="132" spans="1:33" s="21" customFormat="1" ht="11.25" customHeight="1" x14ac:dyDescent="0.2">
      <c r="A132" s="114" t="s">
        <v>851</v>
      </c>
      <c r="B132" s="114"/>
      <c r="C132" s="114"/>
      <c r="D132" s="160">
        <v>1</v>
      </c>
      <c r="E132" s="161"/>
      <c r="F132" s="162">
        <v>0.12</v>
      </c>
      <c r="G132" s="162"/>
      <c r="H132" s="52">
        <v>47784</v>
      </c>
      <c r="I132" s="52">
        <f t="shared" si="55"/>
        <v>42241.055999999997</v>
      </c>
      <c r="J132" s="52">
        <f t="shared" si="56"/>
        <v>37172.129280000001</v>
      </c>
      <c r="K132" s="61"/>
      <c r="L132" s="160">
        <v>2259</v>
      </c>
      <c r="M132" s="55">
        <f t="shared" si="57"/>
        <v>2259</v>
      </c>
      <c r="N132" s="55">
        <f t="shared" si="58"/>
        <v>1987.92</v>
      </c>
      <c r="O132" s="95"/>
      <c r="P132" s="160">
        <v>0</v>
      </c>
      <c r="Q132" s="55">
        <f t="shared" si="59"/>
        <v>0</v>
      </c>
      <c r="R132" s="65">
        <f t="shared" si="60"/>
        <v>0</v>
      </c>
      <c r="S132" s="118">
        <v>15</v>
      </c>
      <c r="T132" s="121" t="s">
        <v>201</v>
      </c>
      <c r="U132" s="73">
        <f>SUMIF('Avoided Costs 2013-2021'!$A:$A,'2013 Actuals'!T132&amp;'2013 Actuals'!S132,'Avoided Costs 2013-2021'!$E:$E)*J132</f>
        <v>83074.599695030265</v>
      </c>
      <c r="V132" s="73">
        <f>SUMIF('Avoided Costs 2013-2021'!$A:$A,'2013 Actuals'!T132&amp;'2013 Actuals'!S132,'Avoided Costs 2013-2021'!$K:$K)*N132</f>
        <v>2081.140862383395</v>
      </c>
      <c r="W132" s="73">
        <f>SUMIF('Avoided Costs 2013-2021'!$A:$A,'2013 Actuals'!T132&amp;'2013 Actuals'!S132,'Avoided Costs 2013-2021'!$M:$M)*R132</f>
        <v>0</v>
      </c>
      <c r="X132" s="73">
        <f t="shared" si="61"/>
        <v>85155.740557413665</v>
      </c>
      <c r="Y132" s="83">
        <v>44751</v>
      </c>
      <c r="Z132" s="74">
        <f t="shared" si="62"/>
        <v>39380.879999999997</v>
      </c>
      <c r="AA132" s="74"/>
      <c r="AB132" s="74"/>
      <c r="AC132" s="74"/>
      <c r="AD132" s="74">
        <f t="shared" si="63"/>
        <v>39380.879999999997</v>
      </c>
      <c r="AE132" s="74">
        <f t="shared" si="64"/>
        <v>45774.860557413667</v>
      </c>
      <c r="AF132" s="52">
        <f t="shared" si="65"/>
        <v>557581.93920000002</v>
      </c>
      <c r="AG132" s="52">
        <f t="shared" si="66"/>
        <v>633615.84</v>
      </c>
    </row>
    <row r="133" spans="1:33" s="21" customFormat="1" ht="11.25" customHeight="1" x14ac:dyDescent="0.2">
      <c r="A133" s="114" t="s">
        <v>852</v>
      </c>
      <c r="B133" s="114"/>
      <c r="C133" s="114"/>
      <c r="D133" s="160">
        <v>1</v>
      </c>
      <c r="E133" s="161"/>
      <c r="F133" s="162">
        <v>0.12</v>
      </c>
      <c r="G133" s="162"/>
      <c r="H133" s="52">
        <v>6672</v>
      </c>
      <c r="I133" s="52">
        <f t="shared" si="55"/>
        <v>5898.0479999999998</v>
      </c>
      <c r="J133" s="52">
        <f t="shared" si="56"/>
        <v>5190.2822399999995</v>
      </c>
      <c r="K133" s="61"/>
      <c r="L133" s="160">
        <v>0</v>
      </c>
      <c r="M133" s="55">
        <f t="shared" si="57"/>
        <v>0</v>
      </c>
      <c r="N133" s="55">
        <f t="shared" si="58"/>
        <v>0</v>
      </c>
      <c r="O133" s="95"/>
      <c r="P133" s="160">
        <v>0</v>
      </c>
      <c r="Q133" s="55">
        <f t="shared" si="59"/>
        <v>0</v>
      </c>
      <c r="R133" s="65">
        <f t="shared" si="60"/>
        <v>0</v>
      </c>
      <c r="S133" s="118">
        <v>5</v>
      </c>
      <c r="T133" s="121" t="s">
        <v>201</v>
      </c>
      <c r="U133" s="73">
        <f>SUMIF('Avoided Costs 2013-2021'!$A:$A,'2013 Actuals'!T133&amp;'2013 Actuals'!S133,'Avoided Costs 2013-2021'!$E:$E)*J133</f>
        <v>4041.6866491725846</v>
      </c>
      <c r="V133" s="73">
        <f>SUMIF('Avoided Costs 2013-2021'!$A:$A,'2013 Actuals'!T133&amp;'2013 Actuals'!S133,'Avoided Costs 2013-2021'!$K:$K)*N133</f>
        <v>0</v>
      </c>
      <c r="W133" s="73">
        <f>SUMIF('Avoided Costs 2013-2021'!$A:$A,'2013 Actuals'!T133&amp;'2013 Actuals'!S133,'Avoided Costs 2013-2021'!$M:$M)*R133</f>
        <v>0</v>
      </c>
      <c r="X133" s="73">
        <f t="shared" si="61"/>
        <v>4041.6866491725846</v>
      </c>
      <c r="Y133" s="83">
        <v>2282</v>
      </c>
      <c r="Z133" s="74">
        <f t="shared" si="62"/>
        <v>2008.16</v>
      </c>
      <c r="AA133" s="74"/>
      <c r="AB133" s="74"/>
      <c r="AC133" s="74"/>
      <c r="AD133" s="74">
        <f t="shared" si="63"/>
        <v>2008.16</v>
      </c>
      <c r="AE133" s="74">
        <f t="shared" si="64"/>
        <v>2033.5266491725845</v>
      </c>
      <c r="AF133" s="52">
        <f t="shared" si="65"/>
        <v>25951.411199999999</v>
      </c>
      <c r="AG133" s="52">
        <f t="shared" si="66"/>
        <v>29490.239999999998</v>
      </c>
    </row>
    <row r="134" spans="1:33" s="21" customFormat="1" ht="11.25" customHeight="1" x14ac:dyDescent="0.2">
      <c r="A134" s="114" t="s">
        <v>853</v>
      </c>
      <c r="B134" s="114"/>
      <c r="C134" s="114"/>
      <c r="D134" s="160">
        <v>1</v>
      </c>
      <c r="E134" s="161"/>
      <c r="F134" s="162">
        <v>0.12</v>
      </c>
      <c r="G134" s="162"/>
      <c r="H134" s="52">
        <v>59074</v>
      </c>
      <c r="I134" s="52">
        <f t="shared" si="55"/>
        <v>52221.415999999997</v>
      </c>
      <c r="J134" s="52">
        <f t="shared" si="56"/>
        <v>45954.846079999996</v>
      </c>
      <c r="K134" s="61"/>
      <c r="L134" s="160">
        <v>0</v>
      </c>
      <c r="M134" s="55">
        <f t="shared" si="57"/>
        <v>0</v>
      </c>
      <c r="N134" s="55">
        <f t="shared" si="58"/>
        <v>0</v>
      </c>
      <c r="O134" s="95"/>
      <c r="P134" s="160">
        <v>0</v>
      </c>
      <c r="Q134" s="55">
        <f t="shared" si="59"/>
        <v>0</v>
      </c>
      <c r="R134" s="65">
        <f t="shared" si="60"/>
        <v>0</v>
      </c>
      <c r="S134" s="118">
        <v>25</v>
      </c>
      <c r="T134" s="121" t="s">
        <v>201</v>
      </c>
      <c r="U134" s="73">
        <f>SUMIF('Avoided Costs 2013-2021'!$A:$A,'2013 Actuals'!T134&amp;'2013 Actuals'!S134,'Avoided Costs 2013-2021'!$E:$E)*J134</f>
        <v>144166.907481442</v>
      </c>
      <c r="V134" s="73">
        <f>SUMIF('Avoided Costs 2013-2021'!$A:$A,'2013 Actuals'!T134&amp;'2013 Actuals'!S134,'Avoided Costs 2013-2021'!$K:$K)*N134</f>
        <v>0</v>
      </c>
      <c r="W134" s="73">
        <f>SUMIF('Avoided Costs 2013-2021'!$A:$A,'2013 Actuals'!T134&amp;'2013 Actuals'!S134,'Avoided Costs 2013-2021'!$M:$M)*R134</f>
        <v>0</v>
      </c>
      <c r="X134" s="73">
        <f t="shared" si="61"/>
        <v>144166.907481442</v>
      </c>
      <c r="Y134" s="83">
        <v>6609</v>
      </c>
      <c r="Z134" s="74">
        <f t="shared" si="62"/>
        <v>5815.92</v>
      </c>
      <c r="AA134" s="74"/>
      <c r="AB134" s="74"/>
      <c r="AC134" s="74"/>
      <c r="AD134" s="74">
        <f t="shared" si="63"/>
        <v>5815.92</v>
      </c>
      <c r="AE134" s="74">
        <f t="shared" si="64"/>
        <v>138350.98748144199</v>
      </c>
      <c r="AF134" s="52">
        <f t="shared" si="65"/>
        <v>1148871.152</v>
      </c>
      <c r="AG134" s="52">
        <f t="shared" si="66"/>
        <v>1305535.3999999999</v>
      </c>
    </row>
    <row r="135" spans="1:33" s="17" customFormat="1" collapsed="1" x14ac:dyDescent="0.2">
      <c r="A135" s="166" t="s">
        <v>4</v>
      </c>
      <c r="B135" s="166" t="s">
        <v>176</v>
      </c>
      <c r="C135" s="125"/>
      <c r="D135" s="65">
        <f>SUM(D59:D134)</f>
        <v>66</v>
      </c>
      <c r="E135" s="291"/>
      <c r="F135" s="168"/>
      <c r="G135" s="292"/>
      <c r="H135" s="52">
        <f>SUM(H59:H134)</f>
        <v>3172801</v>
      </c>
      <c r="I135" s="52">
        <f>SUM(I59:I134)</f>
        <v>2810389.7399999993</v>
      </c>
      <c r="J135" s="52">
        <f>SUM(J59:J134)</f>
        <v>2473142.9712</v>
      </c>
      <c r="K135" s="167"/>
      <c r="L135" s="52">
        <v>894495</v>
      </c>
      <c r="M135" s="52">
        <f>SUM(M59:M134)</f>
        <v>894495</v>
      </c>
      <c r="N135" s="52">
        <f>SUM(N59:N134)</f>
        <v>787155.60000000021</v>
      </c>
      <c r="O135" s="169"/>
      <c r="P135" s="52">
        <v>0</v>
      </c>
      <c r="Q135" s="52">
        <f>SUM(Q59:Q134)</f>
        <v>0</v>
      </c>
      <c r="R135" s="52">
        <f>SUM(R59:R134)</f>
        <v>0</v>
      </c>
      <c r="S135" s="133"/>
      <c r="T135" s="125" t="s">
        <v>215</v>
      </c>
      <c r="U135" s="74">
        <f>SUM(U59:U134)</f>
        <v>6578961.5615945654</v>
      </c>
      <c r="V135" s="74">
        <f>SUM(V59:V134)</f>
        <v>824068.21412024577</v>
      </c>
      <c r="W135" s="74">
        <f>SUM(W59:W134)</f>
        <v>0</v>
      </c>
      <c r="X135" s="74">
        <f>SUM(X59:X134)</f>
        <v>7403029.7757148091</v>
      </c>
      <c r="Y135" s="83"/>
      <c r="Z135" s="74">
        <f t="shared" ref="Z135" si="67">SUM(Z59:Z134)</f>
        <v>3165564.16</v>
      </c>
      <c r="AA135" s="74">
        <v>373708.86</v>
      </c>
      <c r="AB135" s="74">
        <v>51401.15</v>
      </c>
      <c r="AC135" s="74">
        <f>AA135+AB135</f>
        <v>425110.01</v>
      </c>
      <c r="AD135" s="74">
        <f t="shared" si="63"/>
        <v>3216965.31</v>
      </c>
      <c r="AE135" s="293">
        <f t="shared" si="64"/>
        <v>4186064.465714809</v>
      </c>
      <c r="AF135" s="52">
        <f>SUM(AF59:AF134)</f>
        <v>49399194.116800003</v>
      </c>
      <c r="AG135" s="52">
        <f>SUM(AG59:AG134)</f>
        <v>56135447.860000007</v>
      </c>
    </row>
    <row r="136" spans="1:33" x14ac:dyDescent="0.2">
      <c r="A136" s="150"/>
      <c r="O136" s="92"/>
      <c r="P136" s="44"/>
      <c r="R136" s="44"/>
      <c r="S136" s="4"/>
      <c r="Z136" s="72"/>
      <c r="AA136" s="72"/>
      <c r="AC136" s="72"/>
      <c r="AD136" s="72"/>
      <c r="AE136" s="72"/>
      <c r="AF136" s="79"/>
      <c r="AG136" s="79"/>
    </row>
    <row r="137" spans="1:33" x14ac:dyDescent="0.2">
      <c r="A137" s="150" t="s">
        <v>119</v>
      </c>
      <c r="B137" s="2" t="s">
        <v>45</v>
      </c>
      <c r="O137" s="92"/>
      <c r="P137" s="44"/>
      <c r="R137" s="44"/>
      <c r="S137" s="4"/>
      <c r="Z137" s="72"/>
      <c r="AA137" s="72"/>
      <c r="AC137" s="72"/>
      <c r="AD137" s="72"/>
      <c r="AE137" s="72"/>
      <c r="AF137" s="79"/>
      <c r="AG137" s="79"/>
    </row>
    <row r="138" spans="1:33" s="21" customFormat="1" x14ac:dyDescent="0.2">
      <c r="A138" s="114" t="s">
        <v>891</v>
      </c>
      <c r="B138" s="114"/>
      <c r="C138" s="114"/>
      <c r="D138" s="160">
        <v>0</v>
      </c>
      <c r="E138" s="161"/>
      <c r="F138" s="162">
        <v>0.12</v>
      </c>
      <c r="G138" s="162"/>
      <c r="H138" s="52">
        <v>14797</v>
      </c>
      <c r="I138" s="52">
        <f t="shared" ref="I138:I169" si="68">+$H$39*H138</f>
        <v>13080.548000000001</v>
      </c>
      <c r="J138" s="52">
        <f t="shared" ref="J138:J169" si="69">I138*(1-F138)</f>
        <v>11510.882240000001</v>
      </c>
      <c r="K138" s="61"/>
      <c r="L138" s="160">
        <v>0</v>
      </c>
      <c r="M138" s="55">
        <f t="shared" ref="M138:M169" si="70">+$L$39*L138</f>
        <v>0</v>
      </c>
      <c r="N138" s="55">
        <f t="shared" ref="N138:N169" si="71">M138*(1-F138)</f>
        <v>0</v>
      </c>
      <c r="O138" s="95"/>
      <c r="P138" s="160">
        <v>0</v>
      </c>
      <c r="Q138" s="55">
        <f t="shared" ref="Q138:Q169" si="72">+P138*$P$39</f>
        <v>0</v>
      </c>
      <c r="R138" s="65">
        <f t="shared" ref="R138:R169" si="73">Q138*(1-F138)</f>
        <v>0</v>
      </c>
      <c r="S138" s="118">
        <v>14</v>
      </c>
      <c r="T138" s="121" t="s">
        <v>201</v>
      </c>
      <c r="U138" s="73">
        <f>SUMIF('Avoided Costs 2013-2021'!$A:$A,'2013 Actuals'!T138&amp;'2013 Actuals'!S138,'Avoided Costs 2013-2021'!$E:$E)*J138</f>
        <v>24386.596289736455</v>
      </c>
      <c r="V138" s="73">
        <f>SUMIF('Avoided Costs 2013-2021'!$A:$A,'2013 Actuals'!T138&amp;'2013 Actuals'!S138,'Avoided Costs 2013-2021'!$K:$K)*N138</f>
        <v>0</v>
      </c>
      <c r="W138" s="73">
        <f>SUMIF('Avoided Costs 2013-2021'!$A:$A,'2013 Actuals'!T138&amp;'2013 Actuals'!S138,'Avoided Costs 2013-2021'!$M:$M)*R138</f>
        <v>0</v>
      </c>
      <c r="X138" s="73">
        <f t="shared" ref="X138:X169" si="74">SUM(U138:W138)</f>
        <v>24386.596289736455</v>
      </c>
      <c r="Y138" s="83">
        <v>4190</v>
      </c>
      <c r="Z138" s="74">
        <f t="shared" ref="Z138:Z169" si="75">Y138*(1-F138)</f>
        <v>3687.2</v>
      </c>
      <c r="AA138" s="74"/>
      <c r="AB138" s="74"/>
      <c r="AC138" s="74"/>
      <c r="AD138" s="74">
        <f t="shared" ref="AD138:AD169" si="76">Z138+AB138</f>
        <v>3687.2</v>
      </c>
      <c r="AE138" s="74">
        <f t="shared" ref="AE138:AE169" si="77">X138-AD138</f>
        <v>20699.396289736454</v>
      </c>
      <c r="AF138" s="52">
        <f t="shared" ref="AF138:AF169" si="78">J138*S138</f>
        <v>161152.35136</v>
      </c>
      <c r="AG138" s="52">
        <f t="shared" ref="AG138:AG169" si="79">(I138*S138)</f>
        <v>183127.67200000002</v>
      </c>
    </row>
    <row r="139" spans="1:33" s="21" customFormat="1" x14ac:dyDescent="0.2">
      <c r="A139" s="114" t="s">
        <v>892</v>
      </c>
      <c r="B139" s="114"/>
      <c r="C139" s="114"/>
      <c r="D139" s="160">
        <v>1</v>
      </c>
      <c r="E139" s="161"/>
      <c r="F139" s="162">
        <v>0.12</v>
      </c>
      <c r="G139" s="162"/>
      <c r="H139" s="52">
        <v>71386</v>
      </c>
      <c r="I139" s="52">
        <f t="shared" si="68"/>
        <v>63105.224000000002</v>
      </c>
      <c r="J139" s="52">
        <f t="shared" si="69"/>
        <v>55532.597119999999</v>
      </c>
      <c r="K139" s="61"/>
      <c r="L139" s="160">
        <v>0</v>
      </c>
      <c r="M139" s="55">
        <f t="shared" si="70"/>
        <v>0</v>
      </c>
      <c r="N139" s="55">
        <f t="shared" si="71"/>
        <v>0</v>
      </c>
      <c r="O139" s="95"/>
      <c r="P139" s="160">
        <v>0</v>
      </c>
      <c r="Q139" s="55">
        <f t="shared" si="72"/>
        <v>0</v>
      </c>
      <c r="R139" s="65">
        <f t="shared" si="73"/>
        <v>0</v>
      </c>
      <c r="S139" s="118">
        <v>5</v>
      </c>
      <c r="T139" s="121" t="s">
        <v>201</v>
      </c>
      <c r="U139" s="73">
        <f>SUMIF('Avoided Costs 2013-2021'!$A:$A,'2013 Actuals'!T139&amp;'2013 Actuals'!S139,'Avoided Costs 2013-2021'!$E:$E)*J139</f>
        <v>43243.381765262915</v>
      </c>
      <c r="V139" s="73">
        <f>SUMIF('Avoided Costs 2013-2021'!$A:$A,'2013 Actuals'!T139&amp;'2013 Actuals'!S139,'Avoided Costs 2013-2021'!$K:$K)*N139</f>
        <v>0</v>
      </c>
      <c r="W139" s="73">
        <f>SUMIF('Avoided Costs 2013-2021'!$A:$A,'2013 Actuals'!T139&amp;'2013 Actuals'!S139,'Avoided Costs 2013-2021'!$M:$M)*R139</f>
        <v>0</v>
      </c>
      <c r="X139" s="73">
        <f t="shared" si="74"/>
        <v>43243.381765262915</v>
      </c>
      <c r="Y139" s="83">
        <v>53750</v>
      </c>
      <c r="Z139" s="74">
        <f t="shared" si="75"/>
        <v>47300</v>
      </c>
      <c r="AA139" s="74"/>
      <c r="AB139" s="74"/>
      <c r="AC139" s="74"/>
      <c r="AD139" s="74">
        <f t="shared" si="76"/>
        <v>47300</v>
      </c>
      <c r="AE139" s="74">
        <f t="shared" si="77"/>
        <v>-4056.618234737085</v>
      </c>
      <c r="AF139" s="52">
        <f t="shared" si="78"/>
        <v>277662.98560000001</v>
      </c>
      <c r="AG139" s="52">
        <f t="shared" si="79"/>
        <v>315526.12</v>
      </c>
    </row>
    <row r="140" spans="1:33" s="21" customFormat="1" x14ac:dyDescent="0.2">
      <c r="A140" s="114" t="s">
        <v>893</v>
      </c>
      <c r="B140" s="114"/>
      <c r="C140" s="114"/>
      <c r="D140" s="160">
        <v>1</v>
      </c>
      <c r="E140" s="161"/>
      <c r="F140" s="162">
        <v>0.12</v>
      </c>
      <c r="G140" s="162"/>
      <c r="H140" s="52">
        <v>11750</v>
      </c>
      <c r="I140" s="52">
        <f t="shared" si="68"/>
        <v>10387</v>
      </c>
      <c r="J140" s="52">
        <f t="shared" si="69"/>
        <v>9140.56</v>
      </c>
      <c r="K140" s="61"/>
      <c r="L140" s="160">
        <v>0</v>
      </c>
      <c r="M140" s="55">
        <f t="shared" si="70"/>
        <v>0</v>
      </c>
      <c r="N140" s="55">
        <f t="shared" si="71"/>
        <v>0</v>
      </c>
      <c r="O140" s="95"/>
      <c r="P140" s="160">
        <v>0</v>
      </c>
      <c r="Q140" s="55">
        <f t="shared" si="72"/>
        <v>0</v>
      </c>
      <c r="R140" s="65">
        <f t="shared" si="73"/>
        <v>0</v>
      </c>
      <c r="S140" s="118">
        <v>15</v>
      </c>
      <c r="T140" s="121" t="s">
        <v>201</v>
      </c>
      <c r="U140" s="73">
        <f>SUMIF('Avoided Costs 2013-2021'!$A:$A,'2013 Actuals'!T140&amp;'2013 Actuals'!S140,'Avoided Costs 2013-2021'!$E:$E)*J140</f>
        <v>20427.895245617896</v>
      </c>
      <c r="V140" s="73">
        <f>SUMIF('Avoided Costs 2013-2021'!$A:$A,'2013 Actuals'!T140&amp;'2013 Actuals'!S140,'Avoided Costs 2013-2021'!$K:$K)*N140</f>
        <v>0</v>
      </c>
      <c r="W140" s="73">
        <f>SUMIF('Avoided Costs 2013-2021'!$A:$A,'2013 Actuals'!T140&amp;'2013 Actuals'!S140,'Avoided Costs 2013-2021'!$M:$M)*R140</f>
        <v>0</v>
      </c>
      <c r="X140" s="73">
        <f t="shared" si="74"/>
        <v>20427.895245617896</v>
      </c>
      <c r="Y140" s="83">
        <v>2510</v>
      </c>
      <c r="Z140" s="74">
        <f t="shared" si="75"/>
        <v>2208.8000000000002</v>
      </c>
      <c r="AA140" s="74"/>
      <c r="AB140" s="74"/>
      <c r="AC140" s="74"/>
      <c r="AD140" s="74">
        <f t="shared" si="76"/>
        <v>2208.8000000000002</v>
      </c>
      <c r="AE140" s="74">
        <f t="shared" si="77"/>
        <v>18219.095245617897</v>
      </c>
      <c r="AF140" s="52">
        <f t="shared" si="78"/>
        <v>137108.4</v>
      </c>
      <c r="AG140" s="52">
        <f t="shared" si="79"/>
        <v>155805</v>
      </c>
    </row>
    <row r="141" spans="1:33" s="21" customFormat="1" x14ac:dyDescent="0.2">
      <c r="A141" s="114" t="s">
        <v>894</v>
      </c>
      <c r="B141" s="114"/>
      <c r="C141" s="114"/>
      <c r="D141" s="160">
        <v>1</v>
      </c>
      <c r="E141" s="161"/>
      <c r="F141" s="162">
        <v>0.12</v>
      </c>
      <c r="G141" s="162"/>
      <c r="H141" s="52">
        <v>6904</v>
      </c>
      <c r="I141" s="52">
        <f t="shared" si="68"/>
        <v>6103.1360000000004</v>
      </c>
      <c r="J141" s="52">
        <f t="shared" si="69"/>
        <v>5370.7596800000001</v>
      </c>
      <c r="K141" s="61"/>
      <c r="L141" s="160">
        <v>11762</v>
      </c>
      <c r="M141" s="55">
        <f t="shared" si="70"/>
        <v>11762</v>
      </c>
      <c r="N141" s="55">
        <f t="shared" si="71"/>
        <v>10350.56</v>
      </c>
      <c r="O141" s="95"/>
      <c r="P141" s="160">
        <v>0</v>
      </c>
      <c r="Q141" s="55">
        <f t="shared" si="72"/>
        <v>0</v>
      </c>
      <c r="R141" s="65">
        <f t="shared" si="73"/>
        <v>0</v>
      </c>
      <c r="S141" s="118">
        <v>15</v>
      </c>
      <c r="T141" s="121" t="s">
        <v>201</v>
      </c>
      <c r="U141" s="73">
        <f>SUMIF('Avoided Costs 2013-2021'!$A:$A,'2013 Actuals'!T141&amp;'2013 Actuals'!S141,'Avoided Costs 2013-2021'!$E:$E)*J141</f>
        <v>12002.90968304221</v>
      </c>
      <c r="V141" s="73">
        <f>SUMIF('Avoided Costs 2013-2021'!$A:$A,'2013 Actuals'!T141&amp;'2013 Actuals'!S141,'Avoided Costs 2013-2021'!$K:$K)*N141</f>
        <v>10835.935734109558</v>
      </c>
      <c r="W141" s="73">
        <f>SUMIF('Avoided Costs 2013-2021'!$A:$A,'2013 Actuals'!T141&amp;'2013 Actuals'!S141,'Avoided Costs 2013-2021'!$M:$M)*R141</f>
        <v>0</v>
      </c>
      <c r="X141" s="73">
        <f t="shared" si="74"/>
        <v>22838.845417151766</v>
      </c>
      <c r="Y141" s="83">
        <v>1000</v>
      </c>
      <c r="Z141" s="74">
        <f t="shared" si="75"/>
        <v>880</v>
      </c>
      <c r="AA141" s="74"/>
      <c r="AB141" s="74"/>
      <c r="AC141" s="74"/>
      <c r="AD141" s="74">
        <f t="shared" si="76"/>
        <v>880</v>
      </c>
      <c r="AE141" s="74">
        <f t="shared" si="77"/>
        <v>21958.845417151766</v>
      </c>
      <c r="AF141" s="52">
        <f t="shared" si="78"/>
        <v>80561.395199999999</v>
      </c>
      <c r="AG141" s="52">
        <f t="shared" si="79"/>
        <v>91547.040000000008</v>
      </c>
    </row>
    <row r="142" spans="1:33" s="21" customFormat="1" x14ac:dyDescent="0.2">
      <c r="A142" s="114" t="s">
        <v>895</v>
      </c>
      <c r="B142" s="114"/>
      <c r="C142" s="114"/>
      <c r="D142" s="160">
        <v>1</v>
      </c>
      <c r="E142" s="161"/>
      <c r="F142" s="162">
        <v>0.12</v>
      </c>
      <c r="G142" s="162"/>
      <c r="H142" s="52">
        <v>10896</v>
      </c>
      <c r="I142" s="52">
        <f t="shared" si="68"/>
        <v>9632.0640000000003</v>
      </c>
      <c r="J142" s="52">
        <f t="shared" si="69"/>
        <v>8476.2163199999995</v>
      </c>
      <c r="K142" s="61"/>
      <c r="L142" s="160">
        <v>24171</v>
      </c>
      <c r="M142" s="55">
        <f t="shared" si="70"/>
        <v>24171</v>
      </c>
      <c r="N142" s="55">
        <f t="shared" si="71"/>
        <v>21270.48</v>
      </c>
      <c r="O142" s="95"/>
      <c r="P142" s="160">
        <v>0</v>
      </c>
      <c r="Q142" s="55">
        <f t="shared" si="72"/>
        <v>0</v>
      </c>
      <c r="R142" s="65">
        <f t="shared" si="73"/>
        <v>0</v>
      </c>
      <c r="S142" s="118">
        <v>15</v>
      </c>
      <c r="T142" s="121" t="s">
        <v>201</v>
      </c>
      <c r="U142" s="73">
        <f>SUMIF('Avoided Costs 2013-2021'!$A:$A,'2013 Actuals'!T142&amp;'2013 Actuals'!S142,'Avoided Costs 2013-2021'!$E:$E)*J142</f>
        <v>18943.178433723624</v>
      </c>
      <c r="V142" s="73">
        <f>SUMIF('Avoided Costs 2013-2021'!$A:$A,'2013 Actuals'!T142&amp;'2013 Actuals'!S142,'Avoided Costs 2013-2021'!$K:$K)*N142</f>
        <v>22267.930847573723</v>
      </c>
      <c r="W142" s="73">
        <f>SUMIF('Avoided Costs 2013-2021'!$A:$A,'2013 Actuals'!T142&amp;'2013 Actuals'!S142,'Avoided Costs 2013-2021'!$M:$M)*R142</f>
        <v>0</v>
      </c>
      <c r="X142" s="73">
        <f t="shared" si="74"/>
        <v>41211.109281297351</v>
      </c>
      <c r="Y142" s="83">
        <v>1090</v>
      </c>
      <c r="Z142" s="74">
        <f t="shared" si="75"/>
        <v>959.2</v>
      </c>
      <c r="AA142" s="74"/>
      <c r="AB142" s="74"/>
      <c r="AC142" s="74"/>
      <c r="AD142" s="74">
        <f t="shared" si="76"/>
        <v>959.2</v>
      </c>
      <c r="AE142" s="74">
        <f t="shared" si="77"/>
        <v>40251.909281297354</v>
      </c>
      <c r="AF142" s="52">
        <f t="shared" si="78"/>
        <v>127143.24479999999</v>
      </c>
      <c r="AG142" s="52">
        <f t="shared" si="79"/>
        <v>144480.95999999999</v>
      </c>
    </row>
    <row r="143" spans="1:33" s="21" customFormat="1" x14ac:dyDescent="0.2">
      <c r="A143" s="114" t="s">
        <v>896</v>
      </c>
      <c r="B143" s="114"/>
      <c r="C143" s="114"/>
      <c r="D143" s="160">
        <v>1</v>
      </c>
      <c r="E143" s="161"/>
      <c r="F143" s="162">
        <v>0.12</v>
      </c>
      <c r="G143" s="162"/>
      <c r="H143" s="52">
        <v>4800</v>
      </c>
      <c r="I143" s="52">
        <f t="shared" si="68"/>
        <v>4243.2</v>
      </c>
      <c r="J143" s="52">
        <f t="shared" si="69"/>
        <v>3734.0160000000001</v>
      </c>
      <c r="K143" s="61"/>
      <c r="L143" s="160">
        <v>2778</v>
      </c>
      <c r="M143" s="55">
        <f t="shared" si="70"/>
        <v>2778</v>
      </c>
      <c r="N143" s="55">
        <f t="shared" si="71"/>
        <v>2444.64</v>
      </c>
      <c r="O143" s="95"/>
      <c r="P143" s="160">
        <v>0</v>
      </c>
      <c r="Q143" s="55">
        <f t="shared" si="72"/>
        <v>0</v>
      </c>
      <c r="R143" s="65">
        <f t="shared" si="73"/>
        <v>0</v>
      </c>
      <c r="S143" s="118">
        <v>15</v>
      </c>
      <c r="T143" s="121" t="s">
        <v>201</v>
      </c>
      <c r="U143" s="73">
        <f>SUMIF('Avoided Costs 2013-2021'!$A:$A,'2013 Actuals'!T143&amp;'2013 Actuals'!S143,'Avoided Costs 2013-2021'!$E:$E)*J143</f>
        <v>8345.0125258694388</v>
      </c>
      <c r="V143" s="73">
        <f>SUMIF('Avoided Costs 2013-2021'!$A:$A,'2013 Actuals'!T143&amp;'2013 Actuals'!S143,'Avoided Costs 2013-2021'!$K:$K)*N143</f>
        <v>2559.2781388672292</v>
      </c>
      <c r="W143" s="73">
        <f>SUMIF('Avoided Costs 2013-2021'!$A:$A,'2013 Actuals'!T143&amp;'2013 Actuals'!S143,'Avoided Costs 2013-2021'!$M:$M)*R143</f>
        <v>0</v>
      </c>
      <c r="X143" s="73">
        <f t="shared" si="74"/>
        <v>10904.290664736669</v>
      </c>
      <c r="Y143" s="83">
        <v>1000</v>
      </c>
      <c r="Z143" s="74">
        <f t="shared" si="75"/>
        <v>880</v>
      </c>
      <c r="AA143" s="74"/>
      <c r="AB143" s="74"/>
      <c r="AC143" s="74"/>
      <c r="AD143" s="74">
        <f t="shared" si="76"/>
        <v>880</v>
      </c>
      <c r="AE143" s="74">
        <f t="shared" si="77"/>
        <v>10024.290664736669</v>
      </c>
      <c r="AF143" s="52">
        <f t="shared" si="78"/>
        <v>56010.239999999998</v>
      </c>
      <c r="AG143" s="52">
        <f t="shared" si="79"/>
        <v>63648</v>
      </c>
    </row>
    <row r="144" spans="1:33" s="21" customFormat="1" x14ac:dyDescent="0.2">
      <c r="A144" s="114" t="s">
        <v>897</v>
      </c>
      <c r="B144" s="114"/>
      <c r="C144" s="114"/>
      <c r="D144" s="160">
        <v>1</v>
      </c>
      <c r="E144" s="161"/>
      <c r="F144" s="162">
        <v>0.12</v>
      </c>
      <c r="G144" s="162"/>
      <c r="H144" s="52">
        <v>9622</v>
      </c>
      <c r="I144" s="52">
        <f t="shared" si="68"/>
        <v>8505.848</v>
      </c>
      <c r="J144" s="52">
        <f t="shared" si="69"/>
        <v>7485.14624</v>
      </c>
      <c r="K144" s="61"/>
      <c r="L144" s="160">
        <v>589</v>
      </c>
      <c r="M144" s="55">
        <f t="shared" si="70"/>
        <v>589</v>
      </c>
      <c r="N144" s="55">
        <f t="shared" si="71"/>
        <v>518.32000000000005</v>
      </c>
      <c r="O144" s="95"/>
      <c r="P144" s="160">
        <v>0</v>
      </c>
      <c r="Q144" s="55">
        <f t="shared" si="72"/>
        <v>0</v>
      </c>
      <c r="R144" s="65">
        <f t="shared" si="73"/>
        <v>0</v>
      </c>
      <c r="S144" s="118">
        <v>15</v>
      </c>
      <c r="T144" s="121" t="s">
        <v>201</v>
      </c>
      <c r="U144" s="73">
        <f>SUMIF('Avoided Costs 2013-2021'!$A:$A,'2013 Actuals'!T144&amp;'2013 Actuals'!S144,'Avoided Costs 2013-2021'!$E:$E)*J144</f>
        <v>16728.273025815779</v>
      </c>
      <c r="V144" s="73">
        <f>SUMIF('Avoided Costs 2013-2021'!$A:$A,'2013 Actuals'!T144&amp;'2013 Actuals'!S144,'Avoided Costs 2013-2021'!$K:$K)*N144</f>
        <v>542.62592649128806</v>
      </c>
      <c r="W144" s="73">
        <f>SUMIF('Avoided Costs 2013-2021'!$A:$A,'2013 Actuals'!T144&amp;'2013 Actuals'!S144,'Avoided Costs 2013-2021'!$M:$M)*R144</f>
        <v>0</v>
      </c>
      <c r="X144" s="73">
        <f t="shared" si="74"/>
        <v>17270.898952307067</v>
      </c>
      <c r="Y144" s="83">
        <v>2510</v>
      </c>
      <c r="Z144" s="74">
        <f t="shared" si="75"/>
        <v>2208.8000000000002</v>
      </c>
      <c r="AA144" s="74"/>
      <c r="AB144" s="74"/>
      <c r="AC144" s="74"/>
      <c r="AD144" s="74">
        <f t="shared" si="76"/>
        <v>2208.8000000000002</v>
      </c>
      <c r="AE144" s="74">
        <f t="shared" si="77"/>
        <v>15062.098952307068</v>
      </c>
      <c r="AF144" s="52">
        <f t="shared" si="78"/>
        <v>112277.1936</v>
      </c>
      <c r="AG144" s="52">
        <f t="shared" si="79"/>
        <v>127587.72</v>
      </c>
    </row>
    <row r="145" spans="1:33" s="21" customFormat="1" x14ac:dyDescent="0.2">
      <c r="A145" s="114" t="s">
        <v>898</v>
      </c>
      <c r="B145" s="114"/>
      <c r="C145" s="114"/>
      <c r="D145" s="160">
        <v>1</v>
      </c>
      <c r="E145" s="161"/>
      <c r="F145" s="162">
        <v>0.12</v>
      </c>
      <c r="G145" s="162"/>
      <c r="H145" s="52">
        <v>1861</v>
      </c>
      <c r="I145" s="52">
        <f t="shared" ref="I145:I146" si="80">H145</f>
        <v>1861</v>
      </c>
      <c r="J145" s="52">
        <f t="shared" si="69"/>
        <v>1637.68</v>
      </c>
      <c r="K145" s="61"/>
      <c r="L145" s="160">
        <v>0</v>
      </c>
      <c r="M145" s="55">
        <f t="shared" si="70"/>
        <v>0</v>
      </c>
      <c r="N145" s="55">
        <f t="shared" si="71"/>
        <v>0</v>
      </c>
      <c r="O145" s="95"/>
      <c r="P145" s="160">
        <v>0</v>
      </c>
      <c r="Q145" s="55">
        <f t="shared" si="72"/>
        <v>0</v>
      </c>
      <c r="R145" s="65">
        <f t="shared" si="73"/>
        <v>0</v>
      </c>
      <c r="S145" s="118">
        <v>25</v>
      </c>
      <c r="T145" s="121" t="s">
        <v>217</v>
      </c>
      <c r="U145" s="73">
        <f>SUMIF('Avoided Costs 2013-2021'!$A:$A,'2013 Actuals'!T145&amp;'2013 Actuals'!S145,'Avoided Costs 2013-2021'!$E:$E)*J145</f>
        <v>4821.4459581490528</v>
      </c>
      <c r="V145" s="73">
        <f>SUMIF('Avoided Costs 2013-2021'!$A:$A,'2013 Actuals'!T145&amp;'2013 Actuals'!S145,'Avoided Costs 2013-2021'!$K:$K)*N145</f>
        <v>0</v>
      </c>
      <c r="W145" s="73">
        <f>SUMIF('Avoided Costs 2013-2021'!$A:$A,'2013 Actuals'!T145&amp;'2013 Actuals'!S145,'Avoided Costs 2013-2021'!$M:$M)*R145</f>
        <v>0</v>
      </c>
      <c r="X145" s="73">
        <f t="shared" si="74"/>
        <v>4821.4459581490528</v>
      </c>
      <c r="Y145" s="83">
        <v>4500</v>
      </c>
      <c r="Z145" s="74">
        <f t="shared" si="75"/>
        <v>3960</v>
      </c>
      <c r="AA145" s="74"/>
      <c r="AB145" s="74"/>
      <c r="AC145" s="74"/>
      <c r="AD145" s="74">
        <f t="shared" si="76"/>
        <v>3960</v>
      </c>
      <c r="AE145" s="74">
        <f t="shared" si="77"/>
        <v>861.44595814905279</v>
      </c>
      <c r="AF145" s="52">
        <f t="shared" si="78"/>
        <v>40942</v>
      </c>
      <c r="AG145" s="52">
        <f t="shared" si="79"/>
        <v>46525</v>
      </c>
    </row>
    <row r="146" spans="1:33" s="21" customFormat="1" x14ac:dyDescent="0.2">
      <c r="A146" s="114" t="s">
        <v>899</v>
      </c>
      <c r="B146" s="114"/>
      <c r="C146" s="114"/>
      <c r="D146" s="160">
        <v>1</v>
      </c>
      <c r="E146" s="161"/>
      <c r="F146" s="162">
        <v>0.12</v>
      </c>
      <c r="G146" s="162"/>
      <c r="H146" s="52">
        <v>1861</v>
      </c>
      <c r="I146" s="52">
        <f t="shared" si="80"/>
        <v>1861</v>
      </c>
      <c r="J146" s="52">
        <f t="shared" si="69"/>
        <v>1637.68</v>
      </c>
      <c r="K146" s="61"/>
      <c r="L146" s="160">
        <v>0</v>
      </c>
      <c r="M146" s="55">
        <f t="shared" si="70"/>
        <v>0</v>
      </c>
      <c r="N146" s="55">
        <f t="shared" si="71"/>
        <v>0</v>
      </c>
      <c r="O146" s="95"/>
      <c r="P146" s="160">
        <v>0</v>
      </c>
      <c r="Q146" s="55">
        <f t="shared" si="72"/>
        <v>0</v>
      </c>
      <c r="R146" s="65">
        <f t="shared" si="73"/>
        <v>0</v>
      </c>
      <c r="S146" s="118">
        <v>25</v>
      </c>
      <c r="T146" s="121" t="s">
        <v>217</v>
      </c>
      <c r="U146" s="73">
        <f>SUMIF('Avoided Costs 2013-2021'!$A:$A,'2013 Actuals'!T146&amp;'2013 Actuals'!S146,'Avoided Costs 2013-2021'!$E:$E)*J146</f>
        <v>4821.4459581490528</v>
      </c>
      <c r="V146" s="73">
        <f>SUMIF('Avoided Costs 2013-2021'!$A:$A,'2013 Actuals'!T146&amp;'2013 Actuals'!S146,'Avoided Costs 2013-2021'!$K:$K)*N146</f>
        <v>0</v>
      </c>
      <c r="W146" s="73">
        <f>SUMIF('Avoided Costs 2013-2021'!$A:$A,'2013 Actuals'!T146&amp;'2013 Actuals'!S146,'Avoided Costs 2013-2021'!$M:$M)*R146</f>
        <v>0</v>
      </c>
      <c r="X146" s="73">
        <f t="shared" si="74"/>
        <v>4821.4459581490528</v>
      </c>
      <c r="Y146" s="83">
        <v>4500</v>
      </c>
      <c r="Z146" s="74">
        <f t="shared" si="75"/>
        <v>3960</v>
      </c>
      <c r="AA146" s="74"/>
      <c r="AB146" s="74"/>
      <c r="AC146" s="74"/>
      <c r="AD146" s="74">
        <f t="shared" si="76"/>
        <v>3960</v>
      </c>
      <c r="AE146" s="74">
        <f t="shared" si="77"/>
        <v>861.44595814905279</v>
      </c>
      <c r="AF146" s="52">
        <f t="shared" si="78"/>
        <v>40942</v>
      </c>
      <c r="AG146" s="52">
        <f t="shared" si="79"/>
        <v>46525</v>
      </c>
    </row>
    <row r="147" spans="1:33" s="21" customFormat="1" x14ac:dyDescent="0.2">
      <c r="A147" s="114" t="s">
        <v>900</v>
      </c>
      <c r="B147" s="114"/>
      <c r="C147" s="114"/>
      <c r="D147" s="160">
        <v>1</v>
      </c>
      <c r="E147" s="161"/>
      <c r="F147" s="162">
        <v>0.12</v>
      </c>
      <c r="G147" s="162"/>
      <c r="H147" s="52">
        <v>7988</v>
      </c>
      <c r="I147" s="52">
        <f t="shared" si="68"/>
        <v>7061.3919999999998</v>
      </c>
      <c r="J147" s="52">
        <f t="shared" si="69"/>
        <v>6214.0249599999997</v>
      </c>
      <c r="K147" s="61"/>
      <c r="L147" s="160">
        <v>557</v>
      </c>
      <c r="M147" s="55">
        <f t="shared" si="70"/>
        <v>557</v>
      </c>
      <c r="N147" s="55">
        <f t="shared" si="71"/>
        <v>490.16</v>
      </c>
      <c r="O147" s="95"/>
      <c r="P147" s="160">
        <v>0</v>
      </c>
      <c r="Q147" s="55">
        <f t="shared" si="72"/>
        <v>0</v>
      </c>
      <c r="R147" s="65">
        <f t="shared" si="73"/>
        <v>0</v>
      </c>
      <c r="S147" s="118">
        <v>15</v>
      </c>
      <c r="T147" s="121" t="s">
        <v>201</v>
      </c>
      <c r="U147" s="73">
        <f>SUMIF('Avoided Costs 2013-2021'!$A:$A,'2013 Actuals'!T147&amp;'2013 Actuals'!S147,'Avoided Costs 2013-2021'!$E:$E)*J147</f>
        <v>13887.491678467723</v>
      </c>
      <c r="V147" s="73">
        <f>SUMIF('Avoided Costs 2013-2021'!$A:$A,'2013 Actuals'!T147&amp;'2013 Actuals'!S147,'Avoided Costs 2013-2021'!$K:$K)*N147</f>
        <v>513.14540077359504</v>
      </c>
      <c r="W147" s="73">
        <f>SUMIF('Avoided Costs 2013-2021'!$A:$A,'2013 Actuals'!T147&amp;'2013 Actuals'!S147,'Avoided Costs 2013-2021'!$M:$M)*R147</f>
        <v>0</v>
      </c>
      <c r="X147" s="73">
        <f t="shared" si="74"/>
        <v>14400.637079241318</v>
      </c>
      <c r="Y147" s="83">
        <v>4500</v>
      </c>
      <c r="Z147" s="74">
        <f t="shared" si="75"/>
        <v>3960</v>
      </c>
      <c r="AA147" s="74"/>
      <c r="AB147" s="74"/>
      <c r="AC147" s="74"/>
      <c r="AD147" s="74">
        <f t="shared" si="76"/>
        <v>3960</v>
      </c>
      <c r="AE147" s="74">
        <f t="shared" si="77"/>
        <v>10440.637079241318</v>
      </c>
      <c r="AF147" s="52">
        <f t="shared" si="78"/>
        <v>93210.374400000001</v>
      </c>
      <c r="AG147" s="52">
        <f t="shared" si="79"/>
        <v>105920.88</v>
      </c>
    </row>
    <row r="148" spans="1:33" s="21" customFormat="1" x14ac:dyDescent="0.2">
      <c r="A148" s="114" t="s">
        <v>901</v>
      </c>
      <c r="B148" s="114"/>
      <c r="C148" s="114"/>
      <c r="D148" s="160">
        <v>1</v>
      </c>
      <c r="E148" s="161"/>
      <c r="F148" s="162">
        <v>0.12</v>
      </c>
      <c r="G148" s="162"/>
      <c r="H148" s="52">
        <v>14568</v>
      </c>
      <c r="I148" s="52">
        <f t="shared" si="68"/>
        <v>12878.112000000001</v>
      </c>
      <c r="J148" s="52">
        <f t="shared" si="69"/>
        <v>11332.738560000002</v>
      </c>
      <c r="K148" s="61"/>
      <c r="L148" s="160">
        <v>29552</v>
      </c>
      <c r="M148" s="55">
        <f t="shared" si="70"/>
        <v>29552</v>
      </c>
      <c r="N148" s="55">
        <f t="shared" si="71"/>
        <v>26005.759999999998</v>
      </c>
      <c r="O148" s="95"/>
      <c r="P148" s="160">
        <v>0</v>
      </c>
      <c r="Q148" s="55">
        <f t="shared" si="72"/>
        <v>0</v>
      </c>
      <c r="R148" s="65">
        <f t="shared" si="73"/>
        <v>0</v>
      </c>
      <c r="S148" s="118">
        <v>15</v>
      </c>
      <c r="T148" s="121" t="s">
        <v>201</v>
      </c>
      <c r="U148" s="73">
        <f>SUMIF('Avoided Costs 2013-2021'!$A:$A,'2013 Actuals'!T148&amp;'2013 Actuals'!S148,'Avoided Costs 2013-2021'!$E:$E)*J148</f>
        <v>25327.113016013747</v>
      </c>
      <c r="V148" s="73">
        <f>SUMIF('Avoided Costs 2013-2021'!$A:$A,'2013 Actuals'!T148&amp;'2013 Actuals'!S148,'Avoided Costs 2013-2021'!$K:$K)*N148</f>
        <v>27225.265500289548</v>
      </c>
      <c r="W148" s="73">
        <f>SUMIF('Avoided Costs 2013-2021'!$A:$A,'2013 Actuals'!T148&amp;'2013 Actuals'!S148,'Avoided Costs 2013-2021'!$M:$M)*R148</f>
        <v>0</v>
      </c>
      <c r="X148" s="73">
        <f t="shared" si="74"/>
        <v>52552.378516303295</v>
      </c>
      <c r="Y148" s="83">
        <v>40000</v>
      </c>
      <c r="Z148" s="74">
        <f t="shared" si="75"/>
        <v>35200</v>
      </c>
      <c r="AA148" s="74"/>
      <c r="AB148" s="74"/>
      <c r="AC148" s="74"/>
      <c r="AD148" s="74">
        <f t="shared" si="76"/>
        <v>35200</v>
      </c>
      <c r="AE148" s="74">
        <f t="shared" si="77"/>
        <v>17352.378516303295</v>
      </c>
      <c r="AF148" s="52">
        <f t="shared" si="78"/>
        <v>169991.07840000003</v>
      </c>
      <c r="AG148" s="52">
        <f t="shared" si="79"/>
        <v>193171.68000000002</v>
      </c>
    </row>
    <row r="149" spans="1:33" s="21" customFormat="1" x14ac:dyDescent="0.2">
      <c r="A149" s="114" t="s">
        <v>902</v>
      </c>
      <c r="B149" s="114"/>
      <c r="C149" s="114"/>
      <c r="D149" s="160">
        <v>1</v>
      </c>
      <c r="E149" s="161"/>
      <c r="F149" s="162">
        <v>0.12</v>
      </c>
      <c r="G149" s="162"/>
      <c r="H149" s="52">
        <v>10008</v>
      </c>
      <c r="I149" s="52">
        <f t="shared" si="68"/>
        <v>8847.0720000000001</v>
      </c>
      <c r="J149" s="52">
        <f t="shared" si="69"/>
        <v>7785.4233599999998</v>
      </c>
      <c r="K149" s="61"/>
      <c r="L149" s="160">
        <v>29552</v>
      </c>
      <c r="M149" s="55">
        <f t="shared" si="70"/>
        <v>29552</v>
      </c>
      <c r="N149" s="55">
        <f t="shared" si="71"/>
        <v>26005.759999999998</v>
      </c>
      <c r="O149" s="95"/>
      <c r="P149" s="160">
        <v>0</v>
      </c>
      <c r="Q149" s="55">
        <f t="shared" si="72"/>
        <v>0</v>
      </c>
      <c r="R149" s="65">
        <f t="shared" si="73"/>
        <v>0</v>
      </c>
      <c r="S149" s="118">
        <v>15</v>
      </c>
      <c r="T149" s="121" t="s">
        <v>201</v>
      </c>
      <c r="U149" s="73">
        <f>SUMIF('Avoided Costs 2013-2021'!$A:$A,'2013 Actuals'!T149&amp;'2013 Actuals'!S149,'Avoided Costs 2013-2021'!$E:$E)*J149</f>
        <v>17399.351116437778</v>
      </c>
      <c r="V149" s="73">
        <f>SUMIF('Avoided Costs 2013-2021'!$A:$A,'2013 Actuals'!T149&amp;'2013 Actuals'!S149,'Avoided Costs 2013-2021'!$K:$K)*N149</f>
        <v>27225.265500289548</v>
      </c>
      <c r="W149" s="73">
        <f>SUMIF('Avoided Costs 2013-2021'!$A:$A,'2013 Actuals'!T149&amp;'2013 Actuals'!S149,'Avoided Costs 2013-2021'!$M:$M)*R149</f>
        <v>0</v>
      </c>
      <c r="X149" s="73">
        <f t="shared" si="74"/>
        <v>44624.616616727326</v>
      </c>
      <c r="Y149" s="83">
        <v>40000</v>
      </c>
      <c r="Z149" s="74">
        <f t="shared" si="75"/>
        <v>35200</v>
      </c>
      <c r="AA149" s="74"/>
      <c r="AB149" s="74"/>
      <c r="AC149" s="74"/>
      <c r="AD149" s="74">
        <f t="shared" si="76"/>
        <v>35200</v>
      </c>
      <c r="AE149" s="74">
        <f t="shared" si="77"/>
        <v>9424.6166167273259</v>
      </c>
      <c r="AF149" s="52">
        <f t="shared" si="78"/>
        <v>116781.3504</v>
      </c>
      <c r="AG149" s="52">
        <f t="shared" si="79"/>
        <v>132706.08000000002</v>
      </c>
    </row>
    <row r="150" spans="1:33" s="21" customFormat="1" x14ac:dyDescent="0.2">
      <c r="A150" s="114" t="s">
        <v>903</v>
      </c>
      <c r="B150" s="114"/>
      <c r="C150" s="114"/>
      <c r="D150" s="160">
        <v>1</v>
      </c>
      <c r="E150" s="161"/>
      <c r="F150" s="162">
        <v>0.12</v>
      </c>
      <c r="G150" s="162"/>
      <c r="H150" s="52">
        <v>18439</v>
      </c>
      <c r="I150" s="52">
        <f t="shared" si="68"/>
        <v>16300.076000000001</v>
      </c>
      <c r="J150" s="52">
        <f t="shared" si="69"/>
        <v>14344.06688</v>
      </c>
      <c r="K150" s="61"/>
      <c r="L150" s="160">
        <v>29552</v>
      </c>
      <c r="M150" s="55">
        <f t="shared" si="70"/>
        <v>29552</v>
      </c>
      <c r="N150" s="55">
        <f t="shared" si="71"/>
        <v>26005.759999999998</v>
      </c>
      <c r="O150" s="95"/>
      <c r="P150" s="160">
        <v>0</v>
      </c>
      <c r="Q150" s="55">
        <f t="shared" si="72"/>
        <v>0</v>
      </c>
      <c r="R150" s="65">
        <f t="shared" si="73"/>
        <v>0</v>
      </c>
      <c r="S150" s="118">
        <v>15</v>
      </c>
      <c r="T150" s="121" t="s">
        <v>201</v>
      </c>
      <c r="U150" s="73">
        <f>SUMIF('Avoided Costs 2013-2021'!$A:$A,'2013 Actuals'!T150&amp;'2013 Actuals'!S150,'Avoided Costs 2013-2021'!$E:$E)*J150</f>
        <v>32057.017909272203</v>
      </c>
      <c r="V150" s="73">
        <f>SUMIF('Avoided Costs 2013-2021'!$A:$A,'2013 Actuals'!T150&amp;'2013 Actuals'!S150,'Avoided Costs 2013-2021'!$K:$K)*N150</f>
        <v>27225.265500289548</v>
      </c>
      <c r="W150" s="73">
        <f>SUMIF('Avoided Costs 2013-2021'!$A:$A,'2013 Actuals'!T150&amp;'2013 Actuals'!S150,'Avoided Costs 2013-2021'!$M:$M)*R150</f>
        <v>0</v>
      </c>
      <c r="X150" s="73">
        <f t="shared" si="74"/>
        <v>59282.283409561751</v>
      </c>
      <c r="Y150" s="83">
        <v>40000</v>
      </c>
      <c r="Z150" s="74">
        <f t="shared" si="75"/>
        <v>35200</v>
      </c>
      <c r="AA150" s="74"/>
      <c r="AB150" s="74"/>
      <c r="AC150" s="74"/>
      <c r="AD150" s="74">
        <f t="shared" si="76"/>
        <v>35200</v>
      </c>
      <c r="AE150" s="74">
        <f t="shared" si="77"/>
        <v>24082.283409561751</v>
      </c>
      <c r="AF150" s="52">
        <f t="shared" si="78"/>
        <v>215161.00320000001</v>
      </c>
      <c r="AG150" s="52">
        <f t="shared" si="79"/>
        <v>244501.14</v>
      </c>
    </row>
    <row r="151" spans="1:33" s="21" customFormat="1" x14ac:dyDescent="0.2">
      <c r="A151" s="114" t="s">
        <v>904</v>
      </c>
      <c r="B151" s="114"/>
      <c r="C151" s="114"/>
      <c r="D151" s="160">
        <v>1</v>
      </c>
      <c r="E151" s="161"/>
      <c r="F151" s="162">
        <v>0.12</v>
      </c>
      <c r="G151" s="162"/>
      <c r="H151" s="52">
        <v>10447</v>
      </c>
      <c r="I151" s="52">
        <f t="shared" si="68"/>
        <v>9235.1479999999992</v>
      </c>
      <c r="J151" s="52">
        <f t="shared" si="69"/>
        <v>8126.9302399999997</v>
      </c>
      <c r="K151" s="61"/>
      <c r="L151" s="160">
        <v>29552</v>
      </c>
      <c r="M151" s="55">
        <f t="shared" si="70"/>
        <v>29552</v>
      </c>
      <c r="N151" s="55">
        <f t="shared" si="71"/>
        <v>26005.759999999998</v>
      </c>
      <c r="O151" s="95"/>
      <c r="P151" s="160">
        <v>0</v>
      </c>
      <c r="Q151" s="55">
        <f t="shared" si="72"/>
        <v>0</v>
      </c>
      <c r="R151" s="65">
        <f t="shared" si="73"/>
        <v>0</v>
      </c>
      <c r="S151" s="118">
        <v>15</v>
      </c>
      <c r="T151" s="121" t="s">
        <v>201</v>
      </c>
      <c r="U151" s="73">
        <f>SUMIF('Avoided Costs 2013-2021'!$A:$A,'2013 Actuals'!T151&amp;'2013 Actuals'!S151,'Avoided Costs 2013-2021'!$E:$E)*J151</f>
        <v>18162.572053699587</v>
      </c>
      <c r="V151" s="73">
        <f>SUMIF('Avoided Costs 2013-2021'!$A:$A,'2013 Actuals'!T151&amp;'2013 Actuals'!S151,'Avoided Costs 2013-2021'!$K:$K)*N151</f>
        <v>27225.265500289548</v>
      </c>
      <c r="W151" s="73">
        <f>SUMIF('Avoided Costs 2013-2021'!$A:$A,'2013 Actuals'!T151&amp;'2013 Actuals'!S151,'Avoided Costs 2013-2021'!$M:$M)*R151</f>
        <v>0</v>
      </c>
      <c r="X151" s="73">
        <f t="shared" si="74"/>
        <v>45387.837553989135</v>
      </c>
      <c r="Y151" s="83">
        <v>40000</v>
      </c>
      <c r="Z151" s="74">
        <f t="shared" si="75"/>
        <v>35200</v>
      </c>
      <c r="AA151" s="74"/>
      <c r="AB151" s="74"/>
      <c r="AC151" s="74"/>
      <c r="AD151" s="74">
        <f t="shared" si="76"/>
        <v>35200</v>
      </c>
      <c r="AE151" s="74">
        <f t="shared" si="77"/>
        <v>10187.837553989135</v>
      </c>
      <c r="AF151" s="52">
        <f t="shared" si="78"/>
        <v>121903.95359999999</v>
      </c>
      <c r="AG151" s="52">
        <f t="shared" si="79"/>
        <v>138527.22</v>
      </c>
    </row>
    <row r="152" spans="1:33" s="21" customFormat="1" x14ac:dyDescent="0.2">
      <c r="A152" s="114" t="s">
        <v>905</v>
      </c>
      <c r="B152" s="114"/>
      <c r="C152" s="114"/>
      <c r="D152" s="160">
        <v>1</v>
      </c>
      <c r="E152" s="161"/>
      <c r="F152" s="162">
        <v>0.12</v>
      </c>
      <c r="G152" s="162"/>
      <c r="H152" s="52">
        <v>16638</v>
      </c>
      <c r="I152" s="52">
        <f t="shared" si="68"/>
        <v>14707.992</v>
      </c>
      <c r="J152" s="52">
        <f t="shared" si="69"/>
        <v>12943.03296</v>
      </c>
      <c r="K152" s="61"/>
      <c r="L152" s="160">
        <v>29552</v>
      </c>
      <c r="M152" s="55">
        <f t="shared" si="70"/>
        <v>29552</v>
      </c>
      <c r="N152" s="55">
        <f t="shared" si="71"/>
        <v>26005.759999999998</v>
      </c>
      <c r="O152" s="95"/>
      <c r="P152" s="160">
        <v>0</v>
      </c>
      <c r="Q152" s="55">
        <f t="shared" si="72"/>
        <v>0</v>
      </c>
      <c r="R152" s="65">
        <f t="shared" si="73"/>
        <v>0</v>
      </c>
      <c r="S152" s="118">
        <v>15</v>
      </c>
      <c r="T152" s="121" t="s">
        <v>201</v>
      </c>
      <c r="U152" s="73">
        <f>SUMIF('Avoided Costs 2013-2021'!$A:$A,'2013 Actuals'!T152&amp;'2013 Actuals'!S152,'Avoided Costs 2013-2021'!$E:$E)*J152</f>
        <v>28925.89966779494</v>
      </c>
      <c r="V152" s="73">
        <f>SUMIF('Avoided Costs 2013-2021'!$A:$A,'2013 Actuals'!T152&amp;'2013 Actuals'!S152,'Avoided Costs 2013-2021'!$K:$K)*N152</f>
        <v>27225.265500289548</v>
      </c>
      <c r="W152" s="73">
        <f>SUMIF('Avoided Costs 2013-2021'!$A:$A,'2013 Actuals'!T152&amp;'2013 Actuals'!S152,'Avoided Costs 2013-2021'!$M:$M)*R152</f>
        <v>0</v>
      </c>
      <c r="X152" s="73">
        <f t="shared" si="74"/>
        <v>56151.165168084488</v>
      </c>
      <c r="Y152" s="83">
        <v>40000</v>
      </c>
      <c r="Z152" s="74">
        <f t="shared" si="75"/>
        <v>35200</v>
      </c>
      <c r="AA152" s="74"/>
      <c r="AB152" s="74"/>
      <c r="AC152" s="74"/>
      <c r="AD152" s="74">
        <f t="shared" si="76"/>
        <v>35200</v>
      </c>
      <c r="AE152" s="74">
        <f t="shared" si="77"/>
        <v>20951.165168084488</v>
      </c>
      <c r="AF152" s="52">
        <f t="shared" si="78"/>
        <v>194145.4944</v>
      </c>
      <c r="AG152" s="52">
        <f t="shared" si="79"/>
        <v>220619.88</v>
      </c>
    </row>
    <row r="153" spans="1:33" s="21" customFormat="1" x14ac:dyDescent="0.2">
      <c r="A153" s="114" t="s">
        <v>906</v>
      </c>
      <c r="B153" s="114"/>
      <c r="C153" s="114"/>
      <c r="D153" s="160">
        <v>1</v>
      </c>
      <c r="E153" s="161"/>
      <c r="F153" s="162">
        <v>0.12</v>
      </c>
      <c r="G153" s="162"/>
      <c r="H153" s="52">
        <v>20677</v>
      </c>
      <c r="I153" s="52">
        <f t="shared" si="68"/>
        <v>18278.468000000001</v>
      </c>
      <c r="J153" s="52">
        <f t="shared" si="69"/>
        <v>16085.05184</v>
      </c>
      <c r="K153" s="61"/>
      <c r="L153" s="160">
        <v>29552</v>
      </c>
      <c r="M153" s="55">
        <f t="shared" si="70"/>
        <v>29552</v>
      </c>
      <c r="N153" s="55">
        <f t="shared" si="71"/>
        <v>26005.759999999998</v>
      </c>
      <c r="O153" s="95"/>
      <c r="P153" s="160">
        <v>0</v>
      </c>
      <c r="Q153" s="55">
        <f t="shared" si="72"/>
        <v>0</v>
      </c>
      <c r="R153" s="65">
        <f t="shared" si="73"/>
        <v>0</v>
      </c>
      <c r="S153" s="118">
        <v>15</v>
      </c>
      <c r="T153" s="121" t="s">
        <v>201</v>
      </c>
      <c r="U153" s="73">
        <f>SUMIF('Avoided Costs 2013-2021'!$A:$A,'2013 Actuals'!T153&amp;'2013 Actuals'!S153,'Avoided Costs 2013-2021'!$E:$E)*J153</f>
        <v>35947.879999458826</v>
      </c>
      <c r="V153" s="73">
        <f>SUMIF('Avoided Costs 2013-2021'!$A:$A,'2013 Actuals'!T153&amp;'2013 Actuals'!S153,'Avoided Costs 2013-2021'!$K:$K)*N153</f>
        <v>27225.265500289548</v>
      </c>
      <c r="W153" s="73">
        <f>SUMIF('Avoided Costs 2013-2021'!$A:$A,'2013 Actuals'!T153&amp;'2013 Actuals'!S153,'Avoided Costs 2013-2021'!$M:$M)*R153</f>
        <v>0</v>
      </c>
      <c r="X153" s="73">
        <f t="shared" si="74"/>
        <v>63173.145499748374</v>
      </c>
      <c r="Y153" s="83">
        <v>40000</v>
      </c>
      <c r="Z153" s="74">
        <f t="shared" si="75"/>
        <v>35200</v>
      </c>
      <c r="AA153" s="74"/>
      <c r="AB153" s="74"/>
      <c r="AC153" s="74"/>
      <c r="AD153" s="74">
        <f t="shared" si="76"/>
        <v>35200</v>
      </c>
      <c r="AE153" s="74">
        <f t="shared" si="77"/>
        <v>27973.145499748374</v>
      </c>
      <c r="AF153" s="52">
        <f t="shared" si="78"/>
        <v>241275.7776</v>
      </c>
      <c r="AG153" s="52">
        <f t="shared" si="79"/>
        <v>274177.02</v>
      </c>
    </row>
    <row r="154" spans="1:33" s="21" customFormat="1" x14ac:dyDescent="0.2">
      <c r="A154" s="114" t="s">
        <v>907</v>
      </c>
      <c r="B154" s="114"/>
      <c r="C154" s="114"/>
      <c r="D154" s="160">
        <v>1</v>
      </c>
      <c r="E154" s="161"/>
      <c r="F154" s="162">
        <v>0.12</v>
      </c>
      <c r="G154" s="162"/>
      <c r="H154" s="52">
        <v>7142</v>
      </c>
      <c r="I154" s="52">
        <f t="shared" si="68"/>
        <v>6313.5280000000002</v>
      </c>
      <c r="J154" s="52">
        <f t="shared" si="69"/>
        <v>5555.9046400000007</v>
      </c>
      <c r="K154" s="61"/>
      <c r="L154" s="160">
        <v>29552</v>
      </c>
      <c r="M154" s="55">
        <f t="shared" si="70"/>
        <v>29552</v>
      </c>
      <c r="N154" s="55">
        <f t="shared" si="71"/>
        <v>26005.759999999998</v>
      </c>
      <c r="O154" s="95"/>
      <c r="P154" s="160">
        <v>0</v>
      </c>
      <c r="Q154" s="55">
        <f t="shared" si="72"/>
        <v>0</v>
      </c>
      <c r="R154" s="65">
        <f t="shared" si="73"/>
        <v>0</v>
      </c>
      <c r="S154" s="118">
        <v>15</v>
      </c>
      <c r="T154" s="121" t="s">
        <v>201</v>
      </c>
      <c r="U154" s="73">
        <f>SUMIF('Avoided Costs 2013-2021'!$A:$A,'2013 Actuals'!T154&amp;'2013 Actuals'!S154,'Avoided Costs 2013-2021'!$E:$E)*J154</f>
        <v>12416.683220783236</v>
      </c>
      <c r="V154" s="73">
        <f>SUMIF('Avoided Costs 2013-2021'!$A:$A,'2013 Actuals'!T154&amp;'2013 Actuals'!S154,'Avoided Costs 2013-2021'!$K:$K)*N154</f>
        <v>27225.265500289548</v>
      </c>
      <c r="W154" s="73">
        <f>SUMIF('Avoided Costs 2013-2021'!$A:$A,'2013 Actuals'!T154&amp;'2013 Actuals'!S154,'Avoided Costs 2013-2021'!$M:$M)*R154</f>
        <v>0</v>
      </c>
      <c r="X154" s="73">
        <f t="shared" si="74"/>
        <v>39641.948721072782</v>
      </c>
      <c r="Y154" s="83">
        <v>40000</v>
      </c>
      <c r="Z154" s="74">
        <f t="shared" si="75"/>
        <v>35200</v>
      </c>
      <c r="AA154" s="74"/>
      <c r="AB154" s="74"/>
      <c r="AC154" s="74"/>
      <c r="AD154" s="74">
        <f t="shared" si="76"/>
        <v>35200</v>
      </c>
      <c r="AE154" s="74">
        <f t="shared" si="77"/>
        <v>4441.9487210727821</v>
      </c>
      <c r="AF154" s="52">
        <f t="shared" si="78"/>
        <v>83338.569600000017</v>
      </c>
      <c r="AG154" s="52">
        <f t="shared" si="79"/>
        <v>94702.92</v>
      </c>
    </row>
    <row r="155" spans="1:33" s="21" customFormat="1" x14ac:dyDescent="0.2">
      <c r="A155" s="114" t="s">
        <v>908</v>
      </c>
      <c r="B155" s="114"/>
      <c r="C155" s="114"/>
      <c r="D155" s="160">
        <v>1</v>
      </c>
      <c r="E155" s="161"/>
      <c r="F155" s="162">
        <v>0.12</v>
      </c>
      <c r="G155" s="162"/>
      <c r="H155" s="52">
        <v>29244</v>
      </c>
      <c r="I155" s="52">
        <f t="shared" si="68"/>
        <v>25851.696</v>
      </c>
      <c r="J155" s="52">
        <f t="shared" si="69"/>
        <v>22749.492480000001</v>
      </c>
      <c r="K155" s="61"/>
      <c r="L155" s="160">
        <v>29552</v>
      </c>
      <c r="M155" s="55">
        <f t="shared" si="70"/>
        <v>29552</v>
      </c>
      <c r="N155" s="55">
        <f t="shared" si="71"/>
        <v>26005.759999999998</v>
      </c>
      <c r="O155" s="95"/>
      <c r="P155" s="160">
        <v>0</v>
      </c>
      <c r="Q155" s="55">
        <f t="shared" si="72"/>
        <v>0</v>
      </c>
      <c r="R155" s="65">
        <f t="shared" si="73"/>
        <v>0</v>
      </c>
      <c r="S155" s="118">
        <v>15</v>
      </c>
      <c r="T155" s="121" t="s">
        <v>201</v>
      </c>
      <c r="U155" s="73">
        <f>SUMIF('Avoided Costs 2013-2021'!$A:$A,'2013 Actuals'!T155&amp;'2013 Actuals'!S155,'Avoided Costs 2013-2021'!$E:$E)*J155</f>
        <v>50841.988813859556</v>
      </c>
      <c r="V155" s="73">
        <f>SUMIF('Avoided Costs 2013-2021'!$A:$A,'2013 Actuals'!T155&amp;'2013 Actuals'!S155,'Avoided Costs 2013-2021'!$K:$K)*N155</f>
        <v>27225.265500289548</v>
      </c>
      <c r="W155" s="73">
        <f>SUMIF('Avoided Costs 2013-2021'!$A:$A,'2013 Actuals'!T155&amp;'2013 Actuals'!S155,'Avoided Costs 2013-2021'!$M:$M)*R155</f>
        <v>0</v>
      </c>
      <c r="X155" s="73">
        <f t="shared" si="74"/>
        <v>78067.254314149104</v>
      </c>
      <c r="Y155" s="83">
        <v>40000</v>
      </c>
      <c r="Z155" s="74">
        <f t="shared" si="75"/>
        <v>35200</v>
      </c>
      <c r="AA155" s="74"/>
      <c r="AB155" s="74"/>
      <c r="AC155" s="74"/>
      <c r="AD155" s="74">
        <f t="shared" si="76"/>
        <v>35200</v>
      </c>
      <c r="AE155" s="74">
        <f t="shared" si="77"/>
        <v>42867.254314149104</v>
      </c>
      <c r="AF155" s="52">
        <f t="shared" si="78"/>
        <v>341242.3872</v>
      </c>
      <c r="AG155" s="52">
        <f t="shared" si="79"/>
        <v>387775.44</v>
      </c>
    </row>
    <row r="156" spans="1:33" s="21" customFormat="1" x14ac:dyDescent="0.2">
      <c r="A156" s="114" t="s">
        <v>909</v>
      </c>
      <c r="B156" s="114"/>
      <c r="C156" s="114"/>
      <c r="D156" s="160">
        <v>1</v>
      </c>
      <c r="E156" s="161"/>
      <c r="F156" s="162">
        <v>0.12</v>
      </c>
      <c r="G156" s="162"/>
      <c r="H156" s="52">
        <v>16686</v>
      </c>
      <c r="I156" s="52">
        <f t="shared" si="68"/>
        <v>14750.424000000001</v>
      </c>
      <c r="J156" s="52">
        <f t="shared" si="69"/>
        <v>12980.37312</v>
      </c>
      <c r="K156" s="61"/>
      <c r="L156" s="160">
        <v>29552</v>
      </c>
      <c r="M156" s="55">
        <f t="shared" si="70"/>
        <v>29552</v>
      </c>
      <c r="N156" s="55">
        <f t="shared" si="71"/>
        <v>26005.759999999998</v>
      </c>
      <c r="O156" s="95"/>
      <c r="P156" s="160">
        <v>0</v>
      </c>
      <c r="Q156" s="55">
        <f t="shared" si="72"/>
        <v>0</v>
      </c>
      <c r="R156" s="65">
        <f t="shared" si="73"/>
        <v>0</v>
      </c>
      <c r="S156" s="118">
        <v>15</v>
      </c>
      <c r="T156" s="121" t="s">
        <v>201</v>
      </c>
      <c r="U156" s="73">
        <f>SUMIF('Avoided Costs 2013-2021'!$A:$A,'2013 Actuals'!T156&amp;'2013 Actuals'!S156,'Avoided Costs 2013-2021'!$E:$E)*J156</f>
        <v>29009.349793053636</v>
      </c>
      <c r="V156" s="73">
        <f>SUMIF('Avoided Costs 2013-2021'!$A:$A,'2013 Actuals'!T156&amp;'2013 Actuals'!S156,'Avoided Costs 2013-2021'!$K:$K)*N156</f>
        <v>27225.265500289548</v>
      </c>
      <c r="W156" s="73">
        <f>SUMIF('Avoided Costs 2013-2021'!$A:$A,'2013 Actuals'!T156&amp;'2013 Actuals'!S156,'Avoided Costs 2013-2021'!$M:$M)*R156</f>
        <v>0</v>
      </c>
      <c r="X156" s="73">
        <f t="shared" si="74"/>
        <v>56234.615293343188</v>
      </c>
      <c r="Y156" s="83">
        <v>40000</v>
      </c>
      <c r="Z156" s="74">
        <f t="shared" si="75"/>
        <v>35200</v>
      </c>
      <c r="AA156" s="74"/>
      <c r="AB156" s="74"/>
      <c r="AC156" s="74"/>
      <c r="AD156" s="74">
        <f t="shared" si="76"/>
        <v>35200</v>
      </c>
      <c r="AE156" s="74">
        <f t="shared" si="77"/>
        <v>21034.615293343188</v>
      </c>
      <c r="AF156" s="52">
        <f t="shared" si="78"/>
        <v>194705.5968</v>
      </c>
      <c r="AG156" s="52">
        <f t="shared" si="79"/>
        <v>221256.36000000002</v>
      </c>
    </row>
    <row r="157" spans="1:33" s="21" customFormat="1" x14ac:dyDescent="0.2">
      <c r="A157" s="114" t="s">
        <v>910</v>
      </c>
      <c r="B157" s="114"/>
      <c r="C157" s="114"/>
      <c r="D157" s="160">
        <v>1</v>
      </c>
      <c r="E157" s="161"/>
      <c r="F157" s="162">
        <v>0.12</v>
      </c>
      <c r="G157" s="162"/>
      <c r="H157" s="52">
        <v>24557</v>
      </c>
      <c r="I157" s="52">
        <f t="shared" si="68"/>
        <v>21708.387999999999</v>
      </c>
      <c r="J157" s="52">
        <f t="shared" si="69"/>
        <v>19103.381440000001</v>
      </c>
      <c r="K157" s="61"/>
      <c r="L157" s="160">
        <v>24141</v>
      </c>
      <c r="M157" s="55">
        <f t="shared" si="70"/>
        <v>24141</v>
      </c>
      <c r="N157" s="55">
        <f t="shared" si="71"/>
        <v>21244.080000000002</v>
      </c>
      <c r="O157" s="95"/>
      <c r="P157" s="160">
        <v>0</v>
      </c>
      <c r="Q157" s="55">
        <f t="shared" si="72"/>
        <v>0</v>
      </c>
      <c r="R157" s="65">
        <f t="shared" si="73"/>
        <v>0</v>
      </c>
      <c r="S157" s="118">
        <v>15</v>
      </c>
      <c r="T157" s="121" t="s">
        <v>201</v>
      </c>
      <c r="U157" s="73">
        <f>SUMIF('Avoided Costs 2013-2021'!$A:$A,'2013 Actuals'!T157&amp;'2013 Actuals'!S157,'Avoided Costs 2013-2021'!$E:$E)*J157</f>
        <v>42693.431791203293</v>
      </c>
      <c r="V157" s="73">
        <f>SUMIF('Avoided Costs 2013-2021'!$A:$A,'2013 Actuals'!T157&amp;'2013 Actuals'!S157,'Avoided Costs 2013-2021'!$K:$K)*N157</f>
        <v>22240.292854713389</v>
      </c>
      <c r="W157" s="73">
        <f>SUMIF('Avoided Costs 2013-2021'!$A:$A,'2013 Actuals'!T157&amp;'2013 Actuals'!S157,'Avoided Costs 2013-2021'!$M:$M)*R157</f>
        <v>0</v>
      </c>
      <c r="X157" s="73">
        <f t="shared" si="74"/>
        <v>64933.724645916678</v>
      </c>
      <c r="Y157" s="83">
        <v>40000</v>
      </c>
      <c r="Z157" s="74">
        <f t="shared" si="75"/>
        <v>35200</v>
      </c>
      <c r="AA157" s="74"/>
      <c r="AB157" s="74"/>
      <c r="AC157" s="74"/>
      <c r="AD157" s="74">
        <f t="shared" si="76"/>
        <v>35200</v>
      </c>
      <c r="AE157" s="74">
        <f t="shared" si="77"/>
        <v>29733.724645916678</v>
      </c>
      <c r="AF157" s="52">
        <f t="shared" si="78"/>
        <v>286550.72159999999</v>
      </c>
      <c r="AG157" s="52">
        <f t="shared" si="79"/>
        <v>325625.82</v>
      </c>
    </row>
    <row r="158" spans="1:33" s="21" customFormat="1" x14ac:dyDescent="0.2">
      <c r="A158" s="114" t="s">
        <v>911</v>
      </c>
      <c r="B158" s="114"/>
      <c r="C158" s="114"/>
      <c r="D158" s="160">
        <v>1</v>
      </c>
      <c r="E158" s="161"/>
      <c r="F158" s="162">
        <v>0.12</v>
      </c>
      <c r="G158" s="162"/>
      <c r="H158" s="52">
        <v>24986</v>
      </c>
      <c r="I158" s="52">
        <f t="shared" si="68"/>
        <v>22087.624</v>
      </c>
      <c r="J158" s="52">
        <f t="shared" si="69"/>
        <v>19437.109120000001</v>
      </c>
      <c r="K158" s="61"/>
      <c r="L158" s="160">
        <v>29552</v>
      </c>
      <c r="M158" s="55">
        <f t="shared" si="70"/>
        <v>29552</v>
      </c>
      <c r="N158" s="55">
        <f t="shared" si="71"/>
        <v>26005.759999999998</v>
      </c>
      <c r="O158" s="95"/>
      <c r="P158" s="160">
        <v>0</v>
      </c>
      <c r="Q158" s="55">
        <f t="shared" si="72"/>
        <v>0</v>
      </c>
      <c r="R158" s="65">
        <f t="shared" si="73"/>
        <v>0</v>
      </c>
      <c r="S158" s="118">
        <v>15</v>
      </c>
      <c r="T158" s="121" t="s">
        <v>201</v>
      </c>
      <c r="U158" s="73">
        <f>SUMIF('Avoided Costs 2013-2021'!$A:$A,'2013 Actuals'!T158&amp;'2013 Actuals'!S158,'Avoided Costs 2013-2021'!$E:$E)*J158</f>
        <v>43439.267285702874</v>
      </c>
      <c r="V158" s="73">
        <f>SUMIF('Avoided Costs 2013-2021'!$A:$A,'2013 Actuals'!T158&amp;'2013 Actuals'!S158,'Avoided Costs 2013-2021'!$K:$K)*N158</f>
        <v>27225.265500289548</v>
      </c>
      <c r="W158" s="73">
        <f>SUMIF('Avoided Costs 2013-2021'!$A:$A,'2013 Actuals'!T158&amp;'2013 Actuals'!S158,'Avoided Costs 2013-2021'!$M:$M)*R158</f>
        <v>0</v>
      </c>
      <c r="X158" s="73">
        <f t="shared" si="74"/>
        <v>70664.532785992429</v>
      </c>
      <c r="Y158" s="83">
        <v>40000</v>
      </c>
      <c r="Z158" s="74">
        <f t="shared" si="75"/>
        <v>35200</v>
      </c>
      <c r="AA158" s="74"/>
      <c r="AB158" s="74"/>
      <c r="AC158" s="74"/>
      <c r="AD158" s="74">
        <f t="shared" si="76"/>
        <v>35200</v>
      </c>
      <c r="AE158" s="74">
        <f t="shared" si="77"/>
        <v>35464.532785992429</v>
      </c>
      <c r="AF158" s="52">
        <f t="shared" si="78"/>
        <v>291556.63680000004</v>
      </c>
      <c r="AG158" s="52">
        <f t="shared" si="79"/>
        <v>331314.36</v>
      </c>
    </row>
    <row r="159" spans="1:33" s="21" customFormat="1" x14ac:dyDescent="0.2">
      <c r="A159" s="114" t="s">
        <v>912</v>
      </c>
      <c r="B159" s="114"/>
      <c r="C159" s="114"/>
      <c r="D159" s="160">
        <v>1</v>
      </c>
      <c r="E159" s="161"/>
      <c r="F159" s="162">
        <v>0.12</v>
      </c>
      <c r="G159" s="162"/>
      <c r="H159" s="52">
        <v>23044</v>
      </c>
      <c r="I159" s="52">
        <f t="shared" si="68"/>
        <v>20370.896000000001</v>
      </c>
      <c r="J159" s="52">
        <f t="shared" si="69"/>
        <v>17926.388480000001</v>
      </c>
      <c r="K159" s="61"/>
      <c r="L159" s="160">
        <v>29552</v>
      </c>
      <c r="M159" s="55">
        <f t="shared" si="70"/>
        <v>29552</v>
      </c>
      <c r="N159" s="55">
        <f t="shared" si="71"/>
        <v>26005.759999999998</v>
      </c>
      <c r="O159" s="95"/>
      <c r="P159" s="160">
        <v>0</v>
      </c>
      <c r="Q159" s="55">
        <f t="shared" si="72"/>
        <v>0</v>
      </c>
      <c r="R159" s="65">
        <f t="shared" si="73"/>
        <v>0</v>
      </c>
      <c r="S159" s="118">
        <v>15</v>
      </c>
      <c r="T159" s="121" t="s">
        <v>201</v>
      </c>
      <c r="U159" s="73">
        <f>SUMIF('Avoided Costs 2013-2021'!$A:$A,'2013 Actuals'!T159&amp;'2013 Actuals'!S159,'Avoided Costs 2013-2021'!$E:$E)*J159</f>
        <v>40063.014301278199</v>
      </c>
      <c r="V159" s="73">
        <f>SUMIF('Avoided Costs 2013-2021'!$A:$A,'2013 Actuals'!T159&amp;'2013 Actuals'!S159,'Avoided Costs 2013-2021'!$K:$K)*N159</f>
        <v>27225.265500289548</v>
      </c>
      <c r="W159" s="73">
        <f>SUMIF('Avoided Costs 2013-2021'!$A:$A,'2013 Actuals'!T159&amp;'2013 Actuals'!S159,'Avoided Costs 2013-2021'!$M:$M)*R159</f>
        <v>0</v>
      </c>
      <c r="X159" s="73">
        <f t="shared" si="74"/>
        <v>67288.279801567754</v>
      </c>
      <c r="Y159" s="83">
        <v>40000</v>
      </c>
      <c r="Z159" s="74">
        <f t="shared" si="75"/>
        <v>35200</v>
      </c>
      <c r="AA159" s="74"/>
      <c r="AB159" s="74"/>
      <c r="AC159" s="74"/>
      <c r="AD159" s="74">
        <f t="shared" si="76"/>
        <v>35200</v>
      </c>
      <c r="AE159" s="74">
        <f t="shared" si="77"/>
        <v>32088.279801567754</v>
      </c>
      <c r="AF159" s="52">
        <f t="shared" si="78"/>
        <v>268895.8272</v>
      </c>
      <c r="AG159" s="52">
        <f t="shared" si="79"/>
        <v>305563.44</v>
      </c>
    </row>
    <row r="160" spans="1:33" s="21" customFormat="1" x14ac:dyDescent="0.2">
      <c r="A160" s="114" t="s">
        <v>913</v>
      </c>
      <c r="B160" s="114"/>
      <c r="C160" s="114"/>
      <c r="D160" s="160">
        <v>1</v>
      </c>
      <c r="E160" s="161"/>
      <c r="F160" s="162">
        <v>0.12</v>
      </c>
      <c r="G160" s="162"/>
      <c r="H160" s="52">
        <v>11035</v>
      </c>
      <c r="I160" s="52">
        <f t="shared" si="68"/>
        <v>9754.94</v>
      </c>
      <c r="J160" s="52">
        <f t="shared" si="69"/>
        <v>8584.3472000000002</v>
      </c>
      <c r="K160" s="61"/>
      <c r="L160" s="160">
        <v>29552</v>
      </c>
      <c r="M160" s="55">
        <f t="shared" si="70"/>
        <v>29552</v>
      </c>
      <c r="N160" s="55">
        <f t="shared" si="71"/>
        <v>26005.759999999998</v>
      </c>
      <c r="O160" s="95"/>
      <c r="P160" s="160">
        <v>0</v>
      </c>
      <c r="Q160" s="55">
        <f t="shared" si="72"/>
        <v>0</v>
      </c>
      <c r="R160" s="65">
        <f t="shared" si="73"/>
        <v>0</v>
      </c>
      <c r="S160" s="118">
        <v>15</v>
      </c>
      <c r="T160" s="121" t="s">
        <v>201</v>
      </c>
      <c r="U160" s="73">
        <f>SUMIF('Avoided Costs 2013-2021'!$A:$A,'2013 Actuals'!T160&amp;'2013 Actuals'!S160,'Avoided Costs 2013-2021'!$E:$E)*J160</f>
        <v>19184.836088118594</v>
      </c>
      <c r="V160" s="73">
        <f>SUMIF('Avoided Costs 2013-2021'!$A:$A,'2013 Actuals'!T160&amp;'2013 Actuals'!S160,'Avoided Costs 2013-2021'!$K:$K)*N160</f>
        <v>27225.265500289548</v>
      </c>
      <c r="W160" s="73">
        <f>SUMIF('Avoided Costs 2013-2021'!$A:$A,'2013 Actuals'!T160&amp;'2013 Actuals'!S160,'Avoided Costs 2013-2021'!$M:$M)*R160</f>
        <v>0</v>
      </c>
      <c r="X160" s="73">
        <f t="shared" si="74"/>
        <v>46410.101588408143</v>
      </c>
      <c r="Y160" s="83">
        <v>40000</v>
      </c>
      <c r="Z160" s="74">
        <f t="shared" si="75"/>
        <v>35200</v>
      </c>
      <c r="AA160" s="74"/>
      <c r="AB160" s="74"/>
      <c r="AC160" s="74"/>
      <c r="AD160" s="74">
        <f t="shared" si="76"/>
        <v>35200</v>
      </c>
      <c r="AE160" s="74">
        <f t="shared" si="77"/>
        <v>11210.101588408143</v>
      </c>
      <c r="AF160" s="52">
        <f t="shared" si="78"/>
        <v>128765.208</v>
      </c>
      <c r="AG160" s="52">
        <f t="shared" si="79"/>
        <v>146324.1</v>
      </c>
    </row>
    <row r="161" spans="1:33" s="21" customFormat="1" x14ac:dyDescent="0.2">
      <c r="A161" s="114" t="s">
        <v>914</v>
      </c>
      <c r="B161" s="114"/>
      <c r="C161" s="114"/>
      <c r="D161" s="160">
        <v>1</v>
      </c>
      <c r="E161" s="161"/>
      <c r="F161" s="162">
        <v>0.12</v>
      </c>
      <c r="G161" s="162"/>
      <c r="H161" s="52">
        <v>15489</v>
      </c>
      <c r="I161" s="52">
        <f t="shared" si="68"/>
        <v>13692.276</v>
      </c>
      <c r="J161" s="52">
        <f t="shared" si="69"/>
        <v>12049.202880000001</v>
      </c>
      <c r="K161" s="61"/>
      <c r="L161" s="160">
        <v>28506</v>
      </c>
      <c r="M161" s="55">
        <f t="shared" si="70"/>
        <v>28506</v>
      </c>
      <c r="N161" s="55">
        <f t="shared" si="71"/>
        <v>25085.279999999999</v>
      </c>
      <c r="O161" s="95"/>
      <c r="P161" s="160">
        <v>0</v>
      </c>
      <c r="Q161" s="55">
        <f t="shared" si="72"/>
        <v>0</v>
      </c>
      <c r="R161" s="65">
        <f t="shared" si="73"/>
        <v>0</v>
      </c>
      <c r="S161" s="118">
        <v>15</v>
      </c>
      <c r="T161" s="121" t="s">
        <v>201</v>
      </c>
      <c r="U161" s="73">
        <f>SUMIF('Avoided Costs 2013-2021'!$A:$A,'2013 Actuals'!T161&amp;'2013 Actuals'!S161,'Avoided Costs 2013-2021'!$E:$E)*J161</f>
        <v>26928.312294414944</v>
      </c>
      <c r="V161" s="73">
        <f>SUMIF('Avoided Costs 2013-2021'!$A:$A,'2013 Actuals'!T161&amp;'2013 Actuals'!S161,'Avoided Costs 2013-2021'!$K:$K)*N161</f>
        <v>26261.620815892456</v>
      </c>
      <c r="W161" s="73">
        <f>SUMIF('Avoided Costs 2013-2021'!$A:$A,'2013 Actuals'!T161&amp;'2013 Actuals'!S161,'Avoided Costs 2013-2021'!$M:$M)*R161</f>
        <v>0</v>
      </c>
      <c r="X161" s="73">
        <f t="shared" si="74"/>
        <v>53189.9331103074</v>
      </c>
      <c r="Y161" s="83">
        <v>40000</v>
      </c>
      <c r="Z161" s="74">
        <f t="shared" si="75"/>
        <v>35200</v>
      </c>
      <c r="AA161" s="74"/>
      <c r="AB161" s="74"/>
      <c r="AC161" s="74"/>
      <c r="AD161" s="74">
        <f t="shared" si="76"/>
        <v>35200</v>
      </c>
      <c r="AE161" s="74">
        <f t="shared" si="77"/>
        <v>17989.9331103074</v>
      </c>
      <c r="AF161" s="52">
        <f t="shared" si="78"/>
        <v>180738.04320000001</v>
      </c>
      <c r="AG161" s="52">
        <f t="shared" si="79"/>
        <v>205384.13999999998</v>
      </c>
    </row>
    <row r="162" spans="1:33" s="21" customFormat="1" x14ac:dyDescent="0.2">
      <c r="A162" s="114" t="s">
        <v>915</v>
      </c>
      <c r="B162" s="114"/>
      <c r="C162" s="114"/>
      <c r="D162" s="160">
        <v>1</v>
      </c>
      <c r="E162" s="161"/>
      <c r="F162" s="162">
        <v>0.12</v>
      </c>
      <c r="G162" s="162"/>
      <c r="H162" s="52">
        <v>9521</v>
      </c>
      <c r="I162" s="52">
        <f t="shared" si="68"/>
        <v>8416.5640000000003</v>
      </c>
      <c r="J162" s="52">
        <f t="shared" si="69"/>
        <v>7406.5763200000001</v>
      </c>
      <c r="K162" s="61"/>
      <c r="L162" s="160">
        <v>29552</v>
      </c>
      <c r="M162" s="55">
        <f t="shared" si="70"/>
        <v>29552</v>
      </c>
      <c r="N162" s="55">
        <f t="shared" si="71"/>
        <v>26005.759999999998</v>
      </c>
      <c r="O162" s="95"/>
      <c r="P162" s="160">
        <v>0</v>
      </c>
      <c r="Q162" s="55">
        <f t="shared" si="72"/>
        <v>0</v>
      </c>
      <c r="R162" s="65">
        <f t="shared" si="73"/>
        <v>0</v>
      </c>
      <c r="S162" s="118">
        <v>15</v>
      </c>
      <c r="T162" s="121" t="s">
        <v>201</v>
      </c>
      <c r="U162" s="73">
        <f>SUMIF('Avoided Costs 2013-2021'!$A:$A,'2013 Actuals'!T162&amp;'2013 Actuals'!S162,'Avoided Costs 2013-2021'!$E:$E)*J162</f>
        <v>16552.680053917276</v>
      </c>
      <c r="V162" s="73">
        <f>SUMIF('Avoided Costs 2013-2021'!$A:$A,'2013 Actuals'!T162&amp;'2013 Actuals'!S162,'Avoided Costs 2013-2021'!$K:$K)*N162</f>
        <v>27225.265500289548</v>
      </c>
      <c r="W162" s="73">
        <f>SUMIF('Avoided Costs 2013-2021'!$A:$A,'2013 Actuals'!T162&amp;'2013 Actuals'!S162,'Avoided Costs 2013-2021'!$M:$M)*R162</f>
        <v>0</v>
      </c>
      <c r="X162" s="73">
        <f t="shared" si="74"/>
        <v>43777.945554206824</v>
      </c>
      <c r="Y162" s="83">
        <v>40000</v>
      </c>
      <c r="Z162" s="74">
        <f t="shared" si="75"/>
        <v>35200</v>
      </c>
      <c r="AA162" s="74"/>
      <c r="AB162" s="74"/>
      <c r="AC162" s="74"/>
      <c r="AD162" s="74">
        <f t="shared" si="76"/>
        <v>35200</v>
      </c>
      <c r="AE162" s="74">
        <f t="shared" si="77"/>
        <v>8577.9455542068245</v>
      </c>
      <c r="AF162" s="52">
        <f t="shared" si="78"/>
        <v>111098.64480000001</v>
      </c>
      <c r="AG162" s="52">
        <f t="shared" si="79"/>
        <v>126248.46</v>
      </c>
    </row>
    <row r="163" spans="1:33" s="21" customFormat="1" x14ac:dyDescent="0.2">
      <c r="A163" s="114" t="s">
        <v>916</v>
      </c>
      <c r="B163" s="114"/>
      <c r="C163" s="114"/>
      <c r="D163" s="160">
        <v>1</v>
      </c>
      <c r="E163" s="161"/>
      <c r="F163" s="162">
        <v>0.12</v>
      </c>
      <c r="G163" s="162"/>
      <c r="H163" s="52">
        <v>14387</v>
      </c>
      <c r="I163" s="52">
        <f t="shared" si="68"/>
        <v>12718.108</v>
      </c>
      <c r="J163" s="52">
        <f t="shared" si="69"/>
        <v>11191.93504</v>
      </c>
      <c r="K163" s="61"/>
      <c r="L163" s="160">
        <v>0</v>
      </c>
      <c r="M163" s="55">
        <f t="shared" si="70"/>
        <v>0</v>
      </c>
      <c r="N163" s="55">
        <f t="shared" si="71"/>
        <v>0</v>
      </c>
      <c r="O163" s="95"/>
      <c r="P163" s="160">
        <v>0</v>
      </c>
      <c r="Q163" s="55">
        <f t="shared" si="72"/>
        <v>0</v>
      </c>
      <c r="R163" s="65">
        <f t="shared" si="73"/>
        <v>0</v>
      </c>
      <c r="S163" s="118">
        <v>14</v>
      </c>
      <c r="T163" s="121" t="s">
        <v>201</v>
      </c>
      <c r="U163" s="73">
        <f>SUMIF('Avoided Costs 2013-2021'!$A:$A,'2013 Actuals'!T163&amp;'2013 Actuals'!S163,'Avoided Costs 2013-2021'!$E:$E)*J163</f>
        <v>23710.884694224394</v>
      </c>
      <c r="V163" s="73">
        <f>SUMIF('Avoided Costs 2013-2021'!$A:$A,'2013 Actuals'!T163&amp;'2013 Actuals'!S163,'Avoided Costs 2013-2021'!$K:$K)*N163</f>
        <v>0</v>
      </c>
      <c r="W163" s="73">
        <f>SUMIF('Avoided Costs 2013-2021'!$A:$A,'2013 Actuals'!T163&amp;'2013 Actuals'!S163,'Avoided Costs 2013-2021'!$M:$M)*R163</f>
        <v>0</v>
      </c>
      <c r="X163" s="73">
        <f t="shared" si="74"/>
        <v>23710.884694224394</v>
      </c>
      <c r="Y163" s="83">
        <v>34936</v>
      </c>
      <c r="Z163" s="74">
        <f t="shared" si="75"/>
        <v>30743.68</v>
      </c>
      <c r="AA163" s="74"/>
      <c r="AB163" s="74"/>
      <c r="AC163" s="74"/>
      <c r="AD163" s="74">
        <f t="shared" si="76"/>
        <v>30743.68</v>
      </c>
      <c r="AE163" s="74">
        <f t="shared" si="77"/>
        <v>-7032.7953057756058</v>
      </c>
      <c r="AF163" s="52">
        <f t="shared" si="78"/>
        <v>156687.09056000001</v>
      </c>
      <c r="AG163" s="52">
        <f t="shared" si="79"/>
        <v>178053.51199999999</v>
      </c>
    </row>
    <row r="164" spans="1:33" s="21" customFormat="1" x14ac:dyDescent="0.2">
      <c r="A164" s="114" t="s">
        <v>917</v>
      </c>
      <c r="B164" s="114"/>
      <c r="C164" s="114"/>
      <c r="D164" s="160">
        <v>1</v>
      </c>
      <c r="E164" s="161"/>
      <c r="F164" s="162">
        <v>0.12</v>
      </c>
      <c r="G164" s="162"/>
      <c r="H164" s="52">
        <v>13743</v>
      </c>
      <c r="I164" s="52">
        <f t="shared" si="68"/>
        <v>12148.812</v>
      </c>
      <c r="J164" s="52">
        <f t="shared" si="69"/>
        <v>10690.95456</v>
      </c>
      <c r="K164" s="61"/>
      <c r="L164" s="160">
        <v>29552</v>
      </c>
      <c r="M164" s="55">
        <f t="shared" si="70"/>
        <v>29552</v>
      </c>
      <c r="N164" s="55">
        <f t="shared" si="71"/>
        <v>26005.759999999998</v>
      </c>
      <c r="O164" s="95"/>
      <c r="P164" s="160">
        <v>0</v>
      </c>
      <c r="Q164" s="55">
        <f t="shared" si="72"/>
        <v>0</v>
      </c>
      <c r="R164" s="65">
        <f t="shared" si="73"/>
        <v>0</v>
      </c>
      <c r="S164" s="118">
        <v>15</v>
      </c>
      <c r="T164" s="121" t="s">
        <v>201</v>
      </c>
      <c r="U164" s="73">
        <f>SUMIF('Avoided Costs 2013-2021'!$A:$A,'2013 Actuals'!T164&amp;'2013 Actuals'!S164,'Avoided Costs 2013-2021'!$E:$E)*J164</f>
        <v>23892.813988129936</v>
      </c>
      <c r="V164" s="73">
        <f>SUMIF('Avoided Costs 2013-2021'!$A:$A,'2013 Actuals'!T164&amp;'2013 Actuals'!S164,'Avoided Costs 2013-2021'!$K:$K)*N164</f>
        <v>27225.265500289548</v>
      </c>
      <c r="W164" s="73">
        <f>SUMIF('Avoided Costs 2013-2021'!$A:$A,'2013 Actuals'!T164&amp;'2013 Actuals'!S164,'Avoided Costs 2013-2021'!$M:$M)*R164</f>
        <v>0</v>
      </c>
      <c r="X164" s="73">
        <f t="shared" si="74"/>
        <v>51118.079488419484</v>
      </c>
      <c r="Y164" s="83">
        <v>40000</v>
      </c>
      <c r="Z164" s="74">
        <f t="shared" si="75"/>
        <v>35200</v>
      </c>
      <c r="AA164" s="74"/>
      <c r="AB164" s="74"/>
      <c r="AC164" s="74"/>
      <c r="AD164" s="74">
        <f t="shared" si="76"/>
        <v>35200</v>
      </c>
      <c r="AE164" s="74">
        <f t="shared" si="77"/>
        <v>15918.079488419484</v>
      </c>
      <c r="AF164" s="52">
        <f t="shared" si="78"/>
        <v>160364.31839999999</v>
      </c>
      <c r="AG164" s="52">
        <f t="shared" si="79"/>
        <v>182232.18</v>
      </c>
    </row>
    <row r="165" spans="1:33" s="21" customFormat="1" x14ac:dyDescent="0.2">
      <c r="A165" s="114" t="s">
        <v>918</v>
      </c>
      <c r="B165" s="114"/>
      <c r="C165" s="114"/>
      <c r="D165" s="160">
        <v>1</v>
      </c>
      <c r="E165" s="161"/>
      <c r="F165" s="162">
        <v>0.12</v>
      </c>
      <c r="G165" s="162"/>
      <c r="H165" s="52">
        <v>16747</v>
      </c>
      <c r="I165" s="52">
        <f t="shared" si="68"/>
        <v>14804.348</v>
      </c>
      <c r="J165" s="52">
        <f t="shared" si="69"/>
        <v>13027.82624</v>
      </c>
      <c r="K165" s="61"/>
      <c r="L165" s="160">
        <v>0</v>
      </c>
      <c r="M165" s="55">
        <f t="shared" si="70"/>
        <v>0</v>
      </c>
      <c r="N165" s="55">
        <f t="shared" si="71"/>
        <v>0</v>
      </c>
      <c r="O165" s="95"/>
      <c r="P165" s="160">
        <v>0</v>
      </c>
      <c r="Q165" s="55">
        <f t="shared" si="72"/>
        <v>0</v>
      </c>
      <c r="R165" s="65">
        <f t="shared" si="73"/>
        <v>0</v>
      </c>
      <c r="S165" s="118">
        <v>15</v>
      </c>
      <c r="T165" s="121" t="s">
        <v>201</v>
      </c>
      <c r="U165" s="73">
        <f>SUMIF('Avoided Costs 2013-2021'!$A:$A,'2013 Actuals'!T165&amp;'2013 Actuals'!S165,'Avoided Costs 2013-2021'!$E:$E)*J165</f>
        <v>29115.400993903226</v>
      </c>
      <c r="V165" s="73">
        <f>SUMIF('Avoided Costs 2013-2021'!$A:$A,'2013 Actuals'!T165&amp;'2013 Actuals'!S165,'Avoided Costs 2013-2021'!$K:$K)*N165</f>
        <v>0</v>
      </c>
      <c r="W165" s="73">
        <f>SUMIF('Avoided Costs 2013-2021'!$A:$A,'2013 Actuals'!T165&amp;'2013 Actuals'!S165,'Avoided Costs 2013-2021'!$M:$M)*R165</f>
        <v>0</v>
      </c>
      <c r="X165" s="73">
        <f t="shared" si="74"/>
        <v>29115.400993903226</v>
      </c>
      <c r="Y165" s="83">
        <v>33750</v>
      </c>
      <c r="Z165" s="74">
        <f t="shared" si="75"/>
        <v>29700</v>
      </c>
      <c r="AA165" s="74"/>
      <c r="AB165" s="74"/>
      <c r="AC165" s="74"/>
      <c r="AD165" s="74">
        <f t="shared" si="76"/>
        <v>29700</v>
      </c>
      <c r="AE165" s="74">
        <f t="shared" si="77"/>
        <v>-584.59900609677425</v>
      </c>
      <c r="AF165" s="52">
        <f t="shared" si="78"/>
        <v>195417.39360000001</v>
      </c>
      <c r="AG165" s="52">
        <f t="shared" si="79"/>
        <v>222065.22</v>
      </c>
    </row>
    <row r="166" spans="1:33" s="21" customFormat="1" x14ac:dyDescent="0.2">
      <c r="A166" s="114" t="s">
        <v>919</v>
      </c>
      <c r="B166" s="114"/>
      <c r="C166" s="114"/>
      <c r="D166" s="160">
        <v>1</v>
      </c>
      <c r="E166" s="161"/>
      <c r="F166" s="162">
        <v>0.12</v>
      </c>
      <c r="G166" s="162"/>
      <c r="H166" s="52">
        <v>16305</v>
      </c>
      <c r="I166" s="52">
        <f t="shared" si="68"/>
        <v>14413.62</v>
      </c>
      <c r="J166" s="52">
        <f t="shared" si="69"/>
        <v>12683.9856</v>
      </c>
      <c r="K166" s="61"/>
      <c r="L166" s="160">
        <v>0</v>
      </c>
      <c r="M166" s="55">
        <f t="shared" si="70"/>
        <v>0</v>
      </c>
      <c r="N166" s="55">
        <f t="shared" si="71"/>
        <v>0</v>
      </c>
      <c r="O166" s="95"/>
      <c r="P166" s="160">
        <v>0</v>
      </c>
      <c r="Q166" s="55">
        <f t="shared" si="72"/>
        <v>0</v>
      </c>
      <c r="R166" s="65">
        <f t="shared" si="73"/>
        <v>0</v>
      </c>
      <c r="S166" s="118">
        <v>15</v>
      </c>
      <c r="T166" s="121" t="s">
        <v>201</v>
      </c>
      <c r="U166" s="73">
        <f>SUMIF('Avoided Costs 2013-2021'!$A:$A,'2013 Actuals'!T166&amp;'2013 Actuals'!S166,'Avoided Costs 2013-2021'!$E:$E)*J166</f>
        <v>28346.964423812748</v>
      </c>
      <c r="V166" s="73">
        <f>SUMIF('Avoided Costs 2013-2021'!$A:$A,'2013 Actuals'!T166&amp;'2013 Actuals'!S166,'Avoided Costs 2013-2021'!$K:$K)*N166</f>
        <v>0</v>
      </c>
      <c r="W166" s="73">
        <f>SUMIF('Avoided Costs 2013-2021'!$A:$A,'2013 Actuals'!T166&amp;'2013 Actuals'!S166,'Avoided Costs 2013-2021'!$M:$M)*R166</f>
        <v>0</v>
      </c>
      <c r="X166" s="73">
        <f t="shared" si="74"/>
        <v>28346.964423812748</v>
      </c>
      <c r="Y166" s="83">
        <v>3625</v>
      </c>
      <c r="Z166" s="74">
        <f t="shared" si="75"/>
        <v>3190</v>
      </c>
      <c r="AA166" s="74"/>
      <c r="AB166" s="74"/>
      <c r="AC166" s="74"/>
      <c r="AD166" s="74">
        <f t="shared" si="76"/>
        <v>3190</v>
      </c>
      <c r="AE166" s="74">
        <f t="shared" si="77"/>
        <v>25156.964423812748</v>
      </c>
      <c r="AF166" s="52">
        <f t="shared" si="78"/>
        <v>190259.78399999999</v>
      </c>
      <c r="AG166" s="52">
        <f t="shared" si="79"/>
        <v>216204.30000000002</v>
      </c>
    </row>
    <row r="167" spans="1:33" s="21" customFormat="1" x14ac:dyDescent="0.2">
      <c r="A167" s="114" t="s">
        <v>920</v>
      </c>
      <c r="B167" s="114"/>
      <c r="C167" s="114"/>
      <c r="D167" s="160">
        <v>1</v>
      </c>
      <c r="E167" s="161"/>
      <c r="F167" s="162">
        <v>0.12</v>
      </c>
      <c r="G167" s="162"/>
      <c r="H167" s="52">
        <v>11652</v>
      </c>
      <c r="I167" s="52">
        <f t="shared" si="68"/>
        <v>10300.368</v>
      </c>
      <c r="J167" s="52">
        <f t="shared" si="69"/>
        <v>9064.3238400000009</v>
      </c>
      <c r="K167" s="61"/>
      <c r="L167" s="160">
        <v>0</v>
      </c>
      <c r="M167" s="55">
        <f t="shared" si="70"/>
        <v>0</v>
      </c>
      <c r="N167" s="55">
        <f t="shared" si="71"/>
        <v>0</v>
      </c>
      <c r="O167" s="95"/>
      <c r="P167" s="160">
        <v>0</v>
      </c>
      <c r="Q167" s="55">
        <f t="shared" si="72"/>
        <v>0</v>
      </c>
      <c r="R167" s="65">
        <f t="shared" si="73"/>
        <v>0</v>
      </c>
      <c r="S167" s="118">
        <v>5</v>
      </c>
      <c r="T167" s="121" t="s">
        <v>201</v>
      </c>
      <c r="U167" s="73">
        <f>SUMIF('Avoided Costs 2013-2021'!$A:$A,'2013 Actuals'!T167&amp;'2013 Actuals'!S167,'Avoided Costs 2013-2021'!$E:$E)*J167</f>
        <v>7058.4131948679506</v>
      </c>
      <c r="V167" s="73">
        <f>SUMIF('Avoided Costs 2013-2021'!$A:$A,'2013 Actuals'!T167&amp;'2013 Actuals'!S167,'Avoided Costs 2013-2021'!$K:$K)*N167</f>
        <v>0</v>
      </c>
      <c r="W167" s="73">
        <f>SUMIF('Avoided Costs 2013-2021'!$A:$A,'2013 Actuals'!T167&amp;'2013 Actuals'!S167,'Avoided Costs 2013-2021'!$M:$M)*R167</f>
        <v>0</v>
      </c>
      <c r="X167" s="73">
        <f t="shared" si="74"/>
        <v>7058.4131948679506</v>
      </c>
      <c r="Y167" s="83">
        <v>15685</v>
      </c>
      <c r="Z167" s="74">
        <f t="shared" si="75"/>
        <v>13802.8</v>
      </c>
      <c r="AA167" s="74"/>
      <c r="AB167" s="74"/>
      <c r="AC167" s="74"/>
      <c r="AD167" s="74">
        <f t="shared" si="76"/>
        <v>13802.8</v>
      </c>
      <c r="AE167" s="74">
        <f t="shared" si="77"/>
        <v>-6744.3868051320487</v>
      </c>
      <c r="AF167" s="52">
        <f t="shared" si="78"/>
        <v>45321.619200000001</v>
      </c>
      <c r="AG167" s="52">
        <f t="shared" si="79"/>
        <v>51501.840000000004</v>
      </c>
    </row>
    <row r="168" spans="1:33" s="21" customFormat="1" x14ac:dyDescent="0.2">
      <c r="A168" s="114" t="s">
        <v>921</v>
      </c>
      <c r="B168" s="114"/>
      <c r="C168" s="114"/>
      <c r="D168" s="160">
        <v>1</v>
      </c>
      <c r="E168" s="161"/>
      <c r="F168" s="162">
        <v>0.12</v>
      </c>
      <c r="G168" s="162"/>
      <c r="H168" s="52">
        <v>23662</v>
      </c>
      <c r="I168" s="52">
        <f t="shared" si="68"/>
        <v>20917.207999999999</v>
      </c>
      <c r="J168" s="52">
        <f t="shared" si="69"/>
        <v>18407.143039999999</v>
      </c>
      <c r="K168" s="61"/>
      <c r="L168" s="160">
        <v>0</v>
      </c>
      <c r="M168" s="55">
        <f t="shared" si="70"/>
        <v>0</v>
      </c>
      <c r="N168" s="55">
        <f t="shared" si="71"/>
        <v>0</v>
      </c>
      <c r="O168" s="95"/>
      <c r="P168" s="160">
        <v>0</v>
      </c>
      <c r="Q168" s="55">
        <f t="shared" si="72"/>
        <v>0</v>
      </c>
      <c r="R168" s="65">
        <f t="shared" si="73"/>
        <v>0</v>
      </c>
      <c r="S168" s="118">
        <v>5</v>
      </c>
      <c r="T168" s="121" t="s">
        <v>201</v>
      </c>
      <c r="U168" s="73">
        <f>SUMIF('Avoided Costs 2013-2021'!$A:$A,'2013 Actuals'!T168&amp;'2013 Actuals'!S168,'Avoided Costs 2013-2021'!$E:$E)*J168</f>
        <v>14333.69147073167</v>
      </c>
      <c r="V168" s="73">
        <f>SUMIF('Avoided Costs 2013-2021'!$A:$A,'2013 Actuals'!T168&amp;'2013 Actuals'!S168,'Avoided Costs 2013-2021'!$K:$K)*N168</f>
        <v>0</v>
      </c>
      <c r="W168" s="73">
        <f>SUMIF('Avoided Costs 2013-2021'!$A:$A,'2013 Actuals'!T168&amp;'2013 Actuals'!S168,'Avoided Costs 2013-2021'!$M:$M)*R168</f>
        <v>0</v>
      </c>
      <c r="X168" s="73">
        <f t="shared" si="74"/>
        <v>14333.69147073167</v>
      </c>
      <c r="Y168" s="83">
        <v>24139</v>
      </c>
      <c r="Z168" s="74">
        <f t="shared" si="75"/>
        <v>21242.32</v>
      </c>
      <c r="AA168" s="74"/>
      <c r="AB168" s="74"/>
      <c r="AC168" s="74"/>
      <c r="AD168" s="74">
        <f t="shared" si="76"/>
        <v>21242.32</v>
      </c>
      <c r="AE168" s="74">
        <f t="shared" si="77"/>
        <v>-6908.6285292683297</v>
      </c>
      <c r="AF168" s="52">
        <f t="shared" si="78"/>
        <v>92035.715199999991</v>
      </c>
      <c r="AG168" s="52">
        <f t="shared" si="79"/>
        <v>104586.04</v>
      </c>
    </row>
    <row r="169" spans="1:33" s="21" customFormat="1" x14ac:dyDescent="0.2">
      <c r="A169" s="114" t="s">
        <v>922</v>
      </c>
      <c r="B169" s="114"/>
      <c r="C169" s="114"/>
      <c r="D169" s="160">
        <v>1</v>
      </c>
      <c r="E169" s="161"/>
      <c r="F169" s="162">
        <v>0.12</v>
      </c>
      <c r="G169" s="162"/>
      <c r="H169" s="52">
        <v>16180</v>
      </c>
      <c r="I169" s="52">
        <f t="shared" si="68"/>
        <v>14303.12</v>
      </c>
      <c r="J169" s="52">
        <f t="shared" si="69"/>
        <v>12586.7456</v>
      </c>
      <c r="K169" s="61"/>
      <c r="L169" s="160">
        <v>29552</v>
      </c>
      <c r="M169" s="55">
        <f t="shared" si="70"/>
        <v>29552</v>
      </c>
      <c r="N169" s="55">
        <f t="shared" si="71"/>
        <v>26005.759999999998</v>
      </c>
      <c r="O169" s="95"/>
      <c r="P169" s="160">
        <v>0</v>
      </c>
      <c r="Q169" s="55">
        <f t="shared" si="72"/>
        <v>0</v>
      </c>
      <c r="R169" s="65">
        <f t="shared" si="73"/>
        <v>0</v>
      </c>
      <c r="S169" s="118">
        <v>15</v>
      </c>
      <c r="T169" s="121" t="s">
        <v>201</v>
      </c>
      <c r="U169" s="73">
        <f>SUMIF('Avoided Costs 2013-2021'!$A:$A,'2013 Actuals'!T169&amp;'2013 Actuals'!S169,'Avoided Costs 2013-2021'!$E:$E)*J169</f>
        <v>28129.646389284899</v>
      </c>
      <c r="V169" s="73">
        <f>SUMIF('Avoided Costs 2013-2021'!$A:$A,'2013 Actuals'!T169&amp;'2013 Actuals'!S169,'Avoided Costs 2013-2021'!$K:$K)*N169</f>
        <v>27225.265500289548</v>
      </c>
      <c r="W169" s="73">
        <f>SUMIF('Avoided Costs 2013-2021'!$A:$A,'2013 Actuals'!T169&amp;'2013 Actuals'!S169,'Avoided Costs 2013-2021'!$M:$M)*R169</f>
        <v>0</v>
      </c>
      <c r="X169" s="73">
        <f t="shared" si="74"/>
        <v>55354.911889574447</v>
      </c>
      <c r="Y169" s="83">
        <v>40000</v>
      </c>
      <c r="Z169" s="74">
        <f t="shared" si="75"/>
        <v>35200</v>
      </c>
      <c r="AA169" s="74"/>
      <c r="AB169" s="74"/>
      <c r="AC169" s="74"/>
      <c r="AD169" s="74">
        <f t="shared" si="76"/>
        <v>35200</v>
      </c>
      <c r="AE169" s="74">
        <f t="shared" si="77"/>
        <v>20154.911889574447</v>
      </c>
      <c r="AF169" s="52">
        <f t="shared" si="78"/>
        <v>188801.18400000001</v>
      </c>
      <c r="AG169" s="52">
        <f t="shared" si="79"/>
        <v>214546.80000000002</v>
      </c>
    </row>
    <row r="170" spans="1:33" s="21" customFormat="1" x14ac:dyDescent="0.2">
      <c r="A170" s="114" t="s">
        <v>923</v>
      </c>
      <c r="B170" s="114"/>
      <c r="C170" s="114"/>
      <c r="D170" s="160">
        <v>1</v>
      </c>
      <c r="E170" s="161"/>
      <c r="F170" s="162">
        <v>0.12</v>
      </c>
      <c r="G170" s="162"/>
      <c r="H170" s="52">
        <v>9234</v>
      </c>
      <c r="I170" s="52">
        <f t="shared" ref="I170:I201" si="81">+$H$39*H170</f>
        <v>8162.8559999999998</v>
      </c>
      <c r="J170" s="52">
        <f t="shared" ref="J170:J201" si="82">I170*(1-F170)</f>
        <v>7183.3132799999994</v>
      </c>
      <c r="K170" s="61"/>
      <c r="L170" s="160">
        <v>29552</v>
      </c>
      <c r="M170" s="55">
        <f t="shared" ref="M170:M201" si="83">+$L$39*L170</f>
        <v>29552</v>
      </c>
      <c r="N170" s="55">
        <f t="shared" ref="N170:N201" si="84">M170*(1-F170)</f>
        <v>26005.759999999998</v>
      </c>
      <c r="O170" s="95"/>
      <c r="P170" s="160">
        <v>0</v>
      </c>
      <c r="Q170" s="55">
        <f t="shared" ref="Q170:Q201" si="85">+P170*$P$39</f>
        <v>0</v>
      </c>
      <c r="R170" s="65">
        <f t="shared" ref="R170:R201" si="86">Q170*(1-F170)</f>
        <v>0</v>
      </c>
      <c r="S170" s="118">
        <v>15</v>
      </c>
      <c r="T170" s="121" t="s">
        <v>201</v>
      </c>
      <c r="U170" s="73">
        <f>SUMIF('Avoided Costs 2013-2021'!$A:$A,'2013 Actuals'!T170&amp;'2013 Actuals'!S170,'Avoided Costs 2013-2021'!$E:$E)*J170</f>
        <v>16053.71784664133</v>
      </c>
      <c r="V170" s="73">
        <f>SUMIF('Avoided Costs 2013-2021'!$A:$A,'2013 Actuals'!T170&amp;'2013 Actuals'!S170,'Avoided Costs 2013-2021'!$K:$K)*N170</f>
        <v>27225.265500289548</v>
      </c>
      <c r="W170" s="73">
        <f>SUMIF('Avoided Costs 2013-2021'!$A:$A,'2013 Actuals'!T170&amp;'2013 Actuals'!S170,'Avoided Costs 2013-2021'!$M:$M)*R170</f>
        <v>0</v>
      </c>
      <c r="X170" s="73">
        <f t="shared" ref="X170:X201" si="87">SUM(U170:W170)</f>
        <v>43278.98334693088</v>
      </c>
      <c r="Y170" s="83">
        <v>40000</v>
      </c>
      <c r="Z170" s="74">
        <f t="shared" ref="Z170:Z201" si="88">Y170*(1-F170)</f>
        <v>35200</v>
      </c>
      <c r="AA170" s="74"/>
      <c r="AB170" s="74"/>
      <c r="AC170" s="74"/>
      <c r="AD170" s="74">
        <f t="shared" ref="AD170:AD201" si="89">Z170+AB170</f>
        <v>35200</v>
      </c>
      <c r="AE170" s="74">
        <f t="shared" ref="AE170:AE201" si="90">X170-AD170</f>
        <v>8078.9833469308796</v>
      </c>
      <c r="AF170" s="52">
        <f t="shared" ref="AF170:AF201" si="91">J170*S170</f>
        <v>107749.69919999999</v>
      </c>
      <c r="AG170" s="52">
        <f t="shared" ref="AG170:AG201" si="92">(I170*S170)</f>
        <v>122442.84</v>
      </c>
    </row>
    <row r="171" spans="1:33" s="21" customFormat="1" x14ac:dyDescent="0.2">
      <c r="A171" s="114" t="s">
        <v>924</v>
      </c>
      <c r="B171" s="114"/>
      <c r="C171" s="114"/>
      <c r="D171" s="160">
        <v>1</v>
      </c>
      <c r="E171" s="161"/>
      <c r="F171" s="162">
        <v>0.12</v>
      </c>
      <c r="G171" s="162"/>
      <c r="H171" s="52">
        <v>24145</v>
      </c>
      <c r="I171" s="52">
        <f t="shared" si="81"/>
        <v>21344.18</v>
      </c>
      <c r="J171" s="52">
        <f t="shared" si="82"/>
        <v>18782.878400000001</v>
      </c>
      <c r="K171" s="61"/>
      <c r="L171" s="160">
        <v>29552</v>
      </c>
      <c r="M171" s="55">
        <f t="shared" si="83"/>
        <v>29552</v>
      </c>
      <c r="N171" s="55">
        <f t="shared" si="84"/>
        <v>26005.759999999998</v>
      </c>
      <c r="O171" s="95"/>
      <c r="P171" s="160">
        <v>0</v>
      </c>
      <c r="Q171" s="55">
        <f t="shared" si="85"/>
        <v>0</v>
      </c>
      <c r="R171" s="65">
        <f t="shared" si="86"/>
        <v>0</v>
      </c>
      <c r="S171" s="118">
        <v>15</v>
      </c>
      <c r="T171" s="121" t="s">
        <v>201</v>
      </c>
      <c r="U171" s="73">
        <f>SUMIF('Avoided Costs 2013-2021'!$A:$A,'2013 Actuals'!T171&amp;'2013 Actuals'!S171,'Avoided Costs 2013-2021'!$E:$E)*J171</f>
        <v>41977.151549399503</v>
      </c>
      <c r="V171" s="73">
        <f>SUMIF('Avoided Costs 2013-2021'!$A:$A,'2013 Actuals'!T171&amp;'2013 Actuals'!S171,'Avoided Costs 2013-2021'!$K:$K)*N171</f>
        <v>27225.265500289548</v>
      </c>
      <c r="W171" s="73">
        <f>SUMIF('Avoided Costs 2013-2021'!$A:$A,'2013 Actuals'!T171&amp;'2013 Actuals'!S171,'Avoided Costs 2013-2021'!$M:$M)*R171</f>
        <v>0</v>
      </c>
      <c r="X171" s="73">
        <f t="shared" si="87"/>
        <v>69202.417049689044</v>
      </c>
      <c r="Y171" s="83">
        <v>40000</v>
      </c>
      <c r="Z171" s="74">
        <f t="shared" si="88"/>
        <v>35200</v>
      </c>
      <c r="AA171" s="74"/>
      <c r="AB171" s="74"/>
      <c r="AC171" s="74"/>
      <c r="AD171" s="74">
        <f t="shared" si="89"/>
        <v>35200</v>
      </c>
      <c r="AE171" s="74">
        <f t="shared" si="90"/>
        <v>34002.417049689044</v>
      </c>
      <c r="AF171" s="52">
        <f t="shared" si="91"/>
        <v>281743.17600000004</v>
      </c>
      <c r="AG171" s="52">
        <f t="shared" si="92"/>
        <v>320162.7</v>
      </c>
    </row>
    <row r="172" spans="1:33" s="21" customFormat="1" x14ac:dyDescent="0.2">
      <c r="A172" s="114" t="s">
        <v>925</v>
      </c>
      <c r="B172" s="114"/>
      <c r="C172" s="114"/>
      <c r="D172" s="160">
        <v>1</v>
      </c>
      <c r="E172" s="161"/>
      <c r="F172" s="162">
        <v>0.12</v>
      </c>
      <c r="G172" s="162"/>
      <c r="H172" s="52">
        <v>21826</v>
      </c>
      <c r="I172" s="52">
        <f t="shared" si="81"/>
        <v>19294.184000000001</v>
      </c>
      <c r="J172" s="52">
        <f t="shared" si="82"/>
        <v>16978.88192</v>
      </c>
      <c r="K172" s="61"/>
      <c r="L172" s="160">
        <v>22508</v>
      </c>
      <c r="M172" s="55">
        <f t="shared" si="83"/>
        <v>22508</v>
      </c>
      <c r="N172" s="55">
        <f t="shared" si="84"/>
        <v>19807.04</v>
      </c>
      <c r="O172" s="95"/>
      <c r="P172" s="160">
        <v>0</v>
      </c>
      <c r="Q172" s="55">
        <f t="shared" si="85"/>
        <v>0</v>
      </c>
      <c r="R172" s="65">
        <f t="shared" si="86"/>
        <v>0</v>
      </c>
      <c r="S172" s="118">
        <v>15</v>
      </c>
      <c r="T172" s="121" t="s">
        <v>201</v>
      </c>
      <c r="U172" s="73">
        <f>SUMIF('Avoided Costs 2013-2021'!$A:$A,'2013 Actuals'!T172&amp;'2013 Actuals'!S172,'Avoided Costs 2013-2021'!$E:$E)*J172</f>
        <v>37945.467372838822</v>
      </c>
      <c r="V172" s="73">
        <f>SUMIF('Avoided Costs 2013-2021'!$A:$A,'2013 Actuals'!T172&amp;'2013 Actuals'!S172,'Avoided Costs 2013-2021'!$K:$K)*N172</f>
        <v>20735.864776682363</v>
      </c>
      <c r="W172" s="73">
        <f>SUMIF('Avoided Costs 2013-2021'!$A:$A,'2013 Actuals'!T172&amp;'2013 Actuals'!S172,'Avoided Costs 2013-2021'!$M:$M)*R172</f>
        <v>0</v>
      </c>
      <c r="X172" s="73">
        <f t="shared" si="87"/>
        <v>58681.332149521186</v>
      </c>
      <c r="Y172" s="83">
        <v>40000</v>
      </c>
      <c r="Z172" s="74">
        <f t="shared" si="88"/>
        <v>35200</v>
      </c>
      <c r="AA172" s="74"/>
      <c r="AB172" s="74"/>
      <c r="AC172" s="74"/>
      <c r="AD172" s="74">
        <f t="shared" si="89"/>
        <v>35200</v>
      </c>
      <c r="AE172" s="74">
        <f t="shared" si="90"/>
        <v>23481.332149521186</v>
      </c>
      <c r="AF172" s="52">
        <f t="shared" si="91"/>
        <v>254683.22879999998</v>
      </c>
      <c r="AG172" s="52">
        <f t="shared" si="92"/>
        <v>289412.76</v>
      </c>
    </row>
    <row r="173" spans="1:33" s="21" customFormat="1" x14ac:dyDescent="0.2">
      <c r="A173" s="114" t="s">
        <v>926</v>
      </c>
      <c r="B173" s="114"/>
      <c r="C173" s="114"/>
      <c r="D173" s="160">
        <v>1</v>
      </c>
      <c r="E173" s="161"/>
      <c r="F173" s="162">
        <v>0.12</v>
      </c>
      <c r="G173" s="162"/>
      <c r="H173" s="52">
        <v>34675</v>
      </c>
      <c r="I173" s="52">
        <f t="shared" si="81"/>
        <v>30652.7</v>
      </c>
      <c r="J173" s="52">
        <f t="shared" si="82"/>
        <v>26974.376</v>
      </c>
      <c r="K173" s="61"/>
      <c r="L173" s="160">
        <v>29552</v>
      </c>
      <c r="M173" s="55">
        <f t="shared" si="83"/>
        <v>29552</v>
      </c>
      <c r="N173" s="55">
        <f t="shared" si="84"/>
        <v>26005.759999999998</v>
      </c>
      <c r="O173" s="95"/>
      <c r="P173" s="160">
        <v>0</v>
      </c>
      <c r="Q173" s="55">
        <f t="shared" si="85"/>
        <v>0</v>
      </c>
      <c r="R173" s="65">
        <f t="shared" si="86"/>
        <v>0</v>
      </c>
      <c r="S173" s="118">
        <v>15</v>
      </c>
      <c r="T173" s="121" t="s">
        <v>201</v>
      </c>
      <c r="U173" s="73">
        <f>SUMIF('Avoided Costs 2013-2021'!$A:$A,'2013 Actuals'!T173&amp;'2013 Actuals'!S173,'Avoided Costs 2013-2021'!$E:$E)*J173</f>
        <v>60284.022778025581</v>
      </c>
      <c r="V173" s="73">
        <f>SUMIF('Avoided Costs 2013-2021'!$A:$A,'2013 Actuals'!T173&amp;'2013 Actuals'!S173,'Avoided Costs 2013-2021'!$K:$K)*N173</f>
        <v>27225.265500289548</v>
      </c>
      <c r="W173" s="73">
        <f>SUMIF('Avoided Costs 2013-2021'!$A:$A,'2013 Actuals'!T173&amp;'2013 Actuals'!S173,'Avoided Costs 2013-2021'!$M:$M)*R173</f>
        <v>0</v>
      </c>
      <c r="X173" s="73">
        <f t="shared" si="87"/>
        <v>87509.288278315129</v>
      </c>
      <c r="Y173" s="83">
        <v>40000</v>
      </c>
      <c r="Z173" s="74">
        <f t="shared" si="88"/>
        <v>35200</v>
      </c>
      <c r="AA173" s="74"/>
      <c r="AB173" s="74"/>
      <c r="AC173" s="74"/>
      <c r="AD173" s="74">
        <f t="shared" si="89"/>
        <v>35200</v>
      </c>
      <c r="AE173" s="74">
        <f t="shared" si="90"/>
        <v>52309.288278315129</v>
      </c>
      <c r="AF173" s="52">
        <f t="shared" si="91"/>
        <v>404615.64</v>
      </c>
      <c r="AG173" s="52">
        <f t="shared" si="92"/>
        <v>459790.5</v>
      </c>
    </row>
    <row r="174" spans="1:33" s="21" customFormat="1" x14ac:dyDescent="0.2">
      <c r="A174" s="114" t="s">
        <v>927</v>
      </c>
      <c r="B174" s="114"/>
      <c r="C174" s="114"/>
      <c r="D174" s="160">
        <v>1</v>
      </c>
      <c r="E174" s="161"/>
      <c r="F174" s="162">
        <v>0.12</v>
      </c>
      <c r="G174" s="162"/>
      <c r="H174" s="52">
        <v>26230</v>
      </c>
      <c r="I174" s="52">
        <f t="shared" si="81"/>
        <v>23187.32</v>
      </c>
      <c r="J174" s="52">
        <f t="shared" si="82"/>
        <v>20404.8416</v>
      </c>
      <c r="K174" s="61"/>
      <c r="L174" s="160">
        <v>29552</v>
      </c>
      <c r="M174" s="55">
        <f t="shared" si="83"/>
        <v>29552</v>
      </c>
      <c r="N174" s="55">
        <f t="shared" si="84"/>
        <v>26005.759999999998</v>
      </c>
      <c r="O174" s="95"/>
      <c r="P174" s="160">
        <v>0</v>
      </c>
      <c r="Q174" s="55">
        <f t="shared" si="85"/>
        <v>0</v>
      </c>
      <c r="R174" s="65">
        <f t="shared" si="86"/>
        <v>0</v>
      </c>
      <c r="S174" s="118">
        <v>15</v>
      </c>
      <c r="T174" s="121" t="s">
        <v>201</v>
      </c>
      <c r="U174" s="73">
        <f>SUMIF('Avoided Costs 2013-2021'!$A:$A,'2013 Actuals'!T174&amp;'2013 Actuals'!S174,'Avoided Costs 2013-2021'!$E:$E)*J174</f>
        <v>45602.016365324031</v>
      </c>
      <c r="V174" s="73">
        <f>SUMIF('Avoided Costs 2013-2021'!$A:$A,'2013 Actuals'!T174&amp;'2013 Actuals'!S174,'Avoided Costs 2013-2021'!$K:$K)*N174</f>
        <v>27225.265500289548</v>
      </c>
      <c r="W174" s="73">
        <f>SUMIF('Avoided Costs 2013-2021'!$A:$A,'2013 Actuals'!T174&amp;'2013 Actuals'!S174,'Avoided Costs 2013-2021'!$M:$M)*R174</f>
        <v>0</v>
      </c>
      <c r="X174" s="73">
        <f t="shared" si="87"/>
        <v>72827.281865613579</v>
      </c>
      <c r="Y174" s="83">
        <v>40000</v>
      </c>
      <c r="Z174" s="74">
        <f t="shared" si="88"/>
        <v>35200</v>
      </c>
      <c r="AA174" s="74"/>
      <c r="AB174" s="74"/>
      <c r="AC174" s="74"/>
      <c r="AD174" s="74">
        <f t="shared" si="89"/>
        <v>35200</v>
      </c>
      <c r="AE174" s="74">
        <f t="shared" si="90"/>
        <v>37627.281865613579</v>
      </c>
      <c r="AF174" s="52">
        <f t="shared" si="91"/>
        <v>306072.62400000001</v>
      </c>
      <c r="AG174" s="52">
        <f t="shared" si="92"/>
        <v>347809.8</v>
      </c>
    </row>
    <row r="175" spans="1:33" s="21" customFormat="1" x14ac:dyDescent="0.2">
      <c r="A175" s="114" t="s">
        <v>928</v>
      </c>
      <c r="B175" s="114"/>
      <c r="C175" s="114"/>
      <c r="D175" s="160">
        <v>1</v>
      </c>
      <c r="E175" s="161"/>
      <c r="F175" s="162">
        <v>0.12</v>
      </c>
      <c r="G175" s="162"/>
      <c r="H175" s="52">
        <v>26637</v>
      </c>
      <c r="I175" s="52">
        <f t="shared" si="81"/>
        <v>23547.108</v>
      </c>
      <c r="J175" s="52">
        <f t="shared" si="82"/>
        <v>20721.455040000001</v>
      </c>
      <c r="K175" s="61"/>
      <c r="L175" s="160">
        <v>0</v>
      </c>
      <c r="M175" s="55">
        <f t="shared" si="83"/>
        <v>0</v>
      </c>
      <c r="N175" s="55">
        <f t="shared" si="84"/>
        <v>0</v>
      </c>
      <c r="O175" s="95"/>
      <c r="P175" s="160">
        <v>0</v>
      </c>
      <c r="Q175" s="55">
        <f t="shared" si="85"/>
        <v>0</v>
      </c>
      <c r="R175" s="65">
        <f t="shared" si="86"/>
        <v>0</v>
      </c>
      <c r="S175" s="118">
        <v>5</v>
      </c>
      <c r="T175" s="121" t="s">
        <v>201</v>
      </c>
      <c r="U175" s="73">
        <f>SUMIF('Avoided Costs 2013-2021'!$A:$A,'2013 Actuals'!T175&amp;'2013 Actuals'!S175,'Avoided Costs 2013-2021'!$E:$E)*J175</f>
        <v>16135.852409174184</v>
      </c>
      <c r="V175" s="73">
        <f>SUMIF('Avoided Costs 2013-2021'!$A:$A,'2013 Actuals'!T175&amp;'2013 Actuals'!S175,'Avoided Costs 2013-2021'!$K:$K)*N175</f>
        <v>0</v>
      </c>
      <c r="W175" s="73">
        <f>SUMIF('Avoided Costs 2013-2021'!$A:$A,'2013 Actuals'!T175&amp;'2013 Actuals'!S175,'Avoided Costs 2013-2021'!$M:$M)*R175</f>
        <v>0</v>
      </c>
      <c r="X175" s="73">
        <f t="shared" si="87"/>
        <v>16135.852409174184</v>
      </c>
      <c r="Y175" s="83">
        <v>10242.5</v>
      </c>
      <c r="Z175" s="74">
        <f t="shared" si="88"/>
        <v>9013.4</v>
      </c>
      <c r="AA175" s="74"/>
      <c r="AB175" s="74"/>
      <c r="AC175" s="74"/>
      <c r="AD175" s="74">
        <f t="shared" si="89"/>
        <v>9013.4</v>
      </c>
      <c r="AE175" s="74">
        <f t="shared" si="90"/>
        <v>7122.4524091741841</v>
      </c>
      <c r="AF175" s="52">
        <f t="shared" si="91"/>
        <v>103607.2752</v>
      </c>
      <c r="AG175" s="52">
        <f t="shared" si="92"/>
        <v>117735.54000000001</v>
      </c>
    </row>
    <row r="176" spans="1:33" s="21" customFormat="1" x14ac:dyDescent="0.2">
      <c r="A176" s="114" t="s">
        <v>929</v>
      </c>
      <c r="B176" s="114"/>
      <c r="C176" s="114"/>
      <c r="D176" s="160">
        <v>1</v>
      </c>
      <c r="E176" s="161"/>
      <c r="F176" s="162">
        <v>0.12</v>
      </c>
      <c r="G176" s="162"/>
      <c r="H176" s="52">
        <v>54499</v>
      </c>
      <c r="I176" s="52">
        <f t="shared" si="81"/>
        <v>48177.116000000002</v>
      </c>
      <c r="J176" s="52">
        <f t="shared" si="82"/>
        <v>42395.862079999999</v>
      </c>
      <c r="K176" s="61"/>
      <c r="L176" s="160">
        <v>0</v>
      </c>
      <c r="M176" s="55">
        <f t="shared" si="83"/>
        <v>0</v>
      </c>
      <c r="N176" s="55">
        <f t="shared" si="84"/>
        <v>0</v>
      </c>
      <c r="O176" s="95"/>
      <c r="P176" s="160">
        <v>0</v>
      </c>
      <c r="Q176" s="55">
        <f t="shared" si="85"/>
        <v>0</v>
      </c>
      <c r="R176" s="65">
        <f t="shared" si="86"/>
        <v>0</v>
      </c>
      <c r="S176" s="118">
        <v>5</v>
      </c>
      <c r="T176" s="121" t="s">
        <v>201</v>
      </c>
      <c r="U176" s="73">
        <f>SUMIF('Avoided Costs 2013-2021'!$A:$A,'2013 Actuals'!T176&amp;'2013 Actuals'!S176,'Avoided Costs 2013-2021'!$E:$E)*J176</f>
        <v>33013.77108711881</v>
      </c>
      <c r="V176" s="73">
        <f>SUMIF('Avoided Costs 2013-2021'!$A:$A,'2013 Actuals'!T176&amp;'2013 Actuals'!S176,'Avoided Costs 2013-2021'!$K:$K)*N176</f>
        <v>0</v>
      </c>
      <c r="W176" s="73">
        <f>SUMIF('Avoided Costs 2013-2021'!$A:$A,'2013 Actuals'!T176&amp;'2013 Actuals'!S176,'Avoided Costs 2013-2021'!$M:$M)*R176</f>
        <v>0</v>
      </c>
      <c r="X176" s="73">
        <f t="shared" si="87"/>
        <v>33013.77108711881</v>
      </c>
      <c r="Y176" s="83">
        <v>24901</v>
      </c>
      <c r="Z176" s="74">
        <f t="shared" si="88"/>
        <v>21912.880000000001</v>
      </c>
      <c r="AA176" s="74"/>
      <c r="AB176" s="74"/>
      <c r="AC176" s="74"/>
      <c r="AD176" s="74">
        <f t="shared" si="89"/>
        <v>21912.880000000001</v>
      </c>
      <c r="AE176" s="74">
        <f t="shared" si="90"/>
        <v>11100.891087118809</v>
      </c>
      <c r="AF176" s="52">
        <f t="shared" si="91"/>
        <v>211979.31039999999</v>
      </c>
      <c r="AG176" s="52">
        <f t="shared" si="92"/>
        <v>240885.58000000002</v>
      </c>
    </row>
    <row r="177" spans="1:33" s="21" customFormat="1" x14ac:dyDescent="0.2">
      <c r="A177" s="114" t="s">
        <v>930</v>
      </c>
      <c r="B177" s="114"/>
      <c r="C177" s="114"/>
      <c r="D177" s="160">
        <v>1</v>
      </c>
      <c r="E177" s="161"/>
      <c r="F177" s="162">
        <v>0.12</v>
      </c>
      <c r="G177" s="162"/>
      <c r="H177" s="52">
        <v>21765</v>
      </c>
      <c r="I177" s="52">
        <f t="shared" si="81"/>
        <v>19240.259999999998</v>
      </c>
      <c r="J177" s="52">
        <f t="shared" si="82"/>
        <v>16931.428799999998</v>
      </c>
      <c r="K177" s="61"/>
      <c r="L177" s="160">
        <v>0</v>
      </c>
      <c r="M177" s="55">
        <f t="shared" si="83"/>
        <v>0</v>
      </c>
      <c r="N177" s="55">
        <f t="shared" si="84"/>
        <v>0</v>
      </c>
      <c r="O177" s="95"/>
      <c r="P177" s="160">
        <v>0</v>
      </c>
      <c r="Q177" s="55">
        <f t="shared" si="85"/>
        <v>0</v>
      </c>
      <c r="R177" s="65">
        <f t="shared" si="86"/>
        <v>0</v>
      </c>
      <c r="S177" s="118">
        <v>5</v>
      </c>
      <c r="T177" s="121" t="s">
        <v>201</v>
      </c>
      <c r="U177" s="73">
        <f>SUMIF('Avoided Costs 2013-2021'!$A:$A,'2013 Actuals'!T177&amp;'2013 Actuals'!S177,'Avoided Costs 2013-2021'!$E:$E)*J177</f>
        <v>13184.54884880715</v>
      </c>
      <c r="V177" s="73">
        <f>SUMIF('Avoided Costs 2013-2021'!$A:$A,'2013 Actuals'!T177&amp;'2013 Actuals'!S177,'Avoided Costs 2013-2021'!$K:$K)*N177</f>
        <v>0</v>
      </c>
      <c r="W177" s="73">
        <f>SUMIF('Avoided Costs 2013-2021'!$A:$A,'2013 Actuals'!T177&amp;'2013 Actuals'!S177,'Avoided Costs 2013-2021'!$M:$M)*R177</f>
        <v>0</v>
      </c>
      <c r="X177" s="73">
        <f t="shared" si="87"/>
        <v>13184.54884880715</v>
      </c>
      <c r="Y177" s="83">
        <v>39600</v>
      </c>
      <c r="Z177" s="74">
        <f t="shared" si="88"/>
        <v>34848</v>
      </c>
      <c r="AA177" s="74"/>
      <c r="AB177" s="74"/>
      <c r="AC177" s="74"/>
      <c r="AD177" s="74">
        <f t="shared" si="89"/>
        <v>34848</v>
      </c>
      <c r="AE177" s="74">
        <f t="shared" si="90"/>
        <v>-21663.45115119285</v>
      </c>
      <c r="AF177" s="52">
        <f t="shared" si="91"/>
        <v>84657.143999999986</v>
      </c>
      <c r="AG177" s="52">
        <f t="shared" si="92"/>
        <v>96201.299999999988</v>
      </c>
    </row>
    <row r="178" spans="1:33" s="21" customFormat="1" x14ac:dyDescent="0.2">
      <c r="A178" s="114" t="s">
        <v>931</v>
      </c>
      <c r="B178" s="114"/>
      <c r="C178" s="114"/>
      <c r="D178" s="160">
        <v>1</v>
      </c>
      <c r="E178" s="161"/>
      <c r="F178" s="162">
        <v>0.12</v>
      </c>
      <c r="G178" s="162"/>
      <c r="H178" s="52">
        <v>17347</v>
      </c>
      <c r="I178" s="52">
        <f t="shared" si="81"/>
        <v>15334.748</v>
      </c>
      <c r="J178" s="52">
        <f t="shared" si="82"/>
        <v>13494.578239999999</v>
      </c>
      <c r="K178" s="61"/>
      <c r="L178" s="160">
        <v>0</v>
      </c>
      <c r="M178" s="55">
        <f t="shared" si="83"/>
        <v>0</v>
      </c>
      <c r="N178" s="55">
        <f t="shared" si="84"/>
        <v>0</v>
      </c>
      <c r="O178" s="95"/>
      <c r="P178" s="160">
        <v>0</v>
      </c>
      <c r="Q178" s="55">
        <f t="shared" si="85"/>
        <v>0</v>
      </c>
      <c r="R178" s="65">
        <f t="shared" si="86"/>
        <v>0</v>
      </c>
      <c r="S178" s="118">
        <v>15</v>
      </c>
      <c r="T178" s="121" t="s">
        <v>201</v>
      </c>
      <c r="U178" s="73">
        <f>SUMIF('Avoided Costs 2013-2021'!$A:$A,'2013 Actuals'!T178&amp;'2013 Actuals'!S178,'Avoided Costs 2013-2021'!$E:$E)*J178</f>
        <v>30158.527559636903</v>
      </c>
      <c r="V178" s="73">
        <f>SUMIF('Avoided Costs 2013-2021'!$A:$A,'2013 Actuals'!T178&amp;'2013 Actuals'!S178,'Avoided Costs 2013-2021'!$K:$K)*N178</f>
        <v>0</v>
      </c>
      <c r="W178" s="73">
        <f>SUMIF('Avoided Costs 2013-2021'!$A:$A,'2013 Actuals'!T178&amp;'2013 Actuals'!S178,'Avoided Costs 2013-2021'!$M:$M)*R178</f>
        <v>0</v>
      </c>
      <c r="X178" s="73">
        <f t="shared" si="87"/>
        <v>30158.527559636903</v>
      </c>
      <c r="Y178" s="83">
        <v>21950</v>
      </c>
      <c r="Z178" s="74">
        <f t="shared" si="88"/>
        <v>19316</v>
      </c>
      <c r="AA178" s="74"/>
      <c r="AB178" s="74"/>
      <c r="AC178" s="74"/>
      <c r="AD178" s="74">
        <f t="shared" si="89"/>
        <v>19316</v>
      </c>
      <c r="AE178" s="74">
        <f t="shared" si="90"/>
        <v>10842.527559636903</v>
      </c>
      <c r="AF178" s="52">
        <f t="shared" si="91"/>
        <v>202418.67359999998</v>
      </c>
      <c r="AG178" s="52">
        <f t="shared" si="92"/>
        <v>230021.22</v>
      </c>
    </row>
    <row r="179" spans="1:33" s="21" customFormat="1" x14ac:dyDescent="0.2">
      <c r="A179" s="114" t="s">
        <v>932</v>
      </c>
      <c r="B179" s="114"/>
      <c r="C179" s="114"/>
      <c r="D179" s="160">
        <v>1</v>
      </c>
      <c r="E179" s="161"/>
      <c r="F179" s="162">
        <v>0.12</v>
      </c>
      <c r="G179" s="162"/>
      <c r="H179" s="52">
        <v>17085</v>
      </c>
      <c r="I179" s="52">
        <f t="shared" si="81"/>
        <v>15103.14</v>
      </c>
      <c r="J179" s="52">
        <f t="shared" si="82"/>
        <v>13290.763199999999</v>
      </c>
      <c r="K179" s="61"/>
      <c r="L179" s="160">
        <v>0</v>
      </c>
      <c r="M179" s="55">
        <f t="shared" si="83"/>
        <v>0</v>
      </c>
      <c r="N179" s="55">
        <f t="shared" si="84"/>
        <v>0</v>
      </c>
      <c r="O179" s="95"/>
      <c r="P179" s="160">
        <v>0</v>
      </c>
      <c r="Q179" s="55">
        <f t="shared" si="85"/>
        <v>0</v>
      </c>
      <c r="R179" s="65">
        <f t="shared" si="86"/>
        <v>0</v>
      </c>
      <c r="S179" s="118">
        <v>15</v>
      </c>
      <c r="T179" s="121" t="s">
        <v>201</v>
      </c>
      <c r="U179" s="73">
        <f>SUMIF('Avoided Costs 2013-2021'!$A:$A,'2013 Actuals'!T179&amp;'2013 Actuals'!S179,'Avoided Costs 2013-2021'!$E:$E)*J179</f>
        <v>29703.028959266529</v>
      </c>
      <c r="V179" s="73">
        <f>SUMIF('Avoided Costs 2013-2021'!$A:$A,'2013 Actuals'!T179&amp;'2013 Actuals'!S179,'Avoided Costs 2013-2021'!$K:$K)*N179</f>
        <v>0</v>
      </c>
      <c r="W179" s="73">
        <f>SUMIF('Avoided Costs 2013-2021'!$A:$A,'2013 Actuals'!T179&amp;'2013 Actuals'!S179,'Avoided Costs 2013-2021'!$M:$M)*R179</f>
        <v>0</v>
      </c>
      <c r="X179" s="73">
        <f t="shared" si="87"/>
        <v>29703.028959266529</v>
      </c>
      <c r="Y179" s="83">
        <v>13789</v>
      </c>
      <c r="Z179" s="74">
        <f t="shared" si="88"/>
        <v>12134.32</v>
      </c>
      <c r="AA179" s="74"/>
      <c r="AB179" s="74"/>
      <c r="AC179" s="74"/>
      <c r="AD179" s="74">
        <f t="shared" si="89"/>
        <v>12134.32</v>
      </c>
      <c r="AE179" s="74">
        <f t="shared" si="90"/>
        <v>17568.708959266529</v>
      </c>
      <c r="AF179" s="52">
        <f t="shared" si="91"/>
        <v>199361.448</v>
      </c>
      <c r="AG179" s="52">
        <f t="shared" si="92"/>
        <v>226547.09999999998</v>
      </c>
    </row>
    <row r="180" spans="1:33" s="21" customFormat="1" x14ac:dyDescent="0.2">
      <c r="A180" s="114" t="s">
        <v>933</v>
      </c>
      <c r="B180" s="114"/>
      <c r="C180" s="114"/>
      <c r="D180" s="160">
        <v>1</v>
      </c>
      <c r="E180" s="161"/>
      <c r="F180" s="162">
        <v>0.12</v>
      </c>
      <c r="G180" s="162"/>
      <c r="H180" s="52">
        <v>8857</v>
      </c>
      <c r="I180" s="52">
        <f t="shared" si="81"/>
        <v>7829.5879999999997</v>
      </c>
      <c r="J180" s="52">
        <f t="shared" si="82"/>
        <v>6890.0374400000001</v>
      </c>
      <c r="K180" s="61"/>
      <c r="L180" s="160">
        <v>34661</v>
      </c>
      <c r="M180" s="55">
        <f t="shared" si="83"/>
        <v>34661</v>
      </c>
      <c r="N180" s="55">
        <f t="shared" si="84"/>
        <v>30501.68</v>
      </c>
      <c r="O180" s="95"/>
      <c r="P180" s="160">
        <v>0</v>
      </c>
      <c r="Q180" s="55">
        <f t="shared" si="85"/>
        <v>0</v>
      </c>
      <c r="R180" s="65">
        <f t="shared" si="86"/>
        <v>0</v>
      </c>
      <c r="S180" s="118">
        <v>15</v>
      </c>
      <c r="T180" s="121" t="s">
        <v>201</v>
      </c>
      <c r="U180" s="73">
        <f>SUMIF('Avoided Costs 2013-2021'!$A:$A,'2013 Actuals'!T180&amp;'2013 Actuals'!S180,'Avoided Costs 2013-2021'!$E:$E)*J180</f>
        <v>15398.286654505337</v>
      </c>
      <c r="V180" s="73">
        <f>SUMIF('Avoided Costs 2013-2021'!$A:$A,'2013 Actuals'!T180&amp;'2013 Actuals'!S180,'Avoided Costs 2013-2021'!$K:$K)*N180</f>
        <v>31932.015684404982</v>
      </c>
      <c r="W180" s="73">
        <f>SUMIF('Avoided Costs 2013-2021'!$A:$A,'2013 Actuals'!T180&amp;'2013 Actuals'!S180,'Avoided Costs 2013-2021'!$M:$M)*R180</f>
        <v>0</v>
      </c>
      <c r="X180" s="73">
        <f t="shared" si="87"/>
        <v>47330.302338910318</v>
      </c>
      <c r="Y180" s="83">
        <v>40000</v>
      </c>
      <c r="Z180" s="74">
        <f t="shared" si="88"/>
        <v>35200</v>
      </c>
      <c r="AA180" s="74"/>
      <c r="AB180" s="74"/>
      <c r="AC180" s="74"/>
      <c r="AD180" s="74">
        <f t="shared" si="89"/>
        <v>35200</v>
      </c>
      <c r="AE180" s="74">
        <f t="shared" si="90"/>
        <v>12130.302338910318</v>
      </c>
      <c r="AF180" s="52">
        <f t="shared" si="91"/>
        <v>103350.5616</v>
      </c>
      <c r="AG180" s="52">
        <f t="shared" si="92"/>
        <v>117443.81999999999</v>
      </c>
    </row>
    <row r="181" spans="1:33" s="21" customFormat="1" x14ac:dyDescent="0.2">
      <c r="A181" s="114" t="s">
        <v>934</v>
      </c>
      <c r="B181" s="114"/>
      <c r="C181" s="114"/>
      <c r="D181" s="160">
        <v>1</v>
      </c>
      <c r="E181" s="161"/>
      <c r="F181" s="162">
        <v>0.12</v>
      </c>
      <c r="G181" s="162"/>
      <c r="H181" s="52">
        <v>20922</v>
      </c>
      <c r="I181" s="52">
        <f t="shared" si="81"/>
        <v>18495.047999999999</v>
      </c>
      <c r="J181" s="52">
        <f t="shared" si="82"/>
        <v>16275.642239999999</v>
      </c>
      <c r="K181" s="61"/>
      <c r="L181" s="160">
        <v>22620</v>
      </c>
      <c r="M181" s="55">
        <f t="shared" si="83"/>
        <v>22620</v>
      </c>
      <c r="N181" s="55">
        <f t="shared" si="84"/>
        <v>19905.599999999999</v>
      </c>
      <c r="O181" s="95"/>
      <c r="P181" s="160">
        <v>0</v>
      </c>
      <c r="Q181" s="55">
        <f t="shared" si="85"/>
        <v>0</v>
      </c>
      <c r="R181" s="65">
        <f t="shared" si="86"/>
        <v>0</v>
      </c>
      <c r="S181" s="118">
        <v>15</v>
      </c>
      <c r="T181" s="121" t="s">
        <v>201</v>
      </c>
      <c r="U181" s="73">
        <f>SUMIF('Avoided Costs 2013-2021'!$A:$A,'2013 Actuals'!T181&amp;'2013 Actuals'!S181,'Avoided Costs 2013-2021'!$E:$E)*J181</f>
        <v>36373.82334713341</v>
      </c>
      <c r="V181" s="73">
        <f>SUMIF('Avoided Costs 2013-2021'!$A:$A,'2013 Actuals'!T181&amp;'2013 Actuals'!S181,'Avoided Costs 2013-2021'!$K:$K)*N181</f>
        <v>20839.046616694286</v>
      </c>
      <c r="W181" s="73">
        <f>SUMIF('Avoided Costs 2013-2021'!$A:$A,'2013 Actuals'!T181&amp;'2013 Actuals'!S181,'Avoided Costs 2013-2021'!$M:$M)*R181</f>
        <v>0</v>
      </c>
      <c r="X181" s="73">
        <f t="shared" si="87"/>
        <v>57212.869963827696</v>
      </c>
      <c r="Y181" s="83">
        <v>40000</v>
      </c>
      <c r="Z181" s="74">
        <f t="shared" si="88"/>
        <v>35200</v>
      </c>
      <c r="AA181" s="74"/>
      <c r="AB181" s="74"/>
      <c r="AC181" s="74"/>
      <c r="AD181" s="74">
        <f t="shared" si="89"/>
        <v>35200</v>
      </c>
      <c r="AE181" s="74">
        <f t="shared" si="90"/>
        <v>22012.869963827696</v>
      </c>
      <c r="AF181" s="52">
        <f t="shared" si="91"/>
        <v>244134.6336</v>
      </c>
      <c r="AG181" s="52">
        <f t="shared" si="92"/>
        <v>277425.71999999997</v>
      </c>
    </row>
    <row r="182" spans="1:33" s="21" customFormat="1" x14ac:dyDescent="0.2">
      <c r="A182" s="114" t="s">
        <v>935</v>
      </c>
      <c r="B182" s="114"/>
      <c r="C182" s="114"/>
      <c r="D182" s="160">
        <v>1</v>
      </c>
      <c r="E182" s="161"/>
      <c r="F182" s="162">
        <v>0.12</v>
      </c>
      <c r="G182" s="162"/>
      <c r="H182" s="52">
        <v>1771</v>
      </c>
      <c r="I182" s="52">
        <f t="shared" si="81"/>
        <v>1565.5640000000001</v>
      </c>
      <c r="J182" s="52">
        <f t="shared" si="82"/>
        <v>1377.69632</v>
      </c>
      <c r="K182" s="61"/>
      <c r="L182" s="160">
        <v>0</v>
      </c>
      <c r="M182" s="55">
        <f t="shared" si="83"/>
        <v>0</v>
      </c>
      <c r="N182" s="55">
        <f t="shared" si="84"/>
        <v>0</v>
      </c>
      <c r="O182" s="95"/>
      <c r="P182" s="160">
        <v>0</v>
      </c>
      <c r="Q182" s="55">
        <f t="shared" si="85"/>
        <v>0</v>
      </c>
      <c r="R182" s="65">
        <f t="shared" si="86"/>
        <v>0</v>
      </c>
      <c r="S182" s="118">
        <v>5</v>
      </c>
      <c r="T182" s="121" t="s">
        <v>201</v>
      </c>
      <c r="U182" s="73">
        <f>SUMIF('Avoided Costs 2013-2021'!$A:$A,'2013 Actuals'!T182&amp;'2013 Actuals'!S182,'Avoided Costs 2013-2021'!$E:$E)*J182</f>
        <v>1072.8158057081307</v>
      </c>
      <c r="V182" s="73">
        <f>SUMIF('Avoided Costs 2013-2021'!$A:$A,'2013 Actuals'!T182&amp;'2013 Actuals'!S182,'Avoided Costs 2013-2021'!$K:$K)*N182</f>
        <v>0</v>
      </c>
      <c r="W182" s="73">
        <f>SUMIF('Avoided Costs 2013-2021'!$A:$A,'2013 Actuals'!T182&amp;'2013 Actuals'!S182,'Avoided Costs 2013-2021'!$M:$M)*R182</f>
        <v>0</v>
      </c>
      <c r="X182" s="73">
        <f t="shared" si="87"/>
        <v>1072.8158057081307</v>
      </c>
      <c r="Y182" s="83">
        <v>4204</v>
      </c>
      <c r="Z182" s="74">
        <f t="shared" si="88"/>
        <v>3699.52</v>
      </c>
      <c r="AA182" s="74"/>
      <c r="AB182" s="74"/>
      <c r="AC182" s="74"/>
      <c r="AD182" s="74">
        <f t="shared" si="89"/>
        <v>3699.52</v>
      </c>
      <c r="AE182" s="74">
        <f t="shared" si="90"/>
        <v>-2626.7041942918695</v>
      </c>
      <c r="AF182" s="52">
        <f t="shared" si="91"/>
        <v>6888.4816000000001</v>
      </c>
      <c r="AG182" s="52">
        <f t="shared" si="92"/>
        <v>7827.8200000000006</v>
      </c>
    </row>
    <row r="183" spans="1:33" s="21" customFormat="1" x14ac:dyDescent="0.2">
      <c r="A183" s="114" t="s">
        <v>936</v>
      </c>
      <c r="B183" s="114"/>
      <c r="C183" s="114"/>
      <c r="D183" s="160">
        <v>1</v>
      </c>
      <c r="E183" s="161"/>
      <c r="F183" s="162">
        <v>0.12</v>
      </c>
      <c r="G183" s="162"/>
      <c r="H183" s="52">
        <v>17504</v>
      </c>
      <c r="I183" s="52">
        <f t="shared" si="81"/>
        <v>15473.536</v>
      </c>
      <c r="J183" s="52">
        <f t="shared" si="82"/>
        <v>13616.71168</v>
      </c>
      <c r="K183" s="61"/>
      <c r="L183" s="160">
        <v>0</v>
      </c>
      <c r="M183" s="55">
        <f t="shared" si="83"/>
        <v>0</v>
      </c>
      <c r="N183" s="55">
        <f t="shared" si="84"/>
        <v>0</v>
      </c>
      <c r="O183" s="95"/>
      <c r="P183" s="160">
        <v>0</v>
      </c>
      <c r="Q183" s="55">
        <f t="shared" si="85"/>
        <v>0</v>
      </c>
      <c r="R183" s="65">
        <f t="shared" si="86"/>
        <v>0</v>
      </c>
      <c r="S183" s="118">
        <v>5</v>
      </c>
      <c r="T183" s="121" t="s">
        <v>201</v>
      </c>
      <c r="U183" s="73">
        <f>SUMIF('Avoided Costs 2013-2021'!$A:$A,'2013 Actuals'!T183&amp;'2013 Actuals'!S183,'Avoided Costs 2013-2021'!$E:$E)*J183</f>
        <v>10603.369770251338</v>
      </c>
      <c r="V183" s="73">
        <f>SUMIF('Avoided Costs 2013-2021'!$A:$A,'2013 Actuals'!T183&amp;'2013 Actuals'!S183,'Avoided Costs 2013-2021'!$K:$K)*N183</f>
        <v>0</v>
      </c>
      <c r="W183" s="73">
        <f>SUMIF('Avoided Costs 2013-2021'!$A:$A,'2013 Actuals'!T183&amp;'2013 Actuals'!S183,'Avoided Costs 2013-2021'!$M:$M)*R183</f>
        <v>0</v>
      </c>
      <c r="X183" s="73">
        <f t="shared" si="87"/>
        <v>10603.369770251338</v>
      </c>
      <c r="Y183" s="83">
        <v>6827</v>
      </c>
      <c r="Z183" s="74">
        <f t="shared" si="88"/>
        <v>6007.76</v>
      </c>
      <c r="AA183" s="74"/>
      <c r="AB183" s="74"/>
      <c r="AC183" s="74"/>
      <c r="AD183" s="74">
        <f t="shared" si="89"/>
        <v>6007.76</v>
      </c>
      <c r="AE183" s="74">
        <f t="shared" si="90"/>
        <v>4595.609770251338</v>
      </c>
      <c r="AF183" s="52">
        <f t="shared" si="91"/>
        <v>68083.558400000009</v>
      </c>
      <c r="AG183" s="52">
        <f t="shared" si="92"/>
        <v>77367.679999999993</v>
      </c>
    </row>
    <row r="184" spans="1:33" s="21" customFormat="1" x14ac:dyDescent="0.2">
      <c r="A184" s="114" t="s">
        <v>937</v>
      </c>
      <c r="B184" s="114"/>
      <c r="C184" s="114"/>
      <c r="D184" s="160">
        <v>1</v>
      </c>
      <c r="E184" s="161"/>
      <c r="F184" s="162">
        <v>0.12</v>
      </c>
      <c r="G184" s="162"/>
      <c r="H184" s="52">
        <v>35892</v>
      </c>
      <c r="I184" s="52">
        <f t="shared" si="81"/>
        <v>31728.528000000002</v>
      </c>
      <c r="J184" s="52">
        <f t="shared" si="82"/>
        <v>27921.104640000001</v>
      </c>
      <c r="K184" s="61"/>
      <c r="L184" s="160">
        <v>0</v>
      </c>
      <c r="M184" s="55">
        <f t="shared" si="83"/>
        <v>0</v>
      </c>
      <c r="N184" s="55">
        <f t="shared" si="84"/>
        <v>0</v>
      </c>
      <c r="O184" s="95"/>
      <c r="P184" s="160">
        <v>0</v>
      </c>
      <c r="Q184" s="55">
        <f t="shared" si="85"/>
        <v>0</v>
      </c>
      <c r="R184" s="65">
        <f t="shared" si="86"/>
        <v>0</v>
      </c>
      <c r="S184" s="118">
        <v>5</v>
      </c>
      <c r="T184" s="121" t="s">
        <v>201</v>
      </c>
      <c r="U184" s="73">
        <f>SUMIF('Avoided Costs 2013-2021'!$A:$A,'2013 Actuals'!T184&amp;'2013 Actuals'!S184,'Avoided Costs 2013-2021'!$E:$E)*J184</f>
        <v>21742.23879078274</v>
      </c>
      <c r="V184" s="73">
        <f>SUMIF('Avoided Costs 2013-2021'!$A:$A,'2013 Actuals'!T184&amp;'2013 Actuals'!S184,'Avoided Costs 2013-2021'!$K:$K)*N184</f>
        <v>0</v>
      </c>
      <c r="W184" s="73">
        <f>SUMIF('Avoided Costs 2013-2021'!$A:$A,'2013 Actuals'!T184&amp;'2013 Actuals'!S184,'Avoided Costs 2013-2021'!$M:$M)*R184</f>
        <v>0</v>
      </c>
      <c r="X184" s="73">
        <f t="shared" si="87"/>
        <v>21742.23879078274</v>
      </c>
      <c r="Y184" s="83">
        <v>15602</v>
      </c>
      <c r="Z184" s="74">
        <f t="shared" si="88"/>
        <v>13729.76</v>
      </c>
      <c r="AA184" s="74"/>
      <c r="AB184" s="74"/>
      <c r="AC184" s="74"/>
      <c r="AD184" s="74">
        <f t="shared" si="89"/>
        <v>13729.76</v>
      </c>
      <c r="AE184" s="74">
        <f t="shared" si="90"/>
        <v>8012.4787907827395</v>
      </c>
      <c r="AF184" s="52">
        <f t="shared" si="91"/>
        <v>139605.5232</v>
      </c>
      <c r="AG184" s="52">
        <f t="shared" si="92"/>
        <v>158642.64000000001</v>
      </c>
    </row>
    <row r="185" spans="1:33" s="21" customFormat="1" x14ac:dyDescent="0.2">
      <c r="A185" s="114" t="s">
        <v>938</v>
      </c>
      <c r="B185" s="114"/>
      <c r="C185" s="114"/>
      <c r="D185" s="160">
        <v>1</v>
      </c>
      <c r="E185" s="161"/>
      <c r="F185" s="162">
        <v>0.12</v>
      </c>
      <c r="G185" s="162"/>
      <c r="H185" s="52">
        <v>7966</v>
      </c>
      <c r="I185" s="52">
        <f t="shared" si="81"/>
        <v>7041.9440000000004</v>
      </c>
      <c r="J185" s="52">
        <f t="shared" si="82"/>
        <v>6196.9107200000008</v>
      </c>
      <c r="K185" s="61"/>
      <c r="L185" s="160">
        <v>0</v>
      </c>
      <c r="M185" s="55">
        <f t="shared" si="83"/>
        <v>0</v>
      </c>
      <c r="N185" s="55">
        <f t="shared" si="84"/>
        <v>0</v>
      </c>
      <c r="O185" s="95"/>
      <c r="P185" s="160">
        <v>0</v>
      </c>
      <c r="Q185" s="55">
        <f t="shared" si="85"/>
        <v>0</v>
      </c>
      <c r="R185" s="65">
        <f t="shared" si="86"/>
        <v>0</v>
      </c>
      <c r="S185" s="118">
        <v>5</v>
      </c>
      <c r="T185" s="121" t="s">
        <v>201</v>
      </c>
      <c r="U185" s="73">
        <f>SUMIF('Avoided Costs 2013-2021'!$A:$A,'2013 Actuals'!T185&amp;'2013 Actuals'!S185,'Avoided Costs 2013-2021'!$E:$E)*J185</f>
        <v>4825.5509363472447</v>
      </c>
      <c r="V185" s="73">
        <f>SUMIF('Avoided Costs 2013-2021'!$A:$A,'2013 Actuals'!T185&amp;'2013 Actuals'!S185,'Avoided Costs 2013-2021'!$K:$K)*N185</f>
        <v>0</v>
      </c>
      <c r="W185" s="73">
        <f>SUMIF('Avoided Costs 2013-2021'!$A:$A,'2013 Actuals'!T185&amp;'2013 Actuals'!S185,'Avoided Costs 2013-2021'!$M:$M)*R185</f>
        <v>0</v>
      </c>
      <c r="X185" s="73">
        <f t="shared" si="87"/>
        <v>4825.5509363472447</v>
      </c>
      <c r="Y185" s="83">
        <v>8686.5</v>
      </c>
      <c r="Z185" s="74">
        <f t="shared" si="88"/>
        <v>7644.12</v>
      </c>
      <c r="AA185" s="74"/>
      <c r="AB185" s="74"/>
      <c r="AC185" s="74"/>
      <c r="AD185" s="74">
        <f t="shared" si="89"/>
        <v>7644.12</v>
      </c>
      <c r="AE185" s="74">
        <f t="shared" si="90"/>
        <v>-2818.5690636527552</v>
      </c>
      <c r="AF185" s="52">
        <f t="shared" si="91"/>
        <v>30984.553600000003</v>
      </c>
      <c r="AG185" s="52">
        <f t="shared" si="92"/>
        <v>35209.72</v>
      </c>
    </row>
    <row r="186" spans="1:33" s="21" customFormat="1" x14ac:dyDescent="0.2">
      <c r="A186" s="114" t="s">
        <v>939</v>
      </c>
      <c r="B186" s="114"/>
      <c r="C186" s="114"/>
      <c r="D186" s="160">
        <v>1</v>
      </c>
      <c r="E186" s="161"/>
      <c r="F186" s="162">
        <v>0.12</v>
      </c>
      <c r="G186" s="162"/>
      <c r="H186" s="52">
        <v>14593</v>
      </c>
      <c r="I186" s="52">
        <f t="shared" si="81"/>
        <v>12900.212</v>
      </c>
      <c r="J186" s="52">
        <f t="shared" si="82"/>
        <v>11352.18656</v>
      </c>
      <c r="K186" s="61"/>
      <c r="L186" s="160">
        <v>0</v>
      </c>
      <c r="M186" s="55">
        <f t="shared" si="83"/>
        <v>0</v>
      </c>
      <c r="N186" s="55">
        <f t="shared" si="84"/>
        <v>0</v>
      </c>
      <c r="O186" s="95"/>
      <c r="P186" s="160">
        <v>0</v>
      </c>
      <c r="Q186" s="55">
        <f t="shared" si="85"/>
        <v>0</v>
      </c>
      <c r="R186" s="65">
        <f t="shared" si="86"/>
        <v>0</v>
      </c>
      <c r="S186" s="118">
        <v>5</v>
      </c>
      <c r="T186" s="121" t="s">
        <v>201</v>
      </c>
      <c r="U186" s="73">
        <f>SUMIF('Avoided Costs 2013-2021'!$A:$A,'2013 Actuals'!T186&amp;'2013 Actuals'!S186,'Avoided Costs 2013-2021'!$E:$E)*J186</f>
        <v>8839.9780082996913</v>
      </c>
      <c r="V186" s="73">
        <f>SUMIF('Avoided Costs 2013-2021'!$A:$A,'2013 Actuals'!T186&amp;'2013 Actuals'!S186,'Avoided Costs 2013-2021'!$K:$K)*N186</f>
        <v>0</v>
      </c>
      <c r="W186" s="73">
        <f>SUMIF('Avoided Costs 2013-2021'!$A:$A,'2013 Actuals'!T186&amp;'2013 Actuals'!S186,'Avoided Costs 2013-2021'!$M:$M)*R186</f>
        <v>0</v>
      </c>
      <c r="X186" s="73">
        <f t="shared" si="87"/>
        <v>8839.9780082996913</v>
      </c>
      <c r="Y186" s="83">
        <v>12166.04</v>
      </c>
      <c r="Z186" s="74">
        <f t="shared" si="88"/>
        <v>10706.1152</v>
      </c>
      <c r="AA186" s="74"/>
      <c r="AB186" s="74"/>
      <c r="AC186" s="74"/>
      <c r="AD186" s="74">
        <f t="shared" si="89"/>
        <v>10706.1152</v>
      </c>
      <c r="AE186" s="74">
        <f t="shared" si="90"/>
        <v>-1866.1371917003089</v>
      </c>
      <c r="AF186" s="52">
        <f t="shared" si="91"/>
        <v>56760.932800000002</v>
      </c>
      <c r="AG186" s="52">
        <f t="shared" si="92"/>
        <v>64501.06</v>
      </c>
    </row>
    <row r="187" spans="1:33" s="21" customFormat="1" x14ac:dyDescent="0.2">
      <c r="A187" s="114" t="s">
        <v>940</v>
      </c>
      <c r="B187" s="114"/>
      <c r="C187" s="114"/>
      <c r="D187" s="160">
        <v>1</v>
      </c>
      <c r="E187" s="161"/>
      <c r="F187" s="162">
        <v>0.12</v>
      </c>
      <c r="G187" s="162"/>
      <c r="H187" s="52">
        <v>7743</v>
      </c>
      <c r="I187" s="52">
        <f t="shared" si="81"/>
        <v>6844.8119999999999</v>
      </c>
      <c r="J187" s="52">
        <f t="shared" si="82"/>
        <v>6023.4345599999997</v>
      </c>
      <c r="K187" s="61"/>
      <c r="L187" s="160">
        <v>0</v>
      </c>
      <c r="M187" s="55">
        <f t="shared" si="83"/>
        <v>0</v>
      </c>
      <c r="N187" s="55">
        <f t="shared" si="84"/>
        <v>0</v>
      </c>
      <c r="O187" s="95"/>
      <c r="P187" s="160">
        <v>0</v>
      </c>
      <c r="Q187" s="55">
        <f t="shared" si="85"/>
        <v>0</v>
      </c>
      <c r="R187" s="65">
        <f t="shared" si="86"/>
        <v>0</v>
      </c>
      <c r="S187" s="118">
        <v>5</v>
      </c>
      <c r="T187" s="121" t="s">
        <v>201</v>
      </c>
      <c r="U187" s="73">
        <f>SUMIF('Avoided Costs 2013-2021'!$A:$A,'2013 Actuals'!T187&amp;'2013 Actuals'!S187,'Avoided Costs 2013-2021'!$E:$E)*J187</f>
        <v>4690.4645870118893</v>
      </c>
      <c r="V187" s="73">
        <f>SUMIF('Avoided Costs 2013-2021'!$A:$A,'2013 Actuals'!T187&amp;'2013 Actuals'!S187,'Avoided Costs 2013-2021'!$K:$K)*N187</f>
        <v>0</v>
      </c>
      <c r="W187" s="73">
        <f>SUMIF('Avoided Costs 2013-2021'!$A:$A,'2013 Actuals'!T187&amp;'2013 Actuals'!S187,'Avoided Costs 2013-2021'!$M:$M)*R187</f>
        <v>0</v>
      </c>
      <c r="X187" s="73">
        <f t="shared" si="87"/>
        <v>4690.4645870118893</v>
      </c>
      <c r="Y187" s="83">
        <v>11272.3</v>
      </c>
      <c r="Z187" s="74">
        <f t="shared" si="88"/>
        <v>9919.6239999999998</v>
      </c>
      <c r="AA187" s="74"/>
      <c r="AB187" s="74"/>
      <c r="AC187" s="74"/>
      <c r="AD187" s="74">
        <f t="shared" si="89"/>
        <v>9919.6239999999998</v>
      </c>
      <c r="AE187" s="74">
        <f t="shared" si="90"/>
        <v>-5229.1594129881105</v>
      </c>
      <c r="AF187" s="52">
        <f t="shared" si="91"/>
        <v>30117.1728</v>
      </c>
      <c r="AG187" s="52">
        <f t="shared" si="92"/>
        <v>34224.06</v>
      </c>
    </row>
    <row r="188" spans="1:33" s="21" customFormat="1" x14ac:dyDescent="0.2">
      <c r="A188" s="114" t="s">
        <v>941</v>
      </c>
      <c r="B188" s="114"/>
      <c r="C188" s="114"/>
      <c r="D188" s="160">
        <v>1</v>
      </c>
      <c r="E188" s="161"/>
      <c r="F188" s="162">
        <v>0.12</v>
      </c>
      <c r="G188" s="162"/>
      <c r="H188" s="52">
        <v>18542</v>
      </c>
      <c r="I188" s="52">
        <f t="shared" si="81"/>
        <v>16391.128000000001</v>
      </c>
      <c r="J188" s="52">
        <f t="shared" si="82"/>
        <v>14424.192640000001</v>
      </c>
      <c r="K188" s="61"/>
      <c r="L188" s="160">
        <v>0</v>
      </c>
      <c r="M188" s="55">
        <f t="shared" si="83"/>
        <v>0</v>
      </c>
      <c r="N188" s="55">
        <f t="shared" si="84"/>
        <v>0</v>
      </c>
      <c r="O188" s="95"/>
      <c r="P188" s="160">
        <v>0</v>
      </c>
      <c r="Q188" s="55">
        <f t="shared" si="85"/>
        <v>0</v>
      </c>
      <c r="R188" s="65">
        <f t="shared" si="86"/>
        <v>0</v>
      </c>
      <c r="S188" s="118">
        <v>5</v>
      </c>
      <c r="T188" s="121" t="s">
        <v>201</v>
      </c>
      <c r="U188" s="73">
        <f>SUMIF('Avoided Costs 2013-2021'!$A:$A,'2013 Actuals'!T188&amp;'2013 Actuals'!S188,'Avoided Costs 2013-2021'!$E:$E)*J188</f>
        <v>11232.157351462542</v>
      </c>
      <c r="V188" s="73">
        <f>SUMIF('Avoided Costs 2013-2021'!$A:$A,'2013 Actuals'!T188&amp;'2013 Actuals'!S188,'Avoided Costs 2013-2021'!$K:$K)*N188</f>
        <v>0</v>
      </c>
      <c r="W188" s="73">
        <f>SUMIF('Avoided Costs 2013-2021'!$A:$A,'2013 Actuals'!T188&amp;'2013 Actuals'!S188,'Avoided Costs 2013-2021'!$M:$M)*R188</f>
        <v>0</v>
      </c>
      <c r="X188" s="73">
        <f t="shared" si="87"/>
        <v>11232.157351462542</v>
      </c>
      <c r="Y188" s="83">
        <v>14509</v>
      </c>
      <c r="Z188" s="74">
        <f t="shared" si="88"/>
        <v>12767.92</v>
      </c>
      <c r="AA188" s="74"/>
      <c r="AB188" s="74"/>
      <c r="AC188" s="74"/>
      <c r="AD188" s="74">
        <f t="shared" si="89"/>
        <v>12767.92</v>
      </c>
      <c r="AE188" s="74">
        <f t="shared" si="90"/>
        <v>-1535.7626485374585</v>
      </c>
      <c r="AF188" s="52">
        <f t="shared" si="91"/>
        <v>72120.963199999998</v>
      </c>
      <c r="AG188" s="52">
        <f t="shared" si="92"/>
        <v>81955.64</v>
      </c>
    </row>
    <row r="189" spans="1:33" s="21" customFormat="1" x14ac:dyDescent="0.2">
      <c r="A189" s="114" t="s">
        <v>942</v>
      </c>
      <c r="B189" s="114"/>
      <c r="C189" s="114"/>
      <c r="D189" s="160">
        <v>1</v>
      </c>
      <c r="E189" s="161"/>
      <c r="F189" s="162">
        <v>0.12</v>
      </c>
      <c r="G189" s="162"/>
      <c r="H189" s="52">
        <v>32692</v>
      </c>
      <c r="I189" s="52">
        <f t="shared" si="81"/>
        <v>28899.727999999999</v>
      </c>
      <c r="J189" s="52">
        <f t="shared" si="82"/>
        <v>25431.76064</v>
      </c>
      <c r="K189" s="61"/>
      <c r="L189" s="160">
        <v>0</v>
      </c>
      <c r="M189" s="55">
        <f t="shared" si="83"/>
        <v>0</v>
      </c>
      <c r="N189" s="55">
        <f t="shared" si="84"/>
        <v>0</v>
      </c>
      <c r="O189" s="95"/>
      <c r="P189" s="160">
        <v>0</v>
      </c>
      <c r="Q189" s="55">
        <f t="shared" si="85"/>
        <v>0</v>
      </c>
      <c r="R189" s="65">
        <f t="shared" si="86"/>
        <v>0</v>
      </c>
      <c r="S189" s="118">
        <v>5</v>
      </c>
      <c r="T189" s="121" t="s">
        <v>201</v>
      </c>
      <c r="U189" s="73">
        <f>SUMIF('Avoided Costs 2013-2021'!$A:$A,'2013 Actuals'!T189&amp;'2013 Actuals'!S189,'Avoided Costs 2013-2021'!$E:$E)*J189</f>
        <v>19803.77996623953</v>
      </c>
      <c r="V189" s="73">
        <f>SUMIF('Avoided Costs 2013-2021'!$A:$A,'2013 Actuals'!T189&amp;'2013 Actuals'!S189,'Avoided Costs 2013-2021'!$K:$K)*N189</f>
        <v>0</v>
      </c>
      <c r="W189" s="73">
        <f>SUMIF('Avoided Costs 2013-2021'!$A:$A,'2013 Actuals'!T189&amp;'2013 Actuals'!S189,'Avoided Costs 2013-2021'!$M:$M)*R189</f>
        <v>0</v>
      </c>
      <c r="X189" s="73">
        <f t="shared" si="87"/>
        <v>19803.77996623953</v>
      </c>
      <c r="Y189" s="83">
        <v>7394</v>
      </c>
      <c r="Z189" s="74">
        <f t="shared" si="88"/>
        <v>6506.72</v>
      </c>
      <c r="AA189" s="74"/>
      <c r="AB189" s="74"/>
      <c r="AC189" s="74"/>
      <c r="AD189" s="74">
        <f t="shared" si="89"/>
        <v>6506.72</v>
      </c>
      <c r="AE189" s="74">
        <f t="shared" si="90"/>
        <v>13297.059966239529</v>
      </c>
      <c r="AF189" s="52">
        <f t="shared" si="91"/>
        <v>127158.80319999999</v>
      </c>
      <c r="AG189" s="52">
        <f t="shared" si="92"/>
        <v>144498.63999999998</v>
      </c>
    </row>
    <row r="190" spans="1:33" s="21" customFormat="1" x14ac:dyDescent="0.2">
      <c r="A190" s="114" t="s">
        <v>943</v>
      </c>
      <c r="B190" s="114"/>
      <c r="C190" s="114"/>
      <c r="D190" s="160">
        <v>1</v>
      </c>
      <c r="E190" s="161"/>
      <c r="F190" s="162">
        <v>0.12</v>
      </c>
      <c r="G190" s="162"/>
      <c r="H190" s="52">
        <v>17275</v>
      </c>
      <c r="I190" s="52">
        <f t="shared" si="81"/>
        <v>15271.1</v>
      </c>
      <c r="J190" s="52">
        <f t="shared" si="82"/>
        <v>13438.568000000001</v>
      </c>
      <c r="K190" s="61"/>
      <c r="L190" s="160">
        <v>0</v>
      </c>
      <c r="M190" s="55">
        <f t="shared" si="83"/>
        <v>0</v>
      </c>
      <c r="N190" s="55">
        <f t="shared" si="84"/>
        <v>0</v>
      </c>
      <c r="O190" s="95"/>
      <c r="P190" s="160">
        <v>0</v>
      </c>
      <c r="Q190" s="55">
        <f t="shared" si="85"/>
        <v>0</v>
      </c>
      <c r="R190" s="65">
        <f t="shared" si="86"/>
        <v>0</v>
      </c>
      <c r="S190" s="118">
        <v>5</v>
      </c>
      <c r="T190" s="121" t="s">
        <v>201</v>
      </c>
      <c r="U190" s="73">
        <f>SUMIF('Avoided Costs 2013-2021'!$A:$A,'2013 Actuals'!T190&amp;'2013 Actuals'!S190,'Avoided Costs 2013-2021'!$E:$E)*J190</f>
        <v>10464.648810619967</v>
      </c>
      <c r="V190" s="73">
        <f>SUMIF('Avoided Costs 2013-2021'!$A:$A,'2013 Actuals'!T190&amp;'2013 Actuals'!S190,'Avoided Costs 2013-2021'!$K:$K)*N190</f>
        <v>0</v>
      </c>
      <c r="W190" s="73">
        <f>SUMIF('Avoided Costs 2013-2021'!$A:$A,'2013 Actuals'!T190&amp;'2013 Actuals'!S190,'Avoided Costs 2013-2021'!$M:$M)*R190</f>
        <v>0</v>
      </c>
      <c r="X190" s="73">
        <f t="shared" si="87"/>
        <v>10464.648810619967</v>
      </c>
      <c r="Y190" s="83">
        <v>3958</v>
      </c>
      <c r="Z190" s="74">
        <f t="shared" si="88"/>
        <v>3483.04</v>
      </c>
      <c r="AA190" s="74"/>
      <c r="AB190" s="74"/>
      <c r="AC190" s="74"/>
      <c r="AD190" s="74">
        <f t="shared" si="89"/>
        <v>3483.04</v>
      </c>
      <c r="AE190" s="74">
        <f t="shared" si="90"/>
        <v>6981.6088106199668</v>
      </c>
      <c r="AF190" s="52">
        <f t="shared" si="91"/>
        <v>67192.840000000011</v>
      </c>
      <c r="AG190" s="52">
        <f t="shared" si="92"/>
        <v>76355.5</v>
      </c>
    </row>
    <row r="191" spans="1:33" s="21" customFormat="1" x14ac:dyDescent="0.2">
      <c r="A191" s="114" t="s">
        <v>944</v>
      </c>
      <c r="B191" s="114"/>
      <c r="C191" s="114"/>
      <c r="D191" s="160">
        <v>1</v>
      </c>
      <c r="E191" s="161"/>
      <c r="F191" s="162">
        <v>0.12</v>
      </c>
      <c r="G191" s="162"/>
      <c r="H191" s="52">
        <v>43227</v>
      </c>
      <c r="I191" s="52">
        <f t="shared" si="81"/>
        <v>38212.667999999998</v>
      </c>
      <c r="J191" s="52">
        <f t="shared" si="82"/>
        <v>33627.147839999998</v>
      </c>
      <c r="K191" s="61"/>
      <c r="L191" s="160">
        <v>0</v>
      </c>
      <c r="M191" s="55">
        <f t="shared" si="83"/>
        <v>0</v>
      </c>
      <c r="N191" s="55">
        <f t="shared" si="84"/>
        <v>0</v>
      </c>
      <c r="O191" s="95"/>
      <c r="P191" s="160">
        <v>0</v>
      </c>
      <c r="Q191" s="55">
        <f t="shared" si="85"/>
        <v>0</v>
      </c>
      <c r="R191" s="65">
        <f t="shared" si="86"/>
        <v>0</v>
      </c>
      <c r="S191" s="118">
        <v>5</v>
      </c>
      <c r="T191" s="121" t="s">
        <v>201</v>
      </c>
      <c r="U191" s="73">
        <f>SUMIF('Avoided Costs 2013-2021'!$A:$A,'2013 Actuals'!T191&amp;'2013 Actuals'!S191,'Avoided Costs 2013-2021'!$E:$E)*J191</f>
        <v>26185.549877665366</v>
      </c>
      <c r="V191" s="73">
        <f>SUMIF('Avoided Costs 2013-2021'!$A:$A,'2013 Actuals'!T191&amp;'2013 Actuals'!S191,'Avoided Costs 2013-2021'!$K:$K)*N191</f>
        <v>0</v>
      </c>
      <c r="W191" s="73">
        <f>SUMIF('Avoided Costs 2013-2021'!$A:$A,'2013 Actuals'!T191&amp;'2013 Actuals'!S191,'Avoided Costs 2013-2021'!$M:$M)*R191</f>
        <v>0</v>
      </c>
      <c r="X191" s="73">
        <f t="shared" si="87"/>
        <v>26185.549877665366</v>
      </c>
      <c r="Y191" s="83">
        <v>5083</v>
      </c>
      <c r="Z191" s="74">
        <f t="shared" si="88"/>
        <v>4473.04</v>
      </c>
      <c r="AA191" s="74"/>
      <c r="AB191" s="74"/>
      <c r="AC191" s="74"/>
      <c r="AD191" s="74">
        <f t="shared" si="89"/>
        <v>4473.04</v>
      </c>
      <c r="AE191" s="74">
        <f t="shared" si="90"/>
        <v>21712.509877665365</v>
      </c>
      <c r="AF191" s="52">
        <f t="shared" si="91"/>
        <v>168135.73919999998</v>
      </c>
      <c r="AG191" s="52">
        <f t="shared" si="92"/>
        <v>191063.34</v>
      </c>
    </row>
    <row r="192" spans="1:33" s="21" customFormat="1" x14ac:dyDescent="0.2">
      <c r="A192" s="114" t="s">
        <v>945</v>
      </c>
      <c r="B192" s="114"/>
      <c r="C192" s="114"/>
      <c r="D192" s="160">
        <v>1</v>
      </c>
      <c r="E192" s="161"/>
      <c r="F192" s="162">
        <v>0.12</v>
      </c>
      <c r="G192" s="162"/>
      <c r="H192" s="52">
        <v>6922</v>
      </c>
      <c r="I192" s="52">
        <f t="shared" si="81"/>
        <v>6119.0479999999998</v>
      </c>
      <c r="J192" s="52">
        <f t="shared" si="82"/>
        <v>5384.76224</v>
      </c>
      <c r="K192" s="61"/>
      <c r="L192" s="160">
        <v>0</v>
      </c>
      <c r="M192" s="55">
        <f t="shared" si="83"/>
        <v>0</v>
      </c>
      <c r="N192" s="55">
        <f t="shared" si="84"/>
        <v>0</v>
      </c>
      <c r="O192" s="95"/>
      <c r="P192" s="160">
        <v>0</v>
      </c>
      <c r="Q192" s="55">
        <f t="shared" si="85"/>
        <v>0</v>
      </c>
      <c r="R192" s="65">
        <f t="shared" si="86"/>
        <v>0</v>
      </c>
      <c r="S192" s="118">
        <v>5</v>
      </c>
      <c r="T192" s="121" t="s">
        <v>201</v>
      </c>
      <c r="U192" s="73">
        <f>SUMIF('Avoided Costs 2013-2021'!$A:$A,'2013 Actuals'!T192&amp;'2013 Actuals'!S192,'Avoided Costs 2013-2021'!$E:$E)*J192</f>
        <v>4193.1287448400235</v>
      </c>
      <c r="V192" s="73">
        <f>SUMIF('Avoided Costs 2013-2021'!$A:$A,'2013 Actuals'!T192&amp;'2013 Actuals'!S192,'Avoided Costs 2013-2021'!$K:$K)*N192</f>
        <v>0</v>
      </c>
      <c r="W192" s="73">
        <f>SUMIF('Avoided Costs 2013-2021'!$A:$A,'2013 Actuals'!T192&amp;'2013 Actuals'!S192,'Avoided Costs 2013-2021'!$M:$M)*R192</f>
        <v>0</v>
      </c>
      <c r="X192" s="73">
        <f t="shared" si="87"/>
        <v>4193.1287448400235</v>
      </c>
      <c r="Y192" s="83">
        <v>11112</v>
      </c>
      <c r="Z192" s="74">
        <f t="shared" si="88"/>
        <v>9778.56</v>
      </c>
      <c r="AA192" s="74"/>
      <c r="AB192" s="74"/>
      <c r="AC192" s="74"/>
      <c r="AD192" s="74">
        <f t="shared" si="89"/>
        <v>9778.56</v>
      </c>
      <c r="AE192" s="74">
        <f t="shared" si="90"/>
        <v>-5585.431255159976</v>
      </c>
      <c r="AF192" s="52">
        <f t="shared" si="91"/>
        <v>26923.8112</v>
      </c>
      <c r="AG192" s="52">
        <f t="shared" si="92"/>
        <v>30595.239999999998</v>
      </c>
    </row>
    <row r="193" spans="1:33" s="21" customFormat="1" x14ac:dyDescent="0.2">
      <c r="A193" s="114" t="s">
        <v>946</v>
      </c>
      <c r="B193" s="114"/>
      <c r="C193" s="114"/>
      <c r="D193" s="160">
        <v>1</v>
      </c>
      <c r="E193" s="161"/>
      <c r="F193" s="162">
        <v>0.12</v>
      </c>
      <c r="G193" s="162"/>
      <c r="H193" s="52">
        <v>45080</v>
      </c>
      <c r="I193" s="52">
        <f t="shared" si="81"/>
        <v>39850.720000000001</v>
      </c>
      <c r="J193" s="52">
        <f t="shared" si="82"/>
        <v>35068.633600000001</v>
      </c>
      <c r="K193" s="61"/>
      <c r="L193" s="160">
        <v>0</v>
      </c>
      <c r="M193" s="55">
        <f t="shared" si="83"/>
        <v>0</v>
      </c>
      <c r="N193" s="55">
        <f t="shared" si="84"/>
        <v>0</v>
      </c>
      <c r="O193" s="95"/>
      <c r="P193" s="160">
        <v>0</v>
      </c>
      <c r="Q193" s="55">
        <f t="shared" si="85"/>
        <v>0</v>
      </c>
      <c r="R193" s="65">
        <f t="shared" si="86"/>
        <v>0</v>
      </c>
      <c r="S193" s="118">
        <v>5</v>
      </c>
      <c r="T193" s="121" t="s">
        <v>201</v>
      </c>
      <c r="U193" s="73">
        <f>SUMIF('Avoided Costs 2013-2021'!$A:$A,'2013 Actuals'!T193&amp;'2013 Actuals'!S193,'Avoided Costs 2013-2021'!$E:$E)*J193</f>
        <v>27308.038690752419</v>
      </c>
      <c r="V193" s="73">
        <f>SUMIF('Avoided Costs 2013-2021'!$A:$A,'2013 Actuals'!T193&amp;'2013 Actuals'!S193,'Avoided Costs 2013-2021'!$K:$K)*N193</f>
        <v>0</v>
      </c>
      <c r="W193" s="73">
        <f>SUMIF('Avoided Costs 2013-2021'!$A:$A,'2013 Actuals'!T193&amp;'2013 Actuals'!S193,'Avoided Costs 2013-2021'!$M:$M)*R193</f>
        <v>0</v>
      </c>
      <c r="X193" s="73">
        <f t="shared" si="87"/>
        <v>27308.038690752419</v>
      </c>
      <c r="Y193" s="83">
        <v>6791</v>
      </c>
      <c r="Z193" s="74">
        <f t="shared" si="88"/>
        <v>5976.08</v>
      </c>
      <c r="AA193" s="74"/>
      <c r="AB193" s="74"/>
      <c r="AC193" s="74"/>
      <c r="AD193" s="74">
        <f t="shared" si="89"/>
        <v>5976.08</v>
      </c>
      <c r="AE193" s="74">
        <f t="shared" si="90"/>
        <v>21331.958690752421</v>
      </c>
      <c r="AF193" s="52">
        <f t="shared" si="91"/>
        <v>175343.16800000001</v>
      </c>
      <c r="AG193" s="52">
        <f t="shared" si="92"/>
        <v>199253.6</v>
      </c>
    </row>
    <row r="194" spans="1:33" s="21" customFormat="1" x14ac:dyDescent="0.2">
      <c r="A194" s="114" t="s">
        <v>947</v>
      </c>
      <c r="B194" s="114"/>
      <c r="C194" s="114"/>
      <c r="D194" s="160">
        <v>1</v>
      </c>
      <c r="E194" s="161"/>
      <c r="F194" s="162">
        <v>0.12</v>
      </c>
      <c r="G194" s="162"/>
      <c r="H194" s="52">
        <v>19035</v>
      </c>
      <c r="I194" s="52">
        <f t="shared" si="81"/>
        <v>16826.939999999999</v>
      </c>
      <c r="J194" s="52">
        <f t="shared" si="82"/>
        <v>14807.707199999999</v>
      </c>
      <c r="K194" s="61"/>
      <c r="L194" s="160">
        <v>0</v>
      </c>
      <c r="M194" s="55">
        <f t="shared" si="83"/>
        <v>0</v>
      </c>
      <c r="N194" s="55">
        <f t="shared" si="84"/>
        <v>0</v>
      </c>
      <c r="O194" s="95"/>
      <c r="P194" s="160">
        <v>0</v>
      </c>
      <c r="Q194" s="55">
        <f t="shared" si="85"/>
        <v>0</v>
      </c>
      <c r="R194" s="65">
        <f t="shared" si="86"/>
        <v>0</v>
      </c>
      <c r="S194" s="118">
        <v>5</v>
      </c>
      <c r="T194" s="121" t="s">
        <v>201</v>
      </c>
      <c r="U194" s="73">
        <f>SUMIF('Avoided Costs 2013-2021'!$A:$A,'2013 Actuals'!T194&amp;'2013 Actuals'!S194,'Avoided Costs 2013-2021'!$E:$E)*J194</f>
        <v>11530.801164118728</v>
      </c>
      <c r="V194" s="73">
        <f>SUMIF('Avoided Costs 2013-2021'!$A:$A,'2013 Actuals'!T194&amp;'2013 Actuals'!S194,'Avoided Costs 2013-2021'!$K:$K)*N194</f>
        <v>0</v>
      </c>
      <c r="W194" s="73">
        <f>SUMIF('Avoided Costs 2013-2021'!$A:$A,'2013 Actuals'!T194&amp;'2013 Actuals'!S194,'Avoided Costs 2013-2021'!$M:$M)*R194</f>
        <v>0</v>
      </c>
      <c r="X194" s="73">
        <f t="shared" si="87"/>
        <v>11530.801164118728</v>
      </c>
      <c r="Y194" s="83">
        <v>7487</v>
      </c>
      <c r="Z194" s="74">
        <f t="shared" si="88"/>
        <v>6588.56</v>
      </c>
      <c r="AA194" s="74"/>
      <c r="AB194" s="74"/>
      <c r="AC194" s="74"/>
      <c r="AD194" s="74">
        <f t="shared" si="89"/>
        <v>6588.56</v>
      </c>
      <c r="AE194" s="74">
        <f t="shared" si="90"/>
        <v>4942.2411641187273</v>
      </c>
      <c r="AF194" s="52">
        <f t="shared" si="91"/>
        <v>74038.535999999993</v>
      </c>
      <c r="AG194" s="52">
        <f t="shared" si="92"/>
        <v>84134.7</v>
      </c>
    </row>
    <row r="195" spans="1:33" s="21" customFormat="1" x14ac:dyDescent="0.2">
      <c r="A195" s="114" t="s">
        <v>948</v>
      </c>
      <c r="B195" s="114"/>
      <c r="C195" s="114"/>
      <c r="D195" s="160">
        <v>1</v>
      </c>
      <c r="E195" s="161"/>
      <c r="F195" s="162">
        <v>0.12</v>
      </c>
      <c r="G195" s="162"/>
      <c r="H195" s="52">
        <v>17320</v>
      </c>
      <c r="I195" s="52">
        <f t="shared" si="81"/>
        <v>15310.880000000001</v>
      </c>
      <c r="J195" s="52">
        <f t="shared" si="82"/>
        <v>13473.574400000001</v>
      </c>
      <c r="K195" s="61"/>
      <c r="L195" s="160">
        <v>0</v>
      </c>
      <c r="M195" s="55">
        <f t="shared" si="83"/>
        <v>0</v>
      </c>
      <c r="N195" s="55">
        <f t="shared" si="84"/>
        <v>0</v>
      </c>
      <c r="O195" s="95"/>
      <c r="P195" s="160">
        <v>0</v>
      </c>
      <c r="Q195" s="55">
        <f t="shared" si="85"/>
        <v>0</v>
      </c>
      <c r="R195" s="65">
        <f t="shared" si="86"/>
        <v>0</v>
      </c>
      <c r="S195" s="118">
        <v>15</v>
      </c>
      <c r="T195" s="121" t="s">
        <v>201</v>
      </c>
      <c r="U195" s="73">
        <f>SUMIF('Avoided Costs 2013-2021'!$A:$A,'2013 Actuals'!T195&amp;'2013 Actuals'!S195,'Avoided Costs 2013-2021'!$E:$E)*J195</f>
        <v>30111.586864178891</v>
      </c>
      <c r="V195" s="73">
        <f>SUMIF('Avoided Costs 2013-2021'!$A:$A,'2013 Actuals'!T195&amp;'2013 Actuals'!S195,'Avoided Costs 2013-2021'!$K:$K)*N195</f>
        <v>0</v>
      </c>
      <c r="W195" s="73">
        <f>SUMIF('Avoided Costs 2013-2021'!$A:$A,'2013 Actuals'!T195&amp;'2013 Actuals'!S195,'Avoided Costs 2013-2021'!$M:$M)*R195</f>
        <v>0</v>
      </c>
      <c r="X195" s="73">
        <f t="shared" si="87"/>
        <v>30111.586864178891</v>
      </c>
      <c r="Y195" s="83">
        <v>41376.35</v>
      </c>
      <c r="Z195" s="74">
        <f t="shared" si="88"/>
        <v>36411.188000000002</v>
      </c>
      <c r="AA195" s="74"/>
      <c r="AB195" s="74"/>
      <c r="AC195" s="74"/>
      <c r="AD195" s="74">
        <f t="shared" si="89"/>
        <v>36411.188000000002</v>
      </c>
      <c r="AE195" s="74">
        <f t="shared" si="90"/>
        <v>-6299.6011358211108</v>
      </c>
      <c r="AF195" s="52">
        <f t="shared" si="91"/>
        <v>202103.61600000001</v>
      </c>
      <c r="AG195" s="52">
        <f t="shared" si="92"/>
        <v>229663.2</v>
      </c>
    </row>
    <row r="196" spans="1:33" s="21" customFormat="1" x14ac:dyDescent="0.2">
      <c r="A196" s="114" t="s">
        <v>949</v>
      </c>
      <c r="B196" s="114"/>
      <c r="C196" s="114"/>
      <c r="D196" s="160">
        <v>1</v>
      </c>
      <c r="E196" s="161"/>
      <c r="F196" s="162">
        <v>0.12</v>
      </c>
      <c r="G196" s="162"/>
      <c r="H196" s="52">
        <v>7654</v>
      </c>
      <c r="I196" s="52">
        <f t="shared" si="81"/>
        <v>6766.1360000000004</v>
      </c>
      <c r="J196" s="52">
        <f t="shared" si="82"/>
        <v>5954.1996800000006</v>
      </c>
      <c r="K196" s="61"/>
      <c r="L196" s="160">
        <v>0</v>
      </c>
      <c r="M196" s="55">
        <f t="shared" si="83"/>
        <v>0</v>
      </c>
      <c r="N196" s="55">
        <f t="shared" si="84"/>
        <v>0</v>
      </c>
      <c r="O196" s="95"/>
      <c r="P196" s="160">
        <v>0</v>
      </c>
      <c r="Q196" s="55">
        <f t="shared" si="85"/>
        <v>0</v>
      </c>
      <c r="R196" s="65">
        <f t="shared" si="86"/>
        <v>0</v>
      </c>
      <c r="S196" s="118">
        <v>5</v>
      </c>
      <c r="T196" s="121" t="s">
        <v>201</v>
      </c>
      <c r="U196" s="73">
        <f>SUMIF('Avoided Costs 2013-2021'!$A:$A,'2013 Actuals'!T196&amp;'2013 Actuals'!S196,'Avoided Costs 2013-2021'!$E:$E)*J196</f>
        <v>4636.5512009542817</v>
      </c>
      <c r="V196" s="73">
        <f>SUMIF('Avoided Costs 2013-2021'!$A:$A,'2013 Actuals'!T196&amp;'2013 Actuals'!S196,'Avoided Costs 2013-2021'!$K:$K)*N196</f>
        <v>0</v>
      </c>
      <c r="W196" s="73">
        <f>SUMIF('Avoided Costs 2013-2021'!$A:$A,'2013 Actuals'!T196&amp;'2013 Actuals'!S196,'Avoided Costs 2013-2021'!$M:$M)*R196</f>
        <v>0</v>
      </c>
      <c r="X196" s="73">
        <f t="shared" si="87"/>
        <v>4636.5512009542817</v>
      </c>
      <c r="Y196" s="83">
        <v>6216</v>
      </c>
      <c r="Z196" s="74">
        <f t="shared" si="88"/>
        <v>5470.08</v>
      </c>
      <c r="AA196" s="74"/>
      <c r="AB196" s="74"/>
      <c r="AC196" s="74"/>
      <c r="AD196" s="74">
        <f t="shared" si="89"/>
        <v>5470.08</v>
      </c>
      <c r="AE196" s="74">
        <f t="shared" si="90"/>
        <v>-833.52879904571819</v>
      </c>
      <c r="AF196" s="52">
        <f t="shared" si="91"/>
        <v>29770.998400000004</v>
      </c>
      <c r="AG196" s="52">
        <f t="shared" si="92"/>
        <v>33830.68</v>
      </c>
    </row>
    <row r="197" spans="1:33" s="21" customFormat="1" x14ac:dyDescent="0.2">
      <c r="A197" s="114" t="s">
        <v>950</v>
      </c>
      <c r="B197" s="114"/>
      <c r="C197" s="114"/>
      <c r="D197" s="160">
        <v>1</v>
      </c>
      <c r="E197" s="161"/>
      <c r="F197" s="162">
        <v>0.12</v>
      </c>
      <c r="G197" s="162"/>
      <c r="H197" s="52">
        <v>102561</v>
      </c>
      <c r="I197" s="52">
        <f t="shared" si="81"/>
        <v>90663.923999999999</v>
      </c>
      <c r="J197" s="52">
        <f t="shared" si="82"/>
        <v>79784.253119999994</v>
      </c>
      <c r="K197" s="61"/>
      <c r="L197" s="160">
        <v>0</v>
      </c>
      <c r="M197" s="55">
        <f t="shared" si="83"/>
        <v>0</v>
      </c>
      <c r="N197" s="55">
        <f t="shared" si="84"/>
        <v>0</v>
      </c>
      <c r="O197" s="95"/>
      <c r="P197" s="160">
        <v>0</v>
      </c>
      <c r="Q197" s="55">
        <f t="shared" si="85"/>
        <v>0</v>
      </c>
      <c r="R197" s="65">
        <f t="shared" si="86"/>
        <v>0</v>
      </c>
      <c r="S197" s="118">
        <v>15</v>
      </c>
      <c r="T197" s="121" t="s">
        <v>201</v>
      </c>
      <c r="U197" s="73">
        <f>SUMIF('Avoided Costs 2013-2021'!$A:$A,'2013 Actuals'!T197&amp;'2013 Actuals'!S197,'Avoided Costs 2013-2021'!$E:$E)*J197</f>
        <v>178306.83951368654</v>
      </c>
      <c r="V197" s="73">
        <f>SUMIF('Avoided Costs 2013-2021'!$A:$A,'2013 Actuals'!T197&amp;'2013 Actuals'!S197,'Avoided Costs 2013-2021'!$K:$K)*N197</f>
        <v>0</v>
      </c>
      <c r="W197" s="73">
        <f>SUMIF('Avoided Costs 2013-2021'!$A:$A,'2013 Actuals'!T197&amp;'2013 Actuals'!S197,'Avoided Costs 2013-2021'!$M:$M)*R197</f>
        <v>0</v>
      </c>
      <c r="X197" s="73">
        <f t="shared" si="87"/>
        <v>178306.83951368654</v>
      </c>
      <c r="Y197" s="83">
        <v>41936</v>
      </c>
      <c r="Z197" s="74">
        <f t="shared" si="88"/>
        <v>36903.68</v>
      </c>
      <c r="AA197" s="74"/>
      <c r="AB197" s="74"/>
      <c r="AC197" s="74"/>
      <c r="AD197" s="74">
        <f t="shared" si="89"/>
        <v>36903.68</v>
      </c>
      <c r="AE197" s="74">
        <f t="shared" si="90"/>
        <v>141403.15951368655</v>
      </c>
      <c r="AF197" s="52">
        <f t="shared" si="91"/>
        <v>1196763.7967999999</v>
      </c>
      <c r="AG197" s="52">
        <f t="shared" si="92"/>
        <v>1359958.8599999999</v>
      </c>
    </row>
    <row r="198" spans="1:33" s="21" customFormat="1" x14ac:dyDescent="0.2">
      <c r="A198" s="114" t="s">
        <v>951</v>
      </c>
      <c r="B198" s="114"/>
      <c r="C198" s="114"/>
      <c r="D198" s="160">
        <v>1</v>
      </c>
      <c r="E198" s="161"/>
      <c r="F198" s="162">
        <v>0.12</v>
      </c>
      <c r="G198" s="162"/>
      <c r="H198" s="52">
        <v>3076</v>
      </c>
      <c r="I198" s="52">
        <f>H198</f>
        <v>3076</v>
      </c>
      <c r="J198" s="52">
        <f t="shared" si="82"/>
        <v>2706.88</v>
      </c>
      <c r="K198" s="61"/>
      <c r="L198" s="160">
        <v>0</v>
      </c>
      <c r="M198" s="55">
        <f t="shared" si="83"/>
        <v>0</v>
      </c>
      <c r="N198" s="55">
        <f t="shared" si="84"/>
        <v>0</v>
      </c>
      <c r="O198" s="95"/>
      <c r="P198" s="160">
        <v>0</v>
      </c>
      <c r="Q198" s="55">
        <f t="shared" si="85"/>
        <v>0</v>
      </c>
      <c r="R198" s="65">
        <f t="shared" si="86"/>
        <v>0</v>
      </c>
      <c r="S198" s="137">
        <v>8</v>
      </c>
      <c r="T198" s="121" t="s">
        <v>217</v>
      </c>
      <c r="U198" s="73">
        <f>SUMIF('Avoided Costs 2013-2021'!$A:$A,'2013 Actuals'!T198&amp;'2013 Actuals'!S198,'Avoided Costs 2013-2021'!$E:$E)*J198</f>
        <v>3276.6743978000736</v>
      </c>
      <c r="V198" s="73">
        <f>SUMIF('Avoided Costs 2013-2021'!$A:$A,'2013 Actuals'!T198&amp;'2013 Actuals'!S198,'Avoided Costs 2013-2021'!$K:$K)*N198</f>
        <v>0</v>
      </c>
      <c r="W198" s="73">
        <f>SUMIF('Avoided Costs 2013-2021'!$A:$A,'2013 Actuals'!T198&amp;'2013 Actuals'!S198,'Avoided Costs 2013-2021'!$M:$M)*R198</f>
        <v>0</v>
      </c>
      <c r="X198" s="73">
        <f t="shared" si="87"/>
        <v>3276.6743978000736</v>
      </c>
      <c r="Y198" s="83">
        <v>6000</v>
      </c>
      <c r="Z198" s="74">
        <f t="shared" si="88"/>
        <v>5280</v>
      </c>
      <c r="AA198" s="74"/>
      <c r="AB198" s="74"/>
      <c r="AC198" s="74"/>
      <c r="AD198" s="74">
        <f t="shared" si="89"/>
        <v>5280</v>
      </c>
      <c r="AE198" s="74">
        <f t="shared" si="90"/>
        <v>-2003.3256021999264</v>
      </c>
      <c r="AF198" s="52">
        <f t="shared" si="91"/>
        <v>21655.040000000001</v>
      </c>
      <c r="AG198" s="52">
        <f t="shared" si="92"/>
        <v>24608</v>
      </c>
    </row>
    <row r="199" spans="1:33" s="21" customFormat="1" x14ac:dyDescent="0.2">
      <c r="A199" s="114" t="s">
        <v>952</v>
      </c>
      <c r="B199" s="114"/>
      <c r="C199" s="114"/>
      <c r="D199" s="160">
        <v>1</v>
      </c>
      <c r="E199" s="161"/>
      <c r="F199" s="162">
        <v>0.12</v>
      </c>
      <c r="G199" s="162"/>
      <c r="H199" s="52">
        <v>24939</v>
      </c>
      <c r="I199" s="52">
        <f t="shared" si="81"/>
        <v>22046.076000000001</v>
      </c>
      <c r="J199" s="52">
        <f t="shared" si="82"/>
        <v>19400.546880000002</v>
      </c>
      <c r="K199" s="61"/>
      <c r="L199" s="160">
        <v>0</v>
      </c>
      <c r="M199" s="55">
        <f t="shared" si="83"/>
        <v>0</v>
      </c>
      <c r="N199" s="55">
        <f t="shared" si="84"/>
        <v>0</v>
      </c>
      <c r="O199" s="95"/>
      <c r="P199" s="160">
        <v>0</v>
      </c>
      <c r="Q199" s="55">
        <f t="shared" si="85"/>
        <v>0</v>
      </c>
      <c r="R199" s="65">
        <f t="shared" si="86"/>
        <v>0</v>
      </c>
      <c r="S199" s="118">
        <v>25</v>
      </c>
      <c r="T199" s="121" t="s">
        <v>201</v>
      </c>
      <c r="U199" s="73">
        <f>SUMIF('Avoided Costs 2013-2021'!$A:$A,'2013 Actuals'!T199&amp;'2013 Actuals'!S199,'Avoided Costs 2013-2021'!$E:$E)*J199</f>
        <v>60862.282995559515</v>
      </c>
      <c r="V199" s="73">
        <f>SUMIF('Avoided Costs 2013-2021'!$A:$A,'2013 Actuals'!T199&amp;'2013 Actuals'!S199,'Avoided Costs 2013-2021'!$K:$K)*N199</f>
        <v>0</v>
      </c>
      <c r="W199" s="73">
        <f>SUMIF('Avoided Costs 2013-2021'!$A:$A,'2013 Actuals'!T199&amp;'2013 Actuals'!S199,'Avoided Costs 2013-2021'!$M:$M)*R199</f>
        <v>0</v>
      </c>
      <c r="X199" s="73">
        <f t="shared" si="87"/>
        <v>60862.282995559515</v>
      </c>
      <c r="Y199" s="83">
        <v>80582</v>
      </c>
      <c r="Z199" s="74">
        <f t="shared" si="88"/>
        <v>70912.160000000003</v>
      </c>
      <c r="AA199" s="74"/>
      <c r="AB199" s="74"/>
      <c r="AC199" s="74"/>
      <c r="AD199" s="74">
        <f t="shared" si="89"/>
        <v>70912.160000000003</v>
      </c>
      <c r="AE199" s="74">
        <f t="shared" si="90"/>
        <v>-10049.877004440488</v>
      </c>
      <c r="AF199" s="52">
        <f t="shared" si="91"/>
        <v>485013.67200000002</v>
      </c>
      <c r="AG199" s="52">
        <f t="shared" si="92"/>
        <v>551151.9</v>
      </c>
    </row>
    <row r="200" spans="1:33" s="21" customFormat="1" x14ac:dyDescent="0.2">
      <c r="A200" s="114" t="s">
        <v>953</v>
      </c>
      <c r="B200" s="114"/>
      <c r="C200" s="114"/>
      <c r="D200" s="160">
        <v>1</v>
      </c>
      <c r="E200" s="161"/>
      <c r="F200" s="162">
        <v>0.12</v>
      </c>
      <c r="G200" s="162"/>
      <c r="H200" s="52">
        <v>7868</v>
      </c>
      <c r="I200" s="52">
        <f t="shared" si="81"/>
        <v>6955.3119999999999</v>
      </c>
      <c r="J200" s="52">
        <f t="shared" si="82"/>
        <v>6120.6745600000004</v>
      </c>
      <c r="K200" s="61"/>
      <c r="L200" s="160">
        <v>-1808</v>
      </c>
      <c r="M200" s="55">
        <f t="shared" si="83"/>
        <v>-1808</v>
      </c>
      <c r="N200" s="55">
        <f t="shared" si="84"/>
        <v>-1591.04</v>
      </c>
      <c r="O200" s="95"/>
      <c r="P200" s="160">
        <v>0</v>
      </c>
      <c r="Q200" s="55">
        <f t="shared" si="85"/>
        <v>0</v>
      </c>
      <c r="R200" s="65">
        <f t="shared" si="86"/>
        <v>0</v>
      </c>
      <c r="S200" s="118">
        <v>15</v>
      </c>
      <c r="T200" s="121" t="s">
        <v>201</v>
      </c>
      <c r="U200" s="73">
        <f>SUMIF('Avoided Costs 2013-2021'!$A:$A,'2013 Actuals'!T200&amp;'2013 Actuals'!S200,'Avoided Costs 2013-2021'!$E:$E)*J200</f>
        <v>13678.866365320988</v>
      </c>
      <c r="V200" s="73">
        <f>SUMIF('Avoided Costs 2013-2021'!$A:$A,'2013 Actuals'!T200&amp;'2013 Actuals'!S200,'Avoided Costs 2013-2021'!$K:$K)*N200</f>
        <v>-1665.6497030496582</v>
      </c>
      <c r="W200" s="73">
        <f>SUMIF('Avoided Costs 2013-2021'!$A:$A,'2013 Actuals'!T200&amp;'2013 Actuals'!S200,'Avoided Costs 2013-2021'!$M:$M)*R200</f>
        <v>0</v>
      </c>
      <c r="X200" s="73">
        <f t="shared" si="87"/>
        <v>12013.21666227133</v>
      </c>
      <c r="Y200" s="83">
        <v>4950</v>
      </c>
      <c r="Z200" s="74">
        <f t="shared" si="88"/>
        <v>4356</v>
      </c>
      <c r="AA200" s="74"/>
      <c r="AB200" s="74"/>
      <c r="AC200" s="74"/>
      <c r="AD200" s="74">
        <f t="shared" si="89"/>
        <v>4356</v>
      </c>
      <c r="AE200" s="74">
        <f t="shared" si="90"/>
        <v>7657.2166622713303</v>
      </c>
      <c r="AF200" s="52">
        <f t="shared" si="91"/>
        <v>91810.118400000007</v>
      </c>
      <c r="AG200" s="52">
        <f t="shared" si="92"/>
        <v>104329.68</v>
      </c>
    </row>
    <row r="201" spans="1:33" s="21" customFormat="1" x14ac:dyDescent="0.2">
      <c r="A201" s="114" t="s">
        <v>954</v>
      </c>
      <c r="B201" s="114"/>
      <c r="C201" s="114"/>
      <c r="D201" s="160">
        <v>1</v>
      </c>
      <c r="E201" s="161"/>
      <c r="F201" s="162">
        <v>0.12</v>
      </c>
      <c r="G201" s="162"/>
      <c r="H201" s="52">
        <v>9600</v>
      </c>
      <c r="I201" s="52">
        <f t="shared" si="81"/>
        <v>8486.4</v>
      </c>
      <c r="J201" s="52">
        <f t="shared" si="82"/>
        <v>7468.0320000000002</v>
      </c>
      <c r="K201" s="61"/>
      <c r="L201" s="160">
        <v>7000</v>
      </c>
      <c r="M201" s="55">
        <f t="shared" si="83"/>
        <v>7000</v>
      </c>
      <c r="N201" s="55">
        <f t="shared" si="84"/>
        <v>6160</v>
      </c>
      <c r="O201" s="95"/>
      <c r="P201" s="160">
        <v>0</v>
      </c>
      <c r="Q201" s="55">
        <f t="shared" si="85"/>
        <v>0</v>
      </c>
      <c r="R201" s="65">
        <f t="shared" si="86"/>
        <v>0</v>
      </c>
      <c r="S201" s="118">
        <v>25</v>
      </c>
      <c r="T201" s="121" t="s">
        <v>201</v>
      </c>
      <c r="U201" s="73">
        <f>SUMIF('Avoided Costs 2013-2021'!$A:$A,'2013 Actuals'!T201&amp;'2013 Actuals'!S201,'Avoided Costs 2013-2021'!$E:$E)*J201</f>
        <v>23428.281677588169</v>
      </c>
      <c r="V201" s="73">
        <f>SUMIF('Avoided Costs 2013-2021'!$A:$A,'2013 Actuals'!T201&amp;'2013 Actuals'!S201,'Avoided Costs 2013-2021'!$K:$K)*N201</f>
        <v>8784.7579226320286</v>
      </c>
      <c r="W201" s="73">
        <f>SUMIF('Avoided Costs 2013-2021'!$A:$A,'2013 Actuals'!T201&amp;'2013 Actuals'!S201,'Avoided Costs 2013-2021'!$M:$M)*R201</f>
        <v>0</v>
      </c>
      <c r="X201" s="73">
        <f t="shared" si="87"/>
        <v>32213.039600220196</v>
      </c>
      <c r="Y201" s="83">
        <v>18057</v>
      </c>
      <c r="Z201" s="74">
        <f t="shared" si="88"/>
        <v>15890.16</v>
      </c>
      <c r="AA201" s="74"/>
      <c r="AB201" s="74"/>
      <c r="AC201" s="74"/>
      <c r="AD201" s="74">
        <f t="shared" si="89"/>
        <v>15890.16</v>
      </c>
      <c r="AE201" s="74">
        <f t="shared" si="90"/>
        <v>16322.879600220196</v>
      </c>
      <c r="AF201" s="52">
        <f t="shared" si="91"/>
        <v>186700.80000000002</v>
      </c>
      <c r="AG201" s="52">
        <f t="shared" si="92"/>
        <v>212160</v>
      </c>
    </row>
    <row r="202" spans="1:33" s="21" customFormat="1" x14ac:dyDescent="0.2">
      <c r="A202" s="114" t="s">
        <v>955</v>
      </c>
      <c r="B202" s="114"/>
      <c r="C202" s="114"/>
      <c r="D202" s="160">
        <v>1</v>
      </c>
      <c r="E202" s="161"/>
      <c r="F202" s="162">
        <v>0.12</v>
      </c>
      <c r="G202" s="162"/>
      <c r="H202" s="52">
        <v>66390</v>
      </c>
      <c r="I202" s="52">
        <f t="shared" ref="I202:I208" si="93">+$H$39*H202</f>
        <v>58688.76</v>
      </c>
      <c r="J202" s="52">
        <f t="shared" ref="J202:J208" si="94">I202*(1-F202)</f>
        <v>51646.108800000002</v>
      </c>
      <c r="K202" s="61"/>
      <c r="L202" s="160">
        <v>409448</v>
      </c>
      <c r="M202" s="55">
        <f t="shared" ref="M202:M208" si="95">+$L$39*L202</f>
        <v>409448</v>
      </c>
      <c r="N202" s="55">
        <f t="shared" ref="N202:N208" si="96">M202*(1-F202)</f>
        <v>360314.24</v>
      </c>
      <c r="O202" s="95"/>
      <c r="P202" s="160">
        <v>0</v>
      </c>
      <c r="Q202" s="55">
        <f t="shared" ref="Q202:Q208" si="97">+P202*$P$39</f>
        <v>0</v>
      </c>
      <c r="R202" s="65">
        <f t="shared" ref="R202:R208" si="98">Q202*(1-F202)</f>
        <v>0</v>
      </c>
      <c r="S202" s="118">
        <v>15</v>
      </c>
      <c r="T202" s="121" t="s">
        <v>201</v>
      </c>
      <c r="U202" s="73">
        <f>SUMIF('Avoided Costs 2013-2021'!$A:$A,'2013 Actuals'!T202&amp;'2013 Actuals'!S202,'Avoided Costs 2013-2021'!$E:$E)*J202</f>
        <v>115421.95449843167</v>
      </c>
      <c r="V202" s="73">
        <f>SUMIF('Avoided Costs 2013-2021'!$A:$A,'2013 Actuals'!T202&amp;'2013 Actuals'!S202,'Avoided Costs 2013-2021'!$K:$K)*N202</f>
        <v>377210.69668931223</v>
      </c>
      <c r="W202" s="73">
        <f>SUMIF('Avoided Costs 2013-2021'!$A:$A,'2013 Actuals'!T202&amp;'2013 Actuals'!S202,'Avoided Costs 2013-2021'!$M:$M)*R202</f>
        <v>0</v>
      </c>
      <c r="X202" s="73">
        <f t="shared" ref="X202:X208" si="99">SUM(U202:W202)</f>
        <v>492632.65118774388</v>
      </c>
      <c r="Y202" s="83">
        <v>52000</v>
      </c>
      <c r="Z202" s="74">
        <f t="shared" ref="Z202:Z208" si="100">Y202*(1-F202)</f>
        <v>45760</v>
      </c>
      <c r="AA202" s="74"/>
      <c r="AB202" s="74"/>
      <c r="AC202" s="74"/>
      <c r="AD202" s="74">
        <f t="shared" ref="AD202:AD209" si="101">Z202+AB202</f>
        <v>45760</v>
      </c>
      <c r="AE202" s="74">
        <f t="shared" ref="AE202:AE209" si="102">X202-AD202</f>
        <v>446872.65118774388</v>
      </c>
      <c r="AF202" s="52">
        <f t="shared" ref="AF202:AF208" si="103">J202*S202</f>
        <v>774691.63199999998</v>
      </c>
      <c r="AG202" s="52">
        <f t="shared" ref="AG202:AG208" si="104">(I202*S202)</f>
        <v>880331.4</v>
      </c>
    </row>
    <row r="203" spans="1:33" s="21" customFormat="1" x14ac:dyDescent="0.2">
      <c r="A203" s="114" t="s">
        <v>956</v>
      </c>
      <c r="B203" s="114"/>
      <c r="C203" s="114"/>
      <c r="D203" s="160">
        <v>1</v>
      </c>
      <c r="E203" s="161"/>
      <c r="F203" s="162">
        <v>0.12</v>
      </c>
      <c r="G203" s="162"/>
      <c r="H203" s="52">
        <v>6845</v>
      </c>
      <c r="I203" s="52">
        <f t="shared" si="93"/>
        <v>6050.9800000000005</v>
      </c>
      <c r="J203" s="52">
        <f t="shared" si="94"/>
        <v>5324.8624000000009</v>
      </c>
      <c r="K203" s="61"/>
      <c r="L203" s="160">
        <v>0</v>
      </c>
      <c r="M203" s="55">
        <f t="shared" si="95"/>
        <v>0</v>
      </c>
      <c r="N203" s="55">
        <f t="shared" si="96"/>
        <v>0</v>
      </c>
      <c r="O203" s="95"/>
      <c r="P203" s="160">
        <v>0</v>
      </c>
      <c r="Q203" s="55">
        <f t="shared" si="97"/>
        <v>0</v>
      </c>
      <c r="R203" s="65">
        <f t="shared" si="98"/>
        <v>0</v>
      </c>
      <c r="S203" s="118">
        <v>15</v>
      </c>
      <c r="T203" s="121" t="s">
        <v>201</v>
      </c>
      <c r="U203" s="73">
        <f>SUMIF('Avoided Costs 2013-2021'!$A:$A,'2013 Actuals'!T203&amp;'2013 Actuals'!S203,'Avoided Costs 2013-2021'!$E:$E)*J203</f>
        <v>11900.335570745065</v>
      </c>
      <c r="V203" s="73">
        <f>SUMIF('Avoided Costs 2013-2021'!$A:$A,'2013 Actuals'!T203&amp;'2013 Actuals'!S203,'Avoided Costs 2013-2021'!$K:$K)*N203</f>
        <v>0</v>
      </c>
      <c r="W203" s="73">
        <f>SUMIF('Avoided Costs 2013-2021'!$A:$A,'2013 Actuals'!T203&amp;'2013 Actuals'!S203,'Avoided Costs 2013-2021'!$M:$M)*R203</f>
        <v>0</v>
      </c>
      <c r="X203" s="73">
        <f t="shared" si="99"/>
        <v>11900.335570745065</v>
      </c>
      <c r="Y203" s="83">
        <v>3750</v>
      </c>
      <c r="Z203" s="74">
        <f t="shared" si="100"/>
        <v>3300</v>
      </c>
      <c r="AA203" s="74"/>
      <c r="AB203" s="74"/>
      <c r="AC203" s="74"/>
      <c r="AD203" s="74">
        <f t="shared" si="101"/>
        <v>3300</v>
      </c>
      <c r="AE203" s="74">
        <f t="shared" si="102"/>
        <v>8600.3355707450646</v>
      </c>
      <c r="AF203" s="52">
        <f t="shared" si="103"/>
        <v>79872.936000000016</v>
      </c>
      <c r="AG203" s="52">
        <f t="shared" si="104"/>
        <v>90764.700000000012</v>
      </c>
    </row>
    <row r="204" spans="1:33" s="21" customFormat="1" x14ac:dyDescent="0.2">
      <c r="A204" s="114" t="s">
        <v>957</v>
      </c>
      <c r="B204" s="114"/>
      <c r="C204" s="114"/>
      <c r="D204" s="160">
        <v>1</v>
      </c>
      <c r="E204" s="161"/>
      <c r="F204" s="162">
        <v>0.12</v>
      </c>
      <c r="G204" s="162"/>
      <c r="H204" s="52">
        <v>47355</v>
      </c>
      <c r="I204" s="52">
        <f t="shared" si="93"/>
        <v>41861.82</v>
      </c>
      <c r="J204" s="52">
        <f t="shared" si="94"/>
        <v>36838.401599999997</v>
      </c>
      <c r="K204" s="61"/>
      <c r="L204" s="160">
        <v>-3336</v>
      </c>
      <c r="M204" s="55">
        <f t="shared" si="95"/>
        <v>-3336</v>
      </c>
      <c r="N204" s="55">
        <f t="shared" si="96"/>
        <v>-2935.68</v>
      </c>
      <c r="O204" s="95"/>
      <c r="P204" s="160">
        <v>0</v>
      </c>
      <c r="Q204" s="55">
        <f t="shared" si="97"/>
        <v>0</v>
      </c>
      <c r="R204" s="65">
        <f t="shared" si="98"/>
        <v>0</v>
      </c>
      <c r="S204" s="118">
        <v>15</v>
      </c>
      <c r="T204" s="121" t="s">
        <v>201</v>
      </c>
      <c r="U204" s="73">
        <f>SUMIF('Avoided Costs 2013-2021'!$A:$A,'2013 Actuals'!T204&amp;'2013 Actuals'!S204,'Avoided Costs 2013-2021'!$E:$E)*J204</f>
        <v>82328.76420053067</v>
      </c>
      <c r="V204" s="73">
        <f>SUMIF('Avoided Costs 2013-2021'!$A:$A,'2013 Actuals'!T204&amp;'2013 Actuals'!S204,'Avoided Costs 2013-2021'!$K:$K)*N204</f>
        <v>-3073.3448060695023</v>
      </c>
      <c r="W204" s="73">
        <f>SUMIF('Avoided Costs 2013-2021'!$A:$A,'2013 Actuals'!T204&amp;'2013 Actuals'!S204,'Avoided Costs 2013-2021'!$M:$M)*R204</f>
        <v>0</v>
      </c>
      <c r="X204" s="73">
        <f t="shared" si="99"/>
        <v>79255.419394461162</v>
      </c>
      <c r="Y204" s="83">
        <v>28958.47</v>
      </c>
      <c r="Z204" s="74">
        <f t="shared" si="100"/>
        <v>25483.453600000001</v>
      </c>
      <c r="AA204" s="74"/>
      <c r="AB204" s="74"/>
      <c r="AC204" s="74"/>
      <c r="AD204" s="74">
        <f t="shared" si="101"/>
        <v>25483.453600000001</v>
      </c>
      <c r="AE204" s="74">
        <f t="shared" si="102"/>
        <v>53771.965794461161</v>
      </c>
      <c r="AF204" s="52">
        <f t="shared" si="103"/>
        <v>552576.02399999998</v>
      </c>
      <c r="AG204" s="52">
        <f t="shared" si="104"/>
        <v>627927.30000000005</v>
      </c>
    </row>
    <row r="205" spans="1:33" s="21" customFormat="1" x14ac:dyDescent="0.2">
      <c r="A205" s="114" t="s">
        <v>958</v>
      </c>
      <c r="B205" s="114"/>
      <c r="C205" s="114"/>
      <c r="D205" s="160">
        <v>1</v>
      </c>
      <c r="E205" s="161"/>
      <c r="F205" s="162">
        <v>0.12</v>
      </c>
      <c r="G205" s="162"/>
      <c r="H205" s="52">
        <v>35132</v>
      </c>
      <c r="I205" s="52">
        <f t="shared" si="93"/>
        <v>31056.688000000002</v>
      </c>
      <c r="J205" s="52">
        <f t="shared" si="94"/>
        <v>27329.885440000002</v>
      </c>
      <c r="K205" s="61"/>
      <c r="L205" s="160">
        <v>0</v>
      </c>
      <c r="M205" s="55">
        <f t="shared" si="95"/>
        <v>0</v>
      </c>
      <c r="N205" s="55">
        <f t="shared" si="96"/>
        <v>0</v>
      </c>
      <c r="O205" s="95"/>
      <c r="P205" s="160">
        <v>0</v>
      </c>
      <c r="Q205" s="55">
        <f t="shared" si="97"/>
        <v>0</v>
      </c>
      <c r="R205" s="65">
        <f t="shared" si="98"/>
        <v>0</v>
      </c>
      <c r="S205" s="118">
        <v>25</v>
      </c>
      <c r="T205" s="121" t="s">
        <v>201</v>
      </c>
      <c r="U205" s="73">
        <f>SUMIF('Avoided Costs 2013-2021'!$A:$A,'2013 Actuals'!T205&amp;'2013 Actuals'!S205,'Avoided Costs 2013-2021'!$E:$E)*J205</f>
        <v>85737.749155940372</v>
      </c>
      <c r="V205" s="73">
        <f>SUMIF('Avoided Costs 2013-2021'!$A:$A,'2013 Actuals'!T205&amp;'2013 Actuals'!S205,'Avoided Costs 2013-2021'!$K:$K)*N205</f>
        <v>0</v>
      </c>
      <c r="W205" s="73">
        <f>SUMIF('Avoided Costs 2013-2021'!$A:$A,'2013 Actuals'!T205&amp;'2013 Actuals'!S205,'Avoided Costs 2013-2021'!$M:$M)*R205</f>
        <v>0</v>
      </c>
      <c r="X205" s="73">
        <f t="shared" si="99"/>
        <v>85737.749155940372</v>
      </c>
      <c r="Y205" s="83">
        <v>9090</v>
      </c>
      <c r="Z205" s="74">
        <f t="shared" si="100"/>
        <v>7999.2</v>
      </c>
      <c r="AA205" s="74"/>
      <c r="AB205" s="74"/>
      <c r="AC205" s="74"/>
      <c r="AD205" s="74">
        <f t="shared" si="101"/>
        <v>7999.2</v>
      </c>
      <c r="AE205" s="74">
        <f t="shared" si="102"/>
        <v>77738.549155940374</v>
      </c>
      <c r="AF205" s="52">
        <f t="shared" si="103"/>
        <v>683247.13600000006</v>
      </c>
      <c r="AG205" s="52">
        <f t="shared" si="104"/>
        <v>776417.20000000007</v>
      </c>
    </row>
    <row r="206" spans="1:33" s="21" customFormat="1" x14ac:dyDescent="0.2">
      <c r="A206" s="114" t="s">
        <v>959</v>
      </c>
      <c r="B206" s="114"/>
      <c r="C206" s="114"/>
      <c r="D206" s="160">
        <v>1</v>
      </c>
      <c r="E206" s="161"/>
      <c r="F206" s="162">
        <v>0.12</v>
      </c>
      <c r="G206" s="162"/>
      <c r="H206" s="52">
        <v>14336</v>
      </c>
      <c r="I206" s="52">
        <f t="shared" si="93"/>
        <v>12673.023999999999</v>
      </c>
      <c r="J206" s="52">
        <f t="shared" si="94"/>
        <v>11152.261119999999</v>
      </c>
      <c r="K206" s="61"/>
      <c r="L206" s="160">
        <v>12151</v>
      </c>
      <c r="M206" s="55">
        <f t="shared" si="95"/>
        <v>12151</v>
      </c>
      <c r="N206" s="55">
        <f t="shared" si="96"/>
        <v>10692.88</v>
      </c>
      <c r="O206" s="95"/>
      <c r="P206" s="160">
        <v>0</v>
      </c>
      <c r="Q206" s="55">
        <f t="shared" si="97"/>
        <v>0</v>
      </c>
      <c r="R206" s="65">
        <f t="shared" si="98"/>
        <v>0</v>
      </c>
      <c r="S206" s="118">
        <v>15</v>
      </c>
      <c r="T206" s="121" t="s">
        <v>201</v>
      </c>
      <c r="U206" s="73">
        <f>SUMIF('Avoided Costs 2013-2021'!$A:$A,'2013 Actuals'!T206&amp;'2013 Actuals'!S206,'Avoided Costs 2013-2021'!$E:$E)*J206</f>
        <v>24923.770743930054</v>
      </c>
      <c r="V206" s="73">
        <f>SUMIF('Avoided Costs 2013-2021'!$A:$A,'2013 Actuals'!T206&amp;'2013 Actuals'!S206,'Avoided Costs 2013-2021'!$K:$K)*N206</f>
        <v>11194.308374865264</v>
      </c>
      <c r="W206" s="73">
        <f>SUMIF('Avoided Costs 2013-2021'!$A:$A,'2013 Actuals'!T206&amp;'2013 Actuals'!S206,'Avoided Costs 2013-2021'!$M:$M)*R206</f>
        <v>0</v>
      </c>
      <c r="X206" s="73">
        <f t="shared" si="99"/>
        <v>36118.079118795315</v>
      </c>
      <c r="Y206" s="83">
        <v>3780</v>
      </c>
      <c r="Z206" s="74">
        <f t="shared" si="100"/>
        <v>3326.4</v>
      </c>
      <c r="AA206" s="74"/>
      <c r="AB206" s="74"/>
      <c r="AC206" s="74"/>
      <c r="AD206" s="74">
        <f t="shared" si="101"/>
        <v>3326.4</v>
      </c>
      <c r="AE206" s="74">
        <f t="shared" si="102"/>
        <v>32791.679118795313</v>
      </c>
      <c r="AF206" s="52">
        <f t="shared" si="103"/>
        <v>167283.91679999998</v>
      </c>
      <c r="AG206" s="52">
        <f t="shared" si="104"/>
        <v>190095.35999999999</v>
      </c>
    </row>
    <row r="207" spans="1:33" s="21" customFormat="1" x14ac:dyDescent="0.2">
      <c r="A207" s="114" t="s">
        <v>960</v>
      </c>
      <c r="B207" s="114"/>
      <c r="C207" s="114"/>
      <c r="D207" s="160">
        <v>1</v>
      </c>
      <c r="E207" s="161"/>
      <c r="F207" s="162">
        <v>0.12</v>
      </c>
      <c r="G207" s="162"/>
      <c r="H207" s="52">
        <v>9713</v>
      </c>
      <c r="I207" s="52">
        <f t="shared" si="93"/>
        <v>8586.2919999999995</v>
      </c>
      <c r="J207" s="52">
        <f t="shared" si="94"/>
        <v>7555.93696</v>
      </c>
      <c r="K207" s="61"/>
      <c r="L207" s="160">
        <v>1125</v>
      </c>
      <c r="M207" s="55">
        <f t="shared" si="95"/>
        <v>1125</v>
      </c>
      <c r="N207" s="55">
        <f t="shared" si="96"/>
        <v>990</v>
      </c>
      <c r="O207" s="95"/>
      <c r="P207" s="160">
        <v>0</v>
      </c>
      <c r="Q207" s="55">
        <f t="shared" si="97"/>
        <v>0</v>
      </c>
      <c r="R207" s="65">
        <f t="shared" si="98"/>
        <v>0</v>
      </c>
      <c r="S207" s="118">
        <v>15</v>
      </c>
      <c r="T207" s="121" t="s">
        <v>201</v>
      </c>
      <c r="U207" s="73">
        <f>SUMIF('Avoided Costs 2013-2021'!$A:$A,'2013 Actuals'!T207&amp;'2013 Actuals'!S207,'Avoided Costs 2013-2021'!$E:$E)*J207</f>
        <v>16886.480554952053</v>
      </c>
      <c r="V207" s="73">
        <f>SUMIF('Avoided Costs 2013-2021'!$A:$A,'2013 Actuals'!T207&amp;'2013 Actuals'!S207,'Avoided Costs 2013-2021'!$K:$K)*N207</f>
        <v>1036.424732262647</v>
      </c>
      <c r="W207" s="73">
        <f>SUMIF('Avoided Costs 2013-2021'!$A:$A,'2013 Actuals'!T207&amp;'2013 Actuals'!S207,'Avoided Costs 2013-2021'!$M:$M)*R207</f>
        <v>0</v>
      </c>
      <c r="X207" s="73">
        <f t="shared" si="99"/>
        <v>17922.9052872147</v>
      </c>
      <c r="Y207" s="83">
        <v>38744.480000000003</v>
      </c>
      <c r="Z207" s="74">
        <f t="shared" si="100"/>
        <v>34095.142400000004</v>
      </c>
      <c r="AA207" s="74"/>
      <c r="AB207" s="74"/>
      <c r="AC207" s="74"/>
      <c r="AD207" s="74">
        <f t="shared" si="101"/>
        <v>34095.142400000004</v>
      </c>
      <c r="AE207" s="74">
        <f t="shared" si="102"/>
        <v>-16172.237112785304</v>
      </c>
      <c r="AF207" s="52">
        <f t="shared" si="103"/>
        <v>113339.05439999999</v>
      </c>
      <c r="AG207" s="52">
        <f t="shared" si="104"/>
        <v>128794.37999999999</v>
      </c>
    </row>
    <row r="208" spans="1:33" s="21" customFormat="1" x14ac:dyDescent="0.2">
      <c r="A208" s="114" t="s">
        <v>961</v>
      </c>
      <c r="B208" s="114"/>
      <c r="C208" s="114"/>
      <c r="D208" s="160">
        <v>1</v>
      </c>
      <c r="E208" s="161"/>
      <c r="F208" s="162">
        <v>0.12</v>
      </c>
      <c r="G208" s="162"/>
      <c r="H208" s="52">
        <v>22804</v>
      </c>
      <c r="I208" s="52">
        <f t="shared" si="93"/>
        <v>20158.736000000001</v>
      </c>
      <c r="J208" s="52">
        <f t="shared" si="94"/>
        <v>17739.687679999999</v>
      </c>
      <c r="K208" s="61"/>
      <c r="L208" s="160">
        <v>-19102</v>
      </c>
      <c r="M208" s="55">
        <f t="shared" si="95"/>
        <v>-19102</v>
      </c>
      <c r="N208" s="55">
        <f t="shared" si="96"/>
        <v>-16809.759999999998</v>
      </c>
      <c r="O208" s="95"/>
      <c r="P208" s="160">
        <v>0</v>
      </c>
      <c r="Q208" s="55">
        <f t="shared" si="97"/>
        <v>0</v>
      </c>
      <c r="R208" s="65">
        <f t="shared" si="98"/>
        <v>0</v>
      </c>
      <c r="S208" s="118">
        <v>15</v>
      </c>
      <c r="T208" s="121" t="s">
        <v>201</v>
      </c>
      <c r="U208" s="73">
        <f>SUMIF('Avoided Costs 2013-2021'!$A:$A,'2013 Actuals'!T208&amp;'2013 Actuals'!S208,'Avoided Costs 2013-2021'!$E:$E)*J208</f>
        <v>39645.763674984722</v>
      </c>
      <c r="V208" s="73">
        <f>SUMIF('Avoided Costs 2013-2021'!$A:$A,'2013 Actuals'!T208&amp;'2013 Actuals'!S208,'Avoided Costs 2013-2021'!$K:$K)*N208</f>
        <v>-17598.031320605405</v>
      </c>
      <c r="W208" s="73">
        <f>SUMIF('Avoided Costs 2013-2021'!$A:$A,'2013 Actuals'!T208&amp;'2013 Actuals'!S208,'Avoided Costs 2013-2021'!$M:$M)*R208</f>
        <v>0</v>
      </c>
      <c r="X208" s="73">
        <f t="shared" si="99"/>
        <v>22047.732354379317</v>
      </c>
      <c r="Y208" s="83">
        <v>38176</v>
      </c>
      <c r="Z208" s="74">
        <f t="shared" si="100"/>
        <v>33594.879999999997</v>
      </c>
      <c r="AA208" s="74"/>
      <c r="AB208" s="74"/>
      <c r="AC208" s="74"/>
      <c r="AD208" s="74">
        <f t="shared" si="101"/>
        <v>33594.879999999997</v>
      </c>
      <c r="AE208" s="74">
        <f t="shared" si="102"/>
        <v>-11547.14764562068</v>
      </c>
      <c r="AF208" s="52">
        <f t="shared" si="103"/>
        <v>266095.31520000001</v>
      </c>
      <c r="AG208" s="52">
        <f t="shared" si="104"/>
        <v>302381.04000000004</v>
      </c>
    </row>
    <row r="209" spans="1:33" s="17" customFormat="1" collapsed="1" x14ac:dyDescent="0.2">
      <c r="A209" s="166" t="s">
        <v>4</v>
      </c>
      <c r="B209" s="166" t="s">
        <v>118</v>
      </c>
      <c r="C209" s="125"/>
      <c r="D209" s="65">
        <f>SUM(D138:D208)</f>
        <v>70</v>
      </c>
      <c r="E209" s="291"/>
      <c r="F209" s="168"/>
      <c r="G209" s="292"/>
      <c r="H209" s="52">
        <v>1434079</v>
      </c>
      <c r="I209" s="52">
        <f>SUM(I138:I208)</f>
        <v>1268514.4039999999</v>
      </c>
      <c r="J209" s="52">
        <f>SUM(J138:J208)</f>
        <v>1116292.6755199998</v>
      </c>
      <c r="K209" s="167"/>
      <c r="L209" s="52">
        <v>1139259</v>
      </c>
      <c r="M209" s="52">
        <f>SUM(M138:M208)</f>
        <v>1139259</v>
      </c>
      <c r="N209" s="52">
        <f>SUM(N138:N208)</f>
        <v>1002547.92</v>
      </c>
      <c r="O209" s="169"/>
      <c r="P209" s="52">
        <v>0</v>
      </c>
      <c r="Q209" s="52">
        <f>SUM(Q138:Q208)</f>
        <v>0</v>
      </c>
      <c r="R209" s="52">
        <f>SUM(R138:R208)</f>
        <v>0</v>
      </c>
      <c r="S209" s="133"/>
      <c r="T209" s="125" t="s">
        <v>215</v>
      </c>
      <c r="U209" s="74">
        <f>SUM(U138:U208)</f>
        <v>1990613.4818203719</v>
      </c>
      <c r="V209" s="74">
        <f>SUM(V138:V208)</f>
        <v>1051896.963191052</v>
      </c>
      <c r="W209" s="74">
        <f>SUM(W138:W208)</f>
        <v>0</v>
      </c>
      <c r="X209" s="74">
        <f>SUM(X138:X208)</f>
        <v>3042510.4450114244</v>
      </c>
      <c r="Y209" s="83"/>
      <c r="Z209" s="74">
        <f t="shared" ref="Z209" si="105">SUM(Z138:Z208)</f>
        <v>1540770.5631999997</v>
      </c>
      <c r="AA209" s="74">
        <v>355021.06</v>
      </c>
      <c r="AB209" s="74">
        <v>6123.02</v>
      </c>
      <c r="AC209" s="74">
        <f>AA209+AB209</f>
        <v>361144.08</v>
      </c>
      <c r="AD209" s="74">
        <f t="shared" si="101"/>
        <v>1546893.5831999998</v>
      </c>
      <c r="AE209" s="293">
        <f t="shared" si="102"/>
        <v>1495616.8618114246</v>
      </c>
      <c r="AF209" s="52">
        <f>SUM(AF138:AF208)</f>
        <v>13500699.136320001</v>
      </c>
      <c r="AG209" s="52">
        <f>SUM(AG138:AG208)</f>
        <v>15341703.563999999</v>
      </c>
    </row>
    <row r="210" spans="1:33" x14ac:dyDescent="0.2">
      <c r="A210" s="150"/>
      <c r="O210" s="92"/>
      <c r="P210" s="44"/>
      <c r="R210" s="44"/>
      <c r="S210" s="4"/>
      <c r="Z210" s="72"/>
      <c r="AA210" s="72"/>
      <c r="AC210" s="72"/>
      <c r="AD210" s="72"/>
      <c r="AE210" s="72"/>
      <c r="AF210" s="79"/>
      <c r="AG210" s="79"/>
    </row>
    <row r="211" spans="1:33" x14ac:dyDescent="0.2">
      <c r="A211" s="150" t="s">
        <v>122</v>
      </c>
      <c r="B211" s="2" t="s">
        <v>123</v>
      </c>
      <c r="O211" s="92"/>
      <c r="P211" s="44"/>
      <c r="R211" s="44"/>
      <c r="S211" s="4"/>
      <c r="Z211" s="72"/>
      <c r="AA211" s="72"/>
      <c r="AC211" s="72"/>
      <c r="AD211" s="72"/>
      <c r="AE211" s="72"/>
      <c r="AF211" s="79"/>
      <c r="AG211" s="79"/>
    </row>
    <row r="212" spans="1:33" s="21" customFormat="1" x14ac:dyDescent="0.2">
      <c r="A212" s="114" t="s">
        <v>1008</v>
      </c>
      <c r="B212" s="114"/>
      <c r="C212" s="114"/>
      <c r="D212" s="160">
        <v>1</v>
      </c>
      <c r="E212" s="161"/>
      <c r="F212" s="162">
        <v>0.12</v>
      </c>
      <c r="G212" s="162"/>
      <c r="H212" s="52">
        <v>31646</v>
      </c>
      <c r="I212" s="52">
        <f t="shared" ref="I212:I232" si="106">+$H$39*H212</f>
        <v>27975.063999999998</v>
      </c>
      <c r="J212" s="52">
        <f t="shared" ref="J212:J232" si="107">I212*(1-F212)</f>
        <v>24618.05632</v>
      </c>
      <c r="K212" s="61"/>
      <c r="L212" s="160">
        <v>0</v>
      </c>
      <c r="M212" s="55">
        <f t="shared" ref="M212:M232" si="108">+$L$39*L212</f>
        <v>0</v>
      </c>
      <c r="N212" s="55">
        <f t="shared" ref="N212:N232" si="109">M212*(1-F212)</f>
        <v>0</v>
      </c>
      <c r="O212" s="95"/>
      <c r="P212" s="160">
        <v>0</v>
      </c>
      <c r="Q212" s="55">
        <f t="shared" ref="Q212:Q232" si="110">+P212*$P$39</f>
        <v>0</v>
      </c>
      <c r="R212" s="65">
        <f t="shared" ref="R212:R232" si="111">Q212*(1-F212)</f>
        <v>0</v>
      </c>
      <c r="S212" s="118">
        <v>15</v>
      </c>
      <c r="T212" s="121" t="s">
        <v>201</v>
      </c>
      <c r="U212" s="73">
        <f>SUMIF('Avoided Costs 2013-2021'!$A:$A,'2013 Actuals'!T212&amp;'2013 Actuals'!S212,'Avoided Costs 2013-2021'!$E:$E)*J212</f>
        <v>55017.972165346713</v>
      </c>
      <c r="V212" s="73">
        <f>SUMIF('Avoided Costs 2013-2021'!$A:$A,'2013 Actuals'!T212&amp;'2013 Actuals'!S212,'Avoided Costs 2013-2021'!$K:$K)*N212</f>
        <v>0</v>
      </c>
      <c r="W212" s="73">
        <f>SUMIF('Avoided Costs 2013-2021'!$A:$A,'2013 Actuals'!T212&amp;'2013 Actuals'!S212,'Avoided Costs 2013-2021'!$M:$M)*R212</f>
        <v>0</v>
      </c>
      <c r="X212" s="73">
        <f t="shared" ref="X212:X232" si="112">SUM(U212:W212)</f>
        <v>55017.972165346713</v>
      </c>
      <c r="Y212" s="83">
        <v>26087</v>
      </c>
      <c r="Z212" s="74">
        <f t="shared" ref="Z212:Z232" si="113">Y212*(1-F212)</f>
        <v>22956.560000000001</v>
      </c>
      <c r="AA212" s="74"/>
      <c r="AB212" s="74"/>
      <c r="AC212" s="74"/>
      <c r="AD212" s="74">
        <f t="shared" ref="AD212:AD233" si="114">Z212+AB212</f>
        <v>22956.560000000001</v>
      </c>
      <c r="AE212" s="74">
        <f t="shared" ref="AE212:AE233" si="115">X212-AD212</f>
        <v>32061.412165346712</v>
      </c>
      <c r="AF212" s="52">
        <f t="shared" ref="AF212:AF232" si="116">J212*S212</f>
        <v>369270.84480000002</v>
      </c>
      <c r="AG212" s="52">
        <f t="shared" ref="AG212:AG232" si="117">(I212*S212)</f>
        <v>419625.95999999996</v>
      </c>
    </row>
    <row r="213" spans="1:33" s="21" customFormat="1" x14ac:dyDescent="0.2">
      <c r="A213" s="114" t="s">
        <v>1009</v>
      </c>
      <c r="B213" s="114"/>
      <c r="C213" s="114"/>
      <c r="D213" s="160">
        <v>1</v>
      </c>
      <c r="E213" s="161"/>
      <c r="F213" s="162">
        <v>0.12</v>
      </c>
      <c r="G213" s="162"/>
      <c r="H213" s="52">
        <v>30811</v>
      </c>
      <c r="I213" s="52">
        <f t="shared" si="106"/>
        <v>27236.923999999999</v>
      </c>
      <c r="J213" s="52">
        <f t="shared" si="107"/>
        <v>23968.493119999999</v>
      </c>
      <c r="K213" s="61"/>
      <c r="L213" s="160">
        <v>-2845</v>
      </c>
      <c r="M213" s="55">
        <f t="shared" si="108"/>
        <v>-2845</v>
      </c>
      <c r="N213" s="55">
        <f t="shared" si="109"/>
        <v>-2503.6</v>
      </c>
      <c r="O213" s="95"/>
      <c r="P213" s="160">
        <v>0</v>
      </c>
      <c r="Q213" s="55">
        <f t="shared" si="110"/>
        <v>0</v>
      </c>
      <c r="R213" s="65">
        <f t="shared" si="111"/>
        <v>0</v>
      </c>
      <c r="S213" s="118">
        <v>15</v>
      </c>
      <c r="T213" s="121" t="s">
        <v>201</v>
      </c>
      <c r="U213" s="73">
        <f>SUMIF('Avoided Costs 2013-2021'!$A:$A,'2013 Actuals'!T213&amp;'2013 Actuals'!S213,'Avoided Costs 2013-2021'!$E:$E)*J213</f>
        <v>53566.287694700681</v>
      </c>
      <c r="V213" s="73">
        <f>SUMIF('Avoided Costs 2013-2021'!$A:$A,'2013 Actuals'!T213&amp;'2013 Actuals'!S213,'Avoided Costs 2013-2021'!$K:$K)*N213</f>
        <v>-2621.0029895886491</v>
      </c>
      <c r="W213" s="73">
        <f>SUMIF('Avoided Costs 2013-2021'!$A:$A,'2013 Actuals'!T213&amp;'2013 Actuals'!S213,'Avoided Costs 2013-2021'!$M:$M)*R213</f>
        <v>0</v>
      </c>
      <c r="X213" s="73">
        <f t="shared" si="112"/>
        <v>50945.284705112033</v>
      </c>
      <c r="Y213" s="83">
        <v>21294</v>
      </c>
      <c r="Z213" s="74">
        <f t="shared" si="113"/>
        <v>18738.72</v>
      </c>
      <c r="AA213" s="74"/>
      <c r="AB213" s="74"/>
      <c r="AC213" s="74"/>
      <c r="AD213" s="74">
        <f t="shared" si="114"/>
        <v>18738.72</v>
      </c>
      <c r="AE213" s="74">
        <f t="shared" si="115"/>
        <v>32206.564705112032</v>
      </c>
      <c r="AF213" s="52">
        <f t="shared" si="116"/>
        <v>359527.39679999999</v>
      </c>
      <c r="AG213" s="52">
        <f t="shared" si="117"/>
        <v>408553.86</v>
      </c>
    </row>
    <row r="214" spans="1:33" s="21" customFormat="1" x14ac:dyDescent="0.2">
      <c r="A214" s="114" t="s">
        <v>1010</v>
      </c>
      <c r="B214" s="114"/>
      <c r="C214" s="114"/>
      <c r="D214" s="160">
        <v>1</v>
      </c>
      <c r="E214" s="161"/>
      <c r="F214" s="162">
        <v>0.12</v>
      </c>
      <c r="G214" s="162"/>
      <c r="H214" s="52">
        <v>14358</v>
      </c>
      <c r="I214" s="52">
        <f t="shared" si="106"/>
        <v>12692.472</v>
      </c>
      <c r="J214" s="52">
        <f t="shared" si="107"/>
        <v>11169.37536</v>
      </c>
      <c r="K214" s="61"/>
      <c r="L214" s="160">
        <v>-6222</v>
      </c>
      <c r="M214" s="55">
        <f t="shared" si="108"/>
        <v>-6222</v>
      </c>
      <c r="N214" s="55">
        <f t="shared" si="109"/>
        <v>-5475.36</v>
      </c>
      <c r="O214" s="95"/>
      <c r="P214" s="160">
        <v>0</v>
      </c>
      <c r="Q214" s="55">
        <f t="shared" si="110"/>
        <v>0</v>
      </c>
      <c r="R214" s="65">
        <f t="shared" si="111"/>
        <v>0</v>
      </c>
      <c r="S214" s="118">
        <v>15</v>
      </c>
      <c r="T214" s="121" t="s">
        <v>201</v>
      </c>
      <c r="U214" s="73">
        <f>SUMIF('Avoided Costs 2013-2021'!$A:$A,'2013 Actuals'!T214&amp;'2013 Actuals'!S214,'Avoided Costs 2013-2021'!$E:$E)*J214</f>
        <v>24962.018718006955</v>
      </c>
      <c r="V214" s="73">
        <f>SUMIF('Avoided Costs 2013-2021'!$A:$A,'2013 Actuals'!T214&amp;'2013 Actuals'!S214,'Avoided Costs 2013-2021'!$K:$K)*N214</f>
        <v>-5732.1197192339459</v>
      </c>
      <c r="W214" s="73">
        <f>SUMIF('Avoided Costs 2013-2021'!$A:$A,'2013 Actuals'!T214&amp;'2013 Actuals'!S214,'Avoided Costs 2013-2021'!$M:$M)*R214</f>
        <v>0</v>
      </c>
      <c r="X214" s="73">
        <f t="shared" si="112"/>
        <v>19229.898998773009</v>
      </c>
      <c r="Y214" s="83">
        <v>9041</v>
      </c>
      <c r="Z214" s="74">
        <f t="shared" si="113"/>
        <v>7956.08</v>
      </c>
      <c r="AA214" s="74"/>
      <c r="AB214" s="74"/>
      <c r="AC214" s="74"/>
      <c r="AD214" s="74">
        <f t="shared" si="114"/>
        <v>7956.08</v>
      </c>
      <c r="AE214" s="74">
        <f t="shared" si="115"/>
        <v>11273.818998773009</v>
      </c>
      <c r="AF214" s="52">
        <f t="shared" si="116"/>
        <v>167540.63039999999</v>
      </c>
      <c r="AG214" s="52">
        <f t="shared" si="117"/>
        <v>190387.08</v>
      </c>
    </row>
    <row r="215" spans="1:33" s="21" customFormat="1" x14ac:dyDescent="0.2">
      <c r="A215" s="114" t="s">
        <v>1011</v>
      </c>
      <c r="B215" s="114"/>
      <c r="C215" s="114"/>
      <c r="D215" s="160">
        <v>1</v>
      </c>
      <c r="E215" s="161"/>
      <c r="F215" s="162">
        <v>0.12</v>
      </c>
      <c r="G215" s="162"/>
      <c r="H215" s="52">
        <v>67261</v>
      </c>
      <c r="I215" s="52">
        <f t="shared" si="106"/>
        <v>59458.724000000002</v>
      </c>
      <c r="J215" s="52">
        <f t="shared" si="107"/>
        <v>52323.67712</v>
      </c>
      <c r="K215" s="61"/>
      <c r="L215" s="160">
        <v>-4589</v>
      </c>
      <c r="M215" s="55">
        <f t="shared" si="108"/>
        <v>-4589</v>
      </c>
      <c r="N215" s="55">
        <f t="shared" si="109"/>
        <v>-4038.32</v>
      </c>
      <c r="O215" s="95"/>
      <c r="P215" s="160">
        <v>0</v>
      </c>
      <c r="Q215" s="55">
        <f t="shared" si="110"/>
        <v>0</v>
      </c>
      <c r="R215" s="65">
        <f t="shared" si="111"/>
        <v>0</v>
      </c>
      <c r="S215" s="118">
        <v>15</v>
      </c>
      <c r="T215" s="121" t="s">
        <v>201</v>
      </c>
      <c r="U215" s="73">
        <f>SUMIF('Avoided Costs 2013-2021'!$A:$A,'2013 Actuals'!T215&amp;'2013 Actuals'!S215,'Avoided Costs 2013-2021'!$E:$E)*J215</f>
        <v>116936.22656302173</v>
      </c>
      <c r="V215" s="73">
        <f>SUMIF('Avoided Costs 2013-2021'!$A:$A,'2013 Actuals'!T215&amp;'2013 Actuals'!S215,'Avoided Costs 2013-2021'!$K:$K)*N215</f>
        <v>-4227.6916412029213</v>
      </c>
      <c r="W215" s="73">
        <f>SUMIF('Avoided Costs 2013-2021'!$A:$A,'2013 Actuals'!T215&amp;'2013 Actuals'!S215,'Avoided Costs 2013-2021'!$M:$M)*R215</f>
        <v>0</v>
      </c>
      <c r="X215" s="73">
        <f t="shared" si="112"/>
        <v>112708.53492181881</v>
      </c>
      <c r="Y215" s="83">
        <v>25521</v>
      </c>
      <c r="Z215" s="74">
        <f t="shared" si="113"/>
        <v>22458.48</v>
      </c>
      <c r="AA215" s="74"/>
      <c r="AB215" s="74"/>
      <c r="AC215" s="74"/>
      <c r="AD215" s="74">
        <f t="shared" si="114"/>
        <v>22458.48</v>
      </c>
      <c r="AE215" s="74">
        <f t="shared" si="115"/>
        <v>90250.05492181881</v>
      </c>
      <c r="AF215" s="52">
        <f t="shared" si="116"/>
        <v>784855.1568</v>
      </c>
      <c r="AG215" s="52">
        <f t="shared" si="117"/>
        <v>891880.86</v>
      </c>
    </row>
    <row r="216" spans="1:33" s="21" customFormat="1" x14ac:dyDescent="0.2">
      <c r="A216" s="114" t="s">
        <v>1012</v>
      </c>
      <c r="B216" s="114"/>
      <c r="C216" s="114"/>
      <c r="D216" s="160">
        <v>1</v>
      </c>
      <c r="E216" s="161"/>
      <c r="F216" s="162">
        <v>0.12</v>
      </c>
      <c r="G216" s="162"/>
      <c r="H216" s="52">
        <v>125901</v>
      </c>
      <c r="I216" s="52">
        <f t="shared" si="106"/>
        <v>111296.484</v>
      </c>
      <c r="J216" s="52">
        <f t="shared" si="107"/>
        <v>97940.905920000005</v>
      </c>
      <c r="K216" s="61"/>
      <c r="L216" s="160">
        <v>10686</v>
      </c>
      <c r="M216" s="55">
        <f t="shared" si="108"/>
        <v>10686</v>
      </c>
      <c r="N216" s="55">
        <f t="shared" si="109"/>
        <v>9403.68</v>
      </c>
      <c r="O216" s="95"/>
      <c r="P216" s="160">
        <v>0</v>
      </c>
      <c r="Q216" s="55">
        <f t="shared" si="110"/>
        <v>0</v>
      </c>
      <c r="R216" s="65">
        <f t="shared" si="111"/>
        <v>0</v>
      </c>
      <c r="S216" s="118">
        <v>15</v>
      </c>
      <c r="T216" s="121" t="s">
        <v>201</v>
      </c>
      <c r="U216" s="73">
        <f>SUMIF('Avoided Costs 2013-2021'!$A:$A,'2013 Actuals'!T216&amp;'2013 Actuals'!S216,'Avoided Costs 2013-2021'!$E:$E)*J216</f>
        <v>218884.46292072671</v>
      </c>
      <c r="V216" s="73">
        <f>SUMIF('Avoided Costs 2013-2021'!$A:$A,'2013 Actuals'!T216&amp;'2013 Actuals'!S216,'Avoided Costs 2013-2021'!$K:$K)*N216</f>
        <v>9844.6530568521284</v>
      </c>
      <c r="W216" s="73">
        <f>SUMIF('Avoided Costs 2013-2021'!$A:$A,'2013 Actuals'!T216&amp;'2013 Actuals'!S216,'Avoided Costs 2013-2021'!$M:$M)*R216</f>
        <v>0</v>
      </c>
      <c r="X216" s="73">
        <f t="shared" si="112"/>
        <v>228729.11597757885</v>
      </c>
      <c r="Y216" s="83">
        <v>118750</v>
      </c>
      <c r="Z216" s="74">
        <f t="shared" si="113"/>
        <v>104500</v>
      </c>
      <c r="AA216" s="74"/>
      <c r="AB216" s="74"/>
      <c r="AC216" s="74"/>
      <c r="AD216" s="74">
        <f t="shared" si="114"/>
        <v>104500</v>
      </c>
      <c r="AE216" s="74">
        <f t="shared" si="115"/>
        <v>124229.11597757885</v>
      </c>
      <c r="AF216" s="52">
        <f t="shared" si="116"/>
        <v>1469113.5888</v>
      </c>
      <c r="AG216" s="52">
        <f t="shared" si="117"/>
        <v>1669447.26</v>
      </c>
    </row>
    <row r="217" spans="1:33" s="21" customFormat="1" x14ac:dyDescent="0.2">
      <c r="A217" s="114" t="s">
        <v>1013</v>
      </c>
      <c r="B217" s="114"/>
      <c r="C217" s="114"/>
      <c r="D217" s="160">
        <v>1</v>
      </c>
      <c r="E217" s="161"/>
      <c r="F217" s="162">
        <v>0.12</v>
      </c>
      <c r="G217" s="162"/>
      <c r="H217" s="52">
        <v>41969</v>
      </c>
      <c r="I217" s="52">
        <f t="shared" si="106"/>
        <v>37100.595999999998</v>
      </c>
      <c r="J217" s="52">
        <f t="shared" si="107"/>
        <v>32648.524479999996</v>
      </c>
      <c r="K217" s="61"/>
      <c r="L217" s="160">
        <v>-8912</v>
      </c>
      <c r="M217" s="55">
        <f t="shared" si="108"/>
        <v>-8912</v>
      </c>
      <c r="N217" s="55">
        <f t="shared" si="109"/>
        <v>-7842.56</v>
      </c>
      <c r="O217" s="95"/>
      <c r="P217" s="160">
        <v>0</v>
      </c>
      <c r="Q217" s="55">
        <f t="shared" si="110"/>
        <v>0</v>
      </c>
      <c r="R217" s="65">
        <f t="shared" si="111"/>
        <v>0</v>
      </c>
      <c r="S217" s="118">
        <v>15</v>
      </c>
      <c r="T217" s="121" t="s">
        <v>201</v>
      </c>
      <c r="U217" s="73">
        <f>SUMIF('Avoided Costs 2013-2021'!$A:$A,'2013 Actuals'!T217&amp;'2013 Actuals'!S217,'Avoided Costs 2013-2021'!$E:$E)*J217</f>
        <v>72964.964728794672</v>
      </c>
      <c r="V217" s="73">
        <f>SUMIF('Avoided Costs 2013-2021'!$A:$A,'2013 Actuals'!T217&amp;'2013 Actuals'!S217,'Avoided Costs 2013-2021'!$K:$K)*N217</f>
        <v>-8210.3264123775207</v>
      </c>
      <c r="W217" s="73">
        <f>SUMIF('Avoided Costs 2013-2021'!$A:$A,'2013 Actuals'!T217&amp;'2013 Actuals'!S217,'Avoided Costs 2013-2021'!$M:$M)*R217</f>
        <v>0</v>
      </c>
      <c r="X217" s="73">
        <f t="shared" si="112"/>
        <v>64754.638316417149</v>
      </c>
      <c r="Y217" s="83">
        <v>25650</v>
      </c>
      <c r="Z217" s="74">
        <f t="shared" si="113"/>
        <v>22572</v>
      </c>
      <c r="AA217" s="74"/>
      <c r="AB217" s="74"/>
      <c r="AC217" s="74"/>
      <c r="AD217" s="74">
        <f t="shared" si="114"/>
        <v>22572</v>
      </c>
      <c r="AE217" s="74">
        <f t="shared" si="115"/>
        <v>42182.638316417149</v>
      </c>
      <c r="AF217" s="52">
        <f t="shared" si="116"/>
        <v>489727.86719999992</v>
      </c>
      <c r="AG217" s="52">
        <f t="shared" si="117"/>
        <v>556508.93999999994</v>
      </c>
    </row>
    <row r="218" spans="1:33" s="21" customFormat="1" x14ac:dyDescent="0.2">
      <c r="A218" s="114" t="s">
        <v>1014</v>
      </c>
      <c r="B218" s="114"/>
      <c r="C218" s="114"/>
      <c r="D218" s="160">
        <v>1</v>
      </c>
      <c r="E218" s="161"/>
      <c r="F218" s="162">
        <v>0.12</v>
      </c>
      <c r="G218" s="162"/>
      <c r="H218" s="52">
        <v>132911</v>
      </c>
      <c r="I218" s="52">
        <f t="shared" si="106"/>
        <v>117493.32400000001</v>
      </c>
      <c r="J218" s="52">
        <f t="shared" si="107"/>
        <v>103394.12512000001</v>
      </c>
      <c r="K218" s="61"/>
      <c r="L218" s="160">
        <v>0</v>
      </c>
      <c r="M218" s="55">
        <f t="shared" si="108"/>
        <v>0</v>
      </c>
      <c r="N218" s="55">
        <f t="shared" si="109"/>
        <v>0</v>
      </c>
      <c r="O218" s="95"/>
      <c r="P218" s="160">
        <v>0</v>
      </c>
      <c r="Q218" s="55">
        <f t="shared" si="110"/>
        <v>0</v>
      </c>
      <c r="R218" s="65">
        <f t="shared" si="111"/>
        <v>0</v>
      </c>
      <c r="S218" s="118">
        <v>15</v>
      </c>
      <c r="T218" s="121" t="s">
        <v>201</v>
      </c>
      <c r="U218" s="73">
        <f>SUMIF('Avoided Costs 2013-2021'!$A:$A,'2013 Actuals'!T218&amp;'2013 Actuals'!S218,'Avoided Costs 2013-2021'!$E:$E)*J218</f>
        <v>231071.65829704853</v>
      </c>
      <c r="V218" s="73">
        <f>SUMIF('Avoided Costs 2013-2021'!$A:$A,'2013 Actuals'!T218&amp;'2013 Actuals'!S218,'Avoided Costs 2013-2021'!$K:$K)*N218</f>
        <v>0</v>
      </c>
      <c r="W218" s="73">
        <f>SUMIF('Avoided Costs 2013-2021'!$A:$A,'2013 Actuals'!T218&amp;'2013 Actuals'!S218,'Avoided Costs 2013-2021'!$M:$M)*R218</f>
        <v>0</v>
      </c>
      <c r="X218" s="73">
        <f t="shared" si="112"/>
        <v>231071.65829704853</v>
      </c>
      <c r="Y218" s="83">
        <v>266038</v>
      </c>
      <c r="Z218" s="74">
        <f t="shared" si="113"/>
        <v>234113.44</v>
      </c>
      <c r="AA218" s="74"/>
      <c r="AB218" s="74"/>
      <c r="AC218" s="74"/>
      <c r="AD218" s="74">
        <f t="shared" si="114"/>
        <v>234113.44</v>
      </c>
      <c r="AE218" s="74">
        <f t="shared" si="115"/>
        <v>-3041.7817029514699</v>
      </c>
      <c r="AF218" s="52">
        <f t="shared" si="116"/>
        <v>1550911.8768000002</v>
      </c>
      <c r="AG218" s="52">
        <f t="shared" si="117"/>
        <v>1762399.86</v>
      </c>
    </row>
    <row r="219" spans="1:33" s="21" customFormat="1" x14ac:dyDescent="0.2">
      <c r="A219" s="114" t="s">
        <v>1015</v>
      </c>
      <c r="B219" s="114"/>
      <c r="C219" s="114"/>
      <c r="D219" s="160">
        <v>1</v>
      </c>
      <c r="E219" s="161"/>
      <c r="F219" s="162">
        <v>0.12</v>
      </c>
      <c r="G219" s="162"/>
      <c r="H219" s="52">
        <v>130436</v>
      </c>
      <c r="I219" s="52">
        <f t="shared" si="106"/>
        <v>115305.424</v>
      </c>
      <c r="J219" s="52">
        <f t="shared" si="107"/>
        <v>101468.77312</v>
      </c>
      <c r="K219" s="61"/>
      <c r="L219" s="160">
        <v>-36738</v>
      </c>
      <c r="M219" s="55">
        <f t="shared" si="108"/>
        <v>-36738</v>
      </c>
      <c r="N219" s="55">
        <f t="shared" si="109"/>
        <v>-32329.439999999999</v>
      </c>
      <c r="O219" s="95"/>
      <c r="P219" s="160">
        <v>0</v>
      </c>
      <c r="Q219" s="55">
        <f t="shared" si="110"/>
        <v>0</v>
      </c>
      <c r="R219" s="65">
        <f t="shared" si="111"/>
        <v>0</v>
      </c>
      <c r="S219" s="118">
        <v>15</v>
      </c>
      <c r="T219" s="121" t="s">
        <v>201</v>
      </c>
      <c r="U219" s="73">
        <f>SUMIF('Avoided Costs 2013-2021'!$A:$A,'2013 Actuals'!T219&amp;'2013 Actuals'!S219,'Avoided Costs 2013-2021'!$E:$E)*J219</f>
        <v>226768.76121339708</v>
      </c>
      <c r="V219" s="73">
        <f>SUMIF('Avoided Costs 2013-2021'!$A:$A,'2013 Actuals'!T219&amp;'2013 Actuals'!S219,'Avoided Costs 2013-2021'!$K:$K)*N219</f>
        <v>-33845.486056768998</v>
      </c>
      <c r="W219" s="73">
        <f>SUMIF('Avoided Costs 2013-2021'!$A:$A,'2013 Actuals'!T219&amp;'2013 Actuals'!S219,'Avoided Costs 2013-2021'!$M:$M)*R219</f>
        <v>0</v>
      </c>
      <c r="X219" s="73">
        <f t="shared" si="112"/>
        <v>192923.27515662808</v>
      </c>
      <c r="Y219" s="83">
        <v>41392</v>
      </c>
      <c r="Z219" s="74">
        <f t="shared" si="113"/>
        <v>36424.959999999999</v>
      </c>
      <c r="AA219" s="74"/>
      <c r="AB219" s="74"/>
      <c r="AC219" s="74"/>
      <c r="AD219" s="74">
        <f t="shared" si="114"/>
        <v>36424.959999999999</v>
      </c>
      <c r="AE219" s="74">
        <f t="shared" si="115"/>
        <v>156498.31515662809</v>
      </c>
      <c r="AF219" s="52">
        <f t="shared" si="116"/>
        <v>1522031.5967999999</v>
      </c>
      <c r="AG219" s="52">
        <f t="shared" si="117"/>
        <v>1729581.3599999999</v>
      </c>
    </row>
    <row r="220" spans="1:33" s="21" customFormat="1" x14ac:dyDescent="0.2">
      <c r="A220" s="114" t="s">
        <v>1016</v>
      </c>
      <c r="B220" s="114"/>
      <c r="C220" s="114"/>
      <c r="D220" s="160">
        <v>1</v>
      </c>
      <c r="E220" s="161"/>
      <c r="F220" s="162">
        <v>0.12</v>
      </c>
      <c r="G220" s="162"/>
      <c r="H220" s="52">
        <v>4381</v>
      </c>
      <c r="I220" s="52">
        <f t="shared" si="106"/>
        <v>3872.8040000000001</v>
      </c>
      <c r="J220" s="52">
        <f t="shared" si="107"/>
        <v>3408.0675200000001</v>
      </c>
      <c r="K220" s="61"/>
      <c r="L220" s="160">
        <v>0</v>
      </c>
      <c r="M220" s="55">
        <f t="shared" si="108"/>
        <v>0</v>
      </c>
      <c r="N220" s="55">
        <f t="shared" si="109"/>
        <v>0</v>
      </c>
      <c r="O220" s="95"/>
      <c r="P220" s="160">
        <v>0</v>
      </c>
      <c r="Q220" s="55">
        <f t="shared" si="110"/>
        <v>0</v>
      </c>
      <c r="R220" s="65">
        <f t="shared" si="111"/>
        <v>0</v>
      </c>
      <c r="S220" s="118">
        <v>15</v>
      </c>
      <c r="T220" s="121" t="s">
        <v>201</v>
      </c>
      <c r="U220" s="73">
        <f>SUMIF('Avoided Costs 2013-2021'!$A:$A,'2013 Actuals'!T220&amp;'2013 Actuals'!S220,'Avoided Costs 2013-2021'!$E:$E)*J220</f>
        <v>7616.5624741320853</v>
      </c>
      <c r="V220" s="73">
        <f>SUMIF('Avoided Costs 2013-2021'!$A:$A,'2013 Actuals'!T220&amp;'2013 Actuals'!S220,'Avoided Costs 2013-2021'!$K:$K)*N220</f>
        <v>0</v>
      </c>
      <c r="W220" s="73">
        <f>SUMIF('Avoided Costs 2013-2021'!$A:$A,'2013 Actuals'!T220&amp;'2013 Actuals'!S220,'Avoided Costs 2013-2021'!$M:$M)*R220</f>
        <v>0</v>
      </c>
      <c r="X220" s="73">
        <f t="shared" si="112"/>
        <v>7616.5624741320853</v>
      </c>
      <c r="Y220" s="83">
        <v>9561</v>
      </c>
      <c r="Z220" s="74">
        <f t="shared" si="113"/>
        <v>8413.68</v>
      </c>
      <c r="AA220" s="74"/>
      <c r="AB220" s="74"/>
      <c r="AC220" s="74"/>
      <c r="AD220" s="74">
        <f t="shared" si="114"/>
        <v>8413.68</v>
      </c>
      <c r="AE220" s="74">
        <f t="shared" si="115"/>
        <v>-797.11752586791499</v>
      </c>
      <c r="AF220" s="52">
        <f t="shared" si="116"/>
        <v>51121.012800000004</v>
      </c>
      <c r="AG220" s="52">
        <f t="shared" si="117"/>
        <v>58092.06</v>
      </c>
    </row>
    <row r="221" spans="1:33" s="21" customFormat="1" x14ac:dyDescent="0.2">
      <c r="A221" s="114" t="s">
        <v>1017</v>
      </c>
      <c r="B221" s="114"/>
      <c r="C221" s="114"/>
      <c r="D221" s="160">
        <v>1</v>
      </c>
      <c r="E221" s="161"/>
      <c r="F221" s="162">
        <v>0.12</v>
      </c>
      <c r="G221" s="162"/>
      <c r="H221" s="52">
        <v>12141</v>
      </c>
      <c r="I221" s="52">
        <f>H221</f>
        <v>12141</v>
      </c>
      <c r="J221" s="52">
        <f t="shared" si="107"/>
        <v>10684.08</v>
      </c>
      <c r="K221" s="61"/>
      <c r="L221" s="160">
        <v>0</v>
      </c>
      <c r="M221" s="55">
        <f t="shared" si="108"/>
        <v>0</v>
      </c>
      <c r="N221" s="55">
        <f t="shared" si="109"/>
        <v>0</v>
      </c>
      <c r="O221" s="95"/>
      <c r="P221" s="160">
        <v>0</v>
      </c>
      <c r="Q221" s="55">
        <f t="shared" si="110"/>
        <v>0</v>
      </c>
      <c r="R221" s="65">
        <f t="shared" si="111"/>
        <v>0</v>
      </c>
      <c r="S221" s="118">
        <v>25</v>
      </c>
      <c r="T221" s="121" t="s">
        <v>201</v>
      </c>
      <c r="U221" s="73">
        <f>SUMIF('Avoided Costs 2013-2021'!$A:$A,'2013 Actuals'!T221&amp;'2013 Actuals'!S221,'Avoided Costs 2013-2021'!$E:$E)*J221</f>
        <v>33517.483013715821</v>
      </c>
      <c r="V221" s="73">
        <f>SUMIF('Avoided Costs 2013-2021'!$A:$A,'2013 Actuals'!T221&amp;'2013 Actuals'!S221,'Avoided Costs 2013-2021'!$K:$K)*N221</f>
        <v>0</v>
      </c>
      <c r="W221" s="73">
        <f>SUMIF('Avoided Costs 2013-2021'!$A:$A,'2013 Actuals'!T221&amp;'2013 Actuals'!S221,'Avoided Costs 2013-2021'!$M:$M)*R221</f>
        <v>0</v>
      </c>
      <c r="X221" s="73">
        <f t="shared" si="112"/>
        <v>33517.483013715821</v>
      </c>
      <c r="Y221" s="83">
        <v>10300</v>
      </c>
      <c r="Z221" s="74">
        <f t="shared" si="113"/>
        <v>9064</v>
      </c>
      <c r="AA221" s="74"/>
      <c r="AB221" s="74"/>
      <c r="AC221" s="74"/>
      <c r="AD221" s="74">
        <f t="shared" si="114"/>
        <v>9064</v>
      </c>
      <c r="AE221" s="74">
        <f t="shared" si="115"/>
        <v>24453.483013715821</v>
      </c>
      <c r="AF221" s="52">
        <f t="shared" si="116"/>
        <v>267102</v>
      </c>
      <c r="AG221" s="52">
        <f t="shared" si="117"/>
        <v>303525</v>
      </c>
    </row>
    <row r="222" spans="1:33" s="21" customFormat="1" x14ac:dyDescent="0.2">
      <c r="A222" s="115" t="s">
        <v>1018</v>
      </c>
      <c r="B222" s="115"/>
      <c r="C222" s="115"/>
      <c r="D222" s="163">
        <v>1</v>
      </c>
      <c r="E222" s="164"/>
      <c r="F222" s="165">
        <v>0.12</v>
      </c>
      <c r="G222" s="165"/>
      <c r="H222" s="51">
        <v>227847</v>
      </c>
      <c r="I222" s="52">
        <f t="shared" si="106"/>
        <v>201416.74799999999</v>
      </c>
      <c r="J222" s="52">
        <f t="shared" si="107"/>
        <v>177246.73824000001</v>
      </c>
      <c r="K222" s="62"/>
      <c r="L222" s="163">
        <v>60300</v>
      </c>
      <c r="M222" s="55">
        <f t="shared" si="108"/>
        <v>60300</v>
      </c>
      <c r="N222" s="55">
        <f t="shared" si="109"/>
        <v>53064</v>
      </c>
      <c r="O222" s="96"/>
      <c r="P222" s="163">
        <v>0</v>
      </c>
      <c r="Q222" s="55">
        <f t="shared" si="110"/>
        <v>0</v>
      </c>
      <c r="R222" s="65">
        <f t="shared" si="111"/>
        <v>0</v>
      </c>
      <c r="S222" s="119">
        <v>25</v>
      </c>
      <c r="T222" s="122" t="s">
        <v>201</v>
      </c>
      <c r="U222" s="73">
        <f>SUMIF('Avoided Costs 2013-2021'!$A:$A,'2013 Actuals'!T222&amp;'2013 Actuals'!S222,'Avoided Costs 2013-2021'!$E:$E)*J222</f>
        <v>556048.30160348245</v>
      </c>
      <c r="V222" s="73">
        <f>SUMIF('Avoided Costs 2013-2021'!$A:$A,'2013 Actuals'!T222&amp;'2013 Actuals'!S222,'Avoided Costs 2013-2021'!$K:$K)*N222</f>
        <v>75674.414676387329</v>
      </c>
      <c r="W222" s="73">
        <f>SUMIF('Avoided Costs 2013-2021'!$A:$A,'2013 Actuals'!T222&amp;'2013 Actuals'!S222,'Avoided Costs 2013-2021'!$M:$M)*R222</f>
        <v>0</v>
      </c>
      <c r="X222" s="73">
        <f t="shared" si="112"/>
        <v>631722.71627986978</v>
      </c>
      <c r="Y222" s="89">
        <v>436139</v>
      </c>
      <c r="Z222" s="74">
        <f t="shared" si="113"/>
        <v>383802.32</v>
      </c>
      <c r="AA222" s="75"/>
      <c r="AB222" s="75"/>
      <c r="AC222" s="75"/>
      <c r="AD222" s="74">
        <f t="shared" si="114"/>
        <v>383802.32</v>
      </c>
      <c r="AE222" s="74">
        <f t="shared" si="115"/>
        <v>247920.39627986978</v>
      </c>
      <c r="AF222" s="52">
        <f t="shared" si="116"/>
        <v>4431168.4560000002</v>
      </c>
      <c r="AG222" s="52">
        <f t="shared" si="117"/>
        <v>5035418.7</v>
      </c>
    </row>
    <row r="223" spans="1:33" s="21" customFormat="1" x14ac:dyDescent="0.2">
      <c r="A223" s="115" t="s">
        <v>1019</v>
      </c>
      <c r="B223" s="115"/>
      <c r="C223" s="115"/>
      <c r="D223" s="163">
        <v>1</v>
      </c>
      <c r="E223" s="164"/>
      <c r="F223" s="165">
        <v>0.12</v>
      </c>
      <c r="G223" s="165"/>
      <c r="H223" s="51">
        <v>7734</v>
      </c>
      <c r="I223" s="52">
        <f t="shared" si="106"/>
        <v>6836.8559999999998</v>
      </c>
      <c r="J223" s="52">
        <f t="shared" si="107"/>
        <v>6016.4332800000002</v>
      </c>
      <c r="K223" s="62"/>
      <c r="L223" s="163">
        <v>254</v>
      </c>
      <c r="M223" s="55">
        <f t="shared" si="108"/>
        <v>254</v>
      </c>
      <c r="N223" s="55">
        <f t="shared" si="109"/>
        <v>223.52</v>
      </c>
      <c r="O223" s="96"/>
      <c r="P223" s="163">
        <v>0</v>
      </c>
      <c r="Q223" s="55">
        <f t="shared" si="110"/>
        <v>0</v>
      </c>
      <c r="R223" s="65">
        <f t="shared" si="111"/>
        <v>0</v>
      </c>
      <c r="S223" s="119">
        <v>15</v>
      </c>
      <c r="T223" s="122" t="s">
        <v>201</v>
      </c>
      <c r="U223" s="73">
        <f>SUMIF('Avoided Costs 2013-2021'!$A:$A,'2013 Actuals'!T223&amp;'2013 Actuals'!S223,'Avoided Costs 2013-2021'!$E:$E)*J223</f>
        <v>13445.901432307133</v>
      </c>
      <c r="V223" s="73">
        <f>SUMIF('Avoided Costs 2013-2021'!$A:$A,'2013 Actuals'!T223&amp;'2013 Actuals'!S223,'Avoided Costs 2013-2021'!$K:$K)*N223</f>
        <v>234.00167288418874</v>
      </c>
      <c r="W223" s="73">
        <f>SUMIF('Avoided Costs 2013-2021'!$A:$A,'2013 Actuals'!T223&amp;'2013 Actuals'!S223,'Avoided Costs 2013-2021'!$M:$M)*R223</f>
        <v>0</v>
      </c>
      <c r="X223" s="73">
        <f t="shared" si="112"/>
        <v>13679.903105191323</v>
      </c>
      <c r="Y223" s="89">
        <v>18397</v>
      </c>
      <c r="Z223" s="74">
        <f t="shared" si="113"/>
        <v>16189.36</v>
      </c>
      <c r="AA223" s="75"/>
      <c r="AB223" s="75"/>
      <c r="AC223" s="75"/>
      <c r="AD223" s="74">
        <f t="shared" si="114"/>
        <v>16189.36</v>
      </c>
      <c r="AE223" s="74">
        <f t="shared" si="115"/>
        <v>-2509.456894808678</v>
      </c>
      <c r="AF223" s="52">
        <f t="shared" si="116"/>
        <v>90246.499200000006</v>
      </c>
      <c r="AG223" s="52">
        <f t="shared" si="117"/>
        <v>102552.84</v>
      </c>
    </row>
    <row r="224" spans="1:33" s="21" customFormat="1" x14ac:dyDescent="0.2">
      <c r="A224" s="115" t="s">
        <v>1020</v>
      </c>
      <c r="B224" s="115"/>
      <c r="C224" s="115"/>
      <c r="D224" s="163">
        <v>1</v>
      </c>
      <c r="E224" s="164"/>
      <c r="F224" s="165">
        <v>0.12</v>
      </c>
      <c r="G224" s="165"/>
      <c r="H224" s="51">
        <v>28171</v>
      </c>
      <c r="I224" s="52">
        <f t="shared" si="106"/>
        <v>24903.164000000001</v>
      </c>
      <c r="J224" s="52">
        <f t="shared" si="107"/>
        <v>21914.784320000002</v>
      </c>
      <c r="K224" s="62"/>
      <c r="L224" s="163">
        <v>-26780</v>
      </c>
      <c r="M224" s="55">
        <f t="shared" si="108"/>
        <v>-26780</v>
      </c>
      <c r="N224" s="55">
        <f t="shared" si="109"/>
        <v>-23566.400000000001</v>
      </c>
      <c r="O224" s="96"/>
      <c r="P224" s="163">
        <v>0</v>
      </c>
      <c r="Q224" s="55">
        <f t="shared" si="110"/>
        <v>0</v>
      </c>
      <c r="R224" s="65">
        <f t="shared" si="111"/>
        <v>0</v>
      </c>
      <c r="S224" s="119">
        <v>15</v>
      </c>
      <c r="T224" s="122" t="s">
        <v>201</v>
      </c>
      <c r="U224" s="73">
        <f>SUMIF('Avoided Costs 2013-2021'!$A:$A,'2013 Actuals'!T224&amp;'2013 Actuals'!S224,'Avoided Costs 2013-2021'!$E:$E)*J224</f>
        <v>48976.530805472496</v>
      </c>
      <c r="V224" s="73">
        <f>SUMIF('Avoided Costs 2013-2021'!$A:$A,'2013 Actuals'!T224&amp;'2013 Actuals'!S224,'Avoided Costs 2013-2021'!$K:$K)*N224</f>
        <v>-24671.514959994387</v>
      </c>
      <c r="W224" s="73">
        <f>SUMIF('Avoided Costs 2013-2021'!$A:$A,'2013 Actuals'!T224&amp;'2013 Actuals'!S224,'Avoided Costs 2013-2021'!$M:$M)*R224</f>
        <v>0</v>
      </c>
      <c r="X224" s="73">
        <f t="shared" si="112"/>
        <v>24305.015845478109</v>
      </c>
      <c r="Y224" s="89">
        <v>40026</v>
      </c>
      <c r="Z224" s="74">
        <f t="shared" si="113"/>
        <v>35222.879999999997</v>
      </c>
      <c r="AA224" s="75"/>
      <c r="AB224" s="75"/>
      <c r="AC224" s="75"/>
      <c r="AD224" s="74">
        <f t="shared" si="114"/>
        <v>35222.879999999997</v>
      </c>
      <c r="AE224" s="74">
        <f t="shared" si="115"/>
        <v>-10917.864154521889</v>
      </c>
      <c r="AF224" s="52">
        <f t="shared" si="116"/>
        <v>328721.76480000006</v>
      </c>
      <c r="AG224" s="52">
        <f t="shared" si="117"/>
        <v>373547.46</v>
      </c>
    </row>
    <row r="225" spans="1:33" s="21" customFormat="1" x14ac:dyDescent="0.2">
      <c r="A225" s="115" t="s">
        <v>1021</v>
      </c>
      <c r="B225" s="115"/>
      <c r="C225" s="115"/>
      <c r="D225" s="163">
        <v>1</v>
      </c>
      <c r="E225" s="164"/>
      <c r="F225" s="165">
        <v>0.12</v>
      </c>
      <c r="G225" s="165"/>
      <c r="H225" s="51">
        <v>30717</v>
      </c>
      <c r="I225" s="52">
        <f t="shared" si="106"/>
        <v>27153.828000000001</v>
      </c>
      <c r="J225" s="52">
        <f t="shared" si="107"/>
        <v>23895.368640000001</v>
      </c>
      <c r="K225" s="62"/>
      <c r="L225" s="163">
        <v>-6242</v>
      </c>
      <c r="M225" s="55">
        <f t="shared" si="108"/>
        <v>-6242</v>
      </c>
      <c r="N225" s="55">
        <f t="shared" si="109"/>
        <v>-5492.96</v>
      </c>
      <c r="O225" s="96"/>
      <c r="P225" s="163">
        <v>0</v>
      </c>
      <c r="Q225" s="55">
        <f t="shared" si="110"/>
        <v>0</v>
      </c>
      <c r="R225" s="65">
        <f t="shared" si="111"/>
        <v>0</v>
      </c>
      <c r="S225" s="119">
        <v>15</v>
      </c>
      <c r="T225" s="122" t="s">
        <v>201</v>
      </c>
      <c r="U225" s="73">
        <f>SUMIF('Avoided Costs 2013-2021'!$A:$A,'2013 Actuals'!T225&amp;'2013 Actuals'!S225,'Avoided Costs 2013-2021'!$E:$E)*J225</f>
        <v>53402.864532735737</v>
      </c>
      <c r="V225" s="73">
        <f>SUMIF('Avoided Costs 2013-2021'!$A:$A,'2013 Actuals'!T225&amp;'2013 Actuals'!S225,'Avoided Costs 2013-2021'!$K:$K)*N225</f>
        <v>-5750.5450478075045</v>
      </c>
      <c r="W225" s="73">
        <f>SUMIF('Avoided Costs 2013-2021'!$A:$A,'2013 Actuals'!T225&amp;'2013 Actuals'!S225,'Avoided Costs 2013-2021'!$M:$M)*R225</f>
        <v>0</v>
      </c>
      <c r="X225" s="73">
        <f t="shared" si="112"/>
        <v>47652.31948492823</v>
      </c>
      <c r="Y225" s="89">
        <v>28254</v>
      </c>
      <c r="Z225" s="74">
        <f t="shared" si="113"/>
        <v>24863.52</v>
      </c>
      <c r="AA225" s="75"/>
      <c r="AB225" s="75"/>
      <c r="AC225" s="75"/>
      <c r="AD225" s="74">
        <f t="shared" si="114"/>
        <v>24863.52</v>
      </c>
      <c r="AE225" s="74">
        <f t="shared" si="115"/>
        <v>22788.79948492823</v>
      </c>
      <c r="AF225" s="52">
        <f t="shared" si="116"/>
        <v>358430.52960000001</v>
      </c>
      <c r="AG225" s="52">
        <f t="shared" si="117"/>
        <v>407307.42000000004</v>
      </c>
    </row>
    <row r="226" spans="1:33" s="21" customFormat="1" x14ac:dyDescent="0.2">
      <c r="A226" s="114" t="s">
        <v>1022</v>
      </c>
      <c r="B226" s="114"/>
      <c r="C226" s="114"/>
      <c r="D226" s="160">
        <v>1</v>
      </c>
      <c r="E226" s="161"/>
      <c r="F226" s="162">
        <v>0.12</v>
      </c>
      <c r="G226" s="162"/>
      <c r="H226" s="52">
        <v>21873</v>
      </c>
      <c r="I226" s="52">
        <f t="shared" si="106"/>
        <v>19335.732</v>
      </c>
      <c r="J226" s="52">
        <f t="shared" si="107"/>
        <v>17015.444159999999</v>
      </c>
      <c r="K226" s="61"/>
      <c r="L226" s="160">
        <v>-28200</v>
      </c>
      <c r="M226" s="55">
        <f t="shared" si="108"/>
        <v>-28200</v>
      </c>
      <c r="N226" s="55">
        <f t="shared" si="109"/>
        <v>-24816</v>
      </c>
      <c r="O226" s="95"/>
      <c r="P226" s="160">
        <v>0</v>
      </c>
      <c r="Q226" s="55">
        <f t="shared" si="110"/>
        <v>0</v>
      </c>
      <c r="R226" s="65">
        <f t="shared" si="111"/>
        <v>0</v>
      </c>
      <c r="S226" s="118">
        <v>15</v>
      </c>
      <c r="T226" s="121" t="s">
        <v>201</v>
      </c>
      <c r="U226" s="73">
        <f>SUMIF('Avoided Costs 2013-2021'!$A:$A,'2013 Actuals'!T226&amp;'2013 Actuals'!S226,'Avoided Costs 2013-2021'!$E:$E)*J226</f>
        <v>38027.178953821291</v>
      </c>
      <c r="V226" s="73">
        <f>SUMIF('Avoided Costs 2013-2021'!$A:$A,'2013 Actuals'!T226&amp;'2013 Actuals'!S226,'Avoided Costs 2013-2021'!$K:$K)*N226</f>
        <v>-25979.713288717016</v>
      </c>
      <c r="W226" s="73">
        <f>SUMIF('Avoided Costs 2013-2021'!$A:$A,'2013 Actuals'!T226&amp;'2013 Actuals'!S226,'Avoided Costs 2013-2021'!$M:$M)*R226</f>
        <v>0</v>
      </c>
      <c r="X226" s="73">
        <f t="shared" si="112"/>
        <v>12047.465665104275</v>
      </c>
      <c r="Y226" s="83">
        <v>48048.35</v>
      </c>
      <c r="Z226" s="74">
        <f t="shared" si="113"/>
        <v>42282.548000000003</v>
      </c>
      <c r="AA226" s="74"/>
      <c r="AB226" s="74"/>
      <c r="AC226" s="74"/>
      <c r="AD226" s="74">
        <f t="shared" si="114"/>
        <v>42282.548000000003</v>
      </c>
      <c r="AE226" s="74">
        <f t="shared" si="115"/>
        <v>-30235.082334895727</v>
      </c>
      <c r="AF226" s="52">
        <f t="shared" si="116"/>
        <v>255231.66239999997</v>
      </c>
      <c r="AG226" s="52">
        <f t="shared" si="117"/>
        <v>290035.98</v>
      </c>
    </row>
    <row r="227" spans="1:33" s="21" customFormat="1" x14ac:dyDescent="0.2">
      <c r="A227" s="116" t="s">
        <v>1023</v>
      </c>
      <c r="B227" s="116"/>
      <c r="C227" s="116"/>
      <c r="D227" s="151">
        <v>1</v>
      </c>
      <c r="E227" s="152"/>
      <c r="F227" s="153">
        <v>0.12</v>
      </c>
      <c r="G227" s="153"/>
      <c r="H227" s="52">
        <v>3148</v>
      </c>
      <c r="I227" s="52">
        <f t="shared" si="106"/>
        <v>2782.8319999999999</v>
      </c>
      <c r="J227" s="52">
        <f t="shared" si="107"/>
        <v>2448.8921599999999</v>
      </c>
      <c r="K227" s="152"/>
      <c r="L227" s="151">
        <v>-2655</v>
      </c>
      <c r="M227" s="55">
        <f t="shared" si="108"/>
        <v>-2655</v>
      </c>
      <c r="N227" s="55">
        <f t="shared" si="109"/>
        <v>-2336.4</v>
      </c>
      <c r="O227" s="154"/>
      <c r="P227" s="151">
        <v>0</v>
      </c>
      <c r="Q227" s="55">
        <f t="shared" si="110"/>
        <v>0</v>
      </c>
      <c r="R227" s="65">
        <f t="shared" si="111"/>
        <v>0</v>
      </c>
      <c r="S227" s="129">
        <v>15</v>
      </c>
      <c r="T227" s="123" t="s">
        <v>201</v>
      </c>
      <c r="U227" s="73">
        <f>SUMIF('Avoided Costs 2013-2021'!$A:$A,'2013 Actuals'!T227&amp;'2013 Actuals'!S227,'Avoided Costs 2013-2021'!$E:$E)*J227</f>
        <v>5472.9373815493727</v>
      </c>
      <c r="V227" s="73">
        <f>SUMIF('Avoided Costs 2013-2021'!$A:$A,'2013 Actuals'!T227&amp;'2013 Actuals'!S227,'Avoided Costs 2013-2021'!$K:$K)*N227</f>
        <v>-2445.9623681398471</v>
      </c>
      <c r="W227" s="73">
        <f>SUMIF('Avoided Costs 2013-2021'!$A:$A,'2013 Actuals'!T227&amp;'2013 Actuals'!S227,'Avoided Costs 2013-2021'!$M:$M)*R227</f>
        <v>0</v>
      </c>
      <c r="X227" s="73">
        <f t="shared" si="112"/>
        <v>3026.9750134095257</v>
      </c>
      <c r="Y227" s="83">
        <v>4650</v>
      </c>
      <c r="Z227" s="74">
        <f t="shared" si="113"/>
        <v>4092</v>
      </c>
      <c r="AA227" s="74"/>
      <c r="AB227" s="74"/>
      <c r="AC227" s="74"/>
      <c r="AD227" s="74">
        <f t="shared" si="114"/>
        <v>4092</v>
      </c>
      <c r="AE227" s="74">
        <f t="shared" si="115"/>
        <v>-1065.0249865904743</v>
      </c>
      <c r="AF227" s="52">
        <f t="shared" si="116"/>
        <v>36733.382399999995</v>
      </c>
      <c r="AG227" s="52">
        <f t="shared" si="117"/>
        <v>41742.479999999996</v>
      </c>
    </row>
    <row r="228" spans="1:33" s="21" customFormat="1" x14ac:dyDescent="0.2">
      <c r="A228" s="114" t="s">
        <v>1024</v>
      </c>
      <c r="B228" s="114"/>
      <c r="C228" s="114"/>
      <c r="D228" s="160">
        <v>1</v>
      </c>
      <c r="E228" s="161"/>
      <c r="F228" s="162">
        <v>0.12</v>
      </c>
      <c r="G228" s="162"/>
      <c r="H228" s="52">
        <v>127426</v>
      </c>
      <c r="I228" s="52">
        <f t="shared" si="106"/>
        <v>112644.584</v>
      </c>
      <c r="J228" s="52">
        <f t="shared" si="107"/>
        <v>99127.233919999999</v>
      </c>
      <c r="K228" s="61"/>
      <c r="L228" s="160">
        <v>-14874</v>
      </c>
      <c r="M228" s="55">
        <f t="shared" si="108"/>
        <v>-14874</v>
      </c>
      <c r="N228" s="55">
        <f t="shared" si="109"/>
        <v>-13089.12</v>
      </c>
      <c r="O228" s="95"/>
      <c r="P228" s="160">
        <v>0</v>
      </c>
      <c r="Q228" s="55">
        <f t="shared" si="110"/>
        <v>0</v>
      </c>
      <c r="R228" s="65">
        <f t="shared" si="111"/>
        <v>0</v>
      </c>
      <c r="S228" s="118">
        <v>15</v>
      </c>
      <c r="T228" s="121" t="s">
        <v>201</v>
      </c>
      <c r="U228" s="73">
        <f>SUMIF('Avoided Costs 2013-2021'!$A:$A,'2013 Actuals'!T228&amp;'2013 Actuals'!S228,'Avoided Costs 2013-2021'!$E:$E)*J228</f>
        <v>221535.74294196645</v>
      </c>
      <c r="V228" s="73">
        <f>SUMIF('Avoided Costs 2013-2021'!$A:$A,'2013 Actuals'!T228&amp;'2013 Actuals'!S228,'Avoided Costs 2013-2021'!$K:$K)*N228</f>
        <v>-13702.91686015521</v>
      </c>
      <c r="W228" s="73">
        <f>SUMIF('Avoided Costs 2013-2021'!$A:$A,'2013 Actuals'!T228&amp;'2013 Actuals'!S228,'Avoided Costs 2013-2021'!$M:$M)*R228</f>
        <v>0</v>
      </c>
      <c r="X228" s="73">
        <f t="shared" si="112"/>
        <v>207832.82608181125</v>
      </c>
      <c r="Y228" s="83">
        <v>50305.06</v>
      </c>
      <c r="Z228" s="74">
        <f t="shared" si="113"/>
        <v>44268.452799999999</v>
      </c>
      <c r="AA228" s="74"/>
      <c r="AB228" s="74"/>
      <c r="AC228" s="74"/>
      <c r="AD228" s="74">
        <f t="shared" si="114"/>
        <v>44268.452799999999</v>
      </c>
      <c r="AE228" s="74">
        <f t="shared" si="115"/>
        <v>163564.37328181125</v>
      </c>
      <c r="AF228" s="52">
        <f t="shared" si="116"/>
        <v>1486908.5088</v>
      </c>
      <c r="AG228" s="52">
        <f t="shared" si="117"/>
        <v>1689668.76</v>
      </c>
    </row>
    <row r="229" spans="1:33" s="21" customFormat="1" x14ac:dyDescent="0.2">
      <c r="A229" s="114" t="s">
        <v>1025</v>
      </c>
      <c r="B229" s="114"/>
      <c r="C229" s="114"/>
      <c r="D229" s="160">
        <v>1</v>
      </c>
      <c r="E229" s="161"/>
      <c r="F229" s="162">
        <v>0.12</v>
      </c>
      <c r="G229" s="162"/>
      <c r="H229" s="52">
        <v>25580</v>
      </c>
      <c r="I229" s="52">
        <f t="shared" si="106"/>
        <v>22612.720000000001</v>
      </c>
      <c r="J229" s="52">
        <f t="shared" si="107"/>
        <v>19899.193600000002</v>
      </c>
      <c r="K229" s="61"/>
      <c r="L229" s="160">
        <v>-7376</v>
      </c>
      <c r="M229" s="55">
        <f t="shared" si="108"/>
        <v>-7376</v>
      </c>
      <c r="N229" s="55">
        <f t="shared" si="109"/>
        <v>-6490.88</v>
      </c>
      <c r="O229" s="95"/>
      <c r="P229" s="160">
        <v>0</v>
      </c>
      <c r="Q229" s="55">
        <f t="shared" si="110"/>
        <v>0</v>
      </c>
      <c r="R229" s="65">
        <f t="shared" si="111"/>
        <v>0</v>
      </c>
      <c r="S229" s="118">
        <v>15</v>
      </c>
      <c r="T229" s="121" t="s">
        <v>201</v>
      </c>
      <c r="U229" s="73">
        <f>SUMIF('Avoided Costs 2013-2021'!$A:$A,'2013 Actuals'!T229&amp;'2013 Actuals'!S229,'Avoided Costs 2013-2021'!$E:$E)*J229</f>
        <v>44471.96258577922</v>
      </c>
      <c r="V229" s="73">
        <f>SUMIF('Avoided Costs 2013-2021'!$A:$A,'2013 Actuals'!T229&amp;'2013 Actuals'!S229,'Avoided Costs 2013-2021'!$K:$K)*N229</f>
        <v>-6795.2611779282524</v>
      </c>
      <c r="W229" s="73">
        <f>SUMIF('Avoided Costs 2013-2021'!$A:$A,'2013 Actuals'!T229&amp;'2013 Actuals'!S229,'Avoided Costs 2013-2021'!$M:$M)*R229</f>
        <v>0</v>
      </c>
      <c r="X229" s="73">
        <f t="shared" si="112"/>
        <v>37676.701407850967</v>
      </c>
      <c r="Y229" s="83">
        <v>18000</v>
      </c>
      <c r="Z229" s="74">
        <f t="shared" si="113"/>
        <v>15840</v>
      </c>
      <c r="AA229" s="74"/>
      <c r="AB229" s="74"/>
      <c r="AC229" s="74"/>
      <c r="AD229" s="74">
        <f t="shared" si="114"/>
        <v>15840</v>
      </c>
      <c r="AE229" s="74">
        <f t="shared" si="115"/>
        <v>21836.701407850967</v>
      </c>
      <c r="AF229" s="52">
        <f t="shared" si="116"/>
        <v>298487.90400000004</v>
      </c>
      <c r="AG229" s="52">
        <f t="shared" si="117"/>
        <v>339190.80000000005</v>
      </c>
    </row>
    <row r="230" spans="1:33" s="21" customFormat="1" x14ac:dyDescent="0.2">
      <c r="A230" s="114" t="s">
        <v>1026</v>
      </c>
      <c r="B230" s="114"/>
      <c r="C230" s="114"/>
      <c r="D230" s="160">
        <v>1</v>
      </c>
      <c r="E230" s="161"/>
      <c r="F230" s="162">
        <v>0.12</v>
      </c>
      <c r="G230" s="162"/>
      <c r="H230" s="52">
        <v>62012</v>
      </c>
      <c r="I230" s="52">
        <f t="shared" si="106"/>
        <v>54818.608</v>
      </c>
      <c r="J230" s="52">
        <f t="shared" si="107"/>
        <v>48240.375039999999</v>
      </c>
      <c r="K230" s="61"/>
      <c r="L230" s="160">
        <v>-34013</v>
      </c>
      <c r="M230" s="55">
        <f t="shared" si="108"/>
        <v>-34013</v>
      </c>
      <c r="N230" s="55">
        <f t="shared" si="109"/>
        <v>-29931.439999999999</v>
      </c>
      <c r="O230" s="95"/>
      <c r="P230" s="160">
        <v>0</v>
      </c>
      <c r="Q230" s="55">
        <f t="shared" si="110"/>
        <v>0</v>
      </c>
      <c r="R230" s="65">
        <f t="shared" si="111"/>
        <v>0</v>
      </c>
      <c r="S230" s="118">
        <v>15</v>
      </c>
      <c r="T230" s="121" t="s">
        <v>201</v>
      </c>
      <c r="U230" s="73">
        <f>SUMIF('Avoided Costs 2013-2021'!$A:$A,'2013 Actuals'!T230&amp;'2013 Actuals'!S230,'Avoided Costs 2013-2021'!$E:$E)*J230</f>
        <v>107810.60765712825</v>
      </c>
      <c r="V230" s="73">
        <f>SUMIF('Avoided Costs 2013-2021'!$A:$A,'2013 Actuals'!T230&amp;'2013 Actuals'!S230,'Avoided Costs 2013-2021'!$K:$K)*N230</f>
        <v>-31335.035038621696</v>
      </c>
      <c r="W230" s="73">
        <f>SUMIF('Avoided Costs 2013-2021'!$A:$A,'2013 Actuals'!T230&amp;'2013 Actuals'!S230,'Avoided Costs 2013-2021'!$M:$M)*R230</f>
        <v>0</v>
      </c>
      <c r="X230" s="73">
        <f t="shared" si="112"/>
        <v>76475.572618506558</v>
      </c>
      <c r="Y230" s="83">
        <v>52000</v>
      </c>
      <c r="Z230" s="74">
        <f t="shared" si="113"/>
        <v>45760</v>
      </c>
      <c r="AA230" s="74"/>
      <c r="AB230" s="74"/>
      <c r="AC230" s="74"/>
      <c r="AD230" s="74">
        <f t="shared" si="114"/>
        <v>45760</v>
      </c>
      <c r="AE230" s="74">
        <f t="shared" si="115"/>
        <v>30715.572618506558</v>
      </c>
      <c r="AF230" s="52">
        <f t="shared" si="116"/>
        <v>723605.62560000003</v>
      </c>
      <c r="AG230" s="52">
        <f t="shared" si="117"/>
        <v>822279.12</v>
      </c>
    </row>
    <row r="231" spans="1:33" s="21" customFormat="1" x14ac:dyDescent="0.2">
      <c r="A231" s="114" t="s">
        <v>1027</v>
      </c>
      <c r="B231" s="114"/>
      <c r="C231" s="114"/>
      <c r="D231" s="160">
        <v>1</v>
      </c>
      <c r="E231" s="161"/>
      <c r="F231" s="162">
        <v>0.12</v>
      </c>
      <c r="G231" s="162"/>
      <c r="H231" s="52">
        <v>80488</v>
      </c>
      <c r="I231" s="52">
        <f t="shared" si="106"/>
        <v>71151.392000000007</v>
      </c>
      <c r="J231" s="52">
        <f t="shared" si="107"/>
        <v>62613.224960000007</v>
      </c>
      <c r="K231" s="61"/>
      <c r="L231" s="160">
        <v>-27367</v>
      </c>
      <c r="M231" s="55">
        <f t="shared" si="108"/>
        <v>-27367</v>
      </c>
      <c r="N231" s="55">
        <f t="shared" si="109"/>
        <v>-24082.959999999999</v>
      </c>
      <c r="O231" s="95"/>
      <c r="P231" s="160">
        <v>0</v>
      </c>
      <c r="Q231" s="55">
        <f t="shared" si="110"/>
        <v>0</v>
      </c>
      <c r="R231" s="65">
        <f t="shared" si="111"/>
        <v>0</v>
      </c>
      <c r="S231" s="118">
        <v>15</v>
      </c>
      <c r="T231" s="121" t="s">
        <v>201</v>
      </c>
      <c r="U231" s="73">
        <f>SUMIF('Avoided Costs 2013-2021'!$A:$A,'2013 Actuals'!T231&amp;'2013 Actuals'!S231,'Avoided Costs 2013-2021'!$E:$E)*J231</f>
        <v>139931.9517046207</v>
      </c>
      <c r="V231" s="73">
        <f>SUMIF('Avoided Costs 2013-2021'!$A:$A,'2013 Actuals'!T231&amp;'2013 Actuals'!S231,'Avoided Costs 2013-2021'!$K:$K)*N231</f>
        <v>-25212.298353628317</v>
      </c>
      <c r="W231" s="73">
        <f>SUMIF('Avoided Costs 2013-2021'!$A:$A,'2013 Actuals'!T231&amp;'2013 Actuals'!S231,'Avoided Costs 2013-2021'!$M:$M)*R231</f>
        <v>0</v>
      </c>
      <c r="X231" s="73">
        <f t="shared" si="112"/>
        <v>114719.65335099239</v>
      </c>
      <c r="Y231" s="83">
        <v>54251.18</v>
      </c>
      <c r="Z231" s="74">
        <f t="shared" si="113"/>
        <v>47741.038399999998</v>
      </c>
      <c r="AA231" s="74"/>
      <c r="AB231" s="74"/>
      <c r="AC231" s="74"/>
      <c r="AD231" s="74">
        <f t="shared" si="114"/>
        <v>47741.038399999998</v>
      </c>
      <c r="AE231" s="74">
        <f t="shared" si="115"/>
        <v>66978.6149509924</v>
      </c>
      <c r="AF231" s="52">
        <f t="shared" si="116"/>
        <v>939198.37440000009</v>
      </c>
      <c r="AG231" s="52">
        <f t="shared" si="117"/>
        <v>1067270.8800000001</v>
      </c>
    </row>
    <row r="232" spans="1:33" s="21" customFormat="1" x14ac:dyDescent="0.2">
      <c r="A232" s="114" t="s">
        <v>1028</v>
      </c>
      <c r="B232" s="114"/>
      <c r="C232" s="114"/>
      <c r="D232" s="160">
        <v>1</v>
      </c>
      <c r="E232" s="161"/>
      <c r="F232" s="162">
        <v>0.12</v>
      </c>
      <c r="G232" s="162"/>
      <c r="H232" s="52">
        <v>7786</v>
      </c>
      <c r="I232" s="52">
        <f t="shared" si="106"/>
        <v>6882.8239999999996</v>
      </c>
      <c r="J232" s="52">
        <f t="shared" si="107"/>
        <v>6056.8851199999999</v>
      </c>
      <c r="K232" s="61"/>
      <c r="L232" s="160">
        <v>-4248</v>
      </c>
      <c r="M232" s="55">
        <f t="shared" si="108"/>
        <v>-4248</v>
      </c>
      <c r="N232" s="55">
        <f t="shared" si="109"/>
        <v>-3738.2400000000002</v>
      </c>
      <c r="O232" s="95"/>
      <c r="P232" s="160">
        <v>0</v>
      </c>
      <c r="Q232" s="55">
        <f t="shared" si="110"/>
        <v>0</v>
      </c>
      <c r="R232" s="65">
        <f t="shared" si="111"/>
        <v>0</v>
      </c>
      <c r="S232" s="118">
        <v>15</v>
      </c>
      <c r="T232" s="121" t="s">
        <v>201</v>
      </c>
      <c r="U232" s="73">
        <f>SUMIF('Avoided Costs 2013-2021'!$A:$A,'2013 Actuals'!T232&amp;'2013 Actuals'!S232,'Avoided Costs 2013-2021'!$E:$E)*J232</f>
        <v>13536.305734670717</v>
      </c>
      <c r="V232" s="73">
        <f>SUMIF('Avoided Costs 2013-2021'!$A:$A,'2013 Actuals'!T232&amp;'2013 Actuals'!S232,'Avoided Costs 2013-2021'!$K:$K)*N232</f>
        <v>-3913.539789023755</v>
      </c>
      <c r="W232" s="73">
        <f>SUMIF('Avoided Costs 2013-2021'!$A:$A,'2013 Actuals'!T232&amp;'2013 Actuals'!S232,'Avoided Costs 2013-2021'!$M:$M)*R232</f>
        <v>0</v>
      </c>
      <c r="X232" s="73">
        <f t="shared" si="112"/>
        <v>9622.7659456469628</v>
      </c>
      <c r="Y232" s="83">
        <v>25650</v>
      </c>
      <c r="Z232" s="74">
        <f t="shared" si="113"/>
        <v>22572</v>
      </c>
      <c r="AA232" s="74"/>
      <c r="AB232" s="74"/>
      <c r="AC232" s="74"/>
      <c r="AD232" s="74">
        <f t="shared" si="114"/>
        <v>22572</v>
      </c>
      <c r="AE232" s="74">
        <f t="shared" si="115"/>
        <v>-12949.234054353037</v>
      </c>
      <c r="AF232" s="52">
        <f t="shared" si="116"/>
        <v>90853.276799999992</v>
      </c>
      <c r="AG232" s="52">
        <f t="shared" si="117"/>
        <v>103242.36</v>
      </c>
    </row>
    <row r="233" spans="1:33" s="17" customFormat="1" collapsed="1" x14ac:dyDescent="0.2">
      <c r="A233" s="166" t="s">
        <v>4</v>
      </c>
      <c r="B233" s="166" t="s">
        <v>186</v>
      </c>
      <c r="C233" s="125"/>
      <c r="D233" s="65">
        <f>SUM(D212:D232)</f>
        <v>21</v>
      </c>
      <c r="E233" s="291"/>
      <c r="F233" s="168"/>
      <c r="G233" s="292"/>
      <c r="H233" s="52">
        <v>1214597</v>
      </c>
      <c r="I233" s="52">
        <f>SUM(I212:I232)</f>
        <v>1075112.1040000003</v>
      </c>
      <c r="J233" s="52">
        <f>SUM(J212:J232)</f>
        <v>946098.65151999996</v>
      </c>
      <c r="K233" s="167"/>
      <c r="L233" s="52">
        <v>-139821</v>
      </c>
      <c r="M233" s="52">
        <f>SUM(M212:M232)</f>
        <v>-139821</v>
      </c>
      <c r="N233" s="52">
        <f>SUM(N212:N232)</f>
        <v>-123042.48</v>
      </c>
      <c r="O233" s="169"/>
      <c r="P233" s="52">
        <v>0</v>
      </c>
      <c r="Q233" s="52">
        <f>SUM(Q212:Q232)</f>
        <v>0</v>
      </c>
      <c r="R233" s="52">
        <f>SUM(R212:R232)</f>
        <v>0</v>
      </c>
      <c r="S233" s="133"/>
      <c r="T233" s="125" t="s">
        <v>215</v>
      </c>
      <c r="U233" s="74">
        <f>SUM(U212:U232)</f>
        <v>2283966.6831224249</v>
      </c>
      <c r="V233" s="74">
        <f>SUM(V212:V232)</f>
        <v>-108690.34429706437</v>
      </c>
      <c r="W233" s="74">
        <f>SUM(W212:W232)</f>
        <v>0</v>
      </c>
      <c r="X233" s="74">
        <f>SUM(X212:X232)</f>
        <v>2175276.3388253604</v>
      </c>
      <c r="Y233" s="83"/>
      <c r="Z233" s="74">
        <f t="shared" ref="Z233" si="118">SUM(Z212:Z232)</f>
        <v>1169832.0392</v>
      </c>
      <c r="AA233" s="74">
        <v>237810.2</v>
      </c>
      <c r="AB233" s="74">
        <v>6719.28</v>
      </c>
      <c r="AC233" s="74">
        <f>AA233+AB233</f>
        <v>244529.48</v>
      </c>
      <c r="AD233" s="74">
        <f t="shared" si="114"/>
        <v>1176551.3192</v>
      </c>
      <c r="AE233" s="293">
        <f t="shared" si="115"/>
        <v>998725.01962536038</v>
      </c>
      <c r="AF233" s="52">
        <f>SUM(AF212:AF232)</f>
        <v>16070787.955200002</v>
      </c>
      <c r="AG233" s="52">
        <f>SUM(AG212:AG232)</f>
        <v>18262259.039999999</v>
      </c>
    </row>
    <row r="234" spans="1:33" x14ac:dyDescent="0.2">
      <c r="A234" s="150"/>
      <c r="O234" s="92"/>
      <c r="P234" s="44"/>
      <c r="R234" s="44"/>
      <c r="S234" s="4"/>
      <c r="Z234" s="72"/>
      <c r="AA234" s="72"/>
      <c r="AC234" s="72"/>
      <c r="AD234" s="72"/>
      <c r="AE234" s="72"/>
      <c r="AF234" s="79"/>
      <c r="AG234" s="79"/>
    </row>
    <row r="235" spans="1:33" x14ac:dyDescent="0.2">
      <c r="A235" s="150" t="s">
        <v>142</v>
      </c>
      <c r="B235" s="2" t="s">
        <v>143</v>
      </c>
      <c r="O235" s="92"/>
      <c r="P235" s="44"/>
      <c r="R235" s="44"/>
      <c r="S235" s="4"/>
      <c r="Z235" s="72"/>
      <c r="AA235" s="72"/>
      <c r="AC235" s="72"/>
      <c r="AD235" s="72"/>
      <c r="AE235" s="72"/>
      <c r="AF235" s="79"/>
      <c r="AG235" s="79"/>
    </row>
    <row r="236" spans="1:33" s="21" customFormat="1" x14ac:dyDescent="0.2">
      <c r="A236" s="114" t="s">
        <v>854</v>
      </c>
      <c r="B236" s="114"/>
      <c r="C236" s="114"/>
      <c r="D236" s="160">
        <v>1</v>
      </c>
      <c r="E236" s="161"/>
      <c r="F236" s="162">
        <v>0.12</v>
      </c>
      <c r="G236" s="162"/>
      <c r="H236" s="52">
        <v>15625</v>
      </c>
      <c r="I236" s="52">
        <f>+$H$39*H236</f>
        <v>13812.5</v>
      </c>
      <c r="J236" s="52">
        <f>I236*(1-F236)</f>
        <v>12155</v>
      </c>
      <c r="K236" s="61"/>
      <c r="L236" s="160">
        <v>0</v>
      </c>
      <c r="M236" s="55">
        <f>+$L$39*L236</f>
        <v>0</v>
      </c>
      <c r="N236" s="55">
        <f>M236*(1-F236)</f>
        <v>0</v>
      </c>
      <c r="O236" s="95"/>
      <c r="P236" s="160">
        <v>0</v>
      </c>
      <c r="Q236" s="55">
        <f>+P236*$P$39</f>
        <v>0</v>
      </c>
      <c r="R236" s="65">
        <f>Q236*(1-F236)</f>
        <v>0</v>
      </c>
      <c r="S236" s="118">
        <v>15</v>
      </c>
      <c r="T236" s="121" t="s">
        <v>201</v>
      </c>
      <c r="U236" s="73">
        <f>SUMIF('Avoided Costs 2013-2021'!$A:$A,'2013 Actuals'!T236&amp;'2013 Actuals'!S236,'Avoided Costs 2013-2021'!$E:$E)*J236</f>
        <v>27164.754315981245</v>
      </c>
      <c r="V236" s="73">
        <f>SUMIF('Avoided Costs 2013-2021'!$A:$A,'2013 Actuals'!T236&amp;'2013 Actuals'!S236,'Avoided Costs 2013-2021'!$K:$K)*N236</f>
        <v>0</v>
      </c>
      <c r="W236" s="73">
        <f>SUMIF('Avoided Costs 2013-2021'!$A:$A,'2013 Actuals'!T236&amp;'2013 Actuals'!S236,'Avoided Costs 2013-2021'!$M:$M)*R236</f>
        <v>0</v>
      </c>
      <c r="X236" s="73">
        <f>SUM(U236:W236)</f>
        <v>27164.754315981245</v>
      </c>
      <c r="Y236" s="83">
        <v>14000</v>
      </c>
      <c r="Z236" s="74">
        <f>Y236*(1-F236)</f>
        <v>12320</v>
      </c>
      <c r="AA236" s="74"/>
      <c r="AB236" s="74"/>
      <c r="AC236" s="74"/>
      <c r="AD236" s="74">
        <f>Z236+AB236</f>
        <v>12320</v>
      </c>
      <c r="AE236" s="74">
        <f>X236-AD236</f>
        <v>14844.754315981245</v>
      </c>
      <c r="AF236" s="52">
        <f>J236*S236</f>
        <v>182325</v>
      </c>
      <c r="AG236" s="52">
        <f>(I236*S236)</f>
        <v>207187.5</v>
      </c>
    </row>
    <row r="237" spans="1:33" s="17" customFormat="1" collapsed="1" x14ac:dyDescent="0.2">
      <c r="A237" s="166" t="s">
        <v>4</v>
      </c>
      <c r="B237" s="166" t="s">
        <v>181</v>
      </c>
      <c r="C237" s="125"/>
      <c r="D237" s="65">
        <f>D236</f>
        <v>1</v>
      </c>
      <c r="E237" s="291"/>
      <c r="F237" s="168"/>
      <c r="G237" s="292"/>
      <c r="H237" s="52">
        <f>H236</f>
        <v>15625</v>
      </c>
      <c r="I237" s="52">
        <f>SUM(I236:I236)</f>
        <v>13812.5</v>
      </c>
      <c r="J237" s="52">
        <f>SUM(J236:J236)</f>
        <v>12155</v>
      </c>
      <c r="K237" s="167"/>
      <c r="L237" s="52"/>
      <c r="M237" s="52">
        <f>SUM(M236:M236)</f>
        <v>0</v>
      </c>
      <c r="N237" s="52">
        <f>SUM(N236:N236)</f>
        <v>0</v>
      </c>
      <c r="O237" s="169"/>
      <c r="P237" s="52">
        <v>0</v>
      </c>
      <c r="Q237" s="52">
        <f>SUM(Q236:Q236)</f>
        <v>0</v>
      </c>
      <c r="R237" s="52">
        <f>SUM(R236:R236)</f>
        <v>0</v>
      </c>
      <c r="S237" s="133"/>
      <c r="T237" s="125" t="s">
        <v>215</v>
      </c>
      <c r="U237" s="74">
        <f>SUM(U236:U236)</f>
        <v>27164.754315981245</v>
      </c>
      <c r="V237" s="74">
        <f>SUM(V236:V236)</f>
        <v>0</v>
      </c>
      <c r="W237" s="74">
        <f>SUM(W236:W236)</f>
        <v>0</v>
      </c>
      <c r="X237" s="74">
        <f>SUM(X236:X236)</f>
        <v>27164.754315981245</v>
      </c>
      <c r="Y237" s="83"/>
      <c r="Z237" s="74">
        <f t="shared" ref="Z237" si="119">SUM(Z236:Z236)</f>
        <v>12320</v>
      </c>
      <c r="AA237" s="74">
        <v>115285</v>
      </c>
      <c r="AB237" s="74">
        <v>8623.73</v>
      </c>
      <c r="AC237" s="74">
        <f>AA237+AB237</f>
        <v>123908.73</v>
      </c>
      <c r="AD237" s="74">
        <f>Z237+AB237</f>
        <v>20943.73</v>
      </c>
      <c r="AE237" s="293">
        <f>X237-AD237</f>
        <v>6221.0243159812453</v>
      </c>
      <c r="AF237" s="52">
        <f>SUM(AF236:AF236)</f>
        <v>182325</v>
      </c>
      <c r="AG237" s="52">
        <f>SUM(AG236:AG236)</f>
        <v>207187.5</v>
      </c>
    </row>
    <row r="238" spans="1:33" s="17" customFormat="1" x14ac:dyDescent="0.2">
      <c r="A238" s="18"/>
      <c r="B238" s="18"/>
      <c r="C238" s="16"/>
      <c r="D238" s="67"/>
      <c r="E238" s="105"/>
      <c r="F238" s="190"/>
      <c r="G238" s="301"/>
      <c r="H238" s="49"/>
      <c r="I238" s="49"/>
      <c r="J238" s="49"/>
      <c r="K238" s="189"/>
      <c r="L238" s="49"/>
      <c r="M238" s="49"/>
      <c r="N238" s="49"/>
      <c r="O238" s="191"/>
      <c r="P238" s="49"/>
      <c r="Q238" s="49"/>
      <c r="R238" s="49"/>
      <c r="S238" s="302"/>
      <c r="T238" s="16"/>
      <c r="U238" s="76"/>
      <c r="V238" s="76"/>
      <c r="W238" s="76"/>
      <c r="X238" s="76"/>
      <c r="Y238" s="87"/>
      <c r="Z238" s="76"/>
      <c r="AA238" s="76"/>
      <c r="AB238" s="76"/>
      <c r="AC238" s="76"/>
      <c r="AD238" s="76"/>
      <c r="AE238" s="76"/>
      <c r="AF238" s="81"/>
      <c r="AG238" s="81"/>
    </row>
    <row r="239" spans="1:33" x14ac:dyDescent="0.2">
      <c r="A239" s="150" t="s">
        <v>112</v>
      </c>
      <c r="B239" s="2" t="s">
        <v>55</v>
      </c>
      <c r="O239" s="92"/>
      <c r="P239" s="44"/>
      <c r="R239" s="44"/>
      <c r="S239" s="4"/>
      <c r="Z239" s="72"/>
      <c r="AA239" s="72"/>
      <c r="AC239" s="72"/>
      <c r="AD239" s="72"/>
      <c r="AE239" s="72"/>
      <c r="AF239" s="79"/>
      <c r="AG239" s="79"/>
    </row>
    <row r="240" spans="1:33" s="21" customFormat="1" x14ac:dyDescent="0.2">
      <c r="A240" s="114" t="s">
        <v>857</v>
      </c>
      <c r="B240" s="114"/>
      <c r="C240" s="114"/>
      <c r="D240" s="160">
        <v>1</v>
      </c>
      <c r="E240" s="161"/>
      <c r="F240" s="162">
        <v>0.12</v>
      </c>
      <c r="G240" s="162"/>
      <c r="H240" s="52">
        <v>11246</v>
      </c>
      <c r="I240" s="52">
        <f t="shared" ref="I240:I264" si="120">+$H$39*H240</f>
        <v>9941.4639999999999</v>
      </c>
      <c r="J240" s="52">
        <f t="shared" ref="J240:J266" si="121">I240*(1-F240)</f>
        <v>8748.4883200000004</v>
      </c>
      <c r="K240" s="61"/>
      <c r="L240" s="160">
        <v>0</v>
      </c>
      <c r="M240" s="55">
        <f t="shared" ref="M240:M266" si="122">+$L$39*L240</f>
        <v>0</v>
      </c>
      <c r="N240" s="55">
        <f t="shared" ref="N240:N266" si="123">M240*(1-F240)</f>
        <v>0</v>
      </c>
      <c r="O240" s="95"/>
      <c r="P240" s="160">
        <v>0</v>
      </c>
      <c r="Q240" s="55">
        <f t="shared" ref="Q240:Q266" si="124">+P240*$P$39</f>
        <v>0</v>
      </c>
      <c r="R240" s="65">
        <f t="shared" ref="R240:R266" si="125">Q240*(1-F240)</f>
        <v>0</v>
      </c>
      <c r="S240" s="118">
        <v>25</v>
      </c>
      <c r="T240" s="121" t="s">
        <v>201</v>
      </c>
      <c r="U240" s="73">
        <f>SUMIF('Avoided Costs 2013-2021'!$A:$A,'2013 Actuals'!T240&amp;'2013 Actuals'!S240,'Avoided Costs 2013-2021'!$E:$E)*J240</f>
        <v>27445.255806891306</v>
      </c>
      <c r="V240" s="73">
        <f>SUMIF('Avoided Costs 2013-2021'!$A:$A,'2013 Actuals'!T240&amp;'2013 Actuals'!S240,'Avoided Costs 2013-2021'!$K:$K)*N240</f>
        <v>0</v>
      </c>
      <c r="W240" s="73">
        <f>SUMIF('Avoided Costs 2013-2021'!$A:$A,'2013 Actuals'!T240&amp;'2013 Actuals'!S240,'Avoided Costs 2013-2021'!$M:$M)*R240</f>
        <v>0</v>
      </c>
      <c r="X240" s="73">
        <f t="shared" ref="X240:X266" si="126">SUM(U240:W240)</f>
        <v>27445.255806891306</v>
      </c>
      <c r="Y240" s="83">
        <v>38808</v>
      </c>
      <c r="Z240" s="74">
        <f t="shared" ref="Z240:Z266" si="127">Y240*(1-F240)</f>
        <v>34151.040000000001</v>
      </c>
      <c r="AA240" s="74"/>
      <c r="AB240" s="74"/>
      <c r="AC240" s="74"/>
      <c r="AD240" s="74">
        <f t="shared" ref="AD240:AD267" si="128">Z240+AB240</f>
        <v>34151.040000000001</v>
      </c>
      <c r="AE240" s="74">
        <f t="shared" ref="AE240:AE267" si="129">X240-AD240</f>
        <v>-6705.784193108695</v>
      </c>
      <c r="AF240" s="52">
        <f t="shared" ref="AF240:AF266" si="130">J240*S240</f>
        <v>218712.20800000001</v>
      </c>
      <c r="AG240" s="52">
        <f t="shared" ref="AG240:AG266" si="131">(I240*S240)</f>
        <v>248536.6</v>
      </c>
    </row>
    <row r="241" spans="1:33" s="21" customFormat="1" x14ac:dyDescent="0.2">
      <c r="A241" s="114" t="s">
        <v>858</v>
      </c>
      <c r="B241" s="114"/>
      <c r="C241" s="114"/>
      <c r="D241" s="160">
        <v>1</v>
      </c>
      <c r="E241" s="161"/>
      <c r="F241" s="162">
        <v>0.12</v>
      </c>
      <c r="G241" s="162"/>
      <c r="H241" s="52">
        <v>16471</v>
      </c>
      <c r="I241" s="52">
        <f t="shared" si="120"/>
        <v>14560.364</v>
      </c>
      <c r="J241" s="52">
        <f t="shared" si="121"/>
        <v>12813.12032</v>
      </c>
      <c r="K241" s="61"/>
      <c r="L241" s="160">
        <v>27748</v>
      </c>
      <c r="M241" s="55">
        <f t="shared" si="122"/>
        <v>27748</v>
      </c>
      <c r="N241" s="55">
        <f t="shared" si="123"/>
        <v>24418.240000000002</v>
      </c>
      <c r="O241" s="95"/>
      <c r="P241" s="160">
        <v>0</v>
      </c>
      <c r="Q241" s="55">
        <f t="shared" si="124"/>
        <v>0</v>
      </c>
      <c r="R241" s="65">
        <f t="shared" si="125"/>
        <v>0</v>
      </c>
      <c r="S241" s="118">
        <v>15</v>
      </c>
      <c r="T241" s="121" t="s">
        <v>201</v>
      </c>
      <c r="U241" s="73">
        <f>SUMIF('Avoided Costs 2013-2021'!$A:$A,'2013 Actuals'!T241&amp;'2013 Actuals'!S241,'Avoided Costs 2013-2021'!$E:$E)*J241</f>
        <v>28635.562773665733</v>
      </c>
      <c r="V241" s="73">
        <f>SUMIF('Avoided Costs 2013-2021'!$A:$A,'2013 Actuals'!T241&amp;'2013 Actuals'!S241,'Avoided Costs 2013-2021'!$K:$K)*N241</f>
        <v>25563.300862954602</v>
      </c>
      <c r="W241" s="73">
        <f>SUMIF('Avoided Costs 2013-2021'!$A:$A,'2013 Actuals'!T241&amp;'2013 Actuals'!S241,'Avoided Costs 2013-2021'!$M:$M)*R241</f>
        <v>0</v>
      </c>
      <c r="X241" s="73">
        <f t="shared" si="126"/>
        <v>54198.863636620335</v>
      </c>
      <c r="Y241" s="83">
        <v>16000</v>
      </c>
      <c r="Z241" s="74">
        <f t="shared" si="127"/>
        <v>14080</v>
      </c>
      <c r="AA241" s="74"/>
      <c r="AB241" s="74"/>
      <c r="AC241" s="74"/>
      <c r="AD241" s="74">
        <f t="shared" si="128"/>
        <v>14080</v>
      </c>
      <c r="AE241" s="74">
        <f t="shared" si="129"/>
        <v>40118.863636620335</v>
      </c>
      <c r="AF241" s="52">
        <f t="shared" si="130"/>
        <v>192196.80480000001</v>
      </c>
      <c r="AG241" s="52">
        <f t="shared" si="131"/>
        <v>218405.46</v>
      </c>
    </row>
    <row r="242" spans="1:33" s="21" customFormat="1" x14ac:dyDescent="0.2">
      <c r="A242" s="114" t="s">
        <v>859</v>
      </c>
      <c r="B242" s="114"/>
      <c r="C242" s="114"/>
      <c r="D242" s="160">
        <v>1</v>
      </c>
      <c r="E242" s="161"/>
      <c r="F242" s="162">
        <v>0.12</v>
      </c>
      <c r="G242" s="162"/>
      <c r="H242" s="52">
        <v>17783</v>
      </c>
      <c r="I242" s="52">
        <f t="shared" si="120"/>
        <v>15720.172</v>
      </c>
      <c r="J242" s="52">
        <f t="shared" si="121"/>
        <v>13833.75136</v>
      </c>
      <c r="K242" s="61"/>
      <c r="L242" s="160">
        <v>0</v>
      </c>
      <c r="M242" s="55">
        <f t="shared" si="122"/>
        <v>0</v>
      </c>
      <c r="N242" s="55">
        <f t="shared" si="123"/>
        <v>0</v>
      </c>
      <c r="O242" s="95"/>
      <c r="P242" s="160">
        <v>0</v>
      </c>
      <c r="Q242" s="55">
        <f t="shared" si="124"/>
        <v>0</v>
      </c>
      <c r="R242" s="65">
        <f t="shared" si="125"/>
        <v>0</v>
      </c>
      <c r="S242" s="118">
        <v>25</v>
      </c>
      <c r="T242" s="121" t="s">
        <v>201</v>
      </c>
      <c r="U242" s="73">
        <f>SUMIF('Avoided Costs 2013-2021'!$A:$A,'2013 Actuals'!T242&amp;'2013 Actuals'!S242,'Avoided Costs 2013-2021'!$E:$E)*J242</f>
        <v>43398.451361724001</v>
      </c>
      <c r="V242" s="73">
        <f>SUMIF('Avoided Costs 2013-2021'!$A:$A,'2013 Actuals'!T242&amp;'2013 Actuals'!S242,'Avoided Costs 2013-2021'!$K:$K)*N242</f>
        <v>0</v>
      </c>
      <c r="W242" s="73">
        <f>SUMIF('Avoided Costs 2013-2021'!$A:$A,'2013 Actuals'!T242&amp;'2013 Actuals'!S242,'Avoided Costs 2013-2021'!$M:$M)*R242</f>
        <v>0</v>
      </c>
      <c r="X242" s="73">
        <f t="shared" si="126"/>
        <v>43398.451361724001</v>
      </c>
      <c r="Y242" s="83">
        <v>11496</v>
      </c>
      <c r="Z242" s="74">
        <f t="shared" si="127"/>
        <v>10116.48</v>
      </c>
      <c r="AA242" s="74"/>
      <c r="AB242" s="74"/>
      <c r="AC242" s="74"/>
      <c r="AD242" s="74">
        <f t="shared" si="128"/>
        <v>10116.48</v>
      </c>
      <c r="AE242" s="74">
        <f t="shared" si="129"/>
        <v>33281.971361724005</v>
      </c>
      <c r="AF242" s="52">
        <f t="shared" si="130"/>
        <v>345843.78399999999</v>
      </c>
      <c r="AG242" s="52">
        <f t="shared" si="131"/>
        <v>393004.3</v>
      </c>
    </row>
    <row r="243" spans="1:33" s="21" customFormat="1" x14ac:dyDescent="0.2">
      <c r="A243" s="116" t="s">
        <v>860</v>
      </c>
      <c r="B243" s="116"/>
      <c r="C243" s="116"/>
      <c r="D243" s="151">
        <v>1</v>
      </c>
      <c r="E243" s="152"/>
      <c r="F243" s="153">
        <v>0.12</v>
      </c>
      <c r="G243" s="153"/>
      <c r="H243" s="52">
        <v>4944</v>
      </c>
      <c r="I243" s="52">
        <f t="shared" si="120"/>
        <v>4370.4960000000001</v>
      </c>
      <c r="J243" s="52">
        <f t="shared" si="121"/>
        <v>3846.0364800000002</v>
      </c>
      <c r="K243" s="152"/>
      <c r="L243" s="151">
        <v>-2119</v>
      </c>
      <c r="M243" s="55">
        <f t="shared" si="122"/>
        <v>-2119</v>
      </c>
      <c r="N243" s="55">
        <f t="shared" si="123"/>
        <v>-1864.72</v>
      </c>
      <c r="O243" s="154"/>
      <c r="P243" s="151">
        <v>0</v>
      </c>
      <c r="Q243" s="55">
        <f t="shared" si="124"/>
        <v>0</v>
      </c>
      <c r="R243" s="65">
        <f t="shared" si="125"/>
        <v>0</v>
      </c>
      <c r="S243" s="129">
        <v>15</v>
      </c>
      <c r="T243" s="123" t="s">
        <v>201</v>
      </c>
      <c r="U243" s="73">
        <f>SUMIF('Avoided Costs 2013-2021'!$A:$A,'2013 Actuals'!T243&amp;'2013 Actuals'!S243,'Avoided Costs 2013-2021'!$E:$E)*J243</f>
        <v>8595.3629016455216</v>
      </c>
      <c r="V243" s="73">
        <f>SUMIF('Avoided Costs 2013-2021'!$A:$A,'2013 Actuals'!T243&amp;'2013 Actuals'!S243,'Avoided Costs 2013-2021'!$K:$K)*N243</f>
        <v>-1952.1635623684879</v>
      </c>
      <c r="W243" s="73">
        <f>SUMIF('Avoided Costs 2013-2021'!$A:$A,'2013 Actuals'!T243&amp;'2013 Actuals'!S243,'Avoided Costs 2013-2021'!$M:$M)*R243</f>
        <v>0</v>
      </c>
      <c r="X243" s="73">
        <f t="shared" si="126"/>
        <v>6643.1993392770337</v>
      </c>
      <c r="Y243" s="83">
        <v>11326</v>
      </c>
      <c r="Z243" s="74">
        <f t="shared" si="127"/>
        <v>9966.8799999999992</v>
      </c>
      <c r="AA243" s="74"/>
      <c r="AB243" s="74"/>
      <c r="AC243" s="74"/>
      <c r="AD243" s="74">
        <f t="shared" si="128"/>
        <v>9966.8799999999992</v>
      </c>
      <c r="AE243" s="74">
        <f t="shared" si="129"/>
        <v>-3323.6806607229655</v>
      </c>
      <c r="AF243" s="52">
        <f t="shared" si="130"/>
        <v>57690.547200000001</v>
      </c>
      <c r="AG243" s="52">
        <f t="shared" si="131"/>
        <v>65557.440000000002</v>
      </c>
    </row>
    <row r="244" spans="1:33" s="21" customFormat="1" x14ac:dyDescent="0.2">
      <c r="A244" s="155" t="s">
        <v>861</v>
      </c>
      <c r="B244" s="155"/>
      <c r="C244" s="155"/>
      <c r="D244" s="156">
        <v>1</v>
      </c>
      <c r="E244" s="157"/>
      <c r="F244" s="158">
        <v>0.12</v>
      </c>
      <c r="G244" s="158"/>
      <c r="H244" s="51">
        <v>38661</v>
      </c>
      <c r="I244" s="52">
        <f t="shared" si="120"/>
        <v>34176.324000000001</v>
      </c>
      <c r="J244" s="52">
        <f t="shared" si="121"/>
        <v>30075.165120000001</v>
      </c>
      <c r="K244" s="157"/>
      <c r="L244" s="156">
        <v>-4828</v>
      </c>
      <c r="M244" s="55">
        <f t="shared" si="122"/>
        <v>-4828</v>
      </c>
      <c r="N244" s="55">
        <f t="shared" si="123"/>
        <v>-4248.6400000000003</v>
      </c>
      <c r="O244" s="159"/>
      <c r="P244" s="156">
        <v>0</v>
      </c>
      <c r="Q244" s="55">
        <f t="shared" si="124"/>
        <v>0</v>
      </c>
      <c r="R244" s="65">
        <f t="shared" si="125"/>
        <v>0</v>
      </c>
      <c r="S244" s="130">
        <v>15</v>
      </c>
      <c r="T244" s="124" t="s">
        <v>201</v>
      </c>
      <c r="U244" s="73">
        <f>SUMIF('Avoided Costs 2013-2021'!$A:$A,'2013 Actuals'!T244&amp;'2013 Actuals'!S244,'Avoided Costs 2013-2021'!$E:$E)*J244</f>
        <v>67213.860263049661</v>
      </c>
      <c r="V244" s="73">
        <f>SUMIF('Avoided Costs 2013-2021'!$A:$A,'2013 Actuals'!T244&amp;'2013 Actuals'!S244,'Avoided Costs 2013-2021'!$K:$K)*N244</f>
        <v>-4447.8743176569424</v>
      </c>
      <c r="W244" s="73">
        <f>SUMIF('Avoided Costs 2013-2021'!$A:$A,'2013 Actuals'!T244&amp;'2013 Actuals'!S244,'Avoided Costs 2013-2021'!$M:$M)*R244</f>
        <v>0</v>
      </c>
      <c r="X244" s="73">
        <f t="shared" si="126"/>
        <v>62765.98594539272</v>
      </c>
      <c r="Y244" s="89">
        <v>67027</v>
      </c>
      <c r="Z244" s="74">
        <f t="shared" si="127"/>
        <v>58983.76</v>
      </c>
      <c r="AA244" s="75"/>
      <c r="AB244" s="75"/>
      <c r="AC244" s="75"/>
      <c r="AD244" s="74">
        <f t="shared" si="128"/>
        <v>58983.76</v>
      </c>
      <c r="AE244" s="74">
        <f t="shared" si="129"/>
        <v>3782.2259453927181</v>
      </c>
      <c r="AF244" s="52">
        <f t="shared" si="130"/>
        <v>451127.4768</v>
      </c>
      <c r="AG244" s="52">
        <f t="shared" si="131"/>
        <v>512644.86</v>
      </c>
    </row>
    <row r="245" spans="1:33" s="21" customFormat="1" x14ac:dyDescent="0.2">
      <c r="A245" s="155" t="s">
        <v>862</v>
      </c>
      <c r="B245" s="155"/>
      <c r="C245" s="155"/>
      <c r="D245" s="156">
        <v>1</v>
      </c>
      <c r="E245" s="157"/>
      <c r="F245" s="158">
        <v>0.12</v>
      </c>
      <c r="G245" s="158"/>
      <c r="H245" s="51">
        <v>13286</v>
      </c>
      <c r="I245" s="52">
        <f t="shared" si="120"/>
        <v>11744.824000000001</v>
      </c>
      <c r="J245" s="52">
        <f t="shared" si="121"/>
        <v>10335.44512</v>
      </c>
      <c r="K245" s="157"/>
      <c r="L245" s="156">
        <v>0</v>
      </c>
      <c r="M245" s="55">
        <f t="shared" si="122"/>
        <v>0</v>
      </c>
      <c r="N245" s="55">
        <f t="shared" si="123"/>
        <v>0</v>
      </c>
      <c r="O245" s="159"/>
      <c r="P245" s="156">
        <v>0</v>
      </c>
      <c r="Q245" s="55">
        <f t="shared" si="124"/>
        <v>0</v>
      </c>
      <c r="R245" s="65">
        <f t="shared" si="125"/>
        <v>0</v>
      </c>
      <c r="S245" s="130">
        <v>15</v>
      </c>
      <c r="T245" s="124" t="s">
        <v>201</v>
      </c>
      <c r="U245" s="73">
        <f>SUMIF('Avoided Costs 2013-2021'!$A:$A,'2013 Actuals'!T245&amp;'2013 Actuals'!S245,'Avoided Costs 2013-2021'!$E:$E)*J245</f>
        <v>23098.299253896115</v>
      </c>
      <c r="V245" s="73">
        <f>SUMIF('Avoided Costs 2013-2021'!$A:$A,'2013 Actuals'!T245&amp;'2013 Actuals'!S245,'Avoided Costs 2013-2021'!$K:$K)*N245</f>
        <v>0</v>
      </c>
      <c r="W245" s="73">
        <f>SUMIF('Avoided Costs 2013-2021'!$A:$A,'2013 Actuals'!T245&amp;'2013 Actuals'!S245,'Avoided Costs 2013-2021'!$M:$M)*R245</f>
        <v>0</v>
      </c>
      <c r="X245" s="73">
        <f t="shared" si="126"/>
        <v>23098.299253896115</v>
      </c>
      <c r="Y245" s="89">
        <v>28625</v>
      </c>
      <c r="Z245" s="74">
        <f t="shared" si="127"/>
        <v>25190</v>
      </c>
      <c r="AA245" s="75"/>
      <c r="AB245" s="75"/>
      <c r="AC245" s="75"/>
      <c r="AD245" s="74">
        <f t="shared" si="128"/>
        <v>25190</v>
      </c>
      <c r="AE245" s="74">
        <f t="shared" si="129"/>
        <v>-2091.7007461038847</v>
      </c>
      <c r="AF245" s="52">
        <f t="shared" si="130"/>
        <v>155031.67680000002</v>
      </c>
      <c r="AG245" s="52">
        <f t="shared" si="131"/>
        <v>176172.36000000002</v>
      </c>
    </row>
    <row r="246" spans="1:33" s="21" customFormat="1" x14ac:dyDescent="0.2">
      <c r="A246" s="155" t="s">
        <v>863</v>
      </c>
      <c r="B246" s="155"/>
      <c r="C246" s="155"/>
      <c r="D246" s="156">
        <v>1</v>
      </c>
      <c r="E246" s="157"/>
      <c r="F246" s="158">
        <v>0.12</v>
      </c>
      <c r="G246" s="158"/>
      <c r="H246" s="51">
        <v>17839</v>
      </c>
      <c r="I246" s="52">
        <f t="shared" si="120"/>
        <v>15769.675999999999</v>
      </c>
      <c r="J246" s="52">
        <f t="shared" si="121"/>
        <v>13877.31488</v>
      </c>
      <c r="K246" s="157"/>
      <c r="L246" s="156">
        <v>0</v>
      </c>
      <c r="M246" s="55">
        <f t="shared" si="122"/>
        <v>0</v>
      </c>
      <c r="N246" s="55">
        <f t="shared" si="123"/>
        <v>0</v>
      </c>
      <c r="O246" s="159"/>
      <c r="P246" s="156">
        <v>0</v>
      </c>
      <c r="Q246" s="55">
        <f t="shared" si="124"/>
        <v>0</v>
      </c>
      <c r="R246" s="65">
        <f t="shared" si="125"/>
        <v>0</v>
      </c>
      <c r="S246" s="130">
        <v>5</v>
      </c>
      <c r="T246" s="124" t="s">
        <v>201</v>
      </c>
      <c r="U246" s="73">
        <f>SUMIF('Avoided Costs 2013-2021'!$A:$A,'2013 Actuals'!T246&amp;'2013 Actuals'!S246,'Avoided Costs 2013-2021'!$E:$E)*J246</f>
        <v>10806.302178445705</v>
      </c>
      <c r="V246" s="73">
        <f>SUMIF('Avoided Costs 2013-2021'!$A:$A,'2013 Actuals'!T246&amp;'2013 Actuals'!S246,'Avoided Costs 2013-2021'!$K:$K)*N246</f>
        <v>0</v>
      </c>
      <c r="W246" s="73">
        <f>SUMIF('Avoided Costs 2013-2021'!$A:$A,'2013 Actuals'!T246&amp;'2013 Actuals'!S246,'Avoided Costs 2013-2021'!$M:$M)*R246</f>
        <v>0</v>
      </c>
      <c r="X246" s="73">
        <f t="shared" si="126"/>
        <v>10806.302178445705</v>
      </c>
      <c r="Y246" s="89">
        <v>3266</v>
      </c>
      <c r="Z246" s="74">
        <f t="shared" si="127"/>
        <v>2874.08</v>
      </c>
      <c r="AA246" s="75"/>
      <c r="AB246" s="75"/>
      <c r="AC246" s="75"/>
      <c r="AD246" s="74">
        <f t="shared" si="128"/>
        <v>2874.08</v>
      </c>
      <c r="AE246" s="74">
        <f t="shared" si="129"/>
        <v>7932.2221784457051</v>
      </c>
      <c r="AF246" s="52">
        <f t="shared" si="130"/>
        <v>69386.574399999998</v>
      </c>
      <c r="AG246" s="52">
        <f t="shared" si="131"/>
        <v>78848.38</v>
      </c>
    </row>
    <row r="247" spans="1:33" s="21" customFormat="1" x14ac:dyDescent="0.2">
      <c r="A247" s="155" t="s">
        <v>864</v>
      </c>
      <c r="B247" s="155"/>
      <c r="C247" s="155"/>
      <c r="D247" s="156">
        <v>1</v>
      </c>
      <c r="E247" s="157"/>
      <c r="F247" s="158">
        <v>0.12</v>
      </c>
      <c r="G247" s="158"/>
      <c r="H247" s="51">
        <v>2372</v>
      </c>
      <c r="I247" s="52">
        <f t="shared" si="120"/>
        <v>2096.848</v>
      </c>
      <c r="J247" s="52">
        <f t="shared" si="121"/>
        <v>1845.22624</v>
      </c>
      <c r="K247" s="157"/>
      <c r="L247" s="156">
        <v>0</v>
      </c>
      <c r="M247" s="55">
        <f t="shared" si="122"/>
        <v>0</v>
      </c>
      <c r="N247" s="55">
        <f t="shared" si="123"/>
        <v>0</v>
      </c>
      <c r="O247" s="159"/>
      <c r="P247" s="156">
        <v>0</v>
      </c>
      <c r="Q247" s="55">
        <f t="shared" si="124"/>
        <v>0</v>
      </c>
      <c r="R247" s="65">
        <f t="shared" si="125"/>
        <v>0</v>
      </c>
      <c r="S247" s="130">
        <v>5</v>
      </c>
      <c r="T247" s="124" t="s">
        <v>201</v>
      </c>
      <c r="U247" s="73">
        <f>SUMIF('Avoided Costs 2013-2021'!$A:$A,'2013 Actuals'!T247&amp;'2013 Actuals'!S247,'Avoided Costs 2013-2021'!$E:$E)*J247</f>
        <v>1436.8826036926516</v>
      </c>
      <c r="V247" s="73">
        <f>SUMIF('Avoided Costs 2013-2021'!$A:$A,'2013 Actuals'!T247&amp;'2013 Actuals'!S247,'Avoided Costs 2013-2021'!$K:$K)*N247</f>
        <v>0</v>
      </c>
      <c r="W247" s="73">
        <f>SUMIF('Avoided Costs 2013-2021'!$A:$A,'2013 Actuals'!T247&amp;'2013 Actuals'!S247,'Avoided Costs 2013-2021'!$M:$M)*R247</f>
        <v>0</v>
      </c>
      <c r="X247" s="73">
        <f t="shared" si="126"/>
        <v>1436.8826036926516</v>
      </c>
      <c r="Y247" s="89">
        <v>1057</v>
      </c>
      <c r="Z247" s="74">
        <f t="shared" si="127"/>
        <v>930.16</v>
      </c>
      <c r="AA247" s="75"/>
      <c r="AB247" s="75"/>
      <c r="AC247" s="75"/>
      <c r="AD247" s="74">
        <f t="shared" si="128"/>
        <v>930.16</v>
      </c>
      <c r="AE247" s="74">
        <f t="shared" si="129"/>
        <v>506.72260369265166</v>
      </c>
      <c r="AF247" s="52">
        <f t="shared" si="130"/>
        <v>9226.1311999999998</v>
      </c>
      <c r="AG247" s="52">
        <f t="shared" si="131"/>
        <v>10484.24</v>
      </c>
    </row>
    <row r="248" spans="1:33" s="21" customFormat="1" x14ac:dyDescent="0.2">
      <c r="A248" s="155" t="s">
        <v>865</v>
      </c>
      <c r="B248" s="155"/>
      <c r="C248" s="155"/>
      <c r="D248" s="156">
        <v>1</v>
      </c>
      <c r="E248" s="157"/>
      <c r="F248" s="158">
        <v>0.12</v>
      </c>
      <c r="G248" s="158"/>
      <c r="H248" s="51">
        <v>147653</v>
      </c>
      <c r="I248" s="52">
        <f t="shared" si="120"/>
        <v>130525.25200000001</v>
      </c>
      <c r="J248" s="52">
        <f t="shared" si="121"/>
        <v>114862.22176</v>
      </c>
      <c r="K248" s="157"/>
      <c r="L248" s="156">
        <v>0</v>
      </c>
      <c r="M248" s="55">
        <f t="shared" si="122"/>
        <v>0</v>
      </c>
      <c r="N248" s="55">
        <f t="shared" si="123"/>
        <v>0</v>
      </c>
      <c r="O248" s="159"/>
      <c r="P248" s="156">
        <v>0</v>
      </c>
      <c r="Q248" s="55">
        <f t="shared" si="124"/>
        <v>0</v>
      </c>
      <c r="R248" s="65">
        <f t="shared" si="125"/>
        <v>0</v>
      </c>
      <c r="S248" s="130">
        <v>25</v>
      </c>
      <c r="T248" s="124" t="s">
        <v>201</v>
      </c>
      <c r="U248" s="73">
        <f>SUMIF('Avoided Costs 2013-2021'!$A:$A,'2013 Actuals'!T248&amp;'2013 Actuals'!S248,'Avoided Costs 2013-2021'!$E:$E)*J248</f>
        <v>360339.17443134642</v>
      </c>
      <c r="V248" s="73">
        <f>SUMIF('Avoided Costs 2013-2021'!$A:$A,'2013 Actuals'!T248&amp;'2013 Actuals'!S248,'Avoided Costs 2013-2021'!$K:$K)*N248</f>
        <v>0</v>
      </c>
      <c r="W248" s="73">
        <f>SUMIF('Avoided Costs 2013-2021'!$A:$A,'2013 Actuals'!T248&amp;'2013 Actuals'!S248,'Avoided Costs 2013-2021'!$M:$M)*R248</f>
        <v>0</v>
      </c>
      <c r="X248" s="73">
        <f t="shared" si="126"/>
        <v>360339.17443134642</v>
      </c>
      <c r="Y248" s="89">
        <v>190099</v>
      </c>
      <c r="Z248" s="74">
        <f t="shared" si="127"/>
        <v>167287.12</v>
      </c>
      <c r="AA248" s="75"/>
      <c r="AB248" s="75"/>
      <c r="AC248" s="75"/>
      <c r="AD248" s="74">
        <f t="shared" si="128"/>
        <v>167287.12</v>
      </c>
      <c r="AE248" s="74">
        <f t="shared" si="129"/>
        <v>193052.05443134642</v>
      </c>
      <c r="AF248" s="52">
        <f t="shared" si="130"/>
        <v>2871555.5440000002</v>
      </c>
      <c r="AG248" s="52">
        <f t="shared" si="131"/>
        <v>3263131.3000000003</v>
      </c>
    </row>
    <row r="249" spans="1:33" s="21" customFormat="1" x14ac:dyDescent="0.2">
      <c r="A249" s="155" t="s">
        <v>866</v>
      </c>
      <c r="B249" s="155"/>
      <c r="C249" s="155"/>
      <c r="D249" s="156">
        <v>1</v>
      </c>
      <c r="E249" s="157"/>
      <c r="F249" s="158">
        <v>0.12</v>
      </c>
      <c r="G249" s="158"/>
      <c r="H249" s="51">
        <v>15981</v>
      </c>
      <c r="I249" s="52">
        <f t="shared" si="120"/>
        <v>14127.204</v>
      </c>
      <c r="J249" s="52">
        <f t="shared" si="121"/>
        <v>12431.93952</v>
      </c>
      <c r="K249" s="157"/>
      <c r="L249" s="156">
        <v>0</v>
      </c>
      <c r="M249" s="55">
        <f t="shared" si="122"/>
        <v>0</v>
      </c>
      <c r="N249" s="55">
        <f t="shared" si="123"/>
        <v>0</v>
      </c>
      <c r="O249" s="159"/>
      <c r="P249" s="156">
        <v>0</v>
      </c>
      <c r="Q249" s="55">
        <f t="shared" si="124"/>
        <v>0</v>
      </c>
      <c r="R249" s="65">
        <f t="shared" si="125"/>
        <v>0</v>
      </c>
      <c r="S249" s="130">
        <v>25</v>
      </c>
      <c r="T249" s="124" t="s">
        <v>201</v>
      </c>
      <c r="U249" s="73">
        <f>SUMIF('Avoided Costs 2013-2021'!$A:$A,'2013 Actuals'!T249&amp;'2013 Actuals'!S249,'Avoided Costs 2013-2021'!$E:$E)*J249</f>
        <v>39000.767655160053</v>
      </c>
      <c r="V249" s="73">
        <f>SUMIF('Avoided Costs 2013-2021'!$A:$A,'2013 Actuals'!T249&amp;'2013 Actuals'!S249,'Avoided Costs 2013-2021'!$K:$K)*N249</f>
        <v>0</v>
      </c>
      <c r="W249" s="73">
        <f>SUMIF('Avoided Costs 2013-2021'!$A:$A,'2013 Actuals'!T249&amp;'2013 Actuals'!S249,'Avoided Costs 2013-2021'!$M:$M)*R249</f>
        <v>0</v>
      </c>
      <c r="X249" s="73">
        <f t="shared" si="126"/>
        <v>39000.767655160053</v>
      </c>
      <c r="Y249" s="89">
        <v>10569</v>
      </c>
      <c r="Z249" s="74">
        <f t="shared" si="127"/>
        <v>9300.7199999999993</v>
      </c>
      <c r="AA249" s="75"/>
      <c r="AB249" s="75"/>
      <c r="AC249" s="75"/>
      <c r="AD249" s="74">
        <f t="shared" si="128"/>
        <v>9300.7199999999993</v>
      </c>
      <c r="AE249" s="74">
        <f t="shared" si="129"/>
        <v>29700.047655160051</v>
      </c>
      <c r="AF249" s="52">
        <f t="shared" si="130"/>
        <v>310798.48800000001</v>
      </c>
      <c r="AG249" s="52">
        <f t="shared" si="131"/>
        <v>353180.1</v>
      </c>
    </row>
    <row r="250" spans="1:33" s="21" customFormat="1" x14ac:dyDescent="0.2">
      <c r="A250" s="155" t="s">
        <v>867</v>
      </c>
      <c r="B250" s="155"/>
      <c r="C250" s="155"/>
      <c r="D250" s="156">
        <v>1</v>
      </c>
      <c r="E250" s="157"/>
      <c r="F250" s="158">
        <v>0.12</v>
      </c>
      <c r="G250" s="158"/>
      <c r="H250" s="51">
        <v>6677</v>
      </c>
      <c r="I250" s="52">
        <f t="shared" si="120"/>
        <v>5902.4679999999998</v>
      </c>
      <c r="J250" s="52">
        <f t="shared" si="121"/>
        <v>5194.17184</v>
      </c>
      <c r="K250" s="157"/>
      <c r="L250" s="156">
        <v>0</v>
      </c>
      <c r="M250" s="55">
        <f t="shared" si="122"/>
        <v>0</v>
      </c>
      <c r="N250" s="55">
        <f t="shared" si="123"/>
        <v>0</v>
      </c>
      <c r="O250" s="159"/>
      <c r="P250" s="156">
        <v>0</v>
      </c>
      <c r="Q250" s="55">
        <f t="shared" si="124"/>
        <v>0</v>
      </c>
      <c r="R250" s="65">
        <f t="shared" si="125"/>
        <v>0</v>
      </c>
      <c r="S250" s="130">
        <v>25</v>
      </c>
      <c r="T250" s="124" t="s">
        <v>201</v>
      </c>
      <c r="U250" s="73">
        <f>SUMIF('Avoided Costs 2013-2021'!$A:$A,'2013 Actuals'!T250&amp;'2013 Actuals'!S250,'Avoided Costs 2013-2021'!$E:$E)*J250</f>
        <v>16294.857995964187</v>
      </c>
      <c r="V250" s="73">
        <f>SUMIF('Avoided Costs 2013-2021'!$A:$A,'2013 Actuals'!T250&amp;'2013 Actuals'!S250,'Avoided Costs 2013-2021'!$K:$K)*N250</f>
        <v>0</v>
      </c>
      <c r="W250" s="73">
        <f>SUMIF('Avoided Costs 2013-2021'!$A:$A,'2013 Actuals'!T250&amp;'2013 Actuals'!S250,'Avoided Costs 2013-2021'!$M:$M)*R250</f>
        <v>0</v>
      </c>
      <c r="X250" s="73">
        <f t="shared" si="126"/>
        <v>16294.857995964187</v>
      </c>
      <c r="Y250" s="89">
        <v>13848</v>
      </c>
      <c r="Z250" s="74">
        <f t="shared" si="127"/>
        <v>12186.24</v>
      </c>
      <c r="AA250" s="75"/>
      <c r="AB250" s="75"/>
      <c r="AC250" s="75"/>
      <c r="AD250" s="74">
        <f t="shared" si="128"/>
        <v>12186.24</v>
      </c>
      <c r="AE250" s="74">
        <f t="shared" si="129"/>
        <v>4108.6179959641868</v>
      </c>
      <c r="AF250" s="52">
        <f t="shared" si="130"/>
        <v>129854.296</v>
      </c>
      <c r="AG250" s="52">
        <f t="shared" si="131"/>
        <v>147561.69999999998</v>
      </c>
    </row>
    <row r="251" spans="1:33" s="21" customFormat="1" x14ac:dyDescent="0.2">
      <c r="A251" s="155" t="s">
        <v>868</v>
      </c>
      <c r="B251" s="155"/>
      <c r="C251" s="155"/>
      <c r="D251" s="156">
        <v>1</v>
      </c>
      <c r="E251" s="157"/>
      <c r="F251" s="158">
        <v>0.12</v>
      </c>
      <c r="G251" s="158"/>
      <c r="H251" s="51">
        <v>3268</v>
      </c>
      <c r="I251" s="52">
        <f t="shared" si="120"/>
        <v>2888.9119999999998</v>
      </c>
      <c r="J251" s="52">
        <f t="shared" si="121"/>
        <v>2542.2425599999997</v>
      </c>
      <c r="K251" s="157"/>
      <c r="L251" s="156">
        <v>0</v>
      </c>
      <c r="M251" s="55">
        <f t="shared" si="122"/>
        <v>0</v>
      </c>
      <c r="N251" s="55">
        <f t="shared" si="123"/>
        <v>0</v>
      </c>
      <c r="O251" s="159"/>
      <c r="P251" s="156">
        <v>0</v>
      </c>
      <c r="Q251" s="55">
        <f t="shared" si="124"/>
        <v>0</v>
      </c>
      <c r="R251" s="65">
        <f t="shared" si="125"/>
        <v>0</v>
      </c>
      <c r="S251" s="130">
        <v>25</v>
      </c>
      <c r="T251" s="124" t="s">
        <v>201</v>
      </c>
      <c r="U251" s="73">
        <f>SUMIF('Avoided Costs 2013-2021'!$A:$A,'2013 Actuals'!T251&amp;'2013 Actuals'!S251,'Avoided Costs 2013-2021'!$E:$E)*J251</f>
        <v>7975.3775544123046</v>
      </c>
      <c r="V251" s="73">
        <f>SUMIF('Avoided Costs 2013-2021'!$A:$A,'2013 Actuals'!T251&amp;'2013 Actuals'!S251,'Avoided Costs 2013-2021'!$K:$K)*N251</f>
        <v>0</v>
      </c>
      <c r="W251" s="73">
        <f>SUMIF('Avoided Costs 2013-2021'!$A:$A,'2013 Actuals'!T251&amp;'2013 Actuals'!S251,'Avoided Costs 2013-2021'!$M:$M)*R251</f>
        <v>0</v>
      </c>
      <c r="X251" s="73">
        <f t="shared" si="126"/>
        <v>7975.3775544123046</v>
      </c>
      <c r="Y251" s="89">
        <v>10438</v>
      </c>
      <c r="Z251" s="74">
        <f t="shared" si="127"/>
        <v>9185.44</v>
      </c>
      <c r="AA251" s="75"/>
      <c r="AB251" s="75"/>
      <c r="AC251" s="75"/>
      <c r="AD251" s="74">
        <f t="shared" si="128"/>
        <v>9185.44</v>
      </c>
      <c r="AE251" s="74">
        <f t="shared" si="129"/>
        <v>-1210.0624455876959</v>
      </c>
      <c r="AF251" s="52">
        <f t="shared" si="130"/>
        <v>63556.063999999991</v>
      </c>
      <c r="AG251" s="52">
        <f t="shared" si="131"/>
        <v>72222.799999999988</v>
      </c>
    </row>
    <row r="252" spans="1:33" s="21" customFormat="1" x14ac:dyDescent="0.2">
      <c r="A252" s="155" t="s">
        <v>869</v>
      </c>
      <c r="B252" s="155"/>
      <c r="C252" s="155"/>
      <c r="D252" s="156">
        <v>1</v>
      </c>
      <c r="E252" s="157"/>
      <c r="F252" s="158">
        <v>0.12</v>
      </c>
      <c r="G252" s="158"/>
      <c r="H252" s="51">
        <v>10756</v>
      </c>
      <c r="I252" s="52">
        <f t="shared" si="120"/>
        <v>9508.3040000000001</v>
      </c>
      <c r="J252" s="52">
        <f t="shared" si="121"/>
        <v>8367.3075200000003</v>
      </c>
      <c r="K252" s="157"/>
      <c r="L252" s="156">
        <v>0</v>
      </c>
      <c r="M252" s="55">
        <f t="shared" si="122"/>
        <v>0</v>
      </c>
      <c r="N252" s="55">
        <f t="shared" si="123"/>
        <v>0</v>
      </c>
      <c r="O252" s="159"/>
      <c r="P252" s="156">
        <v>0</v>
      </c>
      <c r="Q252" s="55">
        <f t="shared" si="124"/>
        <v>0</v>
      </c>
      <c r="R252" s="65">
        <f t="shared" si="125"/>
        <v>0</v>
      </c>
      <c r="S252" s="130">
        <v>25</v>
      </c>
      <c r="T252" s="124" t="s">
        <v>201</v>
      </c>
      <c r="U252" s="73">
        <f>SUMIF('Avoided Costs 2013-2021'!$A:$A,'2013 Actuals'!T252&amp;'2013 Actuals'!S252,'Avoided Costs 2013-2021'!$E:$E)*J252</f>
        <v>26249.437262931078</v>
      </c>
      <c r="V252" s="73">
        <f>SUMIF('Avoided Costs 2013-2021'!$A:$A,'2013 Actuals'!T252&amp;'2013 Actuals'!S252,'Avoided Costs 2013-2021'!$K:$K)*N252</f>
        <v>0</v>
      </c>
      <c r="W252" s="73">
        <f>SUMIF('Avoided Costs 2013-2021'!$A:$A,'2013 Actuals'!T252&amp;'2013 Actuals'!S252,'Avoided Costs 2013-2021'!$M:$M)*R252</f>
        <v>0</v>
      </c>
      <c r="X252" s="73">
        <f t="shared" si="126"/>
        <v>26249.437262931078</v>
      </c>
      <c r="Y252" s="89">
        <v>23940</v>
      </c>
      <c r="Z252" s="74">
        <f t="shared" si="127"/>
        <v>21067.200000000001</v>
      </c>
      <c r="AA252" s="75"/>
      <c r="AB252" s="75"/>
      <c r="AC252" s="75"/>
      <c r="AD252" s="74">
        <f t="shared" si="128"/>
        <v>21067.200000000001</v>
      </c>
      <c r="AE252" s="74">
        <f t="shared" si="129"/>
        <v>5182.2372629310776</v>
      </c>
      <c r="AF252" s="52">
        <f t="shared" si="130"/>
        <v>209182.68799999999</v>
      </c>
      <c r="AG252" s="52">
        <f t="shared" si="131"/>
        <v>237707.6</v>
      </c>
    </row>
    <row r="253" spans="1:33" s="21" customFormat="1" x14ac:dyDescent="0.2">
      <c r="A253" s="155" t="s">
        <v>870</v>
      </c>
      <c r="B253" s="155"/>
      <c r="C253" s="155"/>
      <c r="D253" s="156">
        <v>1</v>
      </c>
      <c r="E253" s="157"/>
      <c r="F253" s="158">
        <v>0.12</v>
      </c>
      <c r="G253" s="158"/>
      <c r="H253" s="51">
        <v>11737</v>
      </c>
      <c r="I253" s="52">
        <f t="shared" si="120"/>
        <v>10375.508</v>
      </c>
      <c r="J253" s="52">
        <f t="shared" si="121"/>
        <v>9130.4470399999991</v>
      </c>
      <c r="K253" s="157"/>
      <c r="L253" s="156">
        <v>-19111</v>
      </c>
      <c r="M253" s="55">
        <f t="shared" si="122"/>
        <v>-19111</v>
      </c>
      <c r="N253" s="55">
        <f t="shared" si="123"/>
        <v>-16817.68</v>
      </c>
      <c r="O253" s="159"/>
      <c r="P253" s="156">
        <v>0</v>
      </c>
      <c r="Q253" s="55">
        <f t="shared" si="124"/>
        <v>0</v>
      </c>
      <c r="R253" s="65">
        <f t="shared" si="125"/>
        <v>0</v>
      </c>
      <c r="S253" s="130">
        <v>15</v>
      </c>
      <c r="T253" s="124" t="s">
        <v>201</v>
      </c>
      <c r="U253" s="73">
        <f>SUMIF('Avoided Costs 2013-2021'!$A:$A,'2013 Actuals'!T253&amp;'2013 Actuals'!S253,'Avoided Costs 2013-2021'!$E:$E)*J253</f>
        <v>20405.294170026998</v>
      </c>
      <c r="V253" s="73">
        <f>SUMIF('Avoided Costs 2013-2021'!$A:$A,'2013 Actuals'!T253&amp;'2013 Actuals'!S253,'Avoided Costs 2013-2021'!$K:$K)*N253</f>
        <v>-17606.322718463507</v>
      </c>
      <c r="W253" s="73">
        <f>SUMIF('Avoided Costs 2013-2021'!$A:$A,'2013 Actuals'!T253&amp;'2013 Actuals'!S253,'Avoided Costs 2013-2021'!$M:$M)*R253</f>
        <v>0</v>
      </c>
      <c r="X253" s="73">
        <f t="shared" si="126"/>
        <v>2798.9714515634914</v>
      </c>
      <c r="Y253" s="89">
        <v>18882</v>
      </c>
      <c r="Z253" s="74">
        <f t="shared" si="127"/>
        <v>16616.16</v>
      </c>
      <c r="AA253" s="75"/>
      <c r="AB253" s="75"/>
      <c r="AC253" s="75"/>
      <c r="AD253" s="74">
        <f t="shared" si="128"/>
        <v>16616.16</v>
      </c>
      <c r="AE253" s="74">
        <f t="shared" si="129"/>
        <v>-13817.188548436508</v>
      </c>
      <c r="AF253" s="52">
        <f t="shared" si="130"/>
        <v>136956.70559999999</v>
      </c>
      <c r="AG253" s="52">
        <f t="shared" si="131"/>
        <v>155632.62</v>
      </c>
    </row>
    <row r="254" spans="1:33" s="21" customFormat="1" x14ac:dyDescent="0.2">
      <c r="A254" s="155" t="s">
        <v>871</v>
      </c>
      <c r="B254" s="155"/>
      <c r="C254" s="155"/>
      <c r="D254" s="156">
        <v>1</v>
      </c>
      <c r="E254" s="157"/>
      <c r="F254" s="158">
        <v>0.12</v>
      </c>
      <c r="G254" s="158"/>
      <c r="H254" s="51">
        <v>13265</v>
      </c>
      <c r="I254" s="52">
        <f>H254</f>
        <v>13265</v>
      </c>
      <c r="J254" s="52">
        <f t="shared" si="121"/>
        <v>11673.2</v>
      </c>
      <c r="K254" s="157"/>
      <c r="L254" s="156">
        <v>0</v>
      </c>
      <c r="M254" s="55">
        <f t="shared" si="122"/>
        <v>0</v>
      </c>
      <c r="N254" s="55">
        <f t="shared" si="123"/>
        <v>0</v>
      </c>
      <c r="O254" s="159"/>
      <c r="P254" s="156">
        <v>0</v>
      </c>
      <c r="Q254" s="55">
        <f t="shared" si="124"/>
        <v>0</v>
      </c>
      <c r="R254" s="65">
        <f t="shared" si="125"/>
        <v>0</v>
      </c>
      <c r="S254" s="130">
        <v>25</v>
      </c>
      <c r="T254" s="124" t="s">
        <v>201</v>
      </c>
      <c r="U254" s="73">
        <f>SUMIF('Avoided Costs 2013-2021'!$A:$A,'2013 Actuals'!T254&amp;'2013 Actuals'!S254,'Avoided Costs 2013-2021'!$E:$E)*J254</f>
        <v>36620.493548879036</v>
      </c>
      <c r="V254" s="73">
        <f>SUMIF('Avoided Costs 2013-2021'!$A:$A,'2013 Actuals'!T254&amp;'2013 Actuals'!S254,'Avoided Costs 2013-2021'!$K:$K)*N254</f>
        <v>0</v>
      </c>
      <c r="W254" s="73">
        <f>SUMIF('Avoided Costs 2013-2021'!$A:$A,'2013 Actuals'!T254&amp;'2013 Actuals'!S254,'Avoided Costs 2013-2021'!$M:$M)*R254</f>
        <v>0</v>
      </c>
      <c r="X254" s="73">
        <f t="shared" si="126"/>
        <v>36620.493548879036</v>
      </c>
      <c r="Y254" s="89">
        <v>12000</v>
      </c>
      <c r="Z254" s="74">
        <f t="shared" si="127"/>
        <v>10560</v>
      </c>
      <c r="AA254" s="75"/>
      <c r="AB254" s="75"/>
      <c r="AC254" s="75"/>
      <c r="AD254" s="74">
        <f t="shared" si="128"/>
        <v>10560</v>
      </c>
      <c r="AE254" s="74">
        <f t="shared" si="129"/>
        <v>26060.493548879036</v>
      </c>
      <c r="AF254" s="52">
        <f t="shared" si="130"/>
        <v>291830</v>
      </c>
      <c r="AG254" s="52">
        <f t="shared" si="131"/>
        <v>331625</v>
      </c>
    </row>
    <row r="255" spans="1:33" s="21" customFormat="1" x14ac:dyDescent="0.2">
      <c r="A255" s="155" t="s">
        <v>872</v>
      </c>
      <c r="B255" s="155"/>
      <c r="C255" s="155"/>
      <c r="D255" s="156">
        <v>1</v>
      </c>
      <c r="E255" s="157"/>
      <c r="F255" s="158">
        <v>0.12</v>
      </c>
      <c r="G255" s="158"/>
      <c r="H255" s="51">
        <v>4625</v>
      </c>
      <c r="I255" s="52">
        <f t="shared" si="120"/>
        <v>4088.5</v>
      </c>
      <c r="J255" s="52">
        <f t="shared" si="121"/>
        <v>3597.88</v>
      </c>
      <c r="K255" s="157"/>
      <c r="L255" s="156">
        <v>158</v>
      </c>
      <c r="M255" s="55">
        <f t="shared" si="122"/>
        <v>158</v>
      </c>
      <c r="N255" s="55">
        <f t="shared" si="123"/>
        <v>139.04</v>
      </c>
      <c r="O255" s="159"/>
      <c r="P255" s="156">
        <v>0</v>
      </c>
      <c r="Q255" s="55">
        <f t="shared" si="124"/>
        <v>0</v>
      </c>
      <c r="R255" s="65">
        <f t="shared" si="125"/>
        <v>0</v>
      </c>
      <c r="S255" s="130">
        <v>15</v>
      </c>
      <c r="T255" s="124" t="s">
        <v>201</v>
      </c>
      <c r="U255" s="73">
        <f>SUMIF('Avoided Costs 2013-2021'!$A:$A,'2013 Actuals'!T255&amp;'2013 Actuals'!S255,'Avoided Costs 2013-2021'!$E:$E)*J255</f>
        <v>8040.7672775304482</v>
      </c>
      <c r="V255" s="73">
        <f>SUMIF('Avoided Costs 2013-2021'!$A:$A,'2013 Actuals'!T255&amp;'2013 Actuals'!S255,'Avoided Costs 2013-2021'!$K:$K)*N255</f>
        <v>145.56009573110953</v>
      </c>
      <c r="W255" s="73">
        <f>SUMIF('Avoided Costs 2013-2021'!$A:$A,'2013 Actuals'!T255&amp;'2013 Actuals'!S255,'Avoided Costs 2013-2021'!$M:$M)*R255</f>
        <v>0</v>
      </c>
      <c r="X255" s="73">
        <f t="shared" si="126"/>
        <v>8186.327373261558</v>
      </c>
      <c r="Y255" s="89">
        <v>6002.34</v>
      </c>
      <c r="Z255" s="74">
        <f t="shared" si="127"/>
        <v>5282.0592000000006</v>
      </c>
      <c r="AA255" s="75"/>
      <c r="AB255" s="75"/>
      <c r="AC255" s="75"/>
      <c r="AD255" s="74">
        <f t="shared" si="128"/>
        <v>5282.0592000000006</v>
      </c>
      <c r="AE255" s="74">
        <f t="shared" si="129"/>
        <v>2904.2681732615574</v>
      </c>
      <c r="AF255" s="52">
        <f t="shared" si="130"/>
        <v>53968.200000000004</v>
      </c>
      <c r="AG255" s="52">
        <f t="shared" si="131"/>
        <v>61327.5</v>
      </c>
    </row>
    <row r="256" spans="1:33" s="21" customFormat="1" x14ac:dyDescent="0.2">
      <c r="A256" s="155" t="s">
        <v>873</v>
      </c>
      <c r="B256" s="155"/>
      <c r="C256" s="155"/>
      <c r="D256" s="156">
        <v>0</v>
      </c>
      <c r="E256" s="157"/>
      <c r="F256" s="158">
        <v>0.12</v>
      </c>
      <c r="G256" s="158"/>
      <c r="H256" s="51">
        <v>2305</v>
      </c>
      <c r="I256" s="52">
        <f t="shared" si="120"/>
        <v>2037.6200000000001</v>
      </c>
      <c r="J256" s="52">
        <f t="shared" si="121"/>
        <v>1793.1056000000001</v>
      </c>
      <c r="K256" s="157"/>
      <c r="L256" s="156">
        <v>0</v>
      </c>
      <c r="M256" s="55">
        <f t="shared" si="122"/>
        <v>0</v>
      </c>
      <c r="N256" s="55">
        <f t="shared" si="123"/>
        <v>0</v>
      </c>
      <c r="O256" s="159"/>
      <c r="P256" s="156">
        <v>0</v>
      </c>
      <c r="Q256" s="55">
        <f t="shared" si="124"/>
        <v>0</v>
      </c>
      <c r="R256" s="65">
        <f t="shared" si="125"/>
        <v>0</v>
      </c>
      <c r="S256" s="130">
        <v>15</v>
      </c>
      <c r="T256" s="124" t="s">
        <v>201</v>
      </c>
      <c r="U256" s="73">
        <f>SUMIF('Avoided Costs 2013-2021'!$A:$A,'2013 Actuals'!T256&amp;'2013 Actuals'!S256,'Avoided Costs 2013-2021'!$E:$E)*J256</f>
        <v>4007.3445566935534</v>
      </c>
      <c r="V256" s="73">
        <f>SUMIF('Avoided Costs 2013-2021'!$A:$A,'2013 Actuals'!T256&amp;'2013 Actuals'!S256,'Avoided Costs 2013-2021'!$K:$K)*N256</f>
        <v>0</v>
      </c>
      <c r="W256" s="73">
        <f>SUMIF('Avoided Costs 2013-2021'!$A:$A,'2013 Actuals'!T256&amp;'2013 Actuals'!S256,'Avoided Costs 2013-2021'!$M:$M)*R256</f>
        <v>0</v>
      </c>
      <c r="X256" s="73">
        <f t="shared" si="126"/>
        <v>4007.3445566935534</v>
      </c>
      <c r="Y256" s="89">
        <v>1000</v>
      </c>
      <c r="Z256" s="74">
        <f t="shared" si="127"/>
        <v>880</v>
      </c>
      <c r="AA256" s="75"/>
      <c r="AB256" s="75"/>
      <c r="AC256" s="75"/>
      <c r="AD256" s="74">
        <f t="shared" si="128"/>
        <v>880</v>
      </c>
      <c r="AE256" s="74">
        <f t="shared" si="129"/>
        <v>3127.3445566935534</v>
      </c>
      <c r="AF256" s="52">
        <f t="shared" si="130"/>
        <v>26896.584000000003</v>
      </c>
      <c r="AG256" s="52">
        <f t="shared" si="131"/>
        <v>30564.300000000003</v>
      </c>
    </row>
    <row r="257" spans="1:33" s="21" customFormat="1" x14ac:dyDescent="0.2">
      <c r="A257" s="155" t="s">
        <v>874</v>
      </c>
      <c r="B257" s="155"/>
      <c r="C257" s="155"/>
      <c r="D257" s="156">
        <v>1</v>
      </c>
      <c r="E257" s="157"/>
      <c r="F257" s="158">
        <v>0.12</v>
      </c>
      <c r="G257" s="158"/>
      <c r="H257" s="51">
        <v>13992</v>
      </c>
      <c r="I257" s="52">
        <f t="shared" si="120"/>
        <v>12368.928</v>
      </c>
      <c r="J257" s="52">
        <f t="shared" si="121"/>
        <v>10884.656639999999</v>
      </c>
      <c r="K257" s="157"/>
      <c r="L257" s="156">
        <v>42477</v>
      </c>
      <c r="M257" s="55">
        <f t="shared" si="122"/>
        <v>42477</v>
      </c>
      <c r="N257" s="55">
        <f t="shared" si="123"/>
        <v>37379.760000000002</v>
      </c>
      <c r="O257" s="159"/>
      <c r="P257" s="156">
        <v>0</v>
      </c>
      <c r="Q257" s="55">
        <f t="shared" si="124"/>
        <v>0</v>
      </c>
      <c r="R257" s="65">
        <f t="shared" si="125"/>
        <v>0</v>
      </c>
      <c r="S257" s="130">
        <v>15</v>
      </c>
      <c r="T257" s="124" t="s">
        <v>201</v>
      </c>
      <c r="U257" s="73">
        <f>SUMIF('Avoided Costs 2013-2021'!$A:$A,'2013 Actuals'!T257&amp;'2013 Actuals'!S257,'Avoided Costs 2013-2021'!$E:$E)*J257</f>
        <v>24325.711512909409</v>
      </c>
      <c r="V257" s="73">
        <f>SUMIF('Avoided Costs 2013-2021'!$A:$A,'2013 Actuals'!T257&amp;'2013 Actuals'!S257,'Avoided Costs 2013-2021'!$K:$K)*N257</f>
        <v>39132.63409095152</v>
      </c>
      <c r="W257" s="73">
        <f>SUMIF('Avoided Costs 2013-2021'!$A:$A,'2013 Actuals'!T257&amp;'2013 Actuals'!S257,'Avoided Costs 2013-2021'!$M:$M)*R257</f>
        <v>0</v>
      </c>
      <c r="X257" s="73">
        <f t="shared" si="126"/>
        <v>63458.345603860929</v>
      </c>
      <c r="Y257" s="89">
        <v>12000</v>
      </c>
      <c r="Z257" s="74">
        <f t="shared" si="127"/>
        <v>10560</v>
      </c>
      <c r="AA257" s="75"/>
      <c r="AB257" s="75"/>
      <c r="AC257" s="75"/>
      <c r="AD257" s="74">
        <f t="shared" si="128"/>
        <v>10560</v>
      </c>
      <c r="AE257" s="74">
        <f t="shared" si="129"/>
        <v>52898.345603860929</v>
      </c>
      <c r="AF257" s="52">
        <f t="shared" si="130"/>
        <v>163269.84959999999</v>
      </c>
      <c r="AG257" s="52">
        <f t="shared" si="131"/>
        <v>185533.91999999998</v>
      </c>
    </row>
    <row r="258" spans="1:33" s="21" customFormat="1" x14ac:dyDescent="0.2">
      <c r="A258" s="116" t="s">
        <v>875</v>
      </c>
      <c r="B258" s="116"/>
      <c r="C258" s="116"/>
      <c r="D258" s="151">
        <v>1</v>
      </c>
      <c r="E258" s="152"/>
      <c r="F258" s="153">
        <v>0.12</v>
      </c>
      <c r="G258" s="153"/>
      <c r="H258" s="52">
        <v>54650</v>
      </c>
      <c r="I258" s="52">
        <f>H258</f>
        <v>54650</v>
      </c>
      <c r="J258" s="52">
        <f t="shared" si="121"/>
        <v>48092</v>
      </c>
      <c r="K258" s="152"/>
      <c r="L258" s="151">
        <v>0</v>
      </c>
      <c r="M258" s="55">
        <f t="shared" si="122"/>
        <v>0</v>
      </c>
      <c r="N258" s="55">
        <f t="shared" si="123"/>
        <v>0</v>
      </c>
      <c r="O258" s="154"/>
      <c r="P258" s="151">
        <v>0</v>
      </c>
      <c r="Q258" s="55">
        <f t="shared" si="124"/>
        <v>0</v>
      </c>
      <c r="R258" s="65">
        <f t="shared" si="125"/>
        <v>0</v>
      </c>
      <c r="S258" s="129">
        <v>25</v>
      </c>
      <c r="T258" s="123" t="s">
        <v>201</v>
      </c>
      <c r="U258" s="73">
        <f>SUMIF('Avoided Costs 2013-2021'!$A:$A,'2013 Actuals'!T258&amp;'2013 Actuals'!S258,'Avoided Costs 2013-2021'!$E:$E)*J258</f>
        <v>150871.46418742853</v>
      </c>
      <c r="V258" s="73">
        <f>SUMIF('Avoided Costs 2013-2021'!$A:$A,'2013 Actuals'!T258&amp;'2013 Actuals'!S258,'Avoided Costs 2013-2021'!$K:$K)*N258</f>
        <v>0</v>
      </c>
      <c r="W258" s="73">
        <f>SUMIF('Avoided Costs 2013-2021'!$A:$A,'2013 Actuals'!T258&amp;'2013 Actuals'!S258,'Avoided Costs 2013-2021'!$M:$M)*R258</f>
        <v>0</v>
      </c>
      <c r="X258" s="73">
        <f t="shared" si="126"/>
        <v>150871.46418742853</v>
      </c>
      <c r="Y258" s="83">
        <v>14100</v>
      </c>
      <c r="Z258" s="74">
        <f t="shared" si="127"/>
        <v>12408</v>
      </c>
      <c r="AA258" s="74"/>
      <c r="AB258" s="74"/>
      <c r="AC258" s="74"/>
      <c r="AD258" s="74">
        <f t="shared" si="128"/>
        <v>12408</v>
      </c>
      <c r="AE258" s="74">
        <f t="shared" si="129"/>
        <v>138463.46418742853</v>
      </c>
      <c r="AF258" s="52">
        <f t="shared" si="130"/>
        <v>1202300</v>
      </c>
      <c r="AG258" s="52">
        <f t="shared" si="131"/>
        <v>1366250</v>
      </c>
    </row>
    <row r="259" spans="1:33" s="21" customFormat="1" x14ac:dyDescent="0.2">
      <c r="A259" s="116" t="s">
        <v>876</v>
      </c>
      <c r="B259" s="116"/>
      <c r="C259" s="116"/>
      <c r="D259" s="151">
        <v>1</v>
      </c>
      <c r="E259" s="152"/>
      <c r="F259" s="153">
        <v>0.12</v>
      </c>
      <c r="G259" s="153"/>
      <c r="H259" s="52">
        <v>13935</v>
      </c>
      <c r="I259" s="52">
        <f t="shared" si="120"/>
        <v>12318.54</v>
      </c>
      <c r="J259" s="52">
        <f t="shared" si="121"/>
        <v>10840.315200000001</v>
      </c>
      <c r="K259" s="152"/>
      <c r="L259" s="151">
        <v>0</v>
      </c>
      <c r="M259" s="55">
        <f t="shared" si="122"/>
        <v>0</v>
      </c>
      <c r="N259" s="55">
        <f t="shared" si="123"/>
        <v>0</v>
      </c>
      <c r="O259" s="154"/>
      <c r="P259" s="151">
        <v>0</v>
      </c>
      <c r="Q259" s="55">
        <f t="shared" si="124"/>
        <v>0</v>
      </c>
      <c r="R259" s="65">
        <f t="shared" si="125"/>
        <v>0</v>
      </c>
      <c r="S259" s="129">
        <v>15</v>
      </c>
      <c r="T259" s="123" t="s">
        <v>201</v>
      </c>
      <c r="U259" s="73">
        <f>SUMIF('Avoided Costs 2013-2021'!$A:$A,'2013 Actuals'!T259&amp;'2013 Actuals'!S259,'Avoided Costs 2013-2021'!$E:$E)*J259</f>
        <v>24226.614489164716</v>
      </c>
      <c r="V259" s="73">
        <f>SUMIF('Avoided Costs 2013-2021'!$A:$A,'2013 Actuals'!T259&amp;'2013 Actuals'!S259,'Avoided Costs 2013-2021'!$K:$K)*N259</f>
        <v>0</v>
      </c>
      <c r="W259" s="73">
        <f>SUMIF('Avoided Costs 2013-2021'!$A:$A,'2013 Actuals'!T259&amp;'2013 Actuals'!S259,'Avoided Costs 2013-2021'!$M:$M)*R259</f>
        <v>0</v>
      </c>
      <c r="X259" s="73">
        <f t="shared" si="126"/>
        <v>24226.614489164716</v>
      </c>
      <c r="Y259" s="83">
        <v>2788</v>
      </c>
      <c r="Z259" s="74">
        <f t="shared" si="127"/>
        <v>2453.44</v>
      </c>
      <c r="AA259" s="74"/>
      <c r="AB259" s="74"/>
      <c r="AC259" s="74"/>
      <c r="AD259" s="74">
        <f t="shared" si="128"/>
        <v>2453.44</v>
      </c>
      <c r="AE259" s="74">
        <f t="shared" si="129"/>
        <v>21773.174489164718</v>
      </c>
      <c r="AF259" s="52">
        <f t="shared" si="130"/>
        <v>162604.728</v>
      </c>
      <c r="AG259" s="52">
        <f t="shared" si="131"/>
        <v>184778.1</v>
      </c>
    </row>
    <row r="260" spans="1:33" s="21" customFormat="1" x14ac:dyDescent="0.2">
      <c r="A260" s="116" t="s">
        <v>877</v>
      </c>
      <c r="B260" s="116"/>
      <c r="C260" s="116"/>
      <c r="D260" s="151">
        <v>1</v>
      </c>
      <c r="E260" s="152"/>
      <c r="F260" s="153">
        <v>0.12</v>
      </c>
      <c r="G260" s="153"/>
      <c r="H260" s="52">
        <v>5949</v>
      </c>
      <c r="I260" s="52">
        <f t="shared" si="120"/>
        <v>5258.9160000000002</v>
      </c>
      <c r="J260" s="52">
        <f t="shared" si="121"/>
        <v>4627.8460800000003</v>
      </c>
      <c r="K260" s="152"/>
      <c r="L260" s="151">
        <v>0</v>
      </c>
      <c r="M260" s="55">
        <f t="shared" si="122"/>
        <v>0</v>
      </c>
      <c r="N260" s="55">
        <f t="shared" si="123"/>
        <v>0</v>
      </c>
      <c r="O260" s="154"/>
      <c r="P260" s="151">
        <v>0</v>
      </c>
      <c r="Q260" s="55">
        <f t="shared" si="124"/>
        <v>0</v>
      </c>
      <c r="R260" s="65">
        <f t="shared" si="125"/>
        <v>0</v>
      </c>
      <c r="S260" s="129">
        <v>25</v>
      </c>
      <c r="T260" s="123" t="s">
        <v>201</v>
      </c>
      <c r="U260" s="73">
        <f>SUMIF('Avoided Costs 2013-2021'!$A:$A,'2013 Actuals'!T260&amp;'2013 Actuals'!S260,'Avoided Costs 2013-2021'!$E:$E)*J260</f>
        <v>14518.213302080418</v>
      </c>
      <c r="V260" s="73">
        <f>SUMIF('Avoided Costs 2013-2021'!$A:$A,'2013 Actuals'!T260&amp;'2013 Actuals'!S260,'Avoided Costs 2013-2021'!$K:$K)*N260</f>
        <v>0</v>
      </c>
      <c r="W260" s="73">
        <f>SUMIF('Avoided Costs 2013-2021'!$A:$A,'2013 Actuals'!T260&amp;'2013 Actuals'!S260,'Avoided Costs 2013-2021'!$M:$M)*R260</f>
        <v>0</v>
      </c>
      <c r="X260" s="73">
        <f t="shared" si="126"/>
        <v>14518.213302080418</v>
      </c>
      <c r="Y260" s="83">
        <v>6211</v>
      </c>
      <c r="Z260" s="74">
        <f t="shared" si="127"/>
        <v>5465.68</v>
      </c>
      <c r="AA260" s="74"/>
      <c r="AB260" s="74"/>
      <c r="AC260" s="74"/>
      <c r="AD260" s="74">
        <f t="shared" si="128"/>
        <v>5465.68</v>
      </c>
      <c r="AE260" s="74">
        <f t="shared" si="129"/>
        <v>9052.5333020804173</v>
      </c>
      <c r="AF260" s="52">
        <f t="shared" si="130"/>
        <v>115696.152</v>
      </c>
      <c r="AG260" s="52">
        <f t="shared" si="131"/>
        <v>131472.9</v>
      </c>
    </row>
    <row r="261" spans="1:33" s="21" customFormat="1" x14ac:dyDescent="0.2">
      <c r="A261" s="114" t="s">
        <v>878</v>
      </c>
      <c r="B261" s="114"/>
      <c r="C261" s="114"/>
      <c r="D261" s="160">
        <v>1</v>
      </c>
      <c r="E261" s="161"/>
      <c r="F261" s="162">
        <v>0.12</v>
      </c>
      <c r="G261" s="162"/>
      <c r="H261" s="52">
        <v>29240</v>
      </c>
      <c r="I261" s="52">
        <f t="shared" si="120"/>
        <v>25848.16</v>
      </c>
      <c r="J261" s="52">
        <f t="shared" si="121"/>
        <v>22746.380799999999</v>
      </c>
      <c r="K261" s="61"/>
      <c r="L261" s="160">
        <v>0</v>
      </c>
      <c r="M261" s="55">
        <f t="shared" si="122"/>
        <v>0</v>
      </c>
      <c r="N261" s="55">
        <f t="shared" si="123"/>
        <v>0</v>
      </c>
      <c r="O261" s="95"/>
      <c r="P261" s="160">
        <v>0</v>
      </c>
      <c r="Q261" s="55">
        <f t="shared" si="124"/>
        <v>0</v>
      </c>
      <c r="R261" s="65">
        <f t="shared" si="125"/>
        <v>0</v>
      </c>
      <c r="S261" s="118">
        <v>25</v>
      </c>
      <c r="T261" s="121" t="s">
        <v>201</v>
      </c>
      <c r="U261" s="73">
        <f>SUMIF('Avoided Costs 2013-2021'!$A:$A,'2013 Actuals'!T261&amp;'2013 Actuals'!S261,'Avoided Costs 2013-2021'!$E:$E)*J261</f>
        <v>71358.641276320632</v>
      </c>
      <c r="V261" s="73">
        <f>SUMIF('Avoided Costs 2013-2021'!$A:$A,'2013 Actuals'!T261&amp;'2013 Actuals'!S261,'Avoided Costs 2013-2021'!$K:$K)*N261</f>
        <v>0</v>
      </c>
      <c r="W261" s="73">
        <f>SUMIF('Avoided Costs 2013-2021'!$A:$A,'2013 Actuals'!T261&amp;'2013 Actuals'!S261,'Avoided Costs 2013-2021'!$M:$M)*R261</f>
        <v>0</v>
      </c>
      <c r="X261" s="73">
        <f t="shared" si="126"/>
        <v>71358.641276320632</v>
      </c>
      <c r="Y261" s="83">
        <v>97544</v>
      </c>
      <c r="Z261" s="74">
        <f t="shared" si="127"/>
        <v>85838.720000000001</v>
      </c>
      <c r="AA261" s="74"/>
      <c r="AB261" s="74"/>
      <c r="AC261" s="74"/>
      <c r="AD261" s="74">
        <f t="shared" si="128"/>
        <v>85838.720000000001</v>
      </c>
      <c r="AE261" s="74">
        <f t="shared" si="129"/>
        <v>-14480.078723679369</v>
      </c>
      <c r="AF261" s="52">
        <f t="shared" si="130"/>
        <v>568659.52</v>
      </c>
      <c r="AG261" s="52">
        <f t="shared" si="131"/>
        <v>646204</v>
      </c>
    </row>
    <row r="262" spans="1:33" s="21" customFormat="1" x14ac:dyDescent="0.2">
      <c r="A262" s="116" t="s">
        <v>879</v>
      </c>
      <c r="B262" s="116"/>
      <c r="C262" s="116"/>
      <c r="D262" s="151">
        <v>1</v>
      </c>
      <c r="E262" s="152"/>
      <c r="F262" s="153">
        <v>0.12</v>
      </c>
      <c r="G262" s="153"/>
      <c r="H262" s="52">
        <v>3585</v>
      </c>
      <c r="I262" s="52">
        <f t="shared" si="120"/>
        <v>3169.14</v>
      </c>
      <c r="J262" s="52">
        <f t="shared" si="121"/>
        <v>2788.8431999999998</v>
      </c>
      <c r="K262" s="152"/>
      <c r="L262" s="151">
        <v>200</v>
      </c>
      <c r="M262" s="55">
        <f t="shared" si="122"/>
        <v>200</v>
      </c>
      <c r="N262" s="55">
        <f t="shared" si="123"/>
        <v>176</v>
      </c>
      <c r="O262" s="154"/>
      <c r="P262" s="151">
        <v>0</v>
      </c>
      <c r="Q262" s="55">
        <f t="shared" si="124"/>
        <v>0</v>
      </c>
      <c r="R262" s="65">
        <f t="shared" si="125"/>
        <v>0</v>
      </c>
      <c r="S262" s="129">
        <v>15</v>
      </c>
      <c r="T262" s="123" t="s">
        <v>201</v>
      </c>
      <c r="U262" s="73">
        <f>SUMIF('Avoided Costs 2013-2021'!$A:$A,'2013 Actuals'!T262&amp;'2013 Actuals'!S262,'Avoided Costs 2013-2021'!$E:$E)*J262</f>
        <v>6232.6812302587359</v>
      </c>
      <c r="V262" s="73">
        <f>SUMIF('Avoided Costs 2013-2021'!$A:$A,'2013 Actuals'!T262&amp;'2013 Actuals'!S262,'Avoided Costs 2013-2021'!$K:$K)*N262</f>
        <v>184.25328573558167</v>
      </c>
      <c r="W262" s="73">
        <f>SUMIF('Avoided Costs 2013-2021'!$A:$A,'2013 Actuals'!T262&amp;'2013 Actuals'!S262,'Avoided Costs 2013-2021'!$M:$M)*R262</f>
        <v>0</v>
      </c>
      <c r="X262" s="73">
        <f t="shared" si="126"/>
        <v>6416.9345159943177</v>
      </c>
      <c r="Y262" s="83">
        <v>1500</v>
      </c>
      <c r="Z262" s="74">
        <f t="shared" si="127"/>
        <v>1320</v>
      </c>
      <c r="AA262" s="74"/>
      <c r="AB262" s="74"/>
      <c r="AC262" s="74"/>
      <c r="AD262" s="74">
        <f t="shared" si="128"/>
        <v>1320</v>
      </c>
      <c r="AE262" s="74">
        <f t="shared" si="129"/>
        <v>5096.9345159943177</v>
      </c>
      <c r="AF262" s="52">
        <f t="shared" si="130"/>
        <v>41832.647999999994</v>
      </c>
      <c r="AG262" s="52">
        <f t="shared" si="131"/>
        <v>47537.1</v>
      </c>
    </row>
    <row r="263" spans="1:33" s="21" customFormat="1" x14ac:dyDescent="0.2">
      <c r="A263" s="114" t="s">
        <v>880</v>
      </c>
      <c r="B263" s="114"/>
      <c r="C263" s="114"/>
      <c r="D263" s="160">
        <v>1</v>
      </c>
      <c r="E263" s="161"/>
      <c r="F263" s="162">
        <v>0.12</v>
      </c>
      <c r="G263" s="162"/>
      <c r="H263" s="52">
        <v>13478</v>
      </c>
      <c r="I263" s="52">
        <f t="shared" si="120"/>
        <v>11914.552</v>
      </c>
      <c r="J263" s="52">
        <f t="shared" si="121"/>
        <v>10484.805759999999</v>
      </c>
      <c r="K263" s="61"/>
      <c r="L263" s="160">
        <v>0</v>
      </c>
      <c r="M263" s="55">
        <f t="shared" si="122"/>
        <v>0</v>
      </c>
      <c r="N263" s="55">
        <f t="shared" si="123"/>
        <v>0</v>
      </c>
      <c r="O263" s="95"/>
      <c r="P263" s="160">
        <v>0</v>
      </c>
      <c r="Q263" s="55">
        <f t="shared" si="124"/>
        <v>0</v>
      </c>
      <c r="R263" s="65">
        <f t="shared" si="125"/>
        <v>0</v>
      </c>
      <c r="S263" s="118">
        <v>15</v>
      </c>
      <c r="T263" s="121" t="s">
        <v>201</v>
      </c>
      <c r="U263" s="73">
        <f>SUMIF('Avoided Costs 2013-2021'!$A:$A,'2013 Actuals'!T263&amp;'2013 Actuals'!S263,'Avoided Costs 2013-2021'!$E:$E)*J263</f>
        <v>23432.099754930892</v>
      </c>
      <c r="V263" s="73">
        <f>SUMIF('Avoided Costs 2013-2021'!$A:$A,'2013 Actuals'!T263&amp;'2013 Actuals'!S263,'Avoided Costs 2013-2021'!$K:$K)*N263</f>
        <v>0</v>
      </c>
      <c r="W263" s="73">
        <f>SUMIF('Avoided Costs 2013-2021'!$A:$A,'2013 Actuals'!T263&amp;'2013 Actuals'!S263,'Avoided Costs 2013-2021'!$M:$M)*R263</f>
        <v>0</v>
      </c>
      <c r="X263" s="73">
        <f t="shared" si="126"/>
        <v>23432.099754930892</v>
      </c>
      <c r="Y263" s="83">
        <v>2207</v>
      </c>
      <c r="Z263" s="74">
        <f t="shared" si="127"/>
        <v>1942.16</v>
      </c>
      <c r="AA263" s="74"/>
      <c r="AB263" s="74"/>
      <c r="AC263" s="74"/>
      <c r="AD263" s="74">
        <f t="shared" si="128"/>
        <v>1942.16</v>
      </c>
      <c r="AE263" s="74">
        <f t="shared" si="129"/>
        <v>21489.939754930892</v>
      </c>
      <c r="AF263" s="52">
        <f t="shared" si="130"/>
        <v>157272.0864</v>
      </c>
      <c r="AG263" s="52">
        <f t="shared" si="131"/>
        <v>178718.28</v>
      </c>
    </row>
    <row r="264" spans="1:33" s="21" customFormat="1" x14ac:dyDescent="0.2">
      <c r="A264" s="114" t="s">
        <v>881</v>
      </c>
      <c r="B264" s="114"/>
      <c r="C264" s="114"/>
      <c r="D264" s="160">
        <v>1</v>
      </c>
      <c r="E264" s="161"/>
      <c r="F264" s="162">
        <v>0.12</v>
      </c>
      <c r="G264" s="162"/>
      <c r="H264" s="52">
        <v>12842</v>
      </c>
      <c r="I264" s="52">
        <f t="shared" si="120"/>
        <v>11352.328</v>
      </c>
      <c r="J264" s="52">
        <f t="shared" si="121"/>
        <v>9990.0486399999991</v>
      </c>
      <c r="K264" s="61"/>
      <c r="L264" s="160">
        <v>0</v>
      </c>
      <c r="M264" s="55">
        <f t="shared" si="122"/>
        <v>0</v>
      </c>
      <c r="N264" s="55">
        <f t="shared" si="123"/>
        <v>0</v>
      </c>
      <c r="O264" s="95"/>
      <c r="P264" s="160">
        <v>0</v>
      </c>
      <c r="Q264" s="55">
        <f t="shared" si="124"/>
        <v>0</v>
      </c>
      <c r="R264" s="65">
        <f t="shared" si="125"/>
        <v>0</v>
      </c>
      <c r="S264" s="137">
        <v>23.487135510000002</v>
      </c>
      <c r="T264" s="121" t="s">
        <v>201</v>
      </c>
      <c r="U264" s="73">
        <f>SUMIF('Avoided Costs 2013-2021'!$A:$A,'2013 Actuals'!T264&amp;IF(T264="S",11,IF(T264="W",8,0)),'Avoided Costs 2013-2021'!$E:$E)*J264</f>
        <v>17326.262245014303</v>
      </c>
      <c r="V264" s="73">
        <f>SUMIF('Avoided Costs 2013-2021'!$A:$A,'2013 Actuals'!T264&amp;'2013 Actuals'!S264,'Avoided Costs 2013-2021'!$K:$K)*N264</f>
        <v>0</v>
      </c>
      <c r="W264" s="73">
        <f>SUMIF('Avoided Costs 2013-2021'!$A:$A,'2013 Actuals'!T264&amp;'2013 Actuals'!S264,'Avoided Costs 2013-2021'!$M:$M)*R264</f>
        <v>0</v>
      </c>
      <c r="X264" s="73">
        <f t="shared" si="126"/>
        <v>17326.262245014303</v>
      </c>
      <c r="Y264" s="83">
        <v>71592.789999999994</v>
      </c>
      <c r="Z264" s="74">
        <f t="shared" si="127"/>
        <v>63001.655199999994</v>
      </c>
      <c r="AA264" s="74"/>
      <c r="AB264" s="74"/>
      <c r="AC264" s="74"/>
      <c r="AD264" s="74">
        <f t="shared" si="128"/>
        <v>63001.655199999994</v>
      </c>
      <c r="AE264" s="74">
        <f t="shared" si="129"/>
        <v>-45675.392954985691</v>
      </c>
      <c r="AF264" s="52">
        <f t="shared" si="130"/>
        <v>234637.6261591712</v>
      </c>
      <c r="AG264" s="52">
        <f t="shared" si="131"/>
        <v>266633.6660899673</v>
      </c>
    </row>
    <row r="265" spans="1:33" s="21" customFormat="1" x14ac:dyDescent="0.2">
      <c r="A265" s="114" t="s">
        <v>882</v>
      </c>
      <c r="B265" s="114"/>
      <c r="C265" s="114"/>
      <c r="D265" s="160">
        <v>1</v>
      </c>
      <c r="E265" s="161"/>
      <c r="F265" s="162">
        <v>0.12</v>
      </c>
      <c r="G265" s="162"/>
      <c r="H265" s="52">
        <v>1861</v>
      </c>
      <c r="I265" s="52">
        <f t="shared" ref="I265:I266" si="132">H265</f>
        <v>1861</v>
      </c>
      <c r="J265" s="52">
        <f t="shared" si="121"/>
        <v>1637.68</v>
      </c>
      <c r="K265" s="61"/>
      <c r="L265" s="160">
        <v>0</v>
      </c>
      <c r="M265" s="55">
        <f t="shared" si="122"/>
        <v>0</v>
      </c>
      <c r="N265" s="55">
        <f t="shared" si="123"/>
        <v>0</v>
      </c>
      <c r="O265" s="95"/>
      <c r="P265" s="160">
        <v>0</v>
      </c>
      <c r="Q265" s="55">
        <f t="shared" si="124"/>
        <v>0</v>
      </c>
      <c r="R265" s="65">
        <f t="shared" si="125"/>
        <v>0</v>
      </c>
      <c r="S265" s="118">
        <v>25</v>
      </c>
      <c r="T265" s="121" t="s">
        <v>217</v>
      </c>
      <c r="U265" s="73">
        <f>SUMIF('Avoided Costs 2013-2021'!$A:$A,'2013 Actuals'!T265&amp;'2013 Actuals'!S265,'Avoided Costs 2013-2021'!$E:$E)*J265</f>
        <v>4821.4459581490528</v>
      </c>
      <c r="V265" s="73">
        <f>SUMIF('Avoided Costs 2013-2021'!$A:$A,'2013 Actuals'!T265&amp;'2013 Actuals'!S265,'Avoided Costs 2013-2021'!$K:$K)*N265</f>
        <v>0</v>
      </c>
      <c r="W265" s="73">
        <f>SUMIF('Avoided Costs 2013-2021'!$A:$A,'2013 Actuals'!T265&amp;'2013 Actuals'!S265,'Avoided Costs 2013-2021'!$M:$M)*R265</f>
        <v>0</v>
      </c>
      <c r="X265" s="73">
        <f t="shared" si="126"/>
        <v>4821.4459581490528</v>
      </c>
      <c r="Y265" s="83">
        <v>4500</v>
      </c>
      <c r="Z265" s="74">
        <f t="shared" si="127"/>
        <v>3960</v>
      </c>
      <c r="AA265" s="74"/>
      <c r="AB265" s="74"/>
      <c r="AC265" s="74"/>
      <c r="AD265" s="74">
        <f t="shared" si="128"/>
        <v>3960</v>
      </c>
      <c r="AE265" s="74">
        <f t="shared" si="129"/>
        <v>861.44595814905279</v>
      </c>
      <c r="AF265" s="52">
        <f t="shared" si="130"/>
        <v>40942</v>
      </c>
      <c r="AG265" s="52">
        <f t="shared" si="131"/>
        <v>46525</v>
      </c>
    </row>
    <row r="266" spans="1:33" s="21" customFormat="1" x14ac:dyDescent="0.2">
      <c r="A266" s="116" t="s">
        <v>883</v>
      </c>
      <c r="B266" s="116"/>
      <c r="C266" s="116"/>
      <c r="D266" s="151">
        <v>1</v>
      </c>
      <c r="E266" s="152"/>
      <c r="F266" s="153">
        <v>0.12</v>
      </c>
      <c r="G266" s="153"/>
      <c r="H266" s="52">
        <v>13265</v>
      </c>
      <c r="I266" s="52">
        <f t="shared" si="132"/>
        <v>13265</v>
      </c>
      <c r="J266" s="52">
        <f t="shared" si="121"/>
        <v>11673.2</v>
      </c>
      <c r="K266" s="152"/>
      <c r="L266" s="151">
        <v>0</v>
      </c>
      <c r="M266" s="55">
        <f t="shared" si="122"/>
        <v>0</v>
      </c>
      <c r="N266" s="55">
        <f t="shared" si="123"/>
        <v>0</v>
      </c>
      <c r="O266" s="154"/>
      <c r="P266" s="151">
        <v>0</v>
      </c>
      <c r="Q266" s="55">
        <f t="shared" si="124"/>
        <v>0</v>
      </c>
      <c r="R266" s="65">
        <f t="shared" si="125"/>
        <v>0</v>
      </c>
      <c r="S266" s="129">
        <v>25</v>
      </c>
      <c r="T266" s="123" t="s">
        <v>201</v>
      </c>
      <c r="U266" s="73">
        <f>SUMIF('Avoided Costs 2013-2021'!$A:$A,'2013 Actuals'!T266&amp;'2013 Actuals'!S266,'Avoided Costs 2013-2021'!$E:$E)*J266</f>
        <v>36620.493548879036</v>
      </c>
      <c r="V266" s="73">
        <f>SUMIF('Avoided Costs 2013-2021'!$A:$A,'2013 Actuals'!T266&amp;'2013 Actuals'!S266,'Avoided Costs 2013-2021'!$K:$K)*N266</f>
        <v>0</v>
      </c>
      <c r="W266" s="73">
        <f>SUMIF('Avoided Costs 2013-2021'!$A:$A,'2013 Actuals'!T266&amp;'2013 Actuals'!S266,'Avoided Costs 2013-2021'!$M:$M)*R266</f>
        <v>0</v>
      </c>
      <c r="X266" s="73">
        <f t="shared" si="126"/>
        <v>36620.493548879036</v>
      </c>
      <c r="Y266" s="83">
        <v>12000</v>
      </c>
      <c r="Z266" s="74">
        <f t="shared" si="127"/>
        <v>10560</v>
      </c>
      <c r="AA266" s="74"/>
      <c r="AB266" s="74"/>
      <c r="AC266" s="74"/>
      <c r="AD266" s="74">
        <f t="shared" si="128"/>
        <v>10560</v>
      </c>
      <c r="AE266" s="74">
        <f t="shared" si="129"/>
        <v>26060.493548879036</v>
      </c>
      <c r="AF266" s="52">
        <f t="shared" si="130"/>
        <v>291830</v>
      </c>
      <c r="AG266" s="52">
        <f t="shared" si="131"/>
        <v>331625</v>
      </c>
    </row>
    <row r="267" spans="1:33" s="17" customFormat="1" collapsed="1" x14ac:dyDescent="0.2">
      <c r="A267" s="166" t="s">
        <v>4</v>
      </c>
      <c r="B267" s="166" t="s">
        <v>111</v>
      </c>
      <c r="C267" s="125"/>
      <c r="D267" s="65">
        <f>SUM(D240:D266)</f>
        <v>26</v>
      </c>
      <c r="E267" s="291"/>
      <c r="F267" s="168"/>
      <c r="G267" s="292"/>
      <c r="H267" s="52">
        <v>501666</v>
      </c>
      <c r="I267" s="52">
        <f>SUM(I240:I266)</f>
        <v>453105.5</v>
      </c>
      <c r="J267" s="52">
        <f>SUM(J240:J266)</f>
        <v>398732.84</v>
      </c>
      <c r="K267" s="167"/>
      <c r="L267" s="52">
        <v>44525</v>
      </c>
      <c r="M267" s="52">
        <f>SUM(M240:M266)</f>
        <v>44525</v>
      </c>
      <c r="N267" s="52">
        <f>SUM(N240:N266)</f>
        <v>39182</v>
      </c>
      <c r="O267" s="169"/>
      <c r="P267" s="52">
        <v>0</v>
      </c>
      <c r="Q267" s="52">
        <f>SUM(Q240:Q266)</f>
        <v>0</v>
      </c>
      <c r="R267" s="52">
        <f>SUM(R240:R266)</f>
        <v>0</v>
      </c>
      <c r="S267" s="133"/>
      <c r="T267" s="125" t="s">
        <v>215</v>
      </c>
      <c r="U267" s="74">
        <f>SUM(U240:U266)</f>
        <v>1103297.1191010906</v>
      </c>
      <c r="V267" s="74">
        <f>SUM(V240:V266)</f>
        <v>41019.387736883873</v>
      </c>
      <c r="W267" s="74">
        <f>SUM(W240:W266)</f>
        <v>0</v>
      </c>
      <c r="X267" s="74">
        <f>SUM(X240:X266)</f>
        <v>1144316.5068379743</v>
      </c>
      <c r="Y267" s="83"/>
      <c r="Z267" s="74">
        <f t="shared" ref="Z267" si="133">SUM(Z240:Z266)</f>
        <v>606166.99440000008</v>
      </c>
      <c r="AA267" s="74">
        <v>157955.79999999999</v>
      </c>
      <c r="AB267" s="74">
        <v>174654</v>
      </c>
      <c r="AC267" s="74">
        <f>AA267+AB267</f>
        <v>332609.8</v>
      </c>
      <c r="AD267" s="74">
        <f t="shared" si="128"/>
        <v>780820.99440000008</v>
      </c>
      <c r="AE267" s="293">
        <f t="shared" si="129"/>
        <v>363495.51243797422</v>
      </c>
      <c r="AF267" s="52">
        <f>SUM(AF240:AF266)</f>
        <v>8572858.3829591721</v>
      </c>
      <c r="AG267" s="52">
        <f>SUM(AG240:AG266)</f>
        <v>9741884.5260899663</v>
      </c>
    </row>
    <row r="268" spans="1:33" x14ac:dyDescent="0.2">
      <c r="A268" s="150"/>
      <c r="O268" s="92"/>
      <c r="P268" s="44"/>
      <c r="R268" s="44"/>
      <c r="S268" s="4"/>
      <c r="Z268" s="72"/>
      <c r="AA268" s="72"/>
      <c r="AC268" s="72"/>
      <c r="AD268" s="72"/>
      <c r="AE268" s="72"/>
      <c r="AF268" s="79"/>
      <c r="AG268" s="79"/>
    </row>
    <row r="269" spans="1:33" x14ac:dyDescent="0.2">
      <c r="A269" s="150" t="s">
        <v>93</v>
      </c>
      <c r="B269" s="2" t="s">
        <v>94</v>
      </c>
      <c r="J269" s="44"/>
      <c r="O269" s="92"/>
      <c r="P269" s="44"/>
      <c r="R269" s="44"/>
      <c r="S269" s="4"/>
      <c r="Z269" s="72"/>
      <c r="AA269" s="72"/>
      <c r="AC269" s="72"/>
      <c r="AD269" s="72"/>
      <c r="AE269" s="72"/>
      <c r="AF269" s="79"/>
      <c r="AG269" s="79"/>
    </row>
    <row r="270" spans="1:33" s="21" customFormat="1" x14ac:dyDescent="0.2">
      <c r="A270" s="114" t="s">
        <v>278</v>
      </c>
      <c r="B270" s="114"/>
      <c r="C270" s="114"/>
      <c r="D270" s="160">
        <v>0</v>
      </c>
      <c r="E270" s="161"/>
      <c r="F270" s="162">
        <v>0.12</v>
      </c>
      <c r="G270" s="162"/>
      <c r="H270" s="52">
        <v>21520</v>
      </c>
      <c r="I270" s="52">
        <f t="shared" ref="I270:I301" si="134">+$H$39*H270</f>
        <v>19023.68</v>
      </c>
      <c r="J270" s="52">
        <f t="shared" ref="J270:J301" si="135">I270*(1-F270)</f>
        <v>16740.838400000001</v>
      </c>
      <c r="K270" s="61"/>
      <c r="L270" s="160">
        <v>0</v>
      </c>
      <c r="M270" s="55">
        <f t="shared" ref="M270:M301" si="136">+$L$39*L270</f>
        <v>0</v>
      </c>
      <c r="N270" s="55">
        <f t="shared" ref="N270:N301" si="137">M270*(1-F270)</f>
        <v>0</v>
      </c>
      <c r="O270" s="95"/>
      <c r="P270" s="160">
        <v>0</v>
      </c>
      <c r="Q270" s="55">
        <f t="shared" ref="Q270:Q301" si="138">+P270*$P$39</f>
        <v>0</v>
      </c>
      <c r="R270" s="65">
        <f t="shared" ref="R270:R301" si="139">Q270*(1-F270)</f>
        <v>0</v>
      </c>
      <c r="S270" s="118">
        <v>15</v>
      </c>
      <c r="T270" s="121" t="s">
        <v>201</v>
      </c>
      <c r="U270" s="73">
        <f>SUMIF('Avoided Costs 2013-2021'!$A:$A,'2013 Actuals'!T270&amp;'2013 Actuals'!S270,'Avoided Costs 2013-2021'!$E:$E)*J270</f>
        <v>37413.472824314646</v>
      </c>
      <c r="V270" s="73">
        <f>SUMIF('Avoided Costs 2013-2021'!$A:$A,'2013 Actuals'!T270&amp;'2013 Actuals'!S270,'Avoided Costs 2013-2021'!$K:$K)*N270</f>
        <v>0</v>
      </c>
      <c r="W270" s="73">
        <f>SUMIF('Avoided Costs 2013-2021'!$A:$A,'2013 Actuals'!T270&amp;'2013 Actuals'!S270,'Avoided Costs 2013-2021'!$M:$M)*R270</f>
        <v>0</v>
      </c>
      <c r="X270" s="73">
        <f t="shared" ref="X270:X301" si="140">SUM(U270:W270)</f>
        <v>37413.472824314646</v>
      </c>
      <c r="Y270" s="83">
        <v>5581</v>
      </c>
      <c r="Z270" s="74">
        <f t="shared" ref="Z270:Z301" si="141">Y270*(1-F270)</f>
        <v>4911.28</v>
      </c>
      <c r="AA270" s="74"/>
      <c r="AB270" s="74"/>
      <c r="AC270" s="74"/>
      <c r="AD270" s="74">
        <f t="shared" ref="AD270:AD301" si="142">Z270+AB270</f>
        <v>4911.28</v>
      </c>
      <c r="AE270" s="74">
        <f t="shared" ref="AE270:AE301" si="143">X270-AD270</f>
        <v>32502.192824314647</v>
      </c>
      <c r="AF270" s="52">
        <f t="shared" ref="AF270:AF301" si="144">J270*S270</f>
        <v>251112.576</v>
      </c>
      <c r="AG270" s="52">
        <f t="shared" ref="AG270:AG301" si="145">(I270*S270)</f>
        <v>285355.2</v>
      </c>
    </row>
    <row r="271" spans="1:33" s="21" customFormat="1" x14ac:dyDescent="0.2">
      <c r="A271" s="114" t="s">
        <v>279</v>
      </c>
      <c r="B271" s="114"/>
      <c r="C271" s="114"/>
      <c r="D271" s="160">
        <v>1</v>
      </c>
      <c r="E271" s="161"/>
      <c r="F271" s="162">
        <v>0.12</v>
      </c>
      <c r="G271" s="162"/>
      <c r="H271" s="52">
        <v>69561</v>
      </c>
      <c r="I271" s="52">
        <f t="shared" si="134"/>
        <v>61491.923999999999</v>
      </c>
      <c r="J271" s="52">
        <f t="shared" si="135"/>
        <v>54112.893120000001</v>
      </c>
      <c r="K271" s="61"/>
      <c r="L271" s="160">
        <v>0</v>
      </c>
      <c r="M271" s="55">
        <f t="shared" si="136"/>
        <v>0</v>
      </c>
      <c r="N271" s="55">
        <f t="shared" si="137"/>
        <v>0</v>
      </c>
      <c r="O271" s="95"/>
      <c r="P271" s="160">
        <v>0</v>
      </c>
      <c r="Q271" s="55">
        <f t="shared" si="138"/>
        <v>0</v>
      </c>
      <c r="R271" s="65">
        <f t="shared" si="139"/>
        <v>0</v>
      </c>
      <c r="S271" s="118">
        <v>15</v>
      </c>
      <c r="T271" s="121" t="s">
        <v>201</v>
      </c>
      <c r="U271" s="73">
        <f>SUMIF('Avoided Costs 2013-2021'!$A:$A,'2013 Actuals'!T271&amp;'2013 Actuals'!S271,'Avoided Costs 2013-2021'!$E:$E)*J271</f>
        <v>120934.87839833417</v>
      </c>
      <c r="V271" s="73">
        <f>SUMIF('Avoided Costs 2013-2021'!$A:$A,'2013 Actuals'!T271&amp;'2013 Actuals'!S271,'Avoided Costs 2013-2021'!$K:$K)*N271</f>
        <v>0</v>
      </c>
      <c r="W271" s="73">
        <f>SUMIF('Avoided Costs 2013-2021'!$A:$A,'2013 Actuals'!T271&amp;'2013 Actuals'!S271,'Avoided Costs 2013-2021'!$M:$M)*R271</f>
        <v>0</v>
      </c>
      <c r="X271" s="73">
        <f t="shared" si="140"/>
        <v>120934.87839833417</v>
      </c>
      <c r="Y271" s="83">
        <v>50234</v>
      </c>
      <c r="Z271" s="74">
        <f t="shared" si="141"/>
        <v>44205.919999999998</v>
      </c>
      <c r="AA271" s="74"/>
      <c r="AB271" s="74"/>
      <c r="AC271" s="74"/>
      <c r="AD271" s="74">
        <f t="shared" si="142"/>
        <v>44205.919999999998</v>
      </c>
      <c r="AE271" s="74">
        <f t="shared" si="143"/>
        <v>76728.958398334173</v>
      </c>
      <c r="AF271" s="52">
        <f t="shared" si="144"/>
        <v>811693.39679999999</v>
      </c>
      <c r="AG271" s="52">
        <f t="shared" si="145"/>
        <v>922378.86</v>
      </c>
    </row>
    <row r="272" spans="1:33" s="21" customFormat="1" x14ac:dyDescent="0.2">
      <c r="A272" s="114" t="s">
        <v>280</v>
      </c>
      <c r="B272" s="114"/>
      <c r="C272" s="114"/>
      <c r="D272" s="160">
        <v>1</v>
      </c>
      <c r="E272" s="161"/>
      <c r="F272" s="162">
        <v>0.12</v>
      </c>
      <c r="G272" s="162"/>
      <c r="H272" s="52">
        <v>42084</v>
      </c>
      <c r="I272" s="52">
        <f t="shared" si="134"/>
        <v>37202.256000000001</v>
      </c>
      <c r="J272" s="52">
        <f t="shared" si="135"/>
        <v>32737.985280000001</v>
      </c>
      <c r="K272" s="61"/>
      <c r="L272" s="160">
        <v>32039</v>
      </c>
      <c r="M272" s="55">
        <f t="shared" si="136"/>
        <v>32039</v>
      </c>
      <c r="N272" s="55">
        <f t="shared" si="137"/>
        <v>28194.32</v>
      </c>
      <c r="O272" s="95"/>
      <c r="P272" s="160">
        <v>0</v>
      </c>
      <c r="Q272" s="55">
        <f t="shared" si="138"/>
        <v>0</v>
      </c>
      <c r="R272" s="65">
        <f t="shared" si="139"/>
        <v>0</v>
      </c>
      <c r="S272" s="118">
        <v>15</v>
      </c>
      <c r="T272" s="121" t="s">
        <v>201</v>
      </c>
      <c r="U272" s="73">
        <f>SUMIF('Avoided Costs 2013-2021'!$A:$A,'2013 Actuals'!T272&amp;'2013 Actuals'!S272,'Avoided Costs 2013-2021'!$E:$E)*J272</f>
        <v>73164.897320560296</v>
      </c>
      <c r="V272" s="73">
        <f>SUMIF('Avoided Costs 2013-2021'!$A:$A,'2013 Actuals'!T272&amp;'2013 Actuals'!S272,'Avoided Costs 2013-2021'!$K:$K)*N272</f>
        <v>29516.455108411508</v>
      </c>
      <c r="W272" s="73">
        <f>SUMIF('Avoided Costs 2013-2021'!$A:$A,'2013 Actuals'!T272&amp;'2013 Actuals'!S272,'Avoided Costs 2013-2021'!$M:$M)*R272</f>
        <v>0</v>
      </c>
      <c r="X272" s="73">
        <f t="shared" si="140"/>
        <v>102681.3524289718</v>
      </c>
      <c r="Y272" s="83">
        <v>21630</v>
      </c>
      <c r="Z272" s="74">
        <f t="shared" si="141"/>
        <v>19034.400000000001</v>
      </c>
      <c r="AA272" s="74"/>
      <c r="AB272" s="74"/>
      <c r="AC272" s="74"/>
      <c r="AD272" s="74">
        <f t="shared" si="142"/>
        <v>19034.400000000001</v>
      </c>
      <c r="AE272" s="74">
        <f t="shared" si="143"/>
        <v>83646.952428971796</v>
      </c>
      <c r="AF272" s="52">
        <f t="shared" si="144"/>
        <v>491069.77919999999</v>
      </c>
      <c r="AG272" s="52">
        <f t="shared" si="145"/>
        <v>558033.84</v>
      </c>
    </row>
    <row r="273" spans="1:33" s="21" customFormat="1" x14ac:dyDescent="0.2">
      <c r="A273" s="114" t="s">
        <v>281</v>
      </c>
      <c r="B273" s="114"/>
      <c r="C273" s="114"/>
      <c r="D273" s="160">
        <v>1</v>
      </c>
      <c r="E273" s="161"/>
      <c r="F273" s="162">
        <v>0.12</v>
      </c>
      <c r="G273" s="162"/>
      <c r="H273" s="52">
        <v>44714</v>
      </c>
      <c r="I273" s="52">
        <f t="shared" si="134"/>
        <v>39527.175999999999</v>
      </c>
      <c r="J273" s="52">
        <f t="shared" si="135"/>
        <v>34783.914879999997</v>
      </c>
      <c r="K273" s="61"/>
      <c r="L273" s="160">
        <v>0</v>
      </c>
      <c r="M273" s="55">
        <f t="shared" si="136"/>
        <v>0</v>
      </c>
      <c r="N273" s="55">
        <f t="shared" si="137"/>
        <v>0</v>
      </c>
      <c r="O273" s="95"/>
      <c r="P273" s="160">
        <v>0</v>
      </c>
      <c r="Q273" s="55">
        <f t="shared" si="138"/>
        <v>0</v>
      </c>
      <c r="R273" s="65">
        <f t="shared" si="139"/>
        <v>0</v>
      </c>
      <c r="S273" s="118">
        <v>5</v>
      </c>
      <c r="T273" s="121" t="s">
        <v>201</v>
      </c>
      <c r="U273" s="73">
        <f>SUMIF('Avoided Costs 2013-2021'!$A:$A,'2013 Actuals'!T273&amp;'2013 Actuals'!S273,'Avoided Costs 2013-2021'!$E:$E)*J273</f>
        <v>27086.327462695288</v>
      </c>
      <c r="V273" s="73">
        <f>SUMIF('Avoided Costs 2013-2021'!$A:$A,'2013 Actuals'!T273&amp;'2013 Actuals'!S273,'Avoided Costs 2013-2021'!$K:$K)*N273</f>
        <v>0</v>
      </c>
      <c r="W273" s="73">
        <f>SUMIF('Avoided Costs 2013-2021'!$A:$A,'2013 Actuals'!T273&amp;'2013 Actuals'!S273,'Avoided Costs 2013-2021'!$M:$M)*R273</f>
        <v>0</v>
      </c>
      <c r="X273" s="73">
        <f t="shared" si="140"/>
        <v>27086.327462695288</v>
      </c>
      <c r="Y273" s="83">
        <v>3356</v>
      </c>
      <c r="Z273" s="74">
        <f t="shared" si="141"/>
        <v>2953.28</v>
      </c>
      <c r="AA273" s="74"/>
      <c r="AB273" s="74"/>
      <c r="AC273" s="74"/>
      <c r="AD273" s="74">
        <f t="shared" si="142"/>
        <v>2953.28</v>
      </c>
      <c r="AE273" s="74">
        <f t="shared" si="143"/>
        <v>24133.047462695289</v>
      </c>
      <c r="AF273" s="52">
        <f t="shared" si="144"/>
        <v>173919.57439999998</v>
      </c>
      <c r="AG273" s="52">
        <f t="shared" si="145"/>
        <v>197635.88</v>
      </c>
    </row>
    <row r="274" spans="1:33" s="21" customFormat="1" x14ac:dyDescent="0.2">
      <c r="A274" s="115" t="s">
        <v>282</v>
      </c>
      <c r="B274" s="115"/>
      <c r="C274" s="115"/>
      <c r="D274" s="163">
        <v>1</v>
      </c>
      <c r="E274" s="164"/>
      <c r="F274" s="165">
        <v>0.12</v>
      </c>
      <c r="G274" s="165"/>
      <c r="H274" s="51">
        <v>52381</v>
      </c>
      <c r="I274" s="52">
        <f t="shared" si="134"/>
        <v>46304.804000000004</v>
      </c>
      <c r="J274" s="52">
        <f t="shared" si="135"/>
        <v>40748.22752</v>
      </c>
      <c r="K274" s="62"/>
      <c r="L274" s="163">
        <v>0</v>
      </c>
      <c r="M274" s="55">
        <f t="shared" si="136"/>
        <v>0</v>
      </c>
      <c r="N274" s="55">
        <f t="shared" si="137"/>
        <v>0</v>
      </c>
      <c r="O274" s="96"/>
      <c r="P274" s="163">
        <v>0</v>
      </c>
      <c r="Q274" s="55">
        <f t="shared" si="138"/>
        <v>0</v>
      </c>
      <c r="R274" s="65">
        <f t="shared" si="139"/>
        <v>0</v>
      </c>
      <c r="S274" s="119">
        <v>25</v>
      </c>
      <c r="T274" s="122" t="s">
        <v>201</v>
      </c>
      <c r="U274" s="73">
        <f>SUMIF('Avoided Costs 2013-2021'!$A:$A,'2013 Actuals'!T274&amp;'2013 Actuals'!S274,'Avoided Costs 2013-2021'!$E:$E)*J274</f>
        <v>127833.00234934852</v>
      </c>
      <c r="V274" s="73">
        <f>SUMIF('Avoided Costs 2013-2021'!$A:$A,'2013 Actuals'!T274&amp;'2013 Actuals'!S274,'Avoided Costs 2013-2021'!$K:$K)*N274</f>
        <v>0</v>
      </c>
      <c r="W274" s="73">
        <f>SUMIF('Avoided Costs 2013-2021'!$A:$A,'2013 Actuals'!T274&amp;'2013 Actuals'!S274,'Avoided Costs 2013-2021'!$M:$M)*R274</f>
        <v>0</v>
      </c>
      <c r="X274" s="73">
        <f t="shared" si="140"/>
        <v>127833.00234934852</v>
      </c>
      <c r="Y274" s="89">
        <v>23898</v>
      </c>
      <c r="Z274" s="74">
        <f t="shared" si="141"/>
        <v>21030.240000000002</v>
      </c>
      <c r="AA274" s="75"/>
      <c r="AB274" s="75"/>
      <c r="AC274" s="75"/>
      <c r="AD274" s="74">
        <f t="shared" si="142"/>
        <v>21030.240000000002</v>
      </c>
      <c r="AE274" s="74">
        <f t="shared" si="143"/>
        <v>106802.76234934852</v>
      </c>
      <c r="AF274" s="52">
        <f t="shared" si="144"/>
        <v>1018705.688</v>
      </c>
      <c r="AG274" s="52">
        <f t="shared" si="145"/>
        <v>1157620.1000000001</v>
      </c>
    </row>
    <row r="275" spans="1:33" s="21" customFormat="1" x14ac:dyDescent="0.2">
      <c r="A275" s="115" t="s">
        <v>283</v>
      </c>
      <c r="B275" s="115"/>
      <c r="C275" s="115"/>
      <c r="D275" s="163">
        <v>1</v>
      </c>
      <c r="E275" s="164"/>
      <c r="F275" s="165">
        <v>0.12</v>
      </c>
      <c r="G275" s="165"/>
      <c r="H275" s="51">
        <v>7712</v>
      </c>
      <c r="I275" s="52">
        <f t="shared" si="134"/>
        <v>6817.4080000000004</v>
      </c>
      <c r="J275" s="52">
        <f t="shared" si="135"/>
        <v>5999.3190400000003</v>
      </c>
      <c r="K275" s="62"/>
      <c r="L275" s="163">
        <v>0</v>
      </c>
      <c r="M275" s="55">
        <f t="shared" si="136"/>
        <v>0</v>
      </c>
      <c r="N275" s="55">
        <f t="shared" si="137"/>
        <v>0</v>
      </c>
      <c r="O275" s="96"/>
      <c r="P275" s="163">
        <v>0</v>
      </c>
      <c r="Q275" s="55">
        <f t="shared" si="138"/>
        <v>0</v>
      </c>
      <c r="R275" s="65">
        <f t="shared" si="139"/>
        <v>0</v>
      </c>
      <c r="S275" s="119">
        <v>25</v>
      </c>
      <c r="T275" s="122" t="s">
        <v>217</v>
      </c>
      <c r="U275" s="73">
        <f>SUMIF('Avoided Costs 2013-2021'!$A:$A,'2013 Actuals'!T275&amp;'2013 Actuals'!S275,'Avoided Costs 2013-2021'!$E:$E)*J275</f>
        <v>17662.420336729188</v>
      </c>
      <c r="V275" s="73">
        <f>SUMIF('Avoided Costs 2013-2021'!$A:$A,'2013 Actuals'!T275&amp;'2013 Actuals'!S275,'Avoided Costs 2013-2021'!$K:$K)*N275</f>
        <v>0</v>
      </c>
      <c r="W275" s="73">
        <f>SUMIF('Avoided Costs 2013-2021'!$A:$A,'2013 Actuals'!T275&amp;'2013 Actuals'!S275,'Avoided Costs 2013-2021'!$M:$M)*R275</f>
        <v>0</v>
      </c>
      <c r="X275" s="73">
        <f t="shared" si="140"/>
        <v>17662.420336729188</v>
      </c>
      <c r="Y275" s="89">
        <v>-52</v>
      </c>
      <c r="Z275" s="74">
        <f t="shared" si="141"/>
        <v>-45.76</v>
      </c>
      <c r="AA275" s="75"/>
      <c r="AB275" s="75"/>
      <c r="AC275" s="75"/>
      <c r="AD275" s="74">
        <f t="shared" si="142"/>
        <v>-45.76</v>
      </c>
      <c r="AE275" s="74">
        <f t="shared" si="143"/>
        <v>17708.180336729187</v>
      </c>
      <c r="AF275" s="52">
        <f t="shared" si="144"/>
        <v>149982.976</v>
      </c>
      <c r="AG275" s="52">
        <f t="shared" si="145"/>
        <v>170435.20000000001</v>
      </c>
    </row>
    <row r="276" spans="1:33" s="21" customFormat="1" x14ac:dyDescent="0.2">
      <c r="A276" s="115" t="s">
        <v>284</v>
      </c>
      <c r="B276" s="115"/>
      <c r="C276" s="115"/>
      <c r="D276" s="163">
        <v>1</v>
      </c>
      <c r="E276" s="164"/>
      <c r="F276" s="165">
        <v>0.12</v>
      </c>
      <c r="G276" s="165"/>
      <c r="H276" s="51">
        <v>52186</v>
      </c>
      <c r="I276" s="52">
        <f t="shared" si="134"/>
        <v>46132.423999999999</v>
      </c>
      <c r="J276" s="52">
        <f t="shared" si="135"/>
        <v>40596.53312</v>
      </c>
      <c r="K276" s="62"/>
      <c r="L276" s="163">
        <v>60171</v>
      </c>
      <c r="M276" s="55">
        <f t="shared" si="136"/>
        <v>60171</v>
      </c>
      <c r="N276" s="55">
        <f t="shared" si="137"/>
        <v>52950.48</v>
      </c>
      <c r="O276" s="96"/>
      <c r="P276" s="163">
        <v>0</v>
      </c>
      <c r="Q276" s="55">
        <f t="shared" si="138"/>
        <v>0</v>
      </c>
      <c r="R276" s="65">
        <f t="shared" si="139"/>
        <v>0</v>
      </c>
      <c r="S276" s="119">
        <v>15</v>
      </c>
      <c r="T276" s="122" t="s">
        <v>201</v>
      </c>
      <c r="U276" s="73">
        <f>SUMIF('Avoided Costs 2013-2021'!$A:$A,'2013 Actuals'!T276&amp;'2013 Actuals'!S276,'Avoided Costs 2013-2021'!$E:$E)*J276</f>
        <v>90727.671598963017</v>
      </c>
      <c r="V276" s="73">
        <f>SUMIF('Avoided Costs 2013-2021'!$A:$A,'2013 Actuals'!T276&amp;'2013 Actuals'!S276,'Avoided Costs 2013-2021'!$K:$K)*N276</f>
        <v>55433.522279978431</v>
      </c>
      <c r="W276" s="73">
        <f>SUMIF('Avoided Costs 2013-2021'!$A:$A,'2013 Actuals'!T276&amp;'2013 Actuals'!S276,'Avoided Costs 2013-2021'!$M:$M)*R276</f>
        <v>0</v>
      </c>
      <c r="X276" s="73">
        <f t="shared" si="140"/>
        <v>146161.19387894144</v>
      </c>
      <c r="Y276" s="89">
        <v>9800</v>
      </c>
      <c r="Z276" s="74">
        <f t="shared" si="141"/>
        <v>8624</v>
      </c>
      <c r="AA276" s="75"/>
      <c r="AB276" s="75"/>
      <c r="AC276" s="75"/>
      <c r="AD276" s="74">
        <f t="shared" si="142"/>
        <v>8624</v>
      </c>
      <c r="AE276" s="74">
        <f t="shared" si="143"/>
        <v>137537.19387894144</v>
      </c>
      <c r="AF276" s="52">
        <f t="shared" si="144"/>
        <v>608947.99679999996</v>
      </c>
      <c r="AG276" s="52">
        <f t="shared" si="145"/>
        <v>691986.36</v>
      </c>
    </row>
    <row r="277" spans="1:33" s="21" customFormat="1" x14ac:dyDescent="0.2">
      <c r="A277" s="115" t="s">
        <v>285</v>
      </c>
      <c r="B277" s="115"/>
      <c r="C277" s="115"/>
      <c r="D277" s="163">
        <v>1</v>
      </c>
      <c r="E277" s="164"/>
      <c r="F277" s="165">
        <v>0.12</v>
      </c>
      <c r="G277" s="165"/>
      <c r="H277" s="51">
        <v>272931</v>
      </c>
      <c r="I277" s="52">
        <f t="shared" si="134"/>
        <v>241271.00400000002</v>
      </c>
      <c r="J277" s="52">
        <f t="shared" si="135"/>
        <v>212318.48352000001</v>
      </c>
      <c r="K277" s="62"/>
      <c r="L277" s="163">
        <v>0</v>
      </c>
      <c r="M277" s="55">
        <f t="shared" si="136"/>
        <v>0</v>
      </c>
      <c r="N277" s="55">
        <f t="shared" si="137"/>
        <v>0</v>
      </c>
      <c r="O277" s="96"/>
      <c r="P277" s="163">
        <v>0</v>
      </c>
      <c r="Q277" s="55">
        <f t="shared" si="138"/>
        <v>0</v>
      </c>
      <c r="R277" s="65">
        <f t="shared" si="139"/>
        <v>0</v>
      </c>
      <c r="S277" s="119">
        <v>5</v>
      </c>
      <c r="T277" s="122" t="s">
        <v>201</v>
      </c>
      <c r="U277" s="73">
        <f>SUMIF('Avoided Costs 2013-2021'!$A:$A,'2013 Actuals'!T277&amp;'2013 Actuals'!S277,'Avoided Costs 2013-2021'!$E:$E)*J277</f>
        <v>165332.97045043809</v>
      </c>
      <c r="V277" s="73">
        <f>SUMIF('Avoided Costs 2013-2021'!$A:$A,'2013 Actuals'!T277&amp;'2013 Actuals'!S277,'Avoided Costs 2013-2021'!$K:$K)*N277</f>
        <v>0</v>
      </c>
      <c r="W277" s="73">
        <f>SUMIF('Avoided Costs 2013-2021'!$A:$A,'2013 Actuals'!T277&amp;'2013 Actuals'!S277,'Avoided Costs 2013-2021'!$M:$M)*R277</f>
        <v>0</v>
      </c>
      <c r="X277" s="73">
        <f t="shared" si="140"/>
        <v>165332.97045043809</v>
      </c>
      <c r="Y277" s="89">
        <v>1150</v>
      </c>
      <c r="Z277" s="74">
        <f t="shared" si="141"/>
        <v>1012</v>
      </c>
      <c r="AA277" s="75"/>
      <c r="AB277" s="75"/>
      <c r="AC277" s="75"/>
      <c r="AD277" s="74">
        <f t="shared" si="142"/>
        <v>1012</v>
      </c>
      <c r="AE277" s="74">
        <f t="shared" si="143"/>
        <v>164320.97045043809</v>
      </c>
      <c r="AF277" s="52">
        <f t="shared" si="144"/>
        <v>1061592.4176</v>
      </c>
      <c r="AG277" s="52">
        <f t="shared" si="145"/>
        <v>1206355.02</v>
      </c>
    </row>
    <row r="278" spans="1:33" s="21" customFormat="1" x14ac:dyDescent="0.2">
      <c r="A278" s="115" t="s">
        <v>286</v>
      </c>
      <c r="B278" s="115"/>
      <c r="C278" s="115"/>
      <c r="D278" s="163">
        <v>1</v>
      </c>
      <c r="E278" s="164"/>
      <c r="F278" s="165">
        <v>0.12</v>
      </c>
      <c r="G278" s="165"/>
      <c r="H278" s="51">
        <v>67249</v>
      </c>
      <c r="I278" s="52">
        <f t="shared" si="134"/>
        <v>59448.116000000002</v>
      </c>
      <c r="J278" s="52">
        <f t="shared" si="135"/>
        <v>52314.342080000002</v>
      </c>
      <c r="K278" s="62"/>
      <c r="L278" s="163">
        <v>0</v>
      </c>
      <c r="M278" s="55">
        <f t="shared" si="136"/>
        <v>0</v>
      </c>
      <c r="N278" s="55">
        <f t="shared" si="137"/>
        <v>0</v>
      </c>
      <c r="O278" s="96"/>
      <c r="P278" s="163">
        <v>0</v>
      </c>
      <c r="Q278" s="55">
        <f t="shared" si="138"/>
        <v>0</v>
      </c>
      <c r="R278" s="65">
        <f t="shared" si="139"/>
        <v>0</v>
      </c>
      <c r="S278" s="119">
        <v>5</v>
      </c>
      <c r="T278" s="122" t="s">
        <v>201</v>
      </c>
      <c r="U278" s="73">
        <f>SUMIF('Avoided Costs 2013-2021'!$A:$A,'2013 Actuals'!T278&amp;'2013 Actuals'!S278,'Avoided Costs 2013-2021'!$E:$E)*J278</f>
        <v>40737.317966158153</v>
      </c>
      <c r="V278" s="73">
        <f>SUMIF('Avoided Costs 2013-2021'!$A:$A,'2013 Actuals'!T278&amp;'2013 Actuals'!S278,'Avoided Costs 2013-2021'!$K:$K)*N278</f>
        <v>0</v>
      </c>
      <c r="W278" s="73">
        <f>SUMIF('Avoided Costs 2013-2021'!$A:$A,'2013 Actuals'!T278&amp;'2013 Actuals'!S278,'Avoided Costs 2013-2021'!$M:$M)*R278</f>
        <v>0</v>
      </c>
      <c r="X278" s="73">
        <f t="shared" si="140"/>
        <v>40737.317966158153</v>
      </c>
      <c r="Y278" s="89">
        <v>7000</v>
      </c>
      <c r="Z278" s="74">
        <f t="shared" si="141"/>
        <v>6160</v>
      </c>
      <c r="AA278" s="75"/>
      <c r="AB278" s="75"/>
      <c r="AC278" s="75"/>
      <c r="AD278" s="74">
        <f t="shared" si="142"/>
        <v>6160</v>
      </c>
      <c r="AE278" s="74">
        <f t="shared" si="143"/>
        <v>34577.317966158153</v>
      </c>
      <c r="AF278" s="52">
        <f t="shared" si="144"/>
        <v>261571.71040000001</v>
      </c>
      <c r="AG278" s="52">
        <f t="shared" si="145"/>
        <v>297240.58</v>
      </c>
    </row>
    <row r="279" spans="1:33" s="21" customFormat="1" x14ac:dyDescent="0.2">
      <c r="A279" s="115" t="s">
        <v>287</v>
      </c>
      <c r="B279" s="115"/>
      <c r="C279" s="115"/>
      <c r="D279" s="163">
        <v>1</v>
      </c>
      <c r="E279" s="164"/>
      <c r="F279" s="165">
        <v>0.12</v>
      </c>
      <c r="G279" s="165"/>
      <c r="H279" s="51">
        <v>36722</v>
      </c>
      <c r="I279" s="52">
        <f t="shared" si="134"/>
        <v>32462.248</v>
      </c>
      <c r="J279" s="52">
        <f t="shared" si="135"/>
        <v>28566.77824</v>
      </c>
      <c r="K279" s="62"/>
      <c r="L279" s="163">
        <v>0</v>
      </c>
      <c r="M279" s="55">
        <f t="shared" si="136"/>
        <v>0</v>
      </c>
      <c r="N279" s="55">
        <f t="shared" si="137"/>
        <v>0</v>
      </c>
      <c r="O279" s="96"/>
      <c r="P279" s="163">
        <v>0</v>
      </c>
      <c r="Q279" s="55">
        <f t="shared" si="138"/>
        <v>0</v>
      </c>
      <c r="R279" s="65">
        <f t="shared" si="139"/>
        <v>0</v>
      </c>
      <c r="S279" s="119">
        <v>15</v>
      </c>
      <c r="T279" s="122" t="s">
        <v>201</v>
      </c>
      <c r="U279" s="73">
        <f>SUMIF('Avoided Costs 2013-2021'!$A:$A,'2013 Actuals'!T279&amp;'2013 Actuals'!S279,'Avoided Costs 2013-2021'!$E:$E)*J279</f>
        <v>63842.822911453644</v>
      </c>
      <c r="V279" s="73">
        <f>SUMIF('Avoided Costs 2013-2021'!$A:$A,'2013 Actuals'!T279&amp;'2013 Actuals'!S279,'Avoided Costs 2013-2021'!$K:$K)*N279</f>
        <v>0</v>
      </c>
      <c r="W279" s="73">
        <f>SUMIF('Avoided Costs 2013-2021'!$A:$A,'2013 Actuals'!T279&amp;'2013 Actuals'!S279,'Avoided Costs 2013-2021'!$M:$M)*R279</f>
        <v>0</v>
      </c>
      <c r="X279" s="73">
        <f t="shared" si="140"/>
        <v>63842.822911453644</v>
      </c>
      <c r="Y279" s="89">
        <v>29051</v>
      </c>
      <c r="Z279" s="74">
        <f t="shared" si="141"/>
        <v>25564.880000000001</v>
      </c>
      <c r="AA279" s="75"/>
      <c r="AB279" s="75"/>
      <c r="AC279" s="75"/>
      <c r="AD279" s="74">
        <f t="shared" si="142"/>
        <v>25564.880000000001</v>
      </c>
      <c r="AE279" s="74">
        <f t="shared" si="143"/>
        <v>38277.942911453647</v>
      </c>
      <c r="AF279" s="52">
        <f t="shared" si="144"/>
        <v>428501.67359999998</v>
      </c>
      <c r="AG279" s="52">
        <f t="shared" si="145"/>
        <v>486933.72</v>
      </c>
    </row>
    <row r="280" spans="1:33" s="21" customFormat="1" x14ac:dyDescent="0.2">
      <c r="A280" s="115" t="s">
        <v>288</v>
      </c>
      <c r="B280" s="115"/>
      <c r="C280" s="115"/>
      <c r="D280" s="163">
        <v>1</v>
      </c>
      <c r="E280" s="164"/>
      <c r="F280" s="165">
        <v>0.12</v>
      </c>
      <c r="G280" s="165"/>
      <c r="H280" s="51">
        <v>185143</v>
      </c>
      <c r="I280" s="52">
        <f t="shared" si="134"/>
        <v>163666.41200000001</v>
      </c>
      <c r="J280" s="52">
        <f t="shared" si="135"/>
        <v>144026.44256000002</v>
      </c>
      <c r="K280" s="62"/>
      <c r="L280" s="163">
        <v>0</v>
      </c>
      <c r="M280" s="55">
        <f t="shared" si="136"/>
        <v>0</v>
      </c>
      <c r="N280" s="55">
        <f t="shared" si="137"/>
        <v>0</v>
      </c>
      <c r="O280" s="96"/>
      <c r="P280" s="163">
        <v>0</v>
      </c>
      <c r="Q280" s="55">
        <f t="shared" si="138"/>
        <v>0</v>
      </c>
      <c r="R280" s="65">
        <f t="shared" si="139"/>
        <v>0</v>
      </c>
      <c r="S280" s="119">
        <v>5</v>
      </c>
      <c r="T280" s="122" t="s">
        <v>201</v>
      </c>
      <c r="U280" s="73">
        <f>SUMIF('Avoided Costs 2013-2021'!$A:$A,'2013 Actuals'!T280&amp;'2013 Actuals'!S280,'Avoided Costs 2013-2021'!$E:$E)*J280</f>
        <v>112153.77567262591</v>
      </c>
      <c r="V280" s="73">
        <f>SUMIF('Avoided Costs 2013-2021'!$A:$A,'2013 Actuals'!T280&amp;'2013 Actuals'!S280,'Avoided Costs 2013-2021'!$K:$K)*N280</f>
        <v>0</v>
      </c>
      <c r="W280" s="73">
        <f>SUMIF('Avoided Costs 2013-2021'!$A:$A,'2013 Actuals'!T280&amp;'2013 Actuals'!S280,'Avoided Costs 2013-2021'!$M:$M)*R280</f>
        <v>0</v>
      </c>
      <c r="X280" s="73">
        <f t="shared" si="140"/>
        <v>112153.77567262591</v>
      </c>
      <c r="Y280" s="89">
        <v>29875</v>
      </c>
      <c r="Z280" s="74">
        <f t="shared" si="141"/>
        <v>26290</v>
      </c>
      <c r="AA280" s="75"/>
      <c r="AB280" s="75"/>
      <c r="AC280" s="75"/>
      <c r="AD280" s="74">
        <f t="shared" si="142"/>
        <v>26290</v>
      </c>
      <c r="AE280" s="74">
        <f t="shared" si="143"/>
        <v>85863.77567262591</v>
      </c>
      <c r="AF280" s="52">
        <f t="shared" si="144"/>
        <v>720132.2128000001</v>
      </c>
      <c r="AG280" s="52">
        <f t="shared" si="145"/>
        <v>818332.06</v>
      </c>
    </row>
    <row r="281" spans="1:33" s="21" customFormat="1" x14ac:dyDescent="0.2">
      <c r="A281" s="115" t="s">
        <v>289</v>
      </c>
      <c r="B281" s="115"/>
      <c r="C281" s="115"/>
      <c r="D281" s="163">
        <v>1</v>
      </c>
      <c r="E281" s="164"/>
      <c r="F281" s="165">
        <v>0.12</v>
      </c>
      <c r="G281" s="165"/>
      <c r="H281" s="51">
        <v>12141</v>
      </c>
      <c r="I281" s="52">
        <f t="shared" ref="I281:I284" si="146">H281</f>
        <v>12141</v>
      </c>
      <c r="J281" s="52">
        <f t="shared" si="135"/>
        <v>10684.08</v>
      </c>
      <c r="K281" s="62"/>
      <c r="L281" s="163">
        <v>0</v>
      </c>
      <c r="M281" s="55">
        <f t="shared" si="136"/>
        <v>0</v>
      </c>
      <c r="N281" s="55">
        <f t="shared" si="137"/>
        <v>0</v>
      </c>
      <c r="O281" s="96"/>
      <c r="P281" s="163">
        <v>0</v>
      </c>
      <c r="Q281" s="55">
        <f t="shared" si="138"/>
        <v>0</v>
      </c>
      <c r="R281" s="65">
        <f t="shared" si="139"/>
        <v>0</v>
      </c>
      <c r="S281" s="119">
        <v>25</v>
      </c>
      <c r="T281" s="122" t="s">
        <v>201</v>
      </c>
      <c r="U281" s="73">
        <f>SUMIF('Avoided Costs 2013-2021'!$A:$A,'2013 Actuals'!T281&amp;'2013 Actuals'!S281,'Avoided Costs 2013-2021'!$E:$E)*J281</f>
        <v>33517.483013715821</v>
      </c>
      <c r="V281" s="73">
        <f>SUMIF('Avoided Costs 2013-2021'!$A:$A,'2013 Actuals'!T281&amp;'2013 Actuals'!S281,'Avoided Costs 2013-2021'!$K:$K)*N281</f>
        <v>0</v>
      </c>
      <c r="W281" s="73">
        <f>SUMIF('Avoided Costs 2013-2021'!$A:$A,'2013 Actuals'!T281&amp;'2013 Actuals'!S281,'Avoided Costs 2013-2021'!$M:$M)*R281</f>
        <v>0</v>
      </c>
      <c r="X281" s="73">
        <f t="shared" si="140"/>
        <v>33517.483013715821</v>
      </c>
      <c r="Y281" s="89">
        <v>10300</v>
      </c>
      <c r="Z281" s="74">
        <f t="shared" si="141"/>
        <v>9064</v>
      </c>
      <c r="AA281" s="75"/>
      <c r="AB281" s="75"/>
      <c r="AC281" s="75"/>
      <c r="AD281" s="74">
        <f t="shared" si="142"/>
        <v>9064</v>
      </c>
      <c r="AE281" s="74">
        <f t="shared" si="143"/>
        <v>24453.483013715821</v>
      </c>
      <c r="AF281" s="52">
        <f t="shared" si="144"/>
        <v>267102</v>
      </c>
      <c r="AG281" s="52">
        <f t="shared" si="145"/>
        <v>303525</v>
      </c>
    </row>
    <row r="282" spans="1:33" s="21" customFormat="1" x14ac:dyDescent="0.2">
      <c r="A282" s="115" t="s">
        <v>290</v>
      </c>
      <c r="B282" s="115"/>
      <c r="C282" s="115"/>
      <c r="D282" s="163">
        <v>1</v>
      </c>
      <c r="E282" s="164"/>
      <c r="F282" s="165">
        <v>0.12</v>
      </c>
      <c r="G282" s="165"/>
      <c r="H282" s="51">
        <v>3076</v>
      </c>
      <c r="I282" s="52">
        <f t="shared" si="146"/>
        <v>3076</v>
      </c>
      <c r="J282" s="52">
        <f t="shared" si="135"/>
        <v>2706.88</v>
      </c>
      <c r="K282" s="62"/>
      <c r="L282" s="163">
        <v>0</v>
      </c>
      <c r="M282" s="55">
        <f t="shared" si="136"/>
        <v>0</v>
      </c>
      <c r="N282" s="55">
        <f t="shared" si="137"/>
        <v>0</v>
      </c>
      <c r="O282" s="96"/>
      <c r="P282" s="163">
        <v>0</v>
      </c>
      <c r="Q282" s="55">
        <f t="shared" si="138"/>
        <v>0</v>
      </c>
      <c r="R282" s="65">
        <f t="shared" si="139"/>
        <v>0</v>
      </c>
      <c r="S282" s="119">
        <v>25</v>
      </c>
      <c r="T282" s="122" t="s">
        <v>217</v>
      </c>
      <c r="U282" s="73">
        <f>SUMIF('Avoided Costs 2013-2021'!$A:$A,'2013 Actuals'!T282&amp;'2013 Actuals'!S282,'Avoided Costs 2013-2021'!$E:$E)*J282</f>
        <v>7969.2465165322337</v>
      </c>
      <c r="V282" s="73">
        <f>SUMIF('Avoided Costs 2013-2021'!$A:$A,'2013 Actuals'!T282&amp;'2013 Actuals'!S282,'Avoided Costs 2013-2021'!$K:$K)*N282</f>
        <v>0</v>
      </c>
      <c r="W282" s="73">
        <f>SUMIF('Avoided Costs 2013-2021'!$A:$A,'2013 Actuals'!T282&amp;'2013 Actuals'!S282,'Avoided Costs 2013-2021'!$M:$M)*R282</f>
        <v>0</v>
      </c>
      <c r="X282" s="73">
        <f t="shared" si="140"/>
        <v>7969.2465165322337</v>
      </c>
      <c r="Y282" s="89">
        <v>6000</v>
      </c>
      <c r="Z282" s="74">
        <f t="shared" si="141"/>
        <v>5280</v>
      </c>
      <c r="AA282" s="75"/>
      <c r="AB282" s="75"/>
      <c r="AC282" s="75"/>
      <c r="AD282" s="74">
        <f t="shared" si="142"/>
        <v>5280</v>
      </c>
      <c r="AE282" s="74">
        <f t="shared" si="143"/>
        <v>2689.2465165322337</v>
      </c>
      <c r="AF282" s="52">
        <f t="shared" si="144"/>
        <v>67672</v>
      </c>
      <c r="AG282" s="52">
        <f t="shared" si="145"/>
        <v>76900</v>
      </c>
    </row>
    <row r="283" spans="1:33" s="21" customFormat="1" x14ac:dyDescent="0.2">
      <c r="A283" s="115" t="s">
        <v>291</v>
      </c>
      <c r="B283" s="115"/>
      <c r="C283" s="115"/>
      <c r="D283" s="163">
        <v>1</v>
      </c>
      <c r="E283" s="164"/>
      <c r="F283" s="165">
        <v>0.12</v>
      </c>
      <c r="G283" s="165"/>
      <c r="H283" s="51">
        <v>24283</v>
      </c>
      <c r="I283" s="52">
        <f t="shared" si="146"/>
        <v>24283</v>
      </c>
      <c r="J283" s="52">
        <f t="shared" si="135"/>
        <v>21369.040000000001</v>
      </c>
      <c r="K283" s="62"/>
      <c r="L283" s="163">
        <v>0</v>
      </c>
      <c r="M283" s="55">
        <f t="shared" si="136"/>
        <v>0</v>
      </c>
      <c r="N283" s="55">
        <f t="shared" si="137"/>
        <v>0</v>
      </c>
      <c r="O283" s="96"/>
      <c r="P283" s="163">
        <v>0</v>
      </c>
      <c r="Q283" s="55">
        <f t="shared" si="138"/>
        <v>0</v>
      </c>
      <c r="R283" s="65">
        <f t="shared" si="139"/>
        <v>0</v>
      </c>
      <c r="S283" s="119">
        <v>25</v>
      </c>
      <c r="T283" s="122" t="s">
        <v>201</v>
      </c>
      <c r="U283" s="73">
        <f>SUMIF('Avoided Costs 2013-2021'!$A:$A,'2013 Actuals'!T283&amp;'2013 Actuals'!S283,'Avoided Costs 2013-2021'!$E:$E)*J283</f>
        <v>67037.726712961143</v>
      </c>
      <c r="V283" s="73">
        <f>SUMIF('Avoided Costs 2013-2021'!$A:$A,'2013 Actuals'!T283&amp;'2013 Actuals'!S283,'Avoided Costs 2013-2021'!$K:$K)*N283</f>
        <v>0</v>
      </c>
      <c r="W283" s="73">
        <f>SUMIF('Avoided Costs 2013-2021'!$A:$A,'2013 Actuals'!T283&amp;'2013 Actuals'!S283,'Avoided Costs 2013-2021'!$M:$M)*R283</f>
        <v>0</v>
      </c>
      <c r="X283" s="73">
        <f t="shared" si="140"/>
        <v>67037.726712961143</v>
      </c>
      <c r="Y283" s="89">
        <v>20600</v>
      </c>
      <c r="Z283" s="74">
        <f t="shared" si="141"/>
        <v>18128</v>
      </c>
      <c r="AA283" s="75"/>
      <c r="AB283" s="75"/>
      <c r="AC283" s="75"/>
      <c r="AD283" s="74">
        <f t="shared" si="142"/>
        <v>18128</v>
      </c>
      <c r="AE283" s="74">
        <f t="shared" si="143"/>
        <v>48909.726712961143</v>
      </c>
      <c r="AF283" s="52">
        <f t="shared" si="144"/>
        <v>534226</v>
      </c>
      <c r="AG283" s="52">
        <f t="shared" si="145"/>
        <v>607075</v>
      </c>
    </row>
    <row r="284" spans="1:33" s="21" customFormat="1" x14ac:dyDescent="0.2">
      <c r="A284" s="115" t="s">
        <v>292</v>
      </c>
      <c r="B284" s="115"/>
      <c r="C284" s="115"/>
      <c r="D284" s="163">
        <v>1</v>
      </c>
      <c r="E284" s="164"/>
      <c r="F284" s="165">
        <v>0.12</v>
      </c>
      <c r="G284" s="165"/>
      <c r="H284" s="51">
        <v>5431</v>
      </c>
      <c r="I284" s="52">
        <f t="shared" si="146"/>
        <v>5431</v>
      </c>
      <c r="J284" s="52">
        <f t="shared" si="135"/>
        <v>4779.28</v>
      </c>
      <c r="K284" s="62"/>
      <c r="L284" s="163">
        <v>0</v>
      </c>
      <c r="M284" s="55">
        <f t="shared" si="136"/>
        <v>0</v>
      </c>
      <c r="N284" s="55">
        <f t="shared" si="137"/>
        <v>0</v>
      </c>
      <c r="O284" s="96"/>
      <c r="P284" s="163">
        <v>0</v>
      </c>
      <c r="Q284" s="55">
        <f t="shared" si="138"/>
        <v>0</v>
      </c>
      <c r="R284" s="65">
        <f t="shared" si="139"/>
        <v>0</v>
      </c>
      <c r="S284" s="119">
        <v>25</v>
      </c>
      <c r="T284" s="122" t="s">
        <v>217</v>
      </c>
      <c r="U284" s="73">
        <f>SUMIF('Avoided Costs 2013-2021'!$A:$A,'2013 Actuals'!T284&amp;'2013 Actuals'!S284,'Avoided Costs 2013-2021'!$E:$E)*J284</f>
        <v>14070.538956855187</v>
      </c>
      <c r="V284" s="73">
        <f>SUMIF('Avoided Costs 2013-2021'!$A:$A,'2013 Actuals'!T284&amp;'2013 Actuals'!S284,'Avoided Costs 2013-2021'!$K:$K)*N284</f>
        <v>0</v>
      </c>
      <c r="W284" s="73">
        <f>SUMIF('Avoided Costs 2013-2021'!$A:$A,'2013 Actuals'!T284&amp;'2013 Actuals'!S284,'Avoided Costs 2013-2021'!$M:$M)*R284</f>
        <v>0</v>
      </c>
      <c r="X284" s="73">
        <f t="shared" si="140"/>
        <v>14070.538956855187</v>
      </c>
      <c r="Y284" s="89">
        <v>10300</v>
      </c>
      <c r="Z284" s="74">
        <f t="shared" si="141"/>
        <v>9064</v>
      </c>
      <c r="AA284" s="75"/>
      <c r="AB284" s="75"/>
      <c r="AC284" s="75"/>
      <c r="AD284" s="74">
        <f t="shared" si="142"/>
        <v>9064</v>
      </c>
      <c r="AE284" s="74">
        <f t="shared" si="143"/>
        <v>5006.5389568551873</v>
      </c>
      <c r="AF284" s="52">
        <f t="shared" si="144"/>
        <v>119482</v>
      </c>
      <c r="AG284" s="52">
        <f t="shared" si="145"/>
        <v>135775</v>
      </c>
    </row>
    <row r="285" spans="1:33" s="21" customFormat="1" x14ac:dyDescent="0.2">
      <c r="A285" s="115" t="s">
        <v>293</v>
      </c>
      <c r="B285" s="115"/>
      <c r="C285" s="115"/>
      <c r="D285" s="163">
        <v>1</v>
      </c>
      <c r="E285" s="164"/>
      <c r="F285" s="165">
        <v>0.12</v>
      </c>
      <c r="G285" s="165"/>
      <c r="H285" s="51">
        <v>23210</v>
      </c>
      <c r="I285" s="52">
        <f t="shared" si="134"/>
        <v>20517.64</v>
      </c>
      <c r="J285" s="52">
        <f t="shared" si="135"/>
        <v>18055.5232</v>
      </c>
      <c r="K285" s="62"/>
      <c r="L285" s="163">
        <v>0</v>
      </c>
      <c r="M285" s="55">
        <f t="shared" si="136"/>
        <v>0</v>
      </c>
      <c r="N285" s="55">
        <f t="shared" si="137"/>
        <v>0</v>
      </c>
      <c r="O285" s="96"/>
      <c r="P285" s="163">
        <v>0</v>
      </c>
      <c r="Q285" s="55">
        <f t="shared" si="138"/>
        <v>0</v>
      </c>
      <c r="R285" s="65">
        <f t="shared" si="139"/>
        <v>0</v>
      </c>
      <c r="S285" s="120">
        <v>20.658166779999998</v>
      </c>
      <c r="T285" s="122" t="s">
        <v>201</v>
      </c>
      <c r="U285" s="73">
        <f>SUMIF('Avoided Costs 2013-2021'!$A:$A,'2013 Actuals'!T285&amp;IF(T285="S",11,IF(T285="W",8,0)),'Avoided Costs 2013-2021'!$E:$E)*J285</f>
        <v>31314.635314342162</v>
      </c>
      <c r="V285" s="73">
        <f>SUMIF('Avoided Costs 2013-2021'!$A:$A,'2013 Actuals'!T285&amp;'2013 Actuals'!S285,'Avoided Costs 2013-2021'!$K:$K)*N285</f>
        <v>0</v>
      </c>
      <c r="W285" s="73">
        <f>SUMIF('Avoided Costs 2013-2021'!$A:$A,'2013 Actuals'!T285&amp;'2013 Actuals'!S285,'Avoided Costs 2013-2021'!$M:$M)*R285</f>
        <v>0</v>
      </c>
      <c r="X285" s="73">
        <f t="shared" si="140"/>
        <v>31314.635314342162</v>
      </c>
      <c r="Y285" s="89">
        <v>30588</v>
      </c>
      <c r="Z285" s="74">
        <f t="shared" si="141"/>
        <v>26917.439999999999</v>
      </c>
      <c r="AA285" s="75"/>
      <c r="AB285" s="75"/>
      <c r="AC285" s="75"/>
      <c r="AD285" s="74">
        <f t="shared" si="142"/>
        <v>26917.439999999999</v>
      </c>
      <c r="AE285" s="74">
        <f t="shared" si="143"/>
        <v>4397.1953143421633</v>
      </c>
      <c r="AF285" s="52">
        <f t="shared" si="144"/>
        <v>372994.00956575928</v>
      </c>
      <c r="AG285" s="52">
        <f t="shared" si="145"/>
        <v>423856.82905199914</v>
      </c>
    </row>
    <row r="286" spans="1:33" s="21" customFormat="1" x14ac:dyDescent="0.2">
      <c r="A286" s="115" t="s">
        <v>294</v>
      </c>
      <c r="B286" s="115"/>
      <c r="C286" s="115"/>
      <c r="D286" s="163">
        <v>0</v>
      </c>
      <c r="E286" s="164"/>
      <c r="F286" s="165">
        <v>0.12</v>
      </c>
      <c r="G286" s="165"/>
      <c r="H286" s="51">
        <v>40000</v>
      </c>
      <c r="I286" s="52">
        <f t="shared" si="134"/>
        <v>35360</v>
      </c>
      <c r="J286" s="52">
        <f t="shared" si="135"/>
        <v>31116.799999999999</v>
      </c>
      <c r="K286" s="62"/>
      <c r="L286" s="163">
        <v>50000</v>
      </c>
      <c r="M286" s="55">
        <f t="shared" si="136"/>
        <v>50000</v>
      </c>
      <c r="N286" s="55">
        <f t="shared" si="137"/>
        <v>44000</v>
      </c>
      <c r="O286" s="96"/>
      <c r="P286" s="163">
        <v>0</v>
      </c>
      <c r="Q286" s="55">
        <f t="shared" si="138"/>
        <v>0</v>
      </c>
      <c r="R286" s="65">
        <f t="shared" si="139"/>
        <v>0</v>
      </c>
      <c r="S286" s="119">
        <v>15</v>
      </c>
      <c r="T286" s="122" t="s">
        <v>201</v>
      </c>
      <c r="U286" s="73">
        <f>SUMIF('Avoided Costs 2013-2021'!$A:$A,'2013 Actuals'!T286&amp;'2013 Actuals'!S286,'Avoided Costs 2013-2021'!$E:$E)*J286</f>
        <v>69541.771048911978</v>
      </c>
      <c r="V286" s="73">
        <f>SUMIF('Avoided Costs 2013-2021'!$A:$A,'2013 Actuals'!T286&amp;'2013 Actuals'!S286,'Avoided Costs 2013-2021'!$K:$K)*N286</f>
        <v>46063.32143389542</v>
      </c>
      <c r="W286" s="73">
        <f>SUMIF('Avoided Costs 2013-2021'!$A:$A,'2013 Actuals'!T286&amp;'2013 Actuals'!S286,'Avoided Costs 2013-2021'!$M:$M)*R286</f>
        <v>0</v>
      </c>
      <c r="X286" s="73">
        <f t="shared" si="140"/>
        <v>115605.09248280741</v>
      </c>
      <c r="Y286" s="89">
        <v>342505</v>
      </c>
      <c r="Z286" s="74">
        <f t="shared" si="141"/>
        <v>301404.40000000002</v>
      </c>
      <c r="AA286" s="75"/>
      <c r="AB286" s="75"/>
      <c r="AC286" s="75"/>
      <c r="AD286" s="74">
        <f t="shared" si="142"/>
        <v>301404.40000000002</v>
      </c>
      <c r="AE286" s="74">
        <f t="shared" si="143"/>
        <v>-185799.30751719262</v>
      </c>
      <c r="AF286" s="52">
        <f t="shared" si="144"/>
        <v>466752</v>
      </c>
      <c r="AG286" s="52">
        <f t="shared" si="145"/>
        <v>530400</v>
      </c>
    </row>
    <row r="287" spans="1:33" s="21" customFormat="1" x14ac:dyDescent="0.2">
      <c r="A287" s="115" t="s">
        <v>295</v>
      </c>
      <c r="B287" s="115"/>
      <c r="C287" s="115"/>
      <c r="D287" s="163">
        <v>1</v>
      </c>
      <c r="E287" s="164"/>
      <c r="F287" s="165">
        <v>0.12</v>
      </c>
      <c r="G287" s="165"/>
      <c r="H287" s="51">
        <v>487704</v>
      </c>
      <c r="I287" s="52">
        <f t="shared" si="134"/>
        <v>431130.33600000001</v>
      </c>
      <c r="J287" s="52">
        <f t="shared" si="135"/>
        <v>379394.69568</v>
      </c>
      <c r="K287" s="62"/>
      <c r="L287" s="163">
        <v>0</v>
      </c>
      <c r="M287" s="55">
        <f t="shared" si="136"/>
        <v>0</v>
      </c>
      <c r="N287" s="55">
        <f t="shared" si="137"/>
        <v>0</v>
      </c>
      <c r="O287" s="96"/>
      <c r="P287" s="163">
        <v>0</v>
      </c>
      <c r="Q287" s="55">
        <f t="shared" si="138"/>
        <v>0</v>
      </c>
      <c r="R287" s="65">
        <f t="shared" si="139"/>
        <v>0</v>
      </c>
      <c r="S287" s="119">
        <v>25</v>
      </c>
      <c r="T287" s="122" t="s">
        <v>201</v>
      </c>
      <c r="U287" s="73">
        <f>SUMIF('Avoided Costs 2013-2021'!$A:$A,'2013 Actuals'!T287&amp;'2013 Actuals'!S287,'Avoided Costs 2013-2021'!$E:$E)*J287</f>
        <v>1190215.2799256728</v>
      </c>
      <c r="V287" s="73">
        <f>SUMIF('Avoided Costs 2013-2021'!$A:$A,'2013 Actuals'!T287&amp;'2013 Actuals'!S287,'Avoided Costs 2013-2021'!$K:$K)*N287</f>
        <v>0</v>
      </c>
      <c r="W287" s="73">
        <f>SUMIF('Avoided Costs 2013-2021'!$A:$A,'2013 Actuals'!T287&amp;'2013 Actuals'!S287,'Avoided Costs 2013-2021'!$M:$M)*R287</f>
        <v>0</v>
      </c>
      <c r="X287" s="73">
        <f t="shared" si="140"/>
        <v>1190215.2799256728</v>
      </c>
      <c r="Y287" s="89">
        <v>1850176</v>
      </c>
      <c r="Z287" s="74">
        <f t="shared" si="141"/>
        <v>1628154.8800000001</v>
      </c>
      <c r="AA287" s="75"/>
      <c r="AB287" s="75"/>
      <c r="AC287" s="75"/>
      <c r="AD287" s="74">
        <f t="shared" si="142"/>
        <v>1628154.8800000001</v>
      </c>
      <c r="AE287" s="74">
        <f t="shared" si="143"/>
        <v>-437939.60007432732</v>
      </c>
      <c r="AF287" s="52">
        <f t="shared" si="144"/>
        <v>9484867.3920000009</v>
      </c>
      <c r="AG287" s="52">
        <f t="shared" si="145"/>
        <v>10778258.4</v>
      </c>
    </row>
    <row r="288" spans="1:33" s="21" customFormat="1" x14ac:dyDescent="0.2">
      <c r="A288" s="115" t="s">
        <v>296</v>
      </c>
      <c r="B288" s="115"/>
      <c r="C288" s="115"/>
      <c r="D288" s="163">
        <v>1</v>
      </c>
      <c r="E288" s="164"/>
      <c r="F288" s="165">
        <v>0.12</v>
      </c>
      <c r="G288" s="165"/>
      <c r="H288" s="51">
        <v>384334</v>
      </c>
      <c r="I288" s="52">
        <f t="shared" si="134"/>
        <v>339751.25599999999</v>
      </c>
      <c r="J288" s="52">
        <f t="shared" si="135"/>
        <v>298981.10528000002</v>
      </c>
      <c r="K288" s="62"/>
      <c r="L288" s="163">
        <v>0</v>
      </c>
      <c r="M288" s="55">
        <f t="shared" si="136"/>
        <v>0</v>
      </c>
      <c r="N288" s="55">
        <f t="shared" si="137"/>
        <v>0</v>
      </c>
      <c r="O288" s="96"/>
      <c r="P288" s="163">
        <v>0</v>
      </c>
      <c r="Q288" s="55">
        <f t="shared" si="138"/>
        <v>0</v>
      </c>
      <c r="R288" s="65">
        <f t="shared" si="139"/>
        <v>0</v>
      </c>
      <c r="S288" s="119">
        <v>5</v>
      </c>
      <c r="T288" s="122" t="s">
        <v>201</v>
      </c>
      <c r="U288" s="73">
        <f>SUMIF('Avoided Costs 2013-2021'!$A:$A,'2013 Actuals'!T288&amp;'2013 Actuals'!S288,'Avoided Costs 2013-2021'!$E:$E)*J288</f>
        <v>232817.38558499646</v>
      </c>
      <c r="V288" s="73">
        <f>SUMIF('Avoided Costs 2013-2021'!$A:$A,'2013 Actuals'!T288&amp;'2013 Actuals'!S288,'Avoided Costs 2013-2021'!$K:$K)*N288</f>
        <v>0</v>
      </c>
      <c r="W288" s="73">
        <f>SUMIF('Avoided Costs 2013-2021'!$A:$A,'2013 Actuals'!T288&amp;'2013 Actuals'!S288,'Avoided Costs 2013-2021'!$M:$M)*R288</f>
        <v>0</v>
      </c>
      <c r="X288" s="73">
        <f t="shared" si="140"/>
        <v>232817.38558499646</v>
      </c>
      <c r="Y288" s="89">
        <v>29875</v>
      </c>
      <c r="Z288" s="74">
        <f t="shared" si="141"/>
        <v>26290</v>
      </c>
      <c r="AA288" s="75"/>
      <c r="AB288" s="75"/>
      <c r="AC288" s="75"/>
      <c r="AD288" s="74">
        <f t="shared" si="142"/>
        <v>26290</v>
      </c>
      <c r="AE288" s="74">
        <f t="shared" si="143"/>
        <v>206527.38558499646</v>
      </c>
      <c r="AF288" s="52">
        <f t="shared" si="144"/>
        <v>1494905.5264000001</v>
      </c>
      <c r="AG288" s="52">
        <f t="shared" si="145"/>
        <v>1698756.28</v>
      </c>
    </row>
    <row r="289" spans="1:33" s="21" customFormat="1" x14ac:dyDescent="0.2">
      <c r="A289" s="115" t="s">
        <v>297</v>
      </c>
      <c r="B289" s="115"/>
      <c r="C289" s="115"/>
      <c r="D289" s="163">
        <v>1</v>
      </c>
      <c r="E289" s="164"/>
      <c r="F289" s="165">
        <v>0.12</v>
      </c>
      <c r="G289" s="165"/>
      <c r="H289" s="51">
        <v>98250</v>
      </c>
      <c r="I289" s="52">
        <f t="shared" si="134"/>
        <v>86853</v>
      </c>
      <c r="J289" s="52">
        <f t="shared" si="135"/>
        <v>76430.64</v>
      </c>
      <c r="K289" s="62"/>
      <c r="L289" s="163">
        <v>0</v>
      </c>
      <c r="M289" s="55">
        <f t="shared" si="136"/>
        <v>0</v>
      </c>
      <c r="N289" s="55">
        <f t="shared" si="137"/>
        <v>0</v>
      </c>
      <c r="O289" s="96"/>
      <c r="P289" s="163">
        <v>0</v>
      </c>
      <c r="Q289" s="55">
        <f t="shared" si="138"/>
        <v>0</v>
      </c>
      <c r="R289" s="65">
        <f t="shared" si="139"/>
        <v>0</v>
      </c>
      <c r="S289" s="119">
        <v>15</v>
      </c>
      <c r="T289" s="122" t="s">
        <v>201</v>
      </c>
      <c r="U289" s="73">
        <f>SUMIF('Avoided Costs 2013-2021'!$A:$A,'2013 Actuals'!T289&amp;'2013 Actuals'!S289,'Avoided Costs 2013-2021'!$E:$E)*J289</f>
        <v>170811.97513889006</v>
      </c>
      <c r="V289" s="73">
        <f>SUMIF('Avoided Costs 2013-2021'!$A:$A,'2013 Actuals'!T289&amp;'2013 Actuals'!S289,'Avoided Costs 2013-2021'!$K:$K)*N289</f>
        <v>0</v>
      </c>
      <c r="W289" s="73">
        <f>SUMIF('Avoided Costs 2013-2021'!$A:$A,'2013 Actuals'!T289&amp;'2013 Actuals'!S289,'Avoided Costs 2013-2021'!$M:$M)*R289</f>
        <v>0</v>
      </c>
      <c r="X289" s="73">
        <f t="shared" si="140"/>
        <v>170811.97513889006</v>
      </c>
      <c r="Y289" s="89">
        <v>54994</v>
      </c>
      <c r="Z289" s="74">
        <f t="shared" si="141"/>
        <v>48394.720000000001</v>
      </c>
      <c r="AA289" s="75"/>
      <c r="AB289" s="75"/>
      <c r="AC289" s="75"/>
      <c r="AD289" s="74">
        <f t="shared" si="142"/>
        <v>48394.720000000001</v>
      </c>
      <c r="AE289" s="74">
        <f t="shared" si="143"/>
        <v>122417.25513889006</v>
      </c>
      <c r="AF289" s="52">
        <f t="shared" si="144"/>
        <v>1146459.6000000001</v>
      </c>
      <c r="AG289" s="52">
        <f t="shared" si="145"/>
        <v>1302795</v>
      </c>
    </row>
    <row r="290" spans="1:33" s="21" customFormat="1" x14ac:dyDescent="0.2">
      <c r="A290" s="115" t="s">
        <v>298</v>
      </c>
      <c r="B290" s="115"/>
      <c r="C290" s="115"/>
      <c r="D290" s="163">
        <v>0</v>
      </c>
      <c r="E290" s="164"/>
      <c r="F290" s="165">
        <v>0.12</v>
      </c>
      <c r="G290" s="165"/>
      <c r="H290" s="51">
        <v>6035</v>
      </c>
      <c r="I290" s="52">
        <f t="shared" si="134"/>
        <v>5334.94</v>
      </c>
      <c r="J290" s="52">
        <f t="shared" si="135"/>
        <v>4694.7471999999998</v>
      </c>
      <c r="K290" s="62"/>
      <c r="L290" s="163">
        <v>0</v>
      </c>
      <c r="M290" s="55">
        <f t="shared" si="136"/>
        <v>0</v>
      </c>
      <c r="N290" s="55">
        <f t="shared" si="137"/>
        <v>0</v>
      </c>
      <c r="O290" s="96"/>
      <c r="P290" s="163">
        <v>0</v>
      </c>
      <c r="Q290" s="55">
        <f t="shared" si="138"/>
        <v>0</v>
      </c>
      <c r="R290" s="65">
        <f t="shared" si="139"/>
        <v>0</v>
      </c>
      <c r="S290" s="119">
        <v>25</v>
      </c>
      <c r="T290" s="122" t="s">
        <v>217</v>
      </c>
      <c r="U290" s="73">
        <f>SUMIF('Avoided Costs 2013-2021'!$A:$A,'2013 Actuals'!T290&amp;'2013 Actuals'!S290,'Avoided Costs 2013-2021'!$E:$E)*J290</f>
        <v>13821.668404066473</v>
      </c>
      <c r="V290" s="73">
        <f>SUMIF('Avoided Costs 2013-2021'!$A:$A,'2013 Actuals'!T290&amp;'2013 Actuals'!S290,'Avoided Costs 2013-2021'!$K:$K)*N290</f>
        <v>0</v>
      </c>
      <c r="W290" s="73">
        <f>SUMIF('Avoided Costs 2013-2021'!$A:$A,'2013 Actuals'!T290&amp;'2013 Actuals'!S290,'Avoided Costs 2013-2021'!$M:$M)*R290</f>
        <v>0</v>
      </c>
      <c r="X290" s="73">
        <f t="shared" si="140"/>
        <v>13821.668404066473</v>
      </c>
      <c r="Y290" s="89">
        <v>3650</v>
      </c>
      <c r="Z290" s="74">
        <f t="shared" si="141"/>
        <v>3212</v>
      </c>
      <c r="AA290" s="75"/>
      <c r="AB290" s="75"/>
      <c r="AC290" s="75"/>
      <c r="AD290" s="74">
        <f t="shared" si="142"/>
        <v>3212</v>
      </c>
      <c r="AE290" s="74">
        <f t="shared" si="143"/>
        <v>10609.668404066473</v>
      </c>
      <c r="AF290" s="52">
        <f t="shared" si="144"/>
        <v>117368.68</v>
      </c>
      <c r="AG290" s="52">
        <f t="shared" si="145"/>
        <v>133373.5</v>
      </c>
    </row>
    <row r="291" spans="1:33" s="21" customFormat="1" x14ac:dyDescent="0.2">
      <c r="A291" s="115" t="s">
        <v>299</v>
      </c>
      <c r="B291" s="115"/>
      <c r="C291" s="115"/>
      <c r="D291" s="163">
        <v>0</v>
      </c>
      <c r="E291" s="164"/>
      <c r="F291" s="165">
        <v>0.12</v>
      </c>
      <c r="G291" s="165"/>
      <c r="H291" s="51">
        <v>1083</v>
      </c>
      <c r="I291" s="52">
        <f t="shared" si="134"/>
        <v>957.37199999999996</v>
      </c>
      <c r="J291" s="52">
        <f t="shared" si="135"/>
        <v>842.48735999999997</v>
      </c>
      <c r="K291" s="62"/>
      <c r="L291" s="163">
        <v>0</v>
      </c>
      <c r="M291" s="55">
        <f t="shared" si="136"/>
        <v>0</v>
      </c>
      <c r="N291" s="55">
        <f t="shared" si="137"/>
        <v>0</v>
      </c>
      <c r="O291" s="96"/>
      <c r="P291" s="163">
        <v>0</v>
      </c>
      <c r="Q291" s="55">
        <f t="shared" si="138"/>
        <v>0</v>
      </c>
      <c r="R291" s="65">
        <f t="shared" si="139"/>
        <v>0</v>
      </c>
      <c r="S291" s="119">
        <v>15</v>
      </c>
      <c r="T291" s="122" t="s">
        <v>201</v>
      </c>
      <c r="U291" s="73">
        <f>SUMIF('Avoided Costs 2013-2021'!$A:$A,'2013 Actuals'!T291&amp;'2013 Actuals'!S291,'Avoided Costs 2013-2021'!$E:$E)*J291</f>
        <v>1882.8434511492919</v>
      </c>
      <c r="V291" s="73">
        <f>SUMIF('Avoided Costs 2013-2021'!$A:$A,'2013 Actuals'!T291&amp;'2013 Actuals'!S291,'Avoided Costs 2013-2021'!$K:$K)*N291</f>
        <v>0</v>
      </c>
      <c r="W291" s="73">
        <f>SUMIF('Avoided Costs 2013-2021'!$A:$A,'2013 Actuals'!T291&amp;'2013 Actuals'!S291,'Avoided Costs 2013-2021'!$M:$M)*R291</f>
        <v>0</v>
      </c>
      <c r="X291" s="73">
        <f t="shared" si="140"/>
        <v>1882.8434511492919</v>
      </c>
      <c r="Y291" s="89">
        <v>2900</v>
      </c>
      <c r="Z291" s="74">
        <f t="shared" si="141"/>
        <v>2552</v>
      </c>
      <c r="AA291" s="75"/>
      <c r="AB291" s="75"/>
      <c r="AC291" s="75"/>
      <c r="AD291" s="74">
        <f t="shared" si="142"/>
        <v>2552</v>
      </c>
      <c r="AE291" s="74">
        <f t="shared" si="143"/>
        <v>-669.15654885070808</v>
      </c>
      <c r="AF291" s="52">
        <f t="shared" si="144"/>
        <v>12637.3104</v>
      </c>
      <c r="AG291" s="52">
        <f t="shared" si="145"/>
        <v>14360.58</v>
      </c>
    </row>
    <row r="292" spans="1:33" s="21" customFormat="1" x14ac:dyDescent="0.2">
      <c r="A292" s="115" t="s">
        <v>300</v>
      </c>
      <c r="B292" s="115"/>
      <c r="C292" s="115"/>
      <c r="D292" s="163">
        <v>1</v>
      </c>
      <c r="E292" s="164"/>
      <c r="F292" s="165">
        <v>0.12</v>
      </c>
      <c r="G292" s="165"/>
      <c r="H292" s="51">
        <v>7003</v>
      </c>
      <c r="I292" s="52">
        <f t="shared" si="134"/>
        <v>6190.652</v>
      </c>
      <c r="J292" s="52">
        <f t="shared" si="135"/>
        <v>5447.77376</v>
      </c>
      <c r="K292" s="62"/>
      <c r="L292" s="163">
        <v>0</v>
      </c>
      <c r="M292" s="55">
        <f t="shared" si="136"/>
        <v>0</v>
      </c>
      <c r="N292" s="55">
        <f t="shared" si="137"/>
        <v>0</v>
      </c>
      <c r="O292" s="96"/>
      <c r="P292" s="163">
        <v>0</v>
      </c>
      <c r="Q292" s="55">
        <f t="shared" si="138"/>
        <v>0</v>
      </c>
      <c r="R292" s="65">
        <f t="shared" si="139"/>
        <v>0</v>
      </c>
      <c r="S292" s="119">
        <v>25</v>
      </c>
      <c r="T292" s="122" t="s">
        <v>201</v>
      </c>
      <c r="U292" s="73">
        <f>SUMIF('Avoided Costs 2013-2021'!$A:$A,'2013 Actuals'!T292&amp;'2013 Actuals'!S292,'Avoided Costs 2013-2021'!$E:$E)*J292</f>
        <v>17090.443394598951</v>
      </c>
      <c r="V292" s="73">
        <f>SUMIF('Avoided Costs 2013-2021'!$A:$A,'2013 Actuals'!T292&amp;'2013 Actuals'!S292,'Avoided Costs 2013-2021'!$K:$K)*N292</f>
        <v>0</v>
      </c>
      <c r="W292" s="73">
        <f>SUMIF('Avoided Costs 2013-2021'!$A:$A,'2013 Actuals'!T292&amp;'2013 Actuals'!S292,'Avoided Costs 2013-2021'!$M:$M)*R292</f>
        <v>0</v>
      </c>
      <c r="X292" s="73">
        <f t="shared" si="140"/>
        <v>17090.443394598951</v>
      </c>
      <c r="Y292" s="89">
        <v>16221</v>
      </c>
      <c r="Z292" s="74">
        <f t="shared" si="141"/>
        <v>14274.48</v>
      </c>
      <c r="AA292" s="75"/>
      <c r="AB292" s="75"/>
      <c r="AC292" s="75"/>
      <c r="AD292" s="74">
        <f t="shared" si="142"/>
        <v>14274.48</v>
      </c>
      <c r="AE292" s="74">
        <f t="shared" si="143"/>
        <v>2815.9633945989517</v>
      </c>
      <c r="AF292" s="52">
        <f t="shared" si="144"/>
        <v>136194.34400000001</v>
      </c>
      <c r="AG292" s="52">
        <f t="shared" si="145"/>
        <v>154766.29999999999</v>
      </c>
    </row>
    <row r="293" spans="1:33" s="21" customFormat="1" x14ac:dyDescent="0.2">
      <c r="A293" s="115" t="s">
        <v>301</v>
      </c>
      <c r="B293" s="115"/>
      <c r="C293" s="115"/>
      <c r="D293" s="163">
        <v>1</v>
      </c>
      <c r="E293" s="164"/>
      <c r="F293" s="165">
        <v>0.12</v>
      </c>
      <c r="G293" s="165"/>
      <c r="H293" s="51">
        <v>93114</v>
      </c>
      <c r="I293" s="52">
        <f t="shared" si="134"/>
        <v>82312.775999999998</v>
      </c>
      <c r="J293" s="52">
        <f t="shared" si="135"/>
        <v>72435.242880000005</v>
      </c>
      <c r="K293" s="62"/>
      <c r="L293" s="163">
        <v>50252</v>
      </c>
      <c r="M293" s="55">
        <f t="shared" si="136"/>
        <v>50252</v>
      </c>
      <c r="N293" s="55">
        <f t="shared" si="137"/>
        <v>44221.760000000002</v>
      </c>
      <c r="O293" s="96"/>
      <c r="P293" s="163">
        <v>0</v>
      </c>
      <c r="Q293" s="55">
        <f t="shared" si="138"/>
        <v>0</v>
      </c>
      <c r="R293" s="65">
        <f t="shared" si="139"/>
        <v>0</v>
      </c>
      <c r="S293" s="119">
        <v>25</v>
      </c>
      <c r="T293" s="122" t="s">
        <v>201</v>
      </c>
      <c r="U293" s="73">
        <f>SUMIF('Avoided Costs 2013-2021'!$A:$A,'2013 Actuals'!T293&amp;'2013 Actuals'!S293,'Avoided Costs 2013-2021'!$E:$E)*J293</f>
        <v>227239.68959655674</v>
      </c>
      <c r="V293" s="73">
        <f>SUMIF('Avoided Costs 2013-2021'!$A:$A,'2013 Actuals'!T293&amp;'2013 Actuals'!S293,'Avoided Costs 2013-2021'!$K:$K)*N293</f>
        <v>63064.522161157824</v>
      </c>
      <c r="W293" s="73">
        <f>SUMIF('Avoided Costs 2013-2021'!$A:$A,'2013 Actuals'!T293&amp;'2013 Actuals'!S293,'Avoided Costs 2013-2021'!$M:$M)*R293</f>
        <v>0</v>
      </c>
      <c r="X293" s="73">
        <f t="shared" si="140"/>
        <v>290304.21175771457</v>
      </c>
      <c r="Y293" s="89">
        <v>414186</v>
      </c>
      <c r="Z293" s="74">
        <f t="shared" si="141"/>
        <v>364483.68</v>
      </c>
      <c r="AA293" s="75"/>
      <c r="AB293" s="75"/>
      <c r="AC293" s="75"/>
      <c r="AD293" s="74">
        <f t="shared" si="142"/>
        <v>364483.68</v>
      </c>
      <c r="AE293" s="74">
        <f t="shared" si="143"/>
        <v>-74179.468242285424</v>
      </c>
      <c r="AF293" s="52">
        <f t="shared" si="144"/>
        <v>1810881.0720000002</v>
      </c>
      <c r="AG293" s="52">
        <f t="shared" si="145"/>
        <v>2057819.4</v>
      </c>
    </row>
    <row r="294" spans="1:33" s="21" customFormat="1" x14ac:dyDescent="0.2">
      <c r="A294" s="115" t="s">
        <v>302</v>
      </c>
      <c r="B294" s="115"/>
      <c r="C294" s="115"/>
      <c r="D294" s="163">
        <v>0</v>
      </c>
      <c r="E294" s="164"/>
      <c r="F294" s="165">
        <v>0.12</v>
      </c>
      <c r="G294" s="165"/>
      <c r="H294" s="51">
        <v>23142</v>
      </c>
      <c r="I294" s="52">
        <f t="shared" si="134"/>
        <v>20457.527999999998</v>
      </c>
      <c r="J294" s="52">
        <f t="shared" si="135"/>
        <v>18002.624639999998</v>
      </c>
      <c r="K294" s="62"/>
      <c r="L294" s="163">
        <v>15422</v>
      </c>
      <c r="M294" s="55">
        <f t="shared" si="136"/>
        <v>15422</v>
      </c>
      <c r="N294" s="55">
        <f t="shared" si="137"/>
        <v>13571.36</v>
      </c>
      <c r="O294" s="96"/>
      <c r="P294" s="163">
        <v>0</v>
      </c>
      <c r="Q294" s="55">
        <f t="shared" si="138"/>
        <v>0</v>
      </c>
      <c r="R294" s="65">
        <f t="shared" si="139"/>
        <v>0</v>
      </c>
      <c r="S294" s="119">
        <v>15</v>
      </c>
      <c r="T294" s="122" t="s">
        <v>201</v>
      </c>
      <c r="U294" s="73">
        <f>SUMIF('Avoided Costs 2013-2021'!$A:$A,'2013 Actuals'!T294&amp;'2013 Actuals'!S294,'Avoided Costs 2013-2021'!$E:$E)*J294</f>
        <v>40233.391640348025</v>
      </c>
      <c r="V294" s="73">
        <f>SUMIF('Avoided Costs 2013-2021'!$A:$A,'2013 Actuals'!T294&amp;'2013 Actuals'!S294,'Avoided Costs 2013-2021'!$K:$K)*N294</f>
        <v>14207.770863070704</v>
      </c>
      <c r="W294" s="73">
        <f>SUMIF('Avoided Costs 2013-2021'!$A:$A,'2013 Actuals'!T294&amp;'2013 Actuals'!S294,'Avoided Costs 2013-2021'!$M:$M)*R294</f>
        <v>0</v>
      </c>
      <c r="X294" s="73">
        <f t="shared" si="140"/>
        <v>54441.162503418731</v>
      </c>
      <c r="Y294" s="89">
        <v>19270</v>
      </c>
      <c r="Z294" s="74">
        <f t="shared" si="141"/>
        <v>16957.599999999999</v>
      </c>
      <c r="AA294" s="75"/>
      <c r="AB294" s="75"/>
      <c r="AC294" s="75"/>
      <c r="AD294" s="74">
        <f t="shared" si="142"/>
        <v>16957.599999999999</v>
      </c>
      <c r="AE294" s="74">
        <f t="shared" si="143"/>
        <v>37483.562503418732</v>
      </c>
      <c r="AF294" s="52">
        <f t="shared" si="144"/>
        <v>270039.36959999998</v>
      </c>
      <c r="AG294" s="52">
        <f t="shared" si="145"/>
        <v>306862.92</v>
      </c>
    </row>
    <row r="295" spans="1:33" s="21" customFormat="1" x14ac:dyDescent="0.2">
      <c r="A295" s="115" t="s">
        <v>303</v>
      </c>
      <c r="B295" s="115"/>
      <c r="C295" s="115"/>
      <c r="D295" s="163">
        <v>0</v>
      </c>
      <c r="E295" s="164"/>
      <c r="F295" s="165">
        <v>0.12</v>
      </c>
      <c r="G295" s="165"/>
      <c r="H295" s="51">
        <v>8105</v>
      </c>
      <c r="I295" s="52">
        <f t="shared" si="134"/>
        <v>7164.82</v>
      </c>
      <c r="J295" s="52">
        <f t="shared" si="135"/>
        <v>6305.0415999999996</v>
      </c>
      <c r="K295" s="62"/>
      <c r="L295" s="163">
        <v>0</v>
      </c>
      <c r="M295" s="55">
        <f t="shared" si="136"/>
        <v>0</v>
      </c>
      <c r="N295" s="55">
        <f t="shared" si="137"/>
        <v>0</v>
      </c>
      <c r="O295" s="96"/>
      <c r="P295" s="163">
        <v>0</v>
      </c>
      <c r="Q295" s="55">
        <f t="shared" si="138"/>
        <v>0</v>
      </c>
      <c r="R295" s="65">
        <f t="shared" si="139"/>
        <v>0</v>
      </c>
      <c r="S295" s="119">
        <v>15</v>
      </c>
      <c r="T295" s="122" t="s">
        <v>201</v>
      </c>
      <c r="U295" s="73">
        <f>SUMIF('Avoided Costs 2013-2021'!$A:$A,'2013 Actuals'!T295&amp;'2013 Actuals'!S295,'Avoided Costs 2013-2021'!$E:$E)*J295</f>
        <v>14090.90135878579</v>
      </c>
      <c r="V295" s="73">
        <f>SUMIF('Avoided Costs 2013-2021'!$A:$A,'2013 Actuals'!T295&amp;'2013 Actuals'!S295,'Avoided Costs 2013-2021'!$K:$K)*N295</f>
        <v>0</v>
      </c>
      <c r="W295" s="73">
        <f>SUMIF('Avoided Costs 2013-2021'!$A:$A,'2013 Actuals'!T295&amp;'2013 Actuals'!S295,'Avoided Costs 2013-2021'!$M:$M)*R295</f>
        <v>0</v>
      </c>
      <c r="X295" s="73">
        <f t="shared" si="140"/>
        <v>14090.90135878579</v>
      </c>
      <c r="Y295" s="89">
        <v>19270</v>
      </c>
      <c r="Z295" s="74">
        <f t="shared" si="141"/>
        <v>16957.599999999999</v>
      </c>
      <c r="AA295" s="75"/>
      <c r="AB295" s="75"/>
      <c r="AC295" s="75"/>
      <c r="AD295" s="74">
        <f t="shared" si="142"/>
        <v>16957.599999999999</v>
      </c>
      <c r="AE295" s="74">
        <f t="shared" si="143"/>
        <v>-2866.6986412142087</v>
      </c>
      <c r="AF295" s="52">
        <f t="shared" si="144"/>
        <v>94575.623999999996</v>
      </c>
      <c r="AG295" s="52">
        <f t="shared" si="145"/>
        <v>107472.29999999999</v>
      </c>
    </row>
    <row r="296" spans="1:33" s="21" customFormat="1" x14ac:dyDescent="0.2">
      <c r="A296" s="115" t="s">
        <v>304</v>
      </c>
      <c r="B296" s="115"/>
      <c r="C296" s="115"/>
      <c r="D296" s="163">
        <v>0</v>
      </c>
      <c r="E296" s="164"/>
      <c r="F296" s="165">
        <v>0.12</v>
      </c>
      <c r="G296" s="165"/>
      <c r="H296" s="51">
        <v>4158</v>
      </c>
      <c r="I296" s="52">
        <f t="shared" si="134"/>
        <v>3675.672</v>
      </c>
      <c r="J296" s="52">
        <f t="shared" si="135"/>
        <v>3234.5913599999999</v>
      </c>
      <c r="K296" s="62"/>
      <c r="L296" s="163">
        <v>0</v>
      </c>
      <c r="M296" s="55">
        <f t="shared" si="136"/>
        <v>0</v>
      </c>
      <c r="N296" s="55">
        <f t="shared" si="137"/>
        <v>0</v>
      </c>
      <c r="O296" s="96"/>
      <c r="P296" s="163">
        <v>0</v>
      </c>
      <c r="Q296" s="55">
        <f t="shared" si="138"/>
        <v>0</v>
      </c>
      <c r="R296" s="65">
        <f t="shared" si="139"/>
        <v>0</v>
      </c>
      <c r="S296" s="119">
        <v>15</v>
      </c>
      <c r="T296" s="122" t="s">
        <v>201</v>
      </c>
      <c r="U296" s="73">
        <f>SUMIF('Avoided Costs 2013-2021'!$A:$A,'2013 Actuals'!T296&amp;'2013 Actuals'!S296,'Avoided Costs 2013-2021'!$E:$E)*J296</f>
        <v>7228.8671005344004</v>
      </c>
      <c r="V296" s="73">
        <f>SUMIF('Avoided Costs 2013-2021'!$A:$A,'2013 Actuals'!T296&amp;'2013 Actuals'!S296,'Avoided Costs 2013-2021'!$K:$K)*N296</f>
        <v>0</v>
      </c>
      <c r="W296" s="73">
        <f>SUMIF('Avoided Costs 2013-2021'!$A:$A,'2013 Actuals'!T296&amp;'2013 Actuals'!S296,'Avoided Costs 2013-2021'!$M:$M)*R296</f>
        <v>0</v>
      </c>
      <c r="X296" s="73">
        <f t="shared" si="140"/>
        <v>7228.8671005344004</v>
      </c>
      <c r="Y296" s="89">
        <v>19270</v>
      </c>
      <c r="Z296" s="74">
        <f t="shared" si="141"/>
        <v>16957.599999999999</v>
      </c>
      <c r="AA296" s="75"/>
      <c r="AB296" s="75"/>
      <c r="AC296" s="75"/>
      <c r="AD296" s="74">
        <f t="shared" si="142"/>
        <v>16957.599999999999</v>
      </c>
      <c r="AE296" s="74">
        <f t="shared" si="143"/>
        <v>-9728.7328994655982</v>
      </c>
      <c r="AF296" s="52">
        <f t="shared" si="144"/>
        <v>48518.8704</v>
      </c>
      <c r="AG296" s="52">
        <f t="shared" si="145"/>
        <v>55135.08</v>
      </c>
    </row>
    <row r="297" spans="1:33" s="21" customFormat="1" x14ac:dyDescent="0.2">
      <c r="A297" s="115" t="s">
        <v>305</v>
      </c>
      <c r="B297" s="115"/>
      <c r="C297" s="115"/>
      <c r="D297" s="163">
        <v>1</v>
      </c>
      <c r="E297" s="164"/>
      <c r="F297" s="165">
        <v>0.12</v>
      </c>
      <c r="G297" s="165"/>
      <c r="H297" s="51">
        <v>37575</v>
      </c>
      <c r="I297" s="52">
        <f t="shared" si="134"/>
        <v>33216.300000000003</v>
      </c>
      <c r="J297" s="52">
        <f t="shared" si="135"/>
        <v>29230.344000000001</v>
      </c>
      <c r="K297" s="62"/>
      <c r="L297" s="163">
        <v>28532</v>
      </c>
      <c r="M297" s="55">
        <f t="shared" si="136"/>
        <v>28532</v>
      </c>
      <c r="N297" s="55">
        <f t="shared" si="137"/>
        <v>25108.16</v>
      </c>
      <c r="O297" s="96"/>
      <c r="P297" s="163">
        <v>0</v>
      </c>
      <c r="Q297" s="55">
        <f t="shared" si="138"/>
        <v>0</v>
      </c>
      <c r="R297" s="65">
        <f t="shared" si="139"/>
        <v>0</v>
      </c>
      <c r="S297" s="119">
        <v>15</v>
      </c>
      <c r="T297" s="122" t="s">
        <v>201</v>
      </c>
      <c r="U297" s="73">
        <f>SUMIF('Avoided Costs 2013-2021'!$A:$A,'2013 Actuals'!T297&amp;'2013 Actuals'!S297,'Avoided Costs 2013-2021'!$E:$E)*J297</f>
        <v>65325.801179071699</v>
      </c>
      <c r="V297" s="73">
        <f>SUMIF('Avoided Costs 2013-2021'!$A:$A,'2013 Actuals'!T297&amp;'2013 Actuals'!S297,'Avoided Costs 2013-2021'!$K:$K)*N297</f>
        <v>26285.573743038083</v>
      </c>
      <c r="W297" s="73">
        <f>SUMIF('Avoided Costs 2013-2021'!$A:$A,'2013 Actuals'!T297&amp;'2013 Actuals'!S297,'Avoided Costs 2013-2021'!$M:$M)*R297</f>
        <v>0</v>
      </c>
      <c r="X297" s="73">
        <f t="shared" si="140"/>
        <v>91611.374922109782</v>
      </c>
      <c r="Y297" s="89">
        <v>19270</v>
      </c>
      <c r="Z297" s="74">
        <f t="shared" si="141"/>
        <v>16957.599999999999</v>
      </c>
      <c r="AA297" s="75"/>
      <c r="AB297" s="75"/>
      <c r="AC297" s="75"/>
      <c r="AD297" s="74">
        <f t="shared" si="142"/>
        <v>16957.599999999999</v>
      </c>
      <c r="AE297" s="74">
        <f t="shared" si="143"/>
        <v>74653.774922109791</v>
      </c>
      <c r="AF297" s="52">
        <f t="shared" si="144"/>
        <v>438455.16000000003</v>
      </c>
      <c r="AG297" s="52">
        <f t="shared" si="145"/>
        <v>498244.50000000006</v>
      </c>
    </row>
    <row r="298" spans="1:33" s="21" customFormat="1" x14ac:dyDescent="0.2">
      <c r="A298" s="115" t="s">
        <v>306</v>
      </c>
      <c r="B298" s="115"/>
      <c r="C298" s="115"/>
      <c r="D298" s="163">
        <v>1</v>
      </c>
      <c r="E298" s="164"/>
      <c r="F298" s="165">
        <v>0.12</v>
      </c>
      <c r="G298" s="165"/>
      <c r="H298" s="51">
        <v>104414</v>
      </c>
      <c r="I298" s="52">
        <f t="shared" si="134"/>
        <v>92301.975999999995</v>
      </c>
      <c r="J298" s="52">
        <f t="shared" si="135"/>
        <v>81225.73887999999</v>
      </c>
      <c r="K298" s="62"/>
      <c r="L298" s="163">
        <v>46033</v>
      </c>
      <c r="M298" s="55">
        <f t="shared" si="136"/>
        <v>46033</v>
      </c>
      <c r="N298" s="55">
        <f t="shared" si="137"/>
        <v>40509.040000000001</v>
      </c>
      <c r="O298" s="96"/>
      <c r="P298" s="163">
        <v>0</v>
      </c>
      <c r="Q298" s="55">
        <f t="shared" si="138"/>
        <v>0</v>
      </c>
      <c r="R298" s="65">
        <f t="shared" si="139"/>
        <v>0</v>
      </c>
      <c r="S298" s="119">
        <v>15</v>
      </c>
      <c r="T298" s="122" t="s">
        <v>201</v>
      </c>
      <c r="U298" s="73">
        <f>SUMIF('Avoided Costs 2013-2021'!$A:$A,'2013 Actuals'!T298&amp;'2013 Actuals'!S298,'Avoided Costs 2013-2021'!$E:$E)*J298</f>
        <v>181528.36205752738</v>
      </c>
      <c r="V298" s="73">
        <f>SUMIF('Avoided Costs 2013-2021'!$A:$A,'2013 Actuals'!T298&amp;'2013 Actuals'!S298,'Avoided Costs 2013-2021'!$K:$K)*N298</f>
        <v>42408.657511330159</v>
      </c>
      <c r="W298" s="73">
        <f>SUMIF('Avoided Costs 2013-2021'!$A:$A,'2013 Actuals'!T298&amp;'2013 Actuals'!S298,'Avoided Costs 2013-2021'!$M:$M)*R298</f>
        <v>0</v>
      </c>
      <c r="X298" s="73">
        <f t="shared" si="140"/>
        <v>223937.01956885753</v>
      </c>
      <c r="Y298" s="89">
        <v>143694</v>
      </c>
      <c r="Z298" s="74">
        <f t="shared" si="141"/>
        <v>126450.72</v>
      </c>
      <c r="AA298" s="75"/>
      <c r="AB298" s="75"/>
      <c r="AC298" s="75"/>
      <c r="AD298" s="74">
        <f t="shared" si="142"/>
        <v>126450.72</v>
      </c>
      <c r="AE298" s="74">
        <f t="shared" si="143"/>
        <v>97486.299568857532</v>
      </c>
      <c r="AF298" s="52">
        <f t="shared" si="144"/>
        <v>1218386.0831999998</v>
      </c>
      <c r="AG298" s="52">
        <f t="shared" si="145"/>
        <v>1384529.64</v>
      </c>
    </row>
    <row r="299" spans="1:33" s="21" customFormat="1" x14ac:dyDescent="0.2">
      <c r="A299" s="115" t="s">
        <v>307</v>
      </c>
      <c r="B299" s="115"/>
      <c r="C299" s="115"/>
      <c r="D299" s="163">
        <v>1</v>
      </c>
      <c r="E299" s="164"/>
      <c r="F299" s="165">
        <v>0.12</v>
      </c>
      <c r="G299" s="165"/>
      <c r="H299" s="51">
        <v>21129</v>
      </c>
      <c r="I299" s="52">
        <f t="shared" si="134"/>
        <v>18678.036</v>
      </c>
      <c r="J299" s="52">
        <f t="shared" si="135"/>
        <v>16436.671679999999</v>
      </c>
      <c r="K299" s="62"/>
      <c r="L299" s="163">
        <v>0</v>
      </c>
      <c r="M299" s="55">
        <f t="shared" si="136"/>
        <v>0</v>
      </c>
      <c r="N299" s="55">
        <f t="shared" si="137"/>
        <v>0</v>
      </c>
      <c r="O299" s="96"/>
      <c r="P299" s="163">
        <v>0</v>
      </c>
      <c r="Q299" s="55">
        <f t="shared" si="138"/>
        <v>0</v>
      </c>
      <c r="R299" s="65">
        <f t="shared" si="139"/>
        <v>0</v>
      </c>
      <c r="S299" s="119">
        <v>15</v>
      </c>
      <c r="T299" s="122" t="s">
        <v>201</v>
      </c>
      <c r="U299" s="73">
        <f>SUMIF('Avoided Costs 2013-2021'!$A:$A,'2013 Actuals'!T299&amp;'2013 Actuals'!S299,'Avoided Costs 2013-2021'!$E:$E)*J299</f>
        <v>36733.702012311529</v>
      </c>
      <c r="V299" s="73">
        <f>SUMIF('Avoided Costs 2013-2021'!$A:$A,'2013 Actuals'!T299&amp;'2013 Actuals'!S299,'Avoided Costs 2013-2021'!$K:$K)*N299</f>
        <v>0</v>
      </c>
      <c r="W299" s="73">
        <f>SUMIF('Avoided Costs 2013-2021'!$A:$A,'2013 Actuals'!T299&amp;'2013 Actuals'!S299,'Avoided Costs 2013-2021'!$M:$M)*R299</f>
        <v>0</v>
      </c>
      <c r="X299" s="73">
        <f t="shared" si="140"/>
        <v>36733.702012311529</v>
      </c>
      <c r="Y299" s="89">
        <v>41719.279999999999</v>
      </c>
      <c r="Z299" s="74">
        <f t="shared" si="141"/>
        <v>36712.966399999998</v>
      </c>
      <c r="AA299" s="75"/>
      <c r="AB299" s="75"/>
      <c r="AC299" s="75"/>
      <c r="AD299" s="74">
        <f t="shared" si="142"/>
        <v>36712.966399999998</v>
      </c>
      <c r="AE299" s="74">
        <f t="shared" si="143"/>
        <v>20.73561231153144</v>
      </c>
      <c r="AF299" s="52">
        <f t="shared" si="144"/>
        <v>246550.07519999999</v>
      </c>
      <c r="AG299" s="52">
        <f t="shared" si="145"/>
        <v>280170.53999999998</v>
      </c>
    </row>
    <row r="300" spans="1:33" s="21" customFormat="1" x14ac:dyDescent="0.2">
      <c r="A300" s="115" t="s">
        <v>308</v>
      </c>
      <c r="B300" s="115"/>
      <c r="C300" s="115"/>
      <c r="D300" s="163">
        <v>1</v>
      </c>
      <c r="E300" s="164"/>
      <c r="F300" s="165">
        <v>0.12</v>
      </c>
      <c r="G300" s="165"/>
      <c r="H300" s="51">
        <v>100741</v>
      </c>
      <c r="I300" s="52">
        <f t="shared" si="134"/>
        <v>89055.043999999994</v>
      </c>
      <c r="J300" s="52">
        <f t="shared" si="135"/>
        <v>78368.438719999991</v>
      </c>
      <c r="K300" s="62"/>
      <c r="L300" s="163">
        <v>306276</v>
      </c>
      <c r="M300" s="55">
        <f t="shared" si="136"/>
        <v>306276</v>
      </c>
      <c r="N300" s="55">
        <f t="shared" si="137"/>
        <v>269522.88</v>
      </c>
      <c r="O300" s="96"/>
      <c r="P300" s="163">
        <v>0</v>
      </c>
      <c r="Q300" s="55">
        <f t="shared" si="138"/>
        <v>0</v>
      </c>
      <c r="R300" s="65">
        <f t="shared" si="139"/>
        <v>0</v>
      </c>
      <c r="S300" s="119">
        <v>15</v>
      </c>
      <c r="T300" s="122" t="s">
        <v>201</v>
      </c>
      <c r="U300" s="73">
        <f>SUMIF('Avoided Costs 2013-2021'!$A:$A,'2013 Actuals'!T300&amp;'2013 Actuals'!S300,'Avoided Costs 2013-2021'!$E:$E)*J300</f>
        <v>175142.68893096104</v>
      </c>
      <c r="V300" s="73">
        <f>SUMIF('Avoided Costs 2013-2021'!$A:$A,'2013 Actuals'!T300&amp;'2013 Actuals'!S300,'Avoided Costs 2013-2021'!$K:$K)*N300</f>
        <v>282161.79670975509</v>
      </c>
      <c r="W300" s="73">
        <f>SUMIF('Avoided Costs 2013-2021'!$A:$A,'2013 Actuals'!T300&amp;'2013 Actuals'!S300,'Avoided Costs 2013-2021'!$M:$M)*R300</f>
        <v>0</v>
      </c>
      <c r="X300" s="73">
        <f t="shared" si="140"/>
        <v>457304.48564071616</v>
      </c>
      <c r="Y300" s="89">
        <v>99903</v>
      </c>
      <c r="Z300" s="74">
        <f t="shared" si="141"/>
        <v>87914.64</v>
      </c>
      <c r="AA300" s="75"/>
      <c r="AB300" s="75"/>
      <c r="AC300" s="75"/>
      <c r="AD300" s="74">
        <f t="shared" si="142"/>
        <v>87914.64</v>
      </c>
      <c r="AE300" s="74">
        <f t="shared" si="143"/>
        <v>369389.84564071614</v>
      </c>
      <c r="AF300" s="52">
        <f t="shared" si="144"/>
        <v>1175526.5807999999</v>
      </c>
      <c r="AG300" s="52">
        <f t="shared" si="145"/>
        <v>1335825.6599999999</v>
      </c>
    </row>
    <row r="301" spans="1:33" s="21" customFormat="1" x14ac:dyDescent="0.2">
      <c r="A301" s="115" t="s">
        <v>309</v>
      </c>
      <c r="B301" s="115"/>
      <c r="C301" s="115"/>
      <c r="D301" s="163">
        <v>1</v>
      </c>
      <c r="E301" s="164"/>
      <c r="F301" s="165">
        <v>0.12</v>
      </c>
      <c r="G301" s="165"/>
      <c r="H301" s="51">
        <v>55355</v>
      </c>
      <c r="I301" s="52">
        <f t="shared" si="134"/>
        <v>48933.82</v>
      </c>
      <c r="J301" s="52">
        <f t="shared" si="135"/>
        <v>43061.761599999998</v>
      </c>
      <c r="K301" s="62"/>
      <c r="L301" s="163">
        <v>0</v>
      </c>
      <c r="M301" s="55">
        <f t="shared" si="136"/>
        <v>0</v>
      </c>
      <c r="N301" s="55">
        <f t="shared" si="137"/>
        <v>0</v>
      </c>
      <c r="O301" s="96"/>
      <c r="P301" s="163">
        <v>0</v>
      </c>
      <c r="Q301" s="55">
        <f t="shared" si="138"/>
        <v>0</v>
      </c>
      <c r="R301" s="65">
        <f t="shared" si="139"/>
        <v>0</v>
      </c>
      <c r="S301" s="119">
        <v>5</v>
      </c>
      <c r="T301" s="122" t="s">
        <v>201</v>
      </c>
      <c r="U301" s="73">
        <f>SUMIF('Avoided Costs 2013-2021'!$A:$A,'2013 Actuals'!T301&amp;'2013 Actuals'!S301,'Avoided Costs 2013-2021'!$E:$E)*J301</f>
        <v>33532.308822684121</v>
      </c>
      <c r="V301" s="73">
        <f>SUMIF('Avoided Costs 2013-2021'!$A:$A,'2013 Actuals'!T301&amp;'2013 Actuals'!S301,'Avoided Costs 2013-2021'!$K:$K)*N301</f>
        <v>0</v>
      </c>
      <c r="W301" s="73">
        <f>SUMIF('Avoided Costs 2013-2021'!$A:$A,'2013 Actuals'!T301&amp;'2013 Actuals'!S301,'Avoided Costs 2013-2021'!$M:$M)*R301</f>
        <v>0</v>
      </c>
      <c r="X301" s="73">
        <f t="shared" si="140"/>
        <v>33532.308822684121</v>
      </c>
      <c r="Y301" s="89">
        <v>7487</v>
      </c>
      <c r="Z301" s="74">
        <f t="shared" si="141"/>
        <v>6588.56</v>
      </c>
      <c r="AA301" s="75"/>
      <c r="AB301" s="75"/>
      <c r="AC301" s="75"/>
      <c r="AD301" s="74">
        <f t="shared" si="142"/>
        <v>6588.56</v>
      </c>
      <c r="AE301" s="74">
        <f t="shared" si="143"/>
        <v>26943.74882268412</v>
      </c>
      <c r="AF301" s="52">
        <f t="shared" si="144"/>
        <v>215308.80799999999</v>
      </c>
      <c r="AG301" s="52">
        <f t="shared" si="145"/>
        <v>244669.1</v>
      </c>
    </row>
    <row r="302" spans="1:33" s="21" customFormat="1" x14ac:dyDescent="0.2">
      <c r="A302" s="115" t="s">
        <v>310</v>
      </c>
      <c r="B302" s="115"/>
      <c r="C302" s="115"/>
      <c r="D302" s="163">
        <v>1</v>
      </c>
      <c r="E302" s="164"/>
      <c r="F302" s="165">
        <v>0.12</v>
      </c>
      <c r="G302" s="165"/>
      <c r="H302" s="51">
        <v>38723</v>
      </c>
      <c r="I302" s="52">
        <f t="shared" ref="I302:I333" si="147">+$H$39*H302</f>
        <v>34231.131999999998</v>
      </c>
      <c r="J302" s="52">
        <f t="shared" ref="J302:J333" si="148">I302*(1-F302)</f>
        <v>30123.396159999997</v>
      </c>
      <c r="K302" s="62"/>
      <c r="L302" s="163">
        <v>0</v>
      </c>
      <c r="M302" s="55">
        <f t="shared" ref="M302:M333" si="149">+$L$39*L302</f>
        <v>0</v>
      </c>
      <c r="N302" s="55">
        <f t="shared" ref="N302:N333" si="150">M302*(1-F302)</f>
        <v>0</v>
      </c>
      <c r="O302" s="96"/>
      <c r="P302" s="163">
        <v>0</v>
      </c>
      <c r="Q302" s="55">
        <f t="shared" ref="Q302:Q333" si="151">+P302*$P$39</f>
        <v>0</v>
      </c>
      <c r="R302" s="65">
        <f t="shared" ref="R302:R333" si="152">Q302*(1-F302)</f>
        <v>0</v>
      </c>
      <c r="S302" s="119">
        <v>25</v>
      </c>
      <c r="T302" s="122" t="s">
        <v>217</v>
      </c>
      <c r="U302" s="73">
        <f>SUMIF('Avoided Costs 2013-2021'!$A:$A,'2013 Actuals'!T302&amp;'2013 Actuals'!S302,'Avoided Costs 2013-2021'!$E:$E)*J302</f>
        <v>88685.412694393701</v>
      </c>
      <c r="V302" s="73">
        <f>SUMIF('Avoided Costs 2013-2021'!$A:$A,'2013 Actuals'!T302&amp;'2013 Actuals'!S302,'Avoided Costs 2013-2021'!$K:$K)*N302</f>
        <v>0</v>
      </c>
      <c r="W302" s="73">
        <f>SUMIF('Avoided Costs 2013-2021'!$A:$A,'2013 Actuals'!T302&amp;'2013 Actuals'!S302,'Avoided Costs 2013-2021'!$M:$M)*R302</f>
        <v>0</v>
      </c>
      <c r="X302" s="73">
        <f t="shared" ref="X302:X333" si="153">SUM(U302:W302)</f>
        <v>88685.412694393701</v>
      </c>
      <c r="Y302" s="89">
        <v>16967</v>
      </c>
      <c r="Z302" s="74">
        <f t="shared" ref="Z302:Z333" si="154">Y302*(1-F302)</f>
        <v>14930.960000000001</v>
      </c>
      <c r="AA302" s="75"/>
      <c r="AB302" s="75"/>
      <c r="AC302" s="75"/>
      <c r="AD302" s="74">
        <f t="shared" ref="AD302:AD333" si="155">Z302+AB302</f>
        <v>14930.960000000001</v>
      </c>
      <c r="AE302" s="74">
        <f t="shared" ref="AE302:AE333" si="156">X302-AD302</f>
        <v>73754.452694393694</v>
      </c>
      <c r="AF302" s="52">
        <f t="shared" ref="AF302:AF333" si="157">J302*S302</f>
        <v>753084.90399999986</v>
      </c>
      <c r="AG302" s="52">
        <f t="shared" ref="AG302:AG333" si="158">(I302*S302)</f>
        <v>855778.29999999993</v>
      </c>
    </row>
    <row r="303" spans="1:33" s="21" customFormat="1" x14ac:dyDescent="0.2">
      <c r="A303" s="115" t="s">
        <v>311</v>
      </c>
      <c r="B303" s="115"/>
      <c r="C303" s="115"/>
      <c r="D303" s="163">
        <v>1</v>
      </c>
      <c r="E303" s="164"/>
      <c r="F303" s="165">
        <v>0.12</v>
      </c>
      <c r="G303" s="165"/>
      <c r="H303" s="51">
        <v>6178</v>
      </c>
      <c r="I303" s="52">
        <f t="shared" si="147"/>
        <v>5461.3519999999999</v>
      </c>
      <c r="J303" s="52">
        <f t="shared" si="148"/>
        <v>4805.9897599999995</v>
      </c>
      <c r="K303" s="62"/>
      <c r="L303" s="163">
        <v>0</v>
      </c>
      <c r="M303" s="55">
        <f t="shared" si="149"/>
        <v>0</v>
      </c>
      <c r="N303" s="55">
        <f t="shared" si="150"/>
        <v>0</v>
      </c>
      <c r="O303" s="96"/>
      <c r="P303" s="163">
        <v>0</v>
      </c>
      <c r="Q303" s="55">
        <f t="shared" si="151"/>
        <v>0</v>
      </c>
      <c r="R303" s="65">
        <f t="shared" si="152"/>
        <v>0</v>
      </c>
      <c r="S303" s="119">
        <v>15</v>
      </c>
      <c r="T303" s="122" t="s">
        <v>201</v>
      </c>
      <c r="U303" s="73">
        <f>SUMIF('Avoided Costs 2013-2021'!$A:$A,'2013 Actuals'!T303&amp;'2013 Actuals'!S303,'Avoided Costs 2013-2021'!$E:$E)*J303</f>
        <v>10740.726538504456</v>
      </c>
      <c r="V303" s="73">
        <f>SUMIF('Avoided Costs 2013-2021'!$A:$A,'2013 Actuals'!T303&amp;'2013 Actuals'!S303,'Avoided Costs 2013-2021'!$K:$K)*N303</f>
        <v>0</v>
      </c>
      <c r="W303" s="73">
        <f>SUMIF('Avoided Costs 2013-2021'!$A:$A,'2013 Actuals'!T303&amp;'2013 Actuals'!S303,'Avoided Costs 2013-2021'!$M:$M)*R303</f>
        <v>0</v>
      </c>
      <c r="X303" s="73">
        <f t="shared" si="153"/>
        <v>10740.726538504456</v>
      </c>
      <c r="Y303" s="89">
        <v>1650</v>
      </c>
      <c r="Z303" s="74">
        <f t="shared" si="154"/>
        <v>1452</v>
      </c>
      <c r="AA303" s="75"/>
      <c r="AB303" s="75"/>
      <c r="AC303" s="75"/>
      <c r="AD303" s="74">
        <f t="shared" si="155"/>
        <v>1452</v>
      </c>
      <c r="AE303" s="74">
        <f t="shared" si="156"/>
        <v>9288.7265385044557</v>
      </c>
      <c r="AF303" s="52">
        <f t="shared" si="157"/>
        <v>72089.846399999995</v>
      </c>
      <c r="AG303" s="52">
        <f t="shared" si="158"/>
        <v>81920.28</v>
      </c>
    </row>
    <row r="304" spans="1:33" s="21" customFormat="1" x14ac:dyDescent="0.2">
      <c r="A304" s="115" t="s">
        <v>312</v>
      </c>
      <c r="B304" s="115"/>
      <c r="C304" s="115"/>
      <c r="D304" s="163">
        <v>1</v>
      </c>
      <c r="E304" s="164"/>
      <c r="F304" s="165">
        <v>0.12</v>
      </c>
      <c r="G304" s="165"/>
      <c r="H304" s="51">
        <v>6178</v>
      </c>
      <c r="I304" s="52">
        <f t="shared" si="147"/>
        <v>5461.3519999999999</v>
      </c>
      <c r="J304" s="52">
        <f t="shared" si="148"/>
        <v>4805.9897599999995</v>
      </c>
      <c r="K304" s="62"/>
      <c r="L304" s="163">
        <v>0</v>
      </c>
      <c r="M304" s="55">
        <f t="shared" si="149"/>
        <v>0</v>
      </c>
      <c r="N304" s="55">
        <f t="shared" si="150"/>
        <v>0</v>
      </c>
      <c r="O304" s="96"/>
      <c r="P304" s="163">
        <v>0</v>
      </c>
      <c r="Q304" s="55">
        <f t="shared" si="151"/>
        <v>0</v>
      </c>
      <c r="R304" s="65">
        <f t="shared" si="152"/>
        <v>0</v>
      </c>
      <c r="S304" s="119">
        <v>15</v>
      </c>
      <c r="T304" s="122" t="s">
        <v>201</v>
      </c>
      <c r="U304" s="73">
        <f>SUMIF('Avoided Costs 2013-2021'!$A:$A,'2013 Actuals'!T304&amp;'2013 Actuals'!S304,'Avoided Costs 2013-2021'!$E:$E)*J304</f>
        <v>10740.726538504456</v>
      </c>
      <c r="V304" s="73">
        <f>SUMIF('Avoided Costs 2013-2021'!$A:$A,'2013 Actuals'!T304&amp;'2013 Actuals'!S304,'Avoided Costs 2013-2021'!$K:$K)*N304</f>
        <v>0</v>
      </c>
      <c r="W304" s="73">
        <f>SUMIF('Avoided Costs 2013-2021'!$A:$A,'2013 Actuals'!T304&amp;'2013 Actuals'!S304,'Avoided Costs 2013-2021'!$M:$M)*R304</f>
        <v>0</v>
      </c>
      <c r="X304" s="73">
        <f t="shared" si="153"/>
        <v>10740.726538504456</v>
      </c>
      <c r="Y304" s="89">
        <v>1650</v>
      </c>
      <c r="Z304" s="74">
        <f t="shared" si="154"/>
        <v>1452</v>
      </c>
      <c r="AA304" s="75"/>
      <c r="AB304" s="75"/>
      <c r="AC304" s="75"/>
      <c r="AD304" s="74">
        <f t="shared" si="155"/>
        <v>1452</v>
      </c>
      <c r="AE304" s="74">
        <f t="shared" si="156"/>
        <v>9288.7265385044557</v>
      </c>
      <c r="AF304" s="52">
        <f t="shared" si="157"/>
        <v>72089.846399999995</v>
      </c>
      <c r="AG304" s="52">
        <f t="shared" si="158"/>
        <v>81920.28</v>
      </c>
    </row>
    <row r="305" spans="1:33" s="21" customFormat="1" x14ac:dyDescent="0.2">
      <c r="A305" s="115" t="s">
        <v>313</v>
      </c>
      <c r="B305" s="115"/>
      <c r="C305" s="115"/>
      <c r="D305" s="163">
        <v>1</v>
      </c>
      <c r="E305" s="164"/>
      <c r="F305" s="165">
        <v>0.12</v>
      </c>
      <c r="G305" s="165"/>
      <c r="H305" s="51">
        <v>5312</v>
      </c>
      <c r="I305" s="52">
        <f t="shared" si="147"/>
        <v>4695.808</v>
      </c>
      <c r="J305" s="52">
        <f t="shared" si="148"/>
        <v>4132.3110399999996</v>
      </c>
      <c r="K305" s="62"/>
      <c r="L305" s="163">
        <v>0</v>
      </c>
      <c r="M305" s="55">
        <f t="shared" si="149"/>
        <v>0</v>
      </c>
      <c r="N305" s="55">
        <f t="shared" si="150"/>
        <v>0</v>
      </c>
      <c r="O305" s="96"/>
      <c r="P305" s="163">
        <v>0</v>
      </c>
      <c r="Q305" s="55">
        <f t="shared" si="151"/>
        <v>0</v>
      </c>
      <c r="R305" s="65">
        <f t="shared" si="152"/>
        <v>0</v>
      </c>
      <c r="S305" s="119">
        <v>15</v>
      </c>
      <c r="T305" s="122" t="s">
        <v>201</v>
      </c>
      <c r="U305" s="73">
        <f>SUMIF('Avoided Costs 2013-2021'!$A:$A,'2013 Actuals'!T305&amp;'2013 Actuals'!S305,'Avoided Costs 2013-2021'!$E:$E)*J305</f>
        <v>9235.1471952955108</v>
      </c>
      <c r="V305" s="73">
        <f>SUMIF('Avoided Costs 2013-2021'!$A:$A,'2013 Actuals'!T305&amp;'2013 Actuals'!S305,'Avoided Costs 2013-2021'!$K:$K)*N305</f>
        <v>0</v>
      </c>
      <c r="W305" s="73">
        <f>SUMIF('Avoided Costs 2013-2021'!$A:$A,'2013 Actuals'!T305&amp;'2013 Actuals'!S305,'Avoided Costs 2013-2021'!$M:$M)*R305</f>
        <v>0</v>
      </c>
      <c r="X305" s="73">
        <f t="shared" si="153"/>
        <v>9235.1471952955108</v>
      </c>
      <c r="Y305" s="89">
        <v>2700</v>
      </c>
      <c r="Z305" s="74">
        <f t="shared" si="154"/>
        <v>2376</v>
      </c>
      <c r="AA305" s="75"/>
      <c r="AB305" s="75"/>
      <c r="AC305" s="75"/>
      <c r="AD305" s="74">
        <f t="shared" si="155"/>
        <v>2376</v>
      </c>
      <c r="AE305" s="74">
        <f t="shared" si="156"/>
        <v>6859.1471952955108</v>
      </c>
      <c r="AF305" s="52">
        <f t="shared" si="157"/>
        <v>61984.665599999993</v>
      </c>
      <c r="AG305" s="52">
        <f t="shared" si="158"/>
        <v>70437.119999999995</v>
      </c>
    </row>
    <row r="306" spans="1:33" s="21" customFormat="1" x14ac:dyDescent="0.2">
      <c r="A306" s="115" t="s">
        <v>314</v>
      </c>
      <c r="B306" s="115"/>
      <c r="C306" s="115"/>
      <c r="D306" s="163">
        <v>1</v>
      </c>
      <c r="E306" s="164"/>
      <c r="F306" s="165">
        <v>0.12</v>
      </c>
      <c r="G306" s="165"/>
      <c r="H306" s="51">
        <v>450789</v>
      </c>
      <c r="I306" s="52">
        <f t="shared" si="147"/>
        <v>398497.47600000002</v>
      </c>
      <c r="J306" s="52">
        <f t="shared" si="148"/>
        <v>350677.77888</v>
      </c>
      <c r="K306" s="62"/>
      <c r="L306" s="163">
        <v>0</v>
      </c>
      <c r="M306" s="55">
        <f t="shared" si="149"/>
        <v>0</v>
      </c>
      <c r="N306" s="55">
        <f t="shared" si="150"/>
        <v>0</v>
      </c>
      <c r="O306" s="96"/>
      <c r="P306" s="163">
        <v>0</v>
      </c>
      <c r="Q306" s="55">
        <f t="shared" si="151"/>
        <v>0</v>
      </c>
      <c r="R306" s="65">
        <f t="shared" si="152"/>
        <v>0</v>
      </c>
      <c r="S306" s="119">
        <v>5</v>
      </c>
      <c r="T306" s="122" t="s">
        <v>201</v>
      </c>
      <c r="U306" s="73">
        <f>SUMIF('Avoided Costs 2013-2021'!$A:$A,'2013 Actuals'!T306&amp;'2013 Actuals'!S306,'Avoided Costs 2013-2021'!$E:$E)*J306</f>
        <v>273073.72345531482</v>
      </c>
      <c r="V306" s="73">
        <f>SUMIF('Avoided Costs 2013-2021'!$A:$A,'2013 Actuals'!T306&amp;'2013 Actuals'!S306,'Avoided Costs 2013-2021'!$K:$K)*N306</f>
        <v>0</v>
      </c>
      <c r="W306" s="73">
        <f>SUMIF('Avoided Costs 2013-2021'!$A:$A,'2013 Actuals'!T306&amp;'2013 Actuals'!S306,'Avoided Costs 2013-2021'!$M:$M)*R306</f>
        <v>0</v>
      </c>
      <c r="X306" s="73">
        <f t="shared" si="153"/>
        <v>273073.72345531482</v>
      </c>
      <c r="Y306" s="89">
        <v>31695</v>
      </c>
      <c r="Z306" s="74">
        <f t="shared" si="154"/>
        <v>27891.599999999999</v>
      </c>
      <c r="AA306" s="75"/>
      <c r="AB306" s="75"/>
      <c r="AC306" s="75"/>
      <c r="AD306" s="74">
        <f t="shared" si="155"/>
        <v>27891.599999999999</v>
      </c>
      <c r="AE306" s="74">
        <f t="shared" si="156"/>
        <v>245182.12345531481</v>
      </c>
      <c r="AF306" s="52">
        <f t="shared" si="157"/>
        <v>1753388.8944000001</v>
      </c>
      <c r="AG306" s="52">
        <f t="shared" si="158"/>
        <v>1992487.3800000001</v>
      </c>
    </row>
    <row r="307" spans="1:33" s="21" customFormat="1" x14ac:dyDescent="0.2">
      <c r="A307" s="115" t="s">
        <v>315</v>
      </c>
      <c r="B307" s="115"/>
      <c r="C307" s="115"/>
      <c r="D307" s="163">
        <v>1</v>
      </c>
      <c r="E307" s="164"/>
      <c r="F307" s="165">
        <v>0.12</v>
      </c>
      <c r="G307" s="165"/>
      <c r="H307" s="51">
        <v>13904</v>
      </c>
      <c r="I307" s="52">
        <f t="shared" si="147"/>
        <v>12291.136</v>
      </c>
      <c r="J307" s="52">
        <f t="shared" si="148"/>
        <v>10816.19968</v>
      </c>
      <c r="K307" s="62"/>
      <c r="L307" s="163">
        <v>0</v>
      </c>
      <c r="M307" s="55">
        <f t="shared" si="149"/>
        <v>0</v>
      </c>
      <c r="N307" s="55">
        <f t="shared" si="150"/>
        <v>0</v>
      </c>
      <c r="O307" s="96"/>
      <c r="P307" s="163">
        <v>0</v>
      </c>
      <c r="Q307" s="55">
        <f t="shared" si="151"/>
        <v>0</v>
      </c>
      <c r="R307" s="65">
        <f t="shared" si="152"/>
        <v>0</v>
      </c>
      <c r="S307" s="119">
        <v>15</v>
      </c>
      <c r="T307" s="122" t="s">
        <v>201</v>
      </c>
      <c r="U307" s="73">
        <f>SUMIF('Avoided Costs 2013-2021'!$A:$A,'2013 Actuals'!T307&amp;'2013 Actuals'!S307,'Avoided Costs 2013-2021'!$E:$E)*J307</f>
        <v>24172.719616601804</v>
      </c>
      <c r="V307" s="73">
        <f>SUMIF('Avoided Costs 2013-2021'!$A:$A,'2013 Actuals'!T307&amp;'2013 Actuals'!S307,'Avoided Costs 2013-2021'!$K:$K)*N307</f>
        <v>0</v>
      </c>
      <c r="W307" s="73">
        <f>SUMIF('Avoided Costs 2013-2021'!$A:$A,'2013 Actuals'!T307&amp;'2013 Actuals'!S307,'Avoided Costs 2013-2021'!$M:$M)*R307</f>
        <v>0</v>
      </c>
      <c r="X307" s="73">
        <f t="shared" si="153"/>
        <v>24172.719616601804</v>
      </c>
      <c r="Y307" s="89">
        <v>16300</v>
      </c>
      <c r="Z307" s="74">
        <f t="shared" si="154"/>
        <v>14344</v>
      </c>
      <c r="AA307" s="75"/>
      <c r="AB307" s="75"/>
      <c r="AC307" s="75"/>
      <c r="AD307" s="74">
        <f t="shared" si="155"/>
        <v>14344</v>
      </c>
      <c r="AE307" s="74">
        <f t="shared" si="156"/>
        <v>9828.7196166018039</v>
      </c>
      <c r="AF307" s="52">
        <f t="shared" si="157"/>
        <v>162242.9952</v>
      </c>
      <c r="AG307" s="52">
        <f t="shared" si="158"/>
        <v>184367.04</v>
      </c>
    </row>
    <row r="308" spans="1:33" s="21" customFormat="1" x14ac:dyDescent="0.2">
      <c r="A308" s="115" t="s">
        <v>316</v>
      </c>
      <c r="B308" s="115"/>
      <c r="C308" s="115"/>
      <c r="D308" s="163">
        <v>0</v>
      </c>
      <c r="E308" s="164"/>
      <c r="F308" s="165">
        <v>0.12</v>
      </c>
      <c r="G308" s="165"/>
      <c r="H308" s="51">
        <v>12695</v>
      </c>
      <c r="I308" s="52">
        <f t="shared" si="147"/>
        <v>11222.38</v>
      </c>
      <c r="J308" s="52">
        <f t="shared" si="148"/>
        <v>9875.6943999999985</v>
      </c>
      <c r="K308" s="62"/>
      <c r="L308" s="163">
        <v>0</v>
      </c>
      <c r="M308" s="55">
        <f t="shared" si="149"/>
        <v>0</v>
      </c>
      <c r="N308" s="55">
        <f t="shared" si="150"/>
        <v>0</v>
      </c>
      <c r="O308" s="96"/>
      <c r="P308" s="163">
        <v>0</v>
      </c>
      <c r="Q308" s="55">
        <f t="shared" si="151"/>
        <v>0</v>
      </c>
      <c r="R308" s="65">
        <f t="shared" si="152"/>
        <v>0</v>
      </c>
      <c r="S308" s="119">
        <v>18</v>
      </c>
      <c r="T308" s="122" t="s">
        <v>217</v>
      </c>
      <c r="U308" s="73">
        <f>SUMIF('Avoided Costs 2013-2021'!$A:$A,'2013 Actuals'!T308&amp;'2013 Actuals'!S308,'Avoided Costs 2013-2021'!$E:$E)*J308</f>
        <v>23655.901220834869</v>
      </c>
      <c r="V308" s="73">
        <f>SUMIF('Avoided Costs 2013-2021'!$A:$A,'2013 Actuals'!T308&amp;'2013 Actuals'!S308,'Avoided Costs 2013-2021'!$K:$K)*N308</f>
        <v>0</v>
      </c>
      <c r="W308" s="73">
        <f>SUMIF('Avoided Costs 2013-2021'!$A:$A,'2013 Actuals'!T308&amp;'2013 Actuals'!S308,'Avoided Costs 2013-2021'!$M:$M)*R308</f>
        <v>0</v>
      </c>
      <c r="X308" s="73">
        <f t="shared" si="153"/>
        <v>23655.901220834869</v>
      </c>
      <c r="Y308" s="89">
        <v>85000</v>
      </c>
      <c r="Z308" s="74">
        <f t="shared" si="154"/>
        <v>74800</v>
      </c>
      <c r="AA308" s="75"/>
      <c r="AB308" s="75"/>
      <c r="AC308" s="75"/>
      <c r="AD308" s="74">
        <f t="shared" si="155"/>
        <v>74800</v>
      </c>
      <c r="AE308" s="74">
        <f t="shared" si="156"/>
        <v>-51144.098779165128</v>
      </c>
      <c r="AF308" s="52">
        <f t="shared" si="157"/>
        <v>177762.49919999996</v>
      </c>
      <c r="AG308" s="52">
        <f t="shared" si="158"/>
        <v>202002.84</v>
      </c>
    </row>
    <row r="309" spans="1:33" s="21" customFormat="1" x14ac:dyDescent="0.2">
      <c r="A309" s="115" t="s">
        <v>317</v>
      </c>
      <c r="B309" s="115"/>
      <c r="C309" s="115"/>
      <c r="D309" s="163">
        <v>1</v>
      </c>
      <c r="E309" s="164"/>
      <c r="F309" s="165">
        <v>0.12</v>
      </c>
      <c r="G309" s="165"/>
      <c r="H309" s="51">
        <v>35994</v>
      </c>
      <c r="I309" s="52">
        <f t="shared" si="147"/>
        <v>31818.696</v>
      </c>
      <c r="J309" s="52">
        <f t="shared" si="148"/>
        <v>28000.45248</v>
      </c>
      <c r="K309" s="62"/>
      <c r="L309" s="163">
        <v>0</v>
      </c>
      <c r="M309" s="55">
        <f t="shared" si="149"/>
        <v>0</v>
      </c>
      <c r="N309" s="55">
        <f t="shared" si="150"/>
        <v>0</v>
      </c>
      <c r="O309" s="96"/>
      <c r="P309" s="163">
        <v>0</v>
      </c>
      <c r="Q309" s="55">
        <f t="shared" si="151"/>
        <v>0</v>
      </c>
      <c r="R309" s="65">
        <f t="shared" si="152"/>
        <v>0</v>
      </c>
      <c r="S309" s="119">
        <v>15</v>
      </c>
      <c r="T309" s="122" t="s">
        <v>201</v>
      </c>
      <c r="U309" s="73">
        <f>SUMIF('Avoided Costs 2013-2021'!$A:$A,'2013 Actuals'!T309&amp;'2013 Actuals'!S309,'Avoided Costs 2013-2021'!$E:$E)*J309</f>
        <v>62577.162678363449</v>
      </c>
      <c r="V309" s="73">
        <f>SUMIF('Avoided Costs 2013-2021'!$A:$A,'2013 Actuals'!T309&amp;'2013 Actuals'!S309,'Avoided Costs 2013-2021'!$K:$K)*N309</f>
        <v>0</v>
      </c>
      <c r="W309" s="73">
        <f>SUMIF('Avoided Costs 2013-2021'!$A:$A,'2013 Actuals'!T309&amp;'2013 Actuals'!S309,'Avoided Costs 2013-2021'!$M:$M)*R309</f>
        <v>0</v>
      </c>
      <c r="X309" s="73">
        <f t="shared" si="153"/>
        <v>62577.162678363449</v>
      </c>
      <c r="Y309" s="89">
        <v>25000</v>
      </c>
      <c r="Z309" s="74">
        <f t="shared" si="154"/>
        <v>22000</v>
      </c>
      <c r="AA309" s="75"/>
      <c r="AB309" s="75"/>
      <c r="AC309" s="75"/>
      <c r="AD309" s="74">
        <f t="shared" si="155"/>
        <v>22000</v>
      </c>
      <c r="AE309" s="74">
        <f t="shared" si="156"/>
        <v>40577.162678363449</v>
      </c>
      <c r="AF309" s="52">
        <f t="shared" si="157"/>
        <v>420006.78720000002</v>
      </c>
      <c r="AG309" s="52">
        <f t="shared" si="158"/>
        <v>477280.44</v>
      </c>
    </row>
    <row r="310" spans="1:33" s="21" customFormat="1" x14ac:dyDescent="0.2">
      <c r="A310" s="115" t="s">
        <v>318</v>
      </c>
      <c r="B310" s="115"/>
      <c r="C310" s="115"/>
      <c r="D310" s="163">
        <v>1</v>
      </c>
      <c r="E310" s="164"/>
      <c r="F310" s="165">
        <v>0.12</v>
      </c>
      <c r="G310" s="165"/>
      <c r="H310" s="51">
        <v>15530</v>
      </c>
      <c r="I310" s="52">
        <f t="shared" si="147"/>
        <v>13728.52</v>
      </c>
      <c r="J310" s="52">
        <f t="shared" si="148"/>
        <v>12081.097600000001</v>
      </c>
      <c r="K310" s="62"/>
      <c r="L310" s="163">
        <v>0</v>
      </c>
      <c r="M310" s="55">
        <f t="shared" si="149"/>
        <v>0</v>
      </c>
      <c r="N310" s="55">
        <f t="shared" si="150"/>
        <v>0</v>
      </c>
      <c r="O310" s="96"/>
      <c r="P310" s="163">
        <v>0</v>
      </c>
      <c r="Q310" s="55">
        <f t="shared" si="151"/>
        <v>0</v>
      </c>
      <c r="R310" s="65">
        <f t="shared" si="152"/>
        <v>0</v>
      </c>
      <c r="S310" s="119">
        <v>15</v>
      </c>
      <c r="T310" s="122" t="s">
        <v>201</v>
      </c>
      <c r="U310" s="73">
        <f>SUMIF('Avoided Costs 2013-2021'!$A:$A,'2013 Actuals'!T310&amp;'2013 Actuals'!S310,'Avoided Costs 2013-2021'!$E:$E)*J310</f>
        <v>26999.592609740081</v>
      </c>
      <c r="V310" s="73">
        <f>SUMIF('Avoided Costs 2013-2021'!$A:$A,'2013 Actuals'!T310&amp;'2013 Actuals'!S310,'Avoided Costs 2013-2021'!$K:$K)*N310</f>
        <v>0</v>
      </c>
      <c r="W310" s="73">
        <f>SUMIF('Avoided Costs 2013-2021'!$A:$A,'2013 Actuals'!T310&amp;'2013 Actuals'!S310,'Avoided Costs 2013-2021'!$M:$M)*R310</f>
        <v>0</v>
      </c>
      <c r="X310" s="73">
        <f t="shared" si="153"/>
        <v>26999.592609740081</v>
      </c>
      <c r="Y310" s="89">
        <v>16300</v>
      </c>
      <c r="Z310" s="74">
        <f t="shared" si="154"/>
        <v>14344</v>
      </c>
      <c r="AA310" s="75"/>
      <c r="AB310" s="75"/>
      <c r="AC310" s="75"/>
      <c r="AD310" s="74">
        <f t="shared" si="155"/>
        <v>14344</v>
      </c>
      <c r="AE310" s="74">
        <f t="shared" si="156"/>
        <v>12655.592609740081</v>
      </c>
      <c r="AF310" s="52">
        <f t="shared" si="157"/>
        <v>181216.46400000001</v>
      </c>
      <c r="AG310" s="52">
        <f t="shared" si="158"/>
        <v>205927.80000000002</v>
      </c>
    </row>
    <row r="311" spans="1:33" s="21" customFormat="1" x14ac:dyDescent="0.2">
      <c r="A311" s="115" t="s">
        <v>319</v>
      </c>
      <c r="B311" s="115"/>
      <c r="C311" s="115"/>
      <c r="D311" s="163">
        <v>1</v>
      </c>
      <c r="E311" s="164"/>
      <c r="F311" s="165">
        <v>0.12</v>
      </c>
      <c r="G311" s="165"/>
      <c r="H311" s="51">
        <v>12034</v>
      </c>
      <c r="I311" s="52">
        <f t="shared" si="147"/>
        <v>10638.056</v>
      </c>
      <c r="J311" s="52">
        <f t="shared" si="148"/>
        <v>9361.4892799999998</v>
      </c>
      <c r="K311" s="62"/>
      <c r="L311" s="163">
        <v>0</v>
      </c>
      <c r="M311" s="55">
        <f t="shared" si="149"/>
        <v>0</v>
      </c>
      <c r="N311" s="55">
        <f t="shared" si="150"/>
        <v>0</v>
      </c>
      <c r="O311" s="96"/>
      <c r="P311" s="163">
        <v>0</v>
      </c>
      <c r="Q311" s="55">
        <f t="shared" si="151"/>
        <v>0</v>
      </c>
      <c r="R311" s="65">
        <f t="shared" si="152"/>
        <v>0</v>
      </c>
      <c r="S311" s="119">
        <v>25</v>
      </c>
      <c r="T311" s="122" t="s">
        <v>201</v>
      </c>
      <c r="U311" s="73">
        <f>SUMIF('Avoided Costs 2013-2021'!$A:$A,'2013 Actuals'!T311&amp;'2013 Actuals'!S311,'Avoided Costs 2013-2021'!$E:$E)*J311</f>
        <v>29368.327261260001</v>
      </c>
      <c r="V311" s="73">
        <f>SUMIF('Avoided Costs 2013-2021'!$A:$A,'2013 Actuals'!T311&amp;'2013 Actuals'!S311,'Avoided Costs 2013-2021'!$K:$K)*N311</f>
        <v>0</v>
      </c>
      <c r="W311" s="73">
        <f>SUMIF('Avoided Costs 2013-2021'!$A:$A,'2013 Actuals'!T311&amp;'2013 Actuals'!S311,'Avoided Costs 2013-2021'!$M:$M)*R311</f>
        <v>0</v>
      </c>
      <c r="X311" s="73">
        <f t="shared" si="153"/>
        <v>29368.327261260001</v>
      </c>
      <c r="Y311" s="89">
        <v>10000</v>
      </c>
      <c r="Z311" s="74">
        <f t="shared" si="154"/>
        <v>8800</v>
      </c>
      <c r="AA311" s="75"/>
      <c r="AB311" s="75"/>
      <c r="AC311" s="75"/>
      <c r="AD311" s="74">
        <f t="shared" si="155"/>
        <v>8800</v>
      </c>
      <c r="AE311" s="74">
        <f t="shared" si="156"/>
        <v>20568.327261260001</v>
      </c>
      <c r="AF311" s="52">
        <f t="shared" si="157"/>
        <v>234037.23199999999</v>
      </c>
      <c r="AG311" s="52">
        <f t="shared" si="158"/>
        <v>265951.40000000002</v>
      </c>
    </row>
    <row r="312" spans="1:33" s="21" customFormat="1" x14ac:dyDescent="0.2">
      <c r="A312" s="115" t="s">
        <v>320</v>
      </c>
      <c r="B312" s="115"/>
      <c r="C312" s="115"/>
      <c r="D312" s="163">
        <v>1</v>
      </c>
      <c r="E312" s="164"/>
      <c r="F312" s="165">
        <v>0.12</v>
      </c>
      <c r="G312" s="165"/>
      <c r="H312" s="51">
        <v>7349</v>
      </c>
      <c r="I312" s="52">
        <f t="shared" si="147"/>
        <v>6496.5159999999996</v>
      </c>
      <c r="J312" s="52">
        <f t="shared" si="148"/>
        <v>5716.93408</v>
      </c>
      <c r="K312" s="62"/>
      <c r="L312" s="163">
        <v>0</v>
      </c>
      <c r="M312" s="55">
        <f t="shared" si="149"/>
        <v>0</v>
      </c>
      <c r="N312" s="55">
        <f t="shared" si="150"/>
        <v>0</v>
      </c>
      <c r="O312" s="96"/>
      <c r="P312" s="163">
        <v>0</v>
      </c>
      <c r="Q312" s="55">
        <f t="shared" si="151"/>
        <v>0</v>
      </c>
      <c r="R312" s="65">
        <f t="shared" si="152"/>
        <v>0</v>
      </c>
      <c r="S312" s="119">
        <v>25</v>
      </c>
      <c r="T312" s="122" t="s">
        <v>217</v>
      </c>
      <c r="U312" s="73">
        <f>SUMIF('Avoided Costs 2013-2021'!$A:$A,'2013 Actuals'!T312&amp;'2013 Actuals'!S312,'Avoided Costs 2013-2021'!$E:$E)*J312</f>
        <v>16831.059006045485</v>
      </c>
      <c r="V312" s="73">
        <f>SUMIF('Avoided Costs 2013-2021'!$A:$A,'2013 Actuals'!T312&amp;'2013 Actuals'!S312,'Avoided Costs 2013-2021'!$K:$K)*N312</f>
        <v>0</v>
      </c>
      <c r="W312" s="73">
        <f>SUMIF('Avoided Costs 2013-2021'!$A:$A,'2013 Actuals'!T312&amp;'2013 Actuals'!S312,'Avoided Costs 2013-2021'!$M:$M)*R312</f>
        <v>0</v>
      </c>
      <c r="X312" s="73">
        <f t="shared" si="153"/>
        <v>16831.059006045485</v>
      </c>
      <c r="Y312" s="89">
        <v>18954</v>
      </c>
      <c r="Z312" s="74">
        <f t="shared" si="154"/>
        <v>16679.52</v>
      </c>
      <c r="AA312" s="75"/>
      <c r="AB312" s="75"/>
      <c r="AC312" s="75"/>
      <c r="AD312" s="74">
        <f t="shared" si="155"/>
        <v>16679.52</v>
      </c>
      <c r="AE312" s="74">
        <f t="shared" si="156"/>
        <v>151.53900604548471</v>
      </c>
      <c r="AF312" s="52">
        <f t="shared" si="157"/>
        <v>142923.35200000001</v>
      </c>
      <c r="AG312" s="52">
        <f t="shared" si="158"/>
        <v>162412.9</v>
      </c>
    </row>
    <row r="313" spans="1:33" s="21" customFormat="1" x14ac:dyDescent="0.2">
      <c r="A313" s="115" t="s">
        <v>321</v>
      </c>
      <c r="B313" s="115"/>
      <c r="C313" s="115"/>
      <c r="D313" s="163">
        <v>0</v>
      </c>
      <c r="E313" s="164"/>
      <c r="F313" s="165">
        <v>0.12</v>
      </c>
      <c r="G313" s="165"/>
      <c r="H313" s="51">
        <v>28218</v>
      </c>
      <c r="I313" s="52">
        <f t="shared" si="147"/>
        <v>24944.712</v>
      </c>
      <c r="J313" s="52">
        <f t="shared" si="148"/>
        <v>21951.346559999998</v>
      </c>
      <c r="K313" s="62"/>
      <c r="L313" s="163">
        <v>0</v>
      </c>
      <c r="M313" s="55">
        <f t="shared" si="149"/>
        <v>0</v>
      </c>
      <c r="N313" s="55">
        <f t="shared" si="150"/>
        <v>0</v>
      </c>
      <c r="O313" s="96"/>
      <c r="P313" s="163">
        <v>0</v>
      </c>
      <c r="Q313" s="55">
        <f t="shared" si="151"/>
        <v>0</v>
      </c>
      <c r="R313" s="65">
        <f t="shared" si="152"/>
        <v>0</v>
      </c>
      <c r="S313" s="119">
        <v>15</v>
      </c>
      <c r="T313" s="122" t="s">
        <v>201</v>
      </c>
      <c r="U313" s="73">
        <f>SUMIF('Avoided Costs 2013-2021'!$A:$A,'2013 Actuals'!T313&amp;'2013 Actuals'!S313,'Avoided Costs 2013-2021'!$E:$E)*J313</f>
        <v>49058.242386454956</v>
      </c>
      <c r="V313" s="73">
        <f>SUMIF('Avoided Costs 2013-2021'!$A:$A,'2013 Actuals'!T313&amp;'2013 Actuals'!S313,'Avoided Costs 2013-2021'!$K:$K)*N313</f>
        <v>0</v>
      </c>
      <c r="W313" s="73">
        <f>SUMIF('Avoided Costs 2013-2021'!$A:$A,'2013 Actuals'!T313&amp;'2013 Actuals'!S313,'Avoided Costs 2013-2021'!$M:$M)*R313</f>
        <v>0</v>
      </c>
      <c r="X313" s="73">
        <f t="shared" si="153"/>
        <v>49058.242386454956</v>
      </c>
      <c r="Y313" s="89">
        <v>25524</v>
      </c>
      <c r="Z313" s="74">
        <f t="shared" si="154"/>
        <v>22461.119999999999</v>
      </c>
      <c r="AA313" s="75"/>
      <c r="AB313" s="75"/>
      <c r="AC313" s="75"/>
      <c r="AD313" s="74">
        <f t="shared" si="155"/>
        <v>22461.119999999999</v>
      </c>
      <c r="AE313" s="74">
        <f t="shared" si="156"/>
        <v>26597.122386454957</v>
      </c>
      <c r="AF313" s="52">
        <f t="shared" si="157"/>
        <v>329270.19839999999</v>
      </c>
      <c r="AG313" s="52">
        <f t="shared" si="158"/>
        <v>374170.68</v>
      </c>
    </row>
    <row r="314" spans="1:33" s="21" customFormat="1" x14ac:dyDescent="0.2">
      <c r="A314" s="115" t="s">
        <v>322</v>
      </c>
      <c r="B314" s="115"/>
      <c r="C314" s="115"/>
      <c r="D314" s="163">
        <v>0</v>
      </c>
      <c r="E314" s="164"/>
      <c r="F314" s="165">
        <v>0.12</v>
      </c>
      <c r="G314" s="165"/>
      <c r="H314" s="51">
        <v>16655</v>
      </c>
      <c r="I314" s="52">
        <f t="shared" si="147"/>
        <v>14723.02</v>
      </c>
      <c r="J314" s="52">
        <f t="shared" si="148"/>
        <v>12956.257600000001</v>
      </c>
      <c r="K314" s="62"/>
      <c r="L314" s="163">
        <v>0</v>
      </c>
      <c r="M314" s="55">
        <f t="shared" si="149"/>
        <v>0</v>
      </c>
      <c r="N314" s="55">
        <f t="shared" si="150"/>
        <v>0</v>
      </c>
      <c r="O314" s="96"/>
      <c r="P314" s="163">
        <v>0</v>
      </c>
      <c r="Q314" s="55">
        <f t="shared" si="151"/>
        <v>0</v>
      </c>
      <c r="R314" s="65">
        <f t="shared" si="152"/>
        <v>0</v>
      </c>
      <c r="S314" s="120">
        <v>14.627000000000001</v>
      </c>
      <c r="T314" s="122" t="s">
        <v>217</v>
      </c>
      <c r="U314" s="73">
        <f>SUMIF('Avoided Costs 2013-2021'!$A:$A,'2013 Actuals'!T314&amp;IF(T314="S",11,IF(T314="W",8,0)),'Avoided Costs 2013-2021'!$E:$E)*J314</f>
        <v>15683.531434427321</v>
      </c>
      <c r="V314" s="73">
        <f>SUMIF('Avoided Costs 2013-2021'!$A:$A,'2013 Actuals'!T314&amp;'2013 Actuals'!S314,'Avoided Costs 2013-2021'!$K:$K)*N314</f>
        <v>0</v>
      </c>
      <c r="W314" s="73">
        <f>SUMIF('Avoided Costs 2013-2021'!$A:$A,'2013 Actuals'!T314&amp;'2013 Actuals'!S314,'Avoided Costs 2013-2021'!$M:$M)*R314</f>
        <v>0</v>
      </c>
      <c r="X314" s="73">
        <f t="shared" si="153"/>
        <v>15683.531434427321</v>
      </c>
      <c r="Y314" s="89">
        <v>7950</v>
      </c>
      <c r="Z314" s="74">
        <f t="shared" si="154"/>
        <v>6996</v>
      </c>
      <c r="AA314" s="75"/>
      <c r="AB314" s="75"/>
      <c r="AC314" s="75"/>
      <c r="AD314" s="74">
        <f t="shared" si="155"/>
        <v>6996</v>
      </c>
      <c r="AE314" s="74">
        <f t="shared" si="156"/>
        <v>8687.5314344273211</v>
      </c>
      <c r="AF314" s="52">
        <f t="shared" si="157"/>
        <v>189511.17991520002</v>
      </c>
      <c r="AG314" s="52">
        <f t="shared" si="158"/>
        <v>215353.61354000002</v>
      </c>
    </row>
    <row r="315" spans="1:33" s="21" customFormat="1" x14ac:dyDescent="0.2">
      <c r="A315" s="115" t="s">
        <v>323</v>
      </c>
      <c r="B315" s="115"/>
      <c r="C315" s="115"/>
      <c r="D315" s="163">
        <v>0</v>
      </c>
      <c r="E315" s="164"/>
      <c r="F315" s="165">
        <v>0.12</v>
      </c>
      <c r="G315" s="165"/>
      <c r="H315" s="51">
        <v>2428</v>
      </c>
      <c r="I315" s="52">
        <f t="shared" si="147"/>
        <v>2146.3519999999999</v>
      </c>
      <c r="J315" s="52">
        <f t="shared" si="148"/>
        <v>1888.7897599999999</v>
      </c>
      <c r="K315" s="62"/>
      <c r="L315" s="163">
        <v>0</v>
      </c>
      <c r="M315" s="55">
        <f t="shared" si="149"/>
        <v>0</v>
      </c>
      <c r="N315" s="55">
        <f t="shared" si="150"/>
        <v>0</v>
      </c>
      <c r="O315" s="96"/>
      <c r="P315" s="163">
        <v>0</v>
      </c>
      <c r="Q315" s="55">
        <f t="shared" si="151"/>
        <v>0</v>
      </c>
      <c r="R315" s="65">
        <f t="shared" si="152"/>
        <v>0</v>
      </c>
      <c r="S315" s="120">
        <v>25</v>
      </c>
      <c r="T315" s="122" t="s">
        <v>217</v>
      </c>
      <c r="U315" s="73">
        <f>SUMIF('Avoided Costs 2013-2021'!$A:$A,'2013 Actuals'!T315&amp;'2013 Actuals'!S315,'Avoided Costs 2013-2021'!$E:$E)*J315</f>
        <v>5560.730884022104</v>
      </c>
      <c r="V315" s="73">
        <f>SUMIF('Avoided Costs 2013-2021'!$A:$A,'2013 Actuals'!T315&amp;'2013 Actuals'!S315,'Avoided Costs 2013-2021'!$K:$K)*N315</f>
        <v>0</v>
      </c>
      <c r="W315" s="73">
        <f>SUMIF('Avoided Costs 2013-2021'!$A:$A,'2013 Actuals'!T315&amp;'2013 Actuals'!S315,'Avoided Costs 2013-2021'!$M:$M)*R315</f>
        <v>0</v>
      </c>
      <c r="X315" s="73">
        <f t="shared" si="153"/>
        <v>5560.730884022104</v>
      </c>
      <c r="Y315" s="89">
        <v>6792</v>
      </c>
      <c r="Z315" s="74">
        <f t="shared" si="154"/>
        <v>5976.96</v>
      </c>
      <c r="AA315" s="75"/>
      <c r="AB315" s="75"/>
      <c r="AC315" s="75"/>
      <c r="AD315" s="74">
        <f t="shared" si="155"/>
        <v>5976.96</v>
      </c>
      <c r="AE315" s="74">
        <f t="shared" si="156"/>
        <v>-416.22911597789607</v>
      </c>
      <c r="AF315" s="52">
        <f t="shared" si="157"/>
        <v>47219.743999999999</v>
      </c>
      <c r="AG315" s="52">
        <f t="shared" si="158"/>
        <v>53658.799999999996</v>
      </c>
    </row>
    <row r="316" spans="1:33" s="21" customFormat="1" x14ac:dyDescent="0.2">
      <c r="A316" s="115" t="s">
        <v>324</v>
      </c>
      <c r="B316" s="115"/>
      <c r="C316" s="115"/>
      <c r="D316" s="163">
        <v>1</v>
      </c>
      <c r="E316" s="164"/>
      <c r="F316" s="165">
        <v>0.12</v>
      </c>
      <c r="G316" s="165"/>
      <c r="H316" s="51">
        <v>31539</v>
      </c>
      <c r="I316" s="52">
        <f t="shared" si="147"/>
        <v>27880.475999999999</v>
      </c>
      <c r="J316" s="52">
        <f t="shared" si="148"/>
        <v>24534.818879999999</v>
      </c>
      <c r="K316" s="62"/>
      <c r="L316" s="163">
        <v>0</v>
      </c>
      <c r="M316" s="55">
        <f t="shared" si="149"/>
        <v>0</v>
      </c>
      <c r="N316" s="55">
        <f t="shared" si="150"/>
        <v>0</v>
      </c>
      <c r="O316" s="96"/>
      <c r="P316" s="163">
        <v>0</v>
      </c>
      <c r="Q316" s="55">
        <f t="shared" si="151"/>
        <v>0</v>
      </c>
      <c r="R316" s="65">
        <f t="shared" si="152"/>
        <v>0</v>
      </c>
      <c r="S316" s="120">
        <v>16.855</v>
      </c>
      <c r="T316" s="122" t="s">
        <v>201</v>
      </c>
      <c r="U316" s="73">
        <f>SUMIF('Avoided Costs 2013-2021'!$A:$A,'2013 Actuals'!T316&amp;IF(T316="S",11,IF(T316="W",8,0)),'Avoided Costs 2013-2021'!$E:$E)*J316</f>
        <v>42552.015647524233</v>
      </c>
      <c r="V316" s="73">
        <f>SUMIF('Avoided Costs 2013-2021'!$A:$A,'2013 Actuals'!T316&amp;'2013 Actuals'!S316,'Avoided Costs 2013-2021'!$K:$K)*N316</f>
        <v>0</v>
      </c>
      <c r="W316" s="73">
        <f>SUMIF('Avoided Costs 2013-2021'!$A:$A,'2013 Actuals'!T316&amp;'2013 Actuals'!S316,'Avoided Costs 2013-2021'!$M:$M)*R316</f>
        <v>0</v>
      </c>
      <c r="X316" s="73">
        <f t="shared" si="153"/>
        <v>42552.015647524233</v>
      </c>
      <c r="Y316" s="89">
        <v>15900</v>
      </c>
      <c r="Z316" s="74">
        <f t="shared" si="154"/>
        <v>13992</v>
      </c>
      <c r="AA316" s="75"/>
      <c r="AB316" s="75"/>
      <c r="AC316" s="75"/>
      <c r="AD316" s="74">
        <f t="shared" si="155"/>
        <v>13992</v>
      </c>
      <c r="AE316" s="74">
        <f t="shared" si="156"/>
        <v>28560.015647524233</v>
      </c>
      <c r="AF316" s="52">
        <f t="shared" si="157"/>
        <v>413534.37222239998</v>
      </c>
      <c r="AG316" s="52">
        <f t="shared" si="158"/>
        <v>469925.42297999997</v>
      </c>
    </row>
    <row r="317" spans="1:33" s="21" customFormat="1" x14ac:dyDescent="0.2">
      <c r="A317" s="115" t="s">
        <v>325</v>
      </c>
      <c r="B317" s="115"/>
      <c r="C317" s="115"/>
      <c r="D317" s="163">
        <v>1</v>
      </c>
      <c r="E317" s="164"/>
      <c r="F317" s="165">
        <v>0.12</v>
      </c>
      <c r="G317" s="165"/>
      <c r="H317" s="51">
        <v>84669</v>
      </c>
      <c r="I317" s="52">
        <f t="shared" si="147"/>
        <v>74847.396000000008</v>
      </c>
      <c r="J317" s="52">
        <f t="shared" si="148"/>
        <v>65865.708480000001</v>
      </c>
      <c r="K317" s="62"/>
      <c r="L317" s="163">
        <v>0</v>
      </c>
      <c r="M317" s="55">
        <f t="shared" si="149"/>
        <v>0</v>
      </c>
      <c r="N317" s="55">
        <f t="shared" si="150"/>
        <v>0</v>
      </c>
      <c r="O317" s="96"/>
      <c r="P317" s="163">
        <v>0</v>
      </c>
      <c r="Q317" s="55">
        <f t="shared" si="151"/>
        <v>0</v>
      </c>
      <c r="R317" s="65">
        <f t="shared" si="152"/>
        <v>0</v>
      </c>
      <c r="S317" s="119">
        <v>25</v>
      </c>
      <c r="T317" s="122" t="s">
        <v>201</v>
      </c>
      <c r="U317" s="73">
        <f>SUMIF('Avoided Costs 2013-2021'!$A:$A,'2013 Actuals'!T317&amp;'2013 Actuals'!S317,'Avoided Costs 2013-2021'!$E:$E)*J317</f>
        <v>206630.1230583034</v>
      </c>
      <c r="V317" s="73">
        <f>SUMIF('Avoided Costs 2013-2021'!$A:$A,'2013 Actuals'!T317&amp;'2013 Actuals'!S317,'Avoided Costs 2013-2021'!$K:$K)*N317</f>
        <v>0</v>
      </c>
      <c r="W317" s="73">
        <f>SUMIF('Avoided Costs 2013-2021'!$A:$A,'2013 Actuals'!T317&amp;'2013 Actuals'!S317,'Avoided Costs 2013-2021'!$M:$M)*R317</f>
        <v>0</v>
      </c>
      <c r="X317" s="73">
        <f t="shared" si="153"/>
        <v>206630.1230583034</v>
      </c>
      <c r="Y317" s="89">
        <v>29580</v>
      </c>
      <c r="Z317" s="74">
        <f t="shared" si="154"/>
        <v>26030.400000000001</v>
      </c>
      <c r="AA317" s="75"/>
      <c r="AB317" s="75"/>
      <c r="AC317" s="75"/>
      <c r="AD317" s="74">
        <f t="shared" si="155"/>
        <v>26030.400000000001</v>
      </c>
      <c r="AE317" s="74">
        <f t="shared" si="156"/>
        <v>180599.72305830341</v>
      </c>
      <c r="AF317" s="52">
        <f t="shared" si="157"/>
        <v>1646642.7120000001</v>
      </c>
      <c r="AG317" s="52">
        <f t="shared" si="158"/>
        <v>1871184.9000000001</v>
      </c>
    </row>
    <row r="318" spans="1:33" s="21" customFormat="1" x14ac:dyDescent="0.2">
      <c r="A318" s="115" t="s">
        <v>326</v>
      </c>
      <c r="B318" s="115"/>
      <c r="C318" s="115"/>
      <c r="D318" s="163">
        <v>1</v>
      </c>
      <c r="E318" s="164"/>
      <c r="F318" s="165">
        <v>0.12</v>
      </c>
      <c r="G318" s="165"/>
      <c r="H318" s="51">
        <v>15291</v>
      </c>
      <c r="I318" s="52">
        <f t="shared" si="147"/>
        <v>13517.244000000001</v>
      </c>
      <c r="J318" s="52">
        <f t="shared" si="148"/>
        <v>11895.174720000001</v>
      </c>
      <c r="K318" s="62"/>
      <c r="L318" s="163">
        <v>0</v>
      </c>
      <c r="M318" s="55">
        <f t="shared" si="149"/>
        <v>0</v>
      </c>
      <c r="N318" s="55">
        <f t="shared" si="150"/>
        <v>0</v>
      </c>
      <c r="O318" s="96"/>
      <c r="P318" s="163">
        <v>0</v>
      </c>
      <c r="Q318" s="55">
        <f t="shared" si="151"/>
        <v>0</v>
      </c>
      <c r="R318" s="65">
        <f t="shared" si="152"/>
        <v>0</v>
      </c>
      <c r="S318" s="119">
        <v>25</v>
      </c>
      <c r="T318" s="122" t="s">
        <v>201</v>
      </c>
      <c r="U318" s="73">
        <f>SUMIF('Avoided Costs 2013-2021'!$A:$A,'2013 Actuals'!T318&amp;'2013 Actuals'!S318,'Avoided Costs 2013-2021'!$E:$E)*J318</f>
        <v>37316.859909583407</v>
      </c>
      <c r="V318" s="73">
        <f>SUMIF('Avoided Costs 2013-2021'!$A:$A,'2013 Actuals'!T318&amp;'2013 Actuals'!S318,'Avoided Costs 2013-2021'!$K:$K)*N318</f>
        <v>0</v>
      </c>
      <c r="W318" s="73">
        <f>SUMIF('Avoided Costs 2013-2021'!$A:$A,'2013 Actuals'!T318&amp;'2013 Actuals'!S318,'Avoided Costs 2013-2021'!$M:$M)*R318</f>
        <v>0</v>
      </c>
      <c r="X318" s="73">
        <f t="shared" si="153"/>
        <v>37316.859909583407</v>
      </c>
      <c r="Y318" s="89">
        <v>33500</v>
      </c>
      <c r="Z318" s="74">
        <f t="shared" si="154"/>
        <v>29480</v>
      </c>
      <c r="AA318" s="75"/>
      <c r="AB318" s="75"/>
      <c r="AC318" s="75"/>
      <c r="AD318" s="74">
        <f t="shared" si="155"/>
        <v>29480</v>
      </c>
      <c r="AE318" s="74">
        <f t="shared" si="156"/>
        <v>7836.859909583407</v>
      </c>
      <c r="AF318" s="52">
        <f t="shared" si="157"/>
        <v>297379.36800000002</v>
      </c>
      <c r="AG318" s="52">
        <f t="shared" si="158"/>
        <v>337931.10000000003</v>
      </c>
    </row>
    <row r="319" spans="1:33" s="21" customFormat="1" x14ac:dyDescent="0.2">
      <c r="A319" s="115" t="s">
        <v>327</v>
      </c>
      <c r="B319" s="115"/>
      <c r="C319" s="115"/>
      <c r="D319" s="163">
        <v>1</v>
      </c>
      <c r="E319" s="164"/>
      <c r="F319" s="165">
        <v>0.12</v>
      </c>
      <c r="G319" s="165"/>
      <c r="H319" s="51">
        <v>23839</v>
      </c>
      <c r="I319" s="52">
        <f t="shared" si="147"/>
        <v>21073.675999999999</v>
      </c>
      <c r="J319" s="52">
        <f t="shared" si="148"/>
        <v>18544.834879999999</v>
      </c>
      <c r="K319" s="62"/>
      <c r="L319" s="163">
        <v>0</v>
      </c>
      <c r="M319" s="55">
        <f t="shared" si="149"/>
        <v>0</v>
      </c>
      <c r="N319" s="55">
        <f t="shared" si="150"/>
        <v>0</v>
      </c>
      <c r="O319" s="96"/>
      <c r="P319" s="163">
        <v>0</v>
      </c>
      <c r="Q319" s="55">
        <f t="shared" si="151"/>
        <v>0</v>
      </c>
      <c r="R319" s="65">
        <f t="shared" si="152"/>
        <v>0</v>
      </c>
      <c r="S319" s="119">
        <v>5</v>
      </c>
      <c r="T319" s="122" t="s">
        <v>201</v>
      </c>
      <c r="U319" s="73">
        <f>SUMIF('Avoided Costs 2013-2021'!$A:$A,'2013 Actuals'!T319&amp;'2013 Actuals'!S319,'Avoided Costs 2013-2021'!$E:$E)*J319</f>
        <v>14440.912474464216</v>
      </c>
      <c r="V319" s="73">
        <f>SUMIF('Avoided Costs 2013-2021'!$A:$A,'2013 Actuals'!T319&amp;'2013 Actuals'!S319,'Avoided Costs 2013-2021'!$K:$K)*N319</f>
        <v>0</v>
      </c>
      <c r="W319" s="73">
        <f>SUMIF('Avoided Costs 2013-2021'!$A:$A,'2013 Actuals'!T319&amp;'2013 Actuals'!S319,'Avoided Costs 2013-2021'!$M:$M)*R319</f>
        <v>0</v>
      </c>
      <c r="X319" s="73">
        <f t="shared" si="153"/>
        <v>14440.912474464216</v>
      </c>
      <c r="Y319" s="89">
        <v>3142.96</v>
      </c>
      <c r="Z319" s="74">
        <f t="shared" si="154"/>
        <v>2765.8047999999999</v>
      </c>
      <c r="AA319" s="75"/>
      <c r="AB319" s="75"/>
      <c r="AC319" s="75"/>
      <c r="AD319" s="74">
        <f t="shared" si="155"/>
        <v>2765.8047999999999</v>
      </c>
      <c r="AE319" s="74">
        <f t="shared" si="156"/>
        <v>11675.107674464216</v>
      </c>
      <c r="AF319" s="52">
        <f t="shared" si="157"/>
        <v>92724.174399999989</v>
      </c>
      <c r="AG319" s="52">
        <f t="shared" si="158"/>
        <v>105368.38</v>
      </c>
    </row>
    <row r="320" spans="1:33" s="21" customFormat="1" x14ac:dyDescent="0.2">
      <c r="A320" s="115" t="s">
        <v>328</v>
      </c>
      <c r="B320" s="115"/>
      <c r="C320" s="115"/>
      <c r="D320" s="163">
        <v>1</v>
      </c>
      <c r="E320" s="164"/>
      <c r="F320" s="165">
        <v>0.12</v>
      </c>
      <c r="G320" s="165"/>
      <c r="H320" s="51">
        <v>46906</v>
      </c>
      <c r="I320" s="52">
        <f t="shared" si="147"/>
        <v>41464.904000000002</v>
      </c>
      <c r="J320" s="52">
        <f t="shared" si="148"/>
        <v>36489.115519999999</v>
      </c>
      <c r="K320" s="62"/>
      <c r="L320" s="163">
        <v>0</v>
      </c>
      <c r="M320" s="55">
        <f t="shared" si="149"/>
        <v>0</v>
      </c>
      <c r="N320" s="55">
        <f t="shared" si="150"/>
        <v>0</v>
      </c>
      <c r="O320" s="96"/>
      <c r="P320" s="163">
        <v>0</v>
      </c>
      <c r="Q320" s="55">
        <f t="shared" si="151"/>
        <v>0</v>
      </c>
      <c r="R320" s="65">
        <f t="shared" si="152"/>
        <v>0</v>
      </c>
      <c r="S320" s="119">
        <v>5</v>
      </c>
      <c r="T320" s="122" t="s">
        <v>201</v>
      </c>
      <c r="U320" s="73">
        <f>SUMIF('Avoided Costs 2013-2021'!$A:$A,'2013 Actuals'!T320&amp;'2013 Actuals'!S320,'Avoided Costs 2013-2021'!$E:$E)*J320</f>
        <v>28414.171757507385</v>
      </c>
      <c r="V320" s="73">
        <f>SUMIF('Avoided Costs 2013-2021'!$A:$A,'2013 Actuals'!T320&amp;'2013 Actuals'!S320,'Avoided Costs 2013-2021'!$K:$K)*N320</f>
        <v>0</v>
      </c>
      <c r="W320" s="73">
        <f>SUMIF('Avoided Costs 2013-2021'!$A:$A,'2013 Actuals'!T320&amp;'2013 Actuals'!S320,'Avoided Costs 2013-2021'!$M:$M)*R320</f>
        <v>0</v>
      </c>
      <c r="X320" s="73">
        <f t="shared" si="153"/>
        <v>28414.171757507385</v>
      </c>
      <c r="Y320" s="89">
        <v>5000</v>
      </c>
      <c r="Z320" s="74">
        <f t="shared" si="154"/>
        <v>4400</v>
      </c>
      <c r="AA320" s="75"/>
      <c r="AB320" s="75"/>
      <c r="AC320" s="75"/>
      <c r="AD320" s="74">
        <f t="shared" si="155"/>
        <v>4400</v>
      </c>
      <c r="AE320" s="74">
        <f t="shared" si="156"/>
        <v>24014.171757507385</v>
      </c>
      <c r="AF320" s="52">
        <f t="shared" si="157"/>
        <v>182445.57759999999</v>
      </c>
      <c r="AG320" s="52">
        <f t="shared" si="158"/>
        <v>207324.52000000002</v>
      </c>
    </row>
    <row r="321" spans="1:33" s="21" customFormat="1" x14ac:dyDescent="0.2">
      <c r="A321" s="115" t="s">
        <v>329</v>
      </c>
      <c r="B321" s="115"/>
      <c r="C321" s="115"/>
      <c r="D321" s="163">
        <v>0</v>
      </c>
      <c r="E321" s="164"/>
      <c r="F321" s="165">
        <v>0.12</v>
      </c>
      <c r="G321" s="165"/>
      <c r="H321" s="51">
        <v>64022</v>
      </c>
      <c r="I321" s="52">
        <f t="shared" si="147"/>
        <v>56595.448000000004</v>
      </c>
      <c r="J321" s="52">
        <f t="shared" si="148"/>
        <v>49803.994240000007</v>
      </c>
      <c r="K321" s="62"/>
      <c r="L321" s="163">
        <v>0</v>
      </c>
      <c r="M321" s="55">
        <f t="shared" si="149"/>
        <v>0</v>
      </c>
      <c r="N321" s="55">
        <f t="shared" si="150"/>
        <v>0</v>
      </c>
      <c r="O321" s="96"/>
      <c r="P321" s="163">
        <v>0</v>
      </c>
      <c r="Q321" s="55">
        <f t="shared" si="151"/>
        <v>0</v>
      </c>
      <c r="R321" s="65">
        <f t="shared" si="152"/>
        <v>0</v>
      </c>
      <c r="S321" s="119">
        <v>25</v>
      </c>
      <c r="T321" s="122" t="s">
        <v>201</v>
      </c>
      <c r="U321" s="73">
        <f>SUMIF('Avoided Costs 2013-2021'!$A:$A,'2013 Actuals'!T321&amp;'2013 Actuals'!S321,'Avoided Costs 2013-2021'!$E:$E)*J321</f>
        <v>156242.23432943228</v>
      </c>
      <c r="V321" s="73">
        <f>SUMIF('Avoided Costs 2013-2021'!$A:$A,'2013 Actuals'!T321&amp;'2013 Actuals'!S321,'Avoided Costs 2013-2021'!$K:$K)*N321</f>
        <v>0</v>
      </c>
      <c r="W321" s="73">
        <f>SUMIF('Avoided Costs 2013-2021'!$A:$A,'2013 Actuals'!T321&amp;'2013 Actuals'!S321,'Avoided Costs 2013-2021'!$M:$M)*R321</f>
        <v>0</v>
      </c>
      <c r="X321" s="73">
        <f t="shared" si="153"/>
        <v>156242.23432943228</v>
      </c>
      <c r="Y321" s="89">
        <v>44827</v>
      </c>
      <c r="Z321" s="74">
        <f t="shared" si="154"/>
        <v>39447.760000000002</v>
      </c>
      <c r="AA321" s="75"/>
      <c r="AB321" s="75"/>
      <c r="AC321" s="75"/>
      <c r="AD321" s="74">
        <f t="shared" si="155"/>
        <v>39447.760000000002</v>
      </c>
      <c r="AE321" s="74">
        <f t="shared" si="156"/>
        <v>116794.47432943227</v>
      </c>
      <c r="AF321" s="52">
        <f t="shared" si="157"/>
        <v>1245099.8560000001</v>
      </c>
      <c r="AG321" s="52">
        <f t="shared" si="158"/>
        <v>1414886.2000000002</v>
      </c>
    </row>
    <row r="322" spans="1:33" s="21" customFormat="1" x14ac:dyDescent="0.2">
      <c r="A322" s="115" t="s">
        <v>330</v>
      </c>
      <c r="B322" s="115"/>
      <c r="C322" s="115"/>
      <c r="D322" s="163">
        <v>0</v>
      </c>
      <c r="E322" s="164"/>
      <c r="F322" s="165">
        <v>0.12</v>
      </c>
      <c r="G322" s="165"/>
      <c r="H322" s="51">
        <v>20426</v>
      </c>
      <c r="I322" s="52">
        <f t="shared" si="147"/>
        <v>18056.583999999999</v>
      </c>
      <c r="J322" s="52">
        <f t="shared" si="148"/>
        <v>15889.793919999998</v>
      </c>
      <c r="K322" s="62"/>
      <c r="L322" s="163">
        <v>0</v>
      </c>
      <c r="M322" s="55">
        <f t="shared" si="149"/>
        <v>0</v>
      </c>
      <c r="N322" s="55">
        <f t="shared" si="150"/>
        <v>0</v>
      </c>
      <c r="O322" s="96"/>
      <c r="P322" s="163">
        <v>0</v>
      </c>
      <c r="Q322" s="55">
        <f t="shared" si="151"/>
        <v>0</v>
      </c>
      <c r="R322" s="65">
        <f t="shared" si="152"/>
        <v>0</v>
      </c>
      <c r="S322" s="119">
        <v>25</v>
      </c>
      <c r="T322" s="122" t="s">
        <v>217</v>
      </c>
      <c r="U322" s="73">
        <f>SUMIF('Avoided Costs 2013-2021'!$A:$A,'2013 Actuals'!T322&amp;'2013 Actuals'!S322,'Avoided Costs 2013-2021'!$E:$E)*J322</f>
        <v>46780.679175055797</v>
      </c>
      <c r="V322" s="73">
        <f>SUMIF('Avoided Costs 2013-2021'!$A:$A,'2013 Actuals'!T322&amp;'2013 Actuals'!S322,'Avoided Costs 2013-2021'!$K:$K)*N322</f>
        <v>0</v>
      </c>
      <c r="W322" s="73">
        <f>SUMIF('Avoided Costs 2013-2021'!$A:$A,'2013 Actuals'!T322&amp;'2013 Actuals'!S322,'Avoided Costs 2013-2021'!$M:$M)*R322</f>
        <v>0</v>
      </c>
      <c r="X322" s="73">
        <f t="shared" si="153"/>
        <v>46780.679175055797</v>
      </c>
      <c r="Y322" s="89">
        <v>19502</v>
      </c>
      <c r="Z322" s="74">
        <f t="shared" si="154"/>
        <v>17161.759999999998</v>
      </c>
      <c r="AA322" s="75"/>
      <c r="AB322" s="75"/>
      <c r="AC322" s="75"/>
      <c r="AD322" s="74">
        <f t="shared" si="155"/>
        <v>17161.759999999998</v>
      </c>
      <c r="AE322" s="74">
        <f t="shared" si="156"/>
        <v>29618.919175055798</v>
      </c>
      <c r="AF322" s="52">
        <f t="shared" si="157"/>
        <v>397244.84799999994</v>
      </c>
      <c r="AG322" s="52">
        <f t="shared" si="158"/>
        <v>451414.6</v>
      </c>
    </row>
    <row r="323" spans="1:33" s="21" customFormat="1" x14ac:dyDescent="0.2">
      <c r="A323" s="115" t="s">
        <v>331</v>
      </c>
      <c r="B323" s="115"/>
      <c r="C323" s="115"/>
      <c r="D323" s="163">
        <v>1</v>
      </c>
      <c r="E323" s="164"/>
      <c r="F323" s="165">
        <v>0.12</v>
      </c>
      <c r="G323" s="165"/>
      <c r="H323" s="51">
        <v>114531</v>
      </c>
      <c r="I323" s="52">
        <f t="shared" si="147"/>
        <v>101245.40399999999</v>
      </c>
      <c r="J323" s="52">
        <f t="shared" si="148"/>
        <v>89095.955520000003</v>
      </c>
      <c r="K323" s="62"/>
      <c r="L323" s="163">
        <v>165818</v>
      </c>
      <c r="M323" s="55">
        <f t="shared" si="149"/>
        <v>165818</v>
      </c>
      <c r="N323" s="55">
        <f t="shared" si="150"/>
        <v>145919.84</v>
      </c>
      <c r="O323" s="96"/>
      <c r="P323" s="163">
        <v>0</v>
      </c>
      <c r="Q323" s="55">
        <f t="shared" si="151"/>
        <v>0</v>
      </c>
      <c r="R323" s="65">
        <f t="shared" si="152"/>
        <v>0</v>
      </c>
      <c r="S323" s="119">
        <v>15</v>
      </c>
      <c r="T323" s="122" t="s">
        <v>201</v>
      </c>
      <c r="U323" s="73">
        <f>SUMIF('Avoided Costs 2013-2021'!$A:$A,'2013 Actuals'!T323&amp;'2013 Actuals'!S323,'Avoided Costs 2013-2021'!$E:$E)*J323</f>
        <v>199117.21450007346</v>
      </c>
      <c r="V323" s="73">
        <f>SUMIF('Avoided Costs 2013-2021'!$A:$A,'2013 Actuals'!T323&amp;'2013 Actuals'!S323,'Avoided Costs 2013-2021'!$K:$K)*N323</f>
        <v>152762.55667051341</v>
      </c>
      <c r="W323" s="73">
        <f>SUMIF('Avoided Costs 2013-2021'!$A:$A,'2013 Actuals'!T323&amp;'2013 Actuals'!S323,'Avoided Costs 2013-2021'!$M:$M)*R323</f>
        <v>0</v>
      </c>
      <c r="X323" s="73">
        <f t="shared" si="153"/>
        <v>351879.77117058687</v>
      </c>
      <c r="Y323" s="89">
        <v>64400</v>
      </c>
      <c r="Z323" s="74">
        <f t="shared" si="154"/>
        <v>56672</v>
      </c>
      <c r="AA323" s="75"/>
      <c r="AB323" s="75"/>
      <c r="AC323" s="75"/>
      <c r="AD323" s="74">
        <f t="shared" si="155"/>
        <v>56672</v>
      </c>
      <c r="AE323" s="74">
        <f t="shared" si="156"/>
        <v>295207.77117058687</v>
      </c>
      <c r="AF323" s="52">
        <f t="shared" si="157"/>
        <v>1336439.3328</v>
      </c>
      <c r="AG323" s="52">
        <f t="shared" si="158"/>
        <v>1518681.0599999998</v>
      </c>
    </row>
    <row r="324" spans="1:33" s="21" customFormat="1" x14ac:dyDescent="0.2">
      <c r="A324" s="115" t="s">
        <v>332</v>
      </c>
      <c r="B324" s="115"/>
      <c r="C324" s="115"/>
      <c r="D324" s="163">
        <v>1</v>
      </c>
      <c r="E324" s="164"/>
      <c r="F324" s="165">
        <v>0.12</v>
      </c>
      <c r="G324" s="165"/>
      <c r="H324" s="51">
        <v>42251</v>
      </c>
      <c r="I324" s="52">
        <f t="shared" si="147"/>
        <v>37349.883999999998</v>
      </c>
      <c r="J324" s="52">
        <f t="shared" si="148"/>
        <v>32867.897919999996</v>
      </c>
      <c r="K324" s="62"/>
      <c r="L324" s="163">
        <v>0</v>
      </c>
      <c r="M324" s="55">
        <f t="shared" si="149"/>
        <v>0</v>
      </c>
      <c r="N324" s="55">
        <f t="shared" si="150"/>
        <v>0</v>
      </c>
      <c r="O324" s="96"/>
      <c r="P324" s="163">
        <v>0</v>
      </c>
      <c r="Q324" s="55">
        <f t="shared" si="151"/>
        <v>0</v>
      </c>
      <c r="R324" s="65">
        <f t="shared" si="152"/>
        <v>0</v>
      </c>
      <c r="S324" s="119">
        <v>5</v>
      </c>
      <c r="T324" s="122" t="s">
        <v>201</v>
      </c>
      <c r="U324" s="73">
        <f>SUMIF('Avoided Costs 2013-2021'!$A:$A,'2013 Actuals'!T324&amp;'2013 Actuals'!S324,'Avoided Costs 2013-2021'!$E:$E)*J324</f>
        <v>25594.319936179687</v>
      </c>
      <c r="V324" s="73">
        <f>SUMIF('Avoided Costs 2013-2021'!$A:$A,'2013 Actuals'!T324&amp;'2013 Actuals'!S324,'Avoided Costs 2013-2021'!$K:$K)*N324</f>
        <v>0</v>
      </c>
      <c r="W324" s="73">
        <f>SUMIF('Avoided Costs 2013-2021'!$A:$A,'2013 Actuals'!T324&amp;'2013 Actuals'!S324,'Avoided Costs 2013-2021'!$M:$M)*R324</f>
        <v>0</v>
      </c>
      <c r="X324" s="73">
        <f t="shared" si="153"/>
        <v>25594.319936179687</v>
      </c>
      <c r="Y324" s="89">
        <v>7691.23</v>
      </c>
      <c r="Z324" s="74">
        <f t="shared" si="154"/>
        <v>6768.2824000000001</v>
      </c>
      <c r="AA324" s="75"/>
      <c r="AB324" s="75"/>
      <c r="AC324" s="75"/>
      <c r="AD324" s="74">
        <f t="shared" si="155"/>
        <v>6768.2824000000001</v>
      </c>
      <c r="AE324" s="74">
        <f t="shared" si="156"/>
        <v>18826.037536179687</v>
      </c>
      <c r="AF324" s="52">
        <f t="shared" si="157"/>
        <v>164339.48959999997</v>
      </c>
      <c r="AG324" s="52">
        <f t="shared" si="158"/>
        <v>186749.41999999998</v>
      </c>
    </row>
    <row r="325" spans="1:33" s="21" customFormat="1" x14ac:dyDescent="0.2">
      <c r="A325" s="115" t="s">
        <v>333</v>
      </c>
      <c r="B325" s="115"/>
      <c r="C325" s="115"/>
      <c r="D325" s="163">
        <v>1</v>
      </c>
      <c r="E325" s="164"/>
      <c r="F325" s="165">
        <v>0.12</v>
      </c>
      <c r="G325" s="165"/>
      <c r="H325" s="51">
        <v>131820</v>
      </c>
      <c r="I325" s="52">
        <f t="shared" si="147"/>
        <v>116528.88</v>
      </c>
      <c r="J325" s="52">
        <f t="shared" si="148"/>
        <v>102545.41440000001</v>
      </c>
      <c r="K325" s="62"/>
      <c r="L325" s="163">
        <v>434168</v>
      </c>
      <c r="M325" s="55">
        <f t="shared" si="149"/>
        <v>434168</v>
      </c>
      <c r="N325" s="55">
        <f t="shared" si="150"/>
        <v>382067.84</v>
      </c>
      <c r="O325" s="96"/>
      <c r="P325" s="163">
        <v>0</v>
      </c>
      <c r="Q325" s="55">
        <f t="shared" si="151"/>
        <v>0</v>
      </c>
      <c r="R325" s="65">
        <f t="shared" si="152"/>
        <v>0</v>
      </c>
      <c r="S325" s="119">
        <v>15</v>
      </c>
      <c r="T325" s="122" t="s">
        <v>201</v>
      </c>
      <c r="U325" s="73">
        <f>SUMIF('Avoided Costs 2013-2021'!$A:$A,'2013 Actuals'!T325&amp;'2013 Actuals'!S325,'Avoided Costs 2013-2021'!$E:$E)*J325</f>
        <v>229174.90649168947</v>
      </c>
      <c r="V325" s="73">
        <f>SUMIF('Avoided Costs 2013-2021'!$A:$A,'2013 Actuals'!T325&amp;'2013 Actuals'!S325,'Avoided Costs 2013-2021'!$K:$K)*N325</f>
        <v>399984.40280623018</v>
      </c>
      <c r="W325" s="73">
        <f>SUMIF('Avoided Costs 2013-2021'!$A:$A,'2013 Actuals'!T325&amp;'2013 Actuals'!S325,'Avoided Costs 2013-2021'!$M:$M)*R325</f>
        <v>0</v>
      </c>
      <c r="X325" s="73">
        <f t="shared" si="153"/>
        <v>629159.30929791962</v>
      </c>
      <c r="Y325" s="89">
        <v>257826</v>
      </c>
      <c r="Z325" s="74">
        <f t="shared" si="154"/>
        <v>226886.88</v>
      </c>
      <c r="AA325" s="75"/>
      <c r="AB325" s="75"/>
      <c r="AC325" s="75"/>
      <c r="AD325" s="74">
        <f t="shared" si="155"/>
        <v>226886.88</v>
      </c>
      <c r="AE325" s="74">
        <f t="shared" si="156"/>
        <v>402272.42929791962</v>
      </c>
      <c r="AF325" s="52">
        <f t="shared" si="157"/>
        <v>1538181.216</v>
      </c>
      <c r="AG325" s="52">
        <f t="shared" si="158"/>
        <v>1747933.2000000002</v>
      </c>
    </row>
    <row r="326" spans="1:33" s="21" customFormat="1" x14ac:dyDescent="0.2">
      <c r="A326" s="115" t="s">
        <v>334</v>
      </c>
      <c r="B326" s="115"/>
      <c r="C326" s="115"/>
      <c r="D326" s="163">
        <v>0</v>
      </c>
      <c r="E326" s="164"/>
      <c r="F326" s="165">
        <v>0.12</v>
      </c>
      <c r="G326" s="165"/>
      <c r="H326" s="51">
        <v>18072</v>
      </c>
      <c r="I326" s="52">
        <f t="shared" si="147"/>
        <v>15975.648000000001</v>
      </c>
      <c r="J326" s="52">
        <f t="shared" si="148"/>
        <v>14058.570240000001</v>
      </c>
      <c r="K326" s="62"/>
      <c r="L326" s="163">
        <v>0</v>
      </c>
      <c r="M326" s="55">
        <f t="shared" si="149"/>
        <v>0</v>
      </c>
      <c r="N326" s="55">
        <f t="shared" si="150"/>
        <v>0</v>
      </c>
      <c r="O326" s="96"/>
      <c r="P326" s="163">
        <v>0</v>
      </c>
      <c r="Q326" s="55">
        <f t="shared" si="151"/>
        <v>0</v>
      </c>
      <c r="R326" s="65">
        <f t="shared" si="152"/>
        <v>0</v>
      </c>
      <c r="S326" s="119">
        <v>5</v>
      </c>
      <c r="T326" s="122" t="s">
        <v>201</v>
      </c>
      <c r="U326" s="73">
        <f>SUMIF('Avoided Costs 2013-2021'!$A:$A,'2013 Actuals'!T326&amp;'2013 Actuals'!S326,'Avoided Costs 2013-2021'!$E:$E)*J326</f>
        <v>10947.446211607758</v>
      </c>
      <c r="V326" s="73">
        <f>SUMIF('Avoided Costs 2013-2021'!$A:$A,'2013 Actuals'!T326&amp;'2013 Actuals'!S326,'Avoided Costs 2013-2021'!$K:$K)*N326</f>
        <v>0</v>
      </c>
      <c r="W326" s="73">
        <f>SUMIF('Avoided Costs 2013-2021'!$A:$A,'2013 Actuals'!T326&amp;'2013 Actuals'!S326,'Avoided Costs 2013-2021'!$M:$M)*R326</f>
        <v>0</v>
      </c>
      <c r="X326" s="73">
        <f t="shared" si="153"/>
        <v>10947.446211607758</v>
      </c>
      <c r="Y326" s="89">
        <v>5500</v>
      </c>
      <c r="Z326" s="74">
        <f t="shared" si="154"/>
        <v>4840</v>
      </c>
      <c r="AA326" s="75"/>
      <c r="AB326" s="75"/>
      <c r="AC326" s="75"/>
      <c r="AD326" s="74">
        <f t="shared" si="155"/>
        <v>4840</v>
      </c>
      <c r="AE326" s="74">
        <f t="shared" si="156"/>
        <v>6107.4462116077575</v>
      </c>
      <c r="AF326" s="52">
        <f t="shared" si="157"/>
        <v>70292.851200000005</v>
      </c>
      <c r="AG326" s="52">
        <f t="shared" si="158"/>
        <v>79878.240000000005</v>
      </c>
    </row>
    <row r="327" spans="1:33" s="21" customFormat="1" x14ac:dyDescent="0.2">
      <c r="A327" s="115" t="s">
        <v>335</v>
      </c>
      <c r="B327" s="115"/>
      <c r="C327" s="115"/>
      <c r="D327" s="163">
        <v>1</v>
      </c>
      <c r="E327" s="164"/>
      <c r="F327" s="165">
        <v>0.12</v>
      </c>
      <c r="G327" s="165"/>
      <c r="H327" s="51">
        <v>29233</v>
      </c>
      <c r="I327" s="52">
        <f t="shared" si="147"/>
        <v>25841.972000000002</v>
      </c>
      <c r="J327" s="52">
        <f t="shared" si="148"/>
        <v>22740.935360000003</v>
      </c>
      <c r="K327" s="62"/>
      <c r="L327" s="163">
        <v>0</v>
      </c>
      <c r="M327" s="55">
        <f t="shared" si="149"/>
        <v>0</v>
      </c>
      <c r="N327" s="55">
        <f t="shared" si="150"/>
        <v>0</v>
      </c>
      <c r="O327" s="96"/>
      <c r="P327" s="163">
        <v>0</v>
      </c>
      <c r="Q327" s="55">
        <f t="shared" si="151"/>
        <v>0</v>
      </c>
      <c r="R327" s="65">
        <f t="shared" si="152"/>
        <v>0</v>
      </c>
      <c r="S327" s="119">
        <v>15</v>
      </c>
      <c r="T327" s="122" t="s">
        <v>201</v>
      </c>
      <c r="U327" s="73">
        <f>SUMIF('Avoided Costs 2013-2021'!$A:$A,'2013 Actuals'!T327&amp;'2013 Actuals'!S327,'Avoided Costs 2013-2021'!$E:$E)*J327</f>
        <v>50822.864826821111</v>
      </c>
      <c r="V327" s="73">
        <f>SUMIF('Avoided Costs 2013-2021'!$A:$A,'2013 Actuals'!T327&amp;'2013 Actuals'!S327,'Avoided Costs 2013-2021'!$K:$K)*N327</f>
        <v>0</v>
      </c>
      <c r="W327" s="73">
        <f>SUMIF('Avoided Costs 2013-2021'!$A:$A,'2013 Actuals'!T327&amp;'2013 Actuals'!S327,'Avoided Costs 2013-2021'!$M:$M)*R327</f>
        <v>0</v>
      </c>
      <c r="X327" s="73">
        <f t="shared" si="153"/>
        <v>50822.864826821111</v>
      </c>
      <c r="Y327" s="89">
        <v>40000</v>
      </c>
      <c r="Z327" s="74">
        <f t="shared" si="154"/>
        <v>35200</v>
      </c>
      <c r="AA327" s="75"/>
      <c r="AB327" s="75"/>
      <c r="AC327" s="75"/>
      <c r="AD327" s="74">
        <f t="shared" si="155"/>
        <v>35200</v>
      </c>
      <c r="AE327" s="74">
        <f t="shared" si="156"/>
        <v>15622.864826821111</v>
      </c>
      <c r="AF327" s="52">
        <f t="shared" si="157"/>
        <v>341114.03040000005</v>
      </c>
      <c r="AG327" s="52">
        <f t="shared" si="158"/>
        <v>387629.58</v>
      </c>
    </row>
    <row r="328" spans="1:33" s="21" customFormat="1" x14ac:dyDescent="0.2">
      <c r="A328" s="115" t="s">
        <v>336</v>
      </c>
      <c r="B328" s="115"/>
      <c r="C328" s="115"/>
      <c r="D328" s="163">
        <v>1</v>
      </c>
      <c r="E328" s="164"/>
      <c r="F328" s="165">
        <v>0.12</v>
      </c>
      <c r="G328" s="165"/>
      <c r="H328" s="51">
        <v>98563</v>
      </c>
      <c r="I328" s="52">
        <f t="shared" si="147"/>
        <v>87129.691999999995</v>
      </c>
      <c r="J328" s="52">
        <f t="shared" si="148"/>
        <v>76674.128960000002</v>
      </c>
      <c r="K328" s="62"/>
      <c r="L328" s="163">
        <v>0</v>
      </c>
      <c r="M328" s="55">
        <f t="shared" si="149"/>
        <v>0</v>
      </c>
      <c r="N328" s="55">
        <f t="shared" si="150"/>
        <v>0</v>
      </c>
      <c r="O328" s="96"/>
      <c r="P328" s="163">
        <v>0</v>
      </c>
      <c r="Q328" s="55">
        <f t="shared" si="151"/>
        <v>0</v>
      </c>
      <c r="R328" s="65">
        <f t="shared" si="152"/>
        <v>0</v>
      </c>
      <c r="S328" s="119">
        <v>5</v>
      </c>
      <c r="T328" s="122" t="s">
        <v>201</v>
      </c>
      <c r="U328" s="73">
        <f>SUMIF('Avoided Costs 2013-2021'!$A:$A,'2013 Actuals'!T328&amp;'2013 Actuals'!S328,'Avoided Costs 2013-2021'!$E:$E)*J328</f>
        <v>59706.349101078762</v>
      </c>
      <c r="V328" s="73">
        <f>SUMIF('Avoided Costs 2013-2021'!$A:$A,'2013 Actuals'!T328&amp;'2013 Actuals'!S328,'Avoided Costs 2013-2021'!$K:$K)*N328</f>
        <v>0</v>
      </c>
      <c r="W328" s="73">
        <f>SUMIF('Avoided Costs 2013-2021'!$A:$A,'2013 Actuals'!T328&amp;'2013 Actuals'!S328,'Avoided Costs 2013-2021'!$M:$M)*R328</f>
        <v>0</v>
      </c>
      <c r="X328" s="73">
        <f t="shared" si="153"/>
        <v>59706.349101078762</v>
      </c>
      <c r="Y328" s="89">
        <v>15120.65</v>
      </c>
      <c r="Z328" s="74">
        <f t="shared" si="154"/>
        <v>13306.172</v>
      </c>
      <c r="AA328" s="75"/>
      <c r="AB328" s="75"/>
      <c r="AC328" s="75"/>
      <c r="AD328" s="74">
        <f t="shared" si="155"/>
        <v>13306.172</v>
      </c>
      <c r="AE328" s="74">
        <f t="shared" si="156"/>
        <v>46400.177101078763</v>
      </c>
      <c r="AF328" s="52">
        <f t="shared" si="157"/>
        <v>383370.64480000001</v>
      </c>
      <c r="AG328" s="52">
        <f t="shared" si="158"/>
        <v>435648.45999999996</v>
      </c>
    </row>
    <row r="329" spans="1:33" s="21" customFormat="1" x14ac:dyDescent="0.2">
      <c r="A329" s="115" t="s">
        <v>337</v>
      </c>
      <c r="B329" s="115"/>
      <c r="C329" s="115"/>
      <c r="D329" s="163">
        <v>0</v>
      </c>
      <c r="E329" s="164"/>
      <c r="F329" s="165">
        <v>0.12</v>
      </c>
      <c r="G329" s="165"/>
      <c r="H329" s="51">
        <v>16480</v>
      </c>
      <c r="I329" s="52">
        <f t="shared" si="147"/>
        <v>14568.32</v>
      </c>
      <c r="J329" s="52">
        <f t="shared" si="148"/>
        <v>12820.1216</v>
      </c>
      <c r="K329" s="62"/>
      <c r="L329" s="163">
        <v>0</v>
      </c>
      <c r="M329" s="55">
        <f t="shared" si="149"/>
        <v>0</v>
      </c>
      <c r="N329" s="55">
        <f t="shared" si="150"/>
        <v>0</v>
      </c>
      <c r="O329" s="96"/>
      <c r="P329" s="163">
        <v>0</v>
      </c>
      <c r="Q329" s="55">
        <f t="shared" si="151"/>
        <v>0</v>
      </c>
      <c r="R329" s="65">
        <f t="shared" si="152"/>
        <v>0</v>
      </c>
      <c r="S329" s="119">
        <v>25</v>
      </c>
      <c r="T329" s="122" t="s">
        <v>201</v>
      </c>
      <c r="U329" s="73">
        <f>SUMIF('Avoided Costs 2013-2021'!$A:$A,'2013 Actuals'!T329&amp;'2013 Actuals'!S329,'Avoided Costs 2013-2021'!$E:$E)*J329</f>
        <v>40218.550213193026</v>
      </c>
      <c r="V329" s="73">
        <f>SUMIF('Avoided Costs 2013-2021'!$A:$A,'2013 Actuals'!T329&amp;'2013 Actuals'!S329,'Avoided Costs 2013-2021'!$K:$K)*N329</f>
        <v>0</v>
      </c>
      <c r="W329" s="73">
        <f>SUMIF('Avoided Costs 2013-2021'!$A:$A,'2013 Actuals'!T329&amp;'2013 Actuals'!S329,'Avoided Costs 2013-2021'!$M:$M)*R329</f>
        <v>0</v>
      </c>
      <c r="X329" s="73">
        <f t="shared" si="153"/>
        <v>40218.550213193026</v>
      </c>
      <c r="Y329" s="89">
        <v>39096</v>
      </c>
      <c r="Z329" s="74">
        <f t="shared" si="154"/>
        <v>34404.480000000003</v>
      </c>
      <c r="AA329" s="75"/>
      <c r="AB329" s="75"/>
      <c r="AC329" s="75"/>
      <c r="AD329" s="74">
        <f t="shared" si="155"/>
        <v>34404.480000000003</v>
      </c>
      <c r="AE329" s="74">
        <f t="shared" si="156"/>
        <v>5814.0702131930229</v>
      </c>
      <c r="AF329" s="52">
        <f t="shared" si="157"/>
        <v>320503.04000000004</v>
      </c>
      <c r="AG329" s="52">
        <f t="shared" si="158"/>
        <v>364208</v>
      </c>
    </row>
    <row r="330" spans="1:33" s="21" customFormat="1" x14ac:dyDescent="0.2">
      <c r="A330" s="115" t="s">
        <v>338</v>
      </c>
      <c r="B330" s="115"/>
      <c r="C330" s="115"/>
      <c r="D330" s="163">
        <v>1</v>
      </c>
      <c r="E330" s="164"/>
      <c r="F330" s="165">
        <v>0.12</v>
      </c>
      <c r="G330" s="165"/>
      <c r="H330" s="51">
        <v>28845</v>
      </c>
      <c r="I330" s="52">
        <f t="shared" si="147"/>
        <v>25498.98</v>
      </c>
      <c r="J330" s="52">
        <f t="shared" si="148"/>
        <v>22439.1024</v>
      </c>
      <c r="K330" s="62"/>
      <c r="L330" s="163">
        <v>0</v>
      </c>
      <c r="M330" s="55">
        <f t="shared" si="149"/>
        <v>0</v>
      </c>
      <c r="N330" s="55">
        <f t="shared" si="150"/>
        <v>0</v>
      </c>
      <c r="O330" s="96"/>
      <c r="P330" s="163">
        <v>0</v>
      </c>
      <c r="Q330" s="55">
        <f t="shared" si="151"/>
        <v>0</v>
      </c>
      <c r="R330" s="65">
        <f t="shared" si="152"/>
        <v>0</v>
      </c>
      <c r="S330" s="119">
        <v>25</v>
      </c>
      <c r="T330" s="122" t="s">
        <v>201</v>
      </c>
      <c r="U330" s="73">
        <f>SUMIF('Avoided Costs 2013-2021'!$A:$A,'2013 Actuals'!T330&amp;'2013 Actuals'!S330,'Avoided Costs 2013-2021'!$E:$E)*J330</f>
        <v>70394.665103128194</v>
      </c>
      <c r="V330" s="73">
        <f>SUMIF('Avoided Costs 2013-2021'!$A:$A,'2013 Actuals'!T330&amp;'2013 Actuals'!S330,'Avoided Costs 2013-2021'!$K:$K)*N330</f>
        <v>0</v>
      </c>
      <c r="W330" s="73">
        <f>SUMIF('Avoided Costs 2013-2021'!$A:$A,'2013 Actuals'!T330&amp;'2013 Actuals'!S330,'Avoided Costs 2013-2021'!$M:$M)*R330</f>
        <v>0</v>
      </c>
      <c r="X330" s="73">
        <f t="shared" si="153"/>
        <v>70394.665103128194</v>
      </c>
      <c r="Y330" s="89">
        <v>19548</v>
      </c>
      <c r="Z330" s="74">
        <f t="shared" si="154"/>
        <v>17202.240000000002</v>
      </c>
      <c r="AA330" s="75"/>
      <c r="AB330" s="75"/>
      <c r="AC330" s="75"/>
      <c r="AD330" s="74">
        <f t="shared" si="155"/>
        <v>17202.240000000002</v>
      </c>
      <c r="AE330" s="74">
        <f t="shared" si="156"/>
        <v>53192.425103128189</v>
      </c>
      <c r="AF330" s="52">
        <f t="shared" si="157"/>
        <v>560977.55999999994</v>
      </c>
      <c r="AG330" s="52">
        <f t="shared" si="158"/>
        <v>637474.5</v>
      </c>
    </row>
    <row r="331" spans="1:33" s="21" customFormat="1" x14ac:dyDescent="0.2">
      <c r="A331" s="115" t="s">
        <v>339</v>
      </c>
      <c r="B331" s="115"/>
      <c r="C331" s="115"/>
      <c r="D331" s="163">
        <v>1</v>
      </c>
      <c r="E331" s="164"/>
      <c r="F331" s="165">
        <v>0.12</v>
      </c>
      <c r="G331" s="165"/>
      <c r="H331" s="51">
        <v>196073</v>
      </c>
      <c r="I331" s="52">
        <f t="shared" si="147"/>
        <v>173328.53200000001</v>
      </c>
      <c r="J331" s="52">
        <f t="shared" si="148"/>
        <v>152529.10816</v>
      </c>
      <c r="K331" s="62"/>
      <c r="L331" s="163">
        <v>258671</v>
      </c>
      <c r="M331" s="55">
        <f t="shared" si="149"/>
        <v>258671</v>
      </c>
      <c r="N331" s="55">
        <f t="shared" si="150"/>
        <v>227630.48</v>
      </c>
      <c r="O331" s="96"/>
      <c r="P331" s="163">
        <v>0</v>
      </c>
      <c r="Q331" s="55">
        <f t="shared" si="151"/>
        <v>0</v>
      </c>
      <c r="R331" s="65">
        <f t="shared" si="152"/>
        <v>0</v>
      </c>
      <c r="S331" s="119">
        <v>15</v>
      </c>
      <c r="T331" s="122" t="s">
        <v>201</v>
      </c>
      <c r="U331" s="73">
        <f>SUMIF('Avoided Costs 2013-2021'!$A:$A,'2013 Actuals'!T331&amp;'2013 Actuals'!S331,'Avoided Costs 2013-2021'!$E:$E)*J331</f>
        <v>340881.59187183302</v>
      </c>
      <c r="V331" s="73">
        <f>SUMIF('Avoided Costs 2013-2021'!$A:$A,'2013 Actuals'!T331&amp;'2013 Actuals'!S331,'Avoided Costs 2013-2021'!$K:$K)*N331</f>
        <v>238304.90837254326</v>
      </c>
      <c r="W331" s="73">
        <f>SUMIF('Avoided Costs 2013-2021'!$A:$A,'2013 Actuals'!T331&amp;'2013 Actuals'!S331,'Avoided Costs 2013-2021'!$M:$M)*R331</f>
        <v>0</v>
      </c>
      <c r="X331" s="73">
        <f t="shared" si="153"/>
        <v>579186.50024437625</v>
      </c>
      <c r="Y331" s="89">
        <v>4250</v>
      </c>
      <c r="Z331" s="74">
        <f t="shared" si="154"/>
        <v>3740</v>
      </c>
      <c r="AA331" s="75"/>
      <c r="AB331" s="75"/>
      <c r="AC331" s="75"/>
      <c r="AD331" s="74">
        <f t="shared" si="155"/>
        <v>3740</v>
      </c>
      <c r="AE331" s="74">
        <f t="shared" si="156"/>
        <v>575446.50024437625</v>
      </c>
      <c r="AF331" s="52">
        <f t="shared" si="157"/>
        <v>2287936.6224000002</v>
      </c>
      <c r="AG331" s="52">
        <f t="shared" si="158"/>
        <v>2599927.98</v>
      </c>
    </row>
    <row r="332" spans="1:33" s="21" customFormat="1" x14ac:dyDescent="0.2">
      <c r="A332" s="115" t="s">
        <v>340</v>
      </c>
      <c r="B332" s="115"/>
      <c r="C332" s="115"/>
      <c r="D332" s="163">
        <v>0</v>
      </c>
      <c r="E332" s="164"/>
      <c r="F332" s="165">
        <v>0.12</v>
      </c>
      <c r="G332" s="165"/>
      <c r="H332" s="51">
        <v>79225</v>
      </c>
      <c r="I332" s="52">
        <f t="shared" si="147"/>
        <v>70034.899999999994</v>
      </c>
      <c r="J332" s="52">
        <f t="shared" si="148"/>
        <v>61630.711999999992</v>
      </c>
      <c r="K332" s="62"/>
      <c r="L332" s="163">
        <v>0</v>
      </c>
      <c r="M332" s="55">
        <f t="shared" si="149"/>
        <v>0</v>
      </c>
      <c r="N332" s="55">
        <f t="shared" si="150"/>
        <v>0</v>
      </c>
      <c r="O332" s="96"/>
      <c r="P332" s="163">
        <v>0</v>
      </c>
      <c r="Q332" s="55">
        <f t="shared" si="151"/>
        <v>0</v>
      </c>
      <c r="R332" s="65">
        <f t="shared" si="152"/>
        <v>0</v>
      </c>
      <c r="S332" s="119">
        <v>15</v>
      </c>
      <c r="T332" s="122" t="s">
        <v>201</v>
      </c>
      <c r="U332" s="73">
        <f>SUMIF('Avoided Costs 2013-2021'!$A:$A,'2013 Actuals'!T332&amp;'2013 Actuals'!S332,'Avoided Costs 2013-2021'!$E:$E)*J332</f>
        <v>137736.17028375127</v>
      </c>
      <c r="V332" s="73">
        <f>SUMIF('Avoided Costs 2013-2021'!$A:$A,'2013 Actuals'!T332&amp;'2013 Actuals'!S332,'Avoided Costs 2013-2021'!$K:$K)*N332</f>
        <v>0</v>
      </c>
      <c r="W332" s="73">
        <f>SUMIF('Avoided Costs 2013-2021'!$A:$A,'2013 Actuals'!T332&amp;'2013 Actuals'!S332,'Avoided Costs 2013-2021'!$M:$M)*R332</f>
        <v>0</v>
      </c>
      <c r="X332" s="73">
        <f t="shared" si="153"/>
        <v>137736.17028375127</v>
      </c>
      <c r="Y332" s="89">
        <v>126000</v>
      </c>
      <c r="Z332" s="74">
        <f t="shared" si="154"/>
        <v>110880</v>
      </c>
      <c r="AA332" s="75"/>
      <c r="AB332" s="75"/>
      <c r="AC332" s="75"/>
      <c r="AD332" s="74">
        <f t="shared" si="155"/>
        <v>110880</v>
      </c>
      <c r="AE332" s="74">
        <f t="shared" si="156"/>
        <v>26856.170283751271</v>
      </c>
      <c r="AF332" s="52">
        <f t="shared" si="157"/>
        <v>924460.67999999993</v>
      </c>
      <c r="AG332" s="52">
        <f t="shared" si="158"/>
        <v>1050523.5</v>
      </c>
    </row>
    <row r="333" spans="1:33" s="21" customFormat="1" x14ac:dyDescent="0.2">
      <c r="A333" s="115" t="s">
        <v>341</v>
      </c>
      <c r="B333" s="115"/>
      <c r="C333" s="115"/>
      <c r="D333" s="163">
        <v>0</v>
      </c>
      <c r="E333" s="164"/>
      <c r="F333" s="165">
        <v>0.12</v>
      </c>
      <c r="G333" s="165"/>
      <c r="H333" s="51">
        <v>41186</v>
      </c>
      <c r="I333" s="52">
        <f t="shared" si="147"/>
        <v>36408.423999999999</v>
      </c>
      <c r="J333" s="52">
        <f t="shared" si="148"/>
        <v>32039.413120000001</v>
      </c>
      <c r="K333" s="62"/>
      <c r="L333" s="163">
        <v>36481</v>
      </c>
      <c r="M333" s="55">
        <f t="shared" si="149"/>
        <v>36481</v>
      </c>
      <c r="N333" s="55">
        <f t="shared" si="150"/>
        <v>32103.279999999999</v>
      </c>
      <c r="O333" s="96"/>
      <c r="P333" s="163">
        <v>0</v>
      </c>
      <c r="Q333" s="55">
        <f t="shared" si="151"/>
        <v>0</v>
      </c>
      <c r="R333" s="65">
        <f t="shared" si="152"/>
        <v>0</v>
      </c>
      <c r="S333" s="119">
        <v>15</v>
      </c>
      <c r="T333" s="122" t="s">
        <v>201</v>
      </c>
      <c r="U333" s="73">
        <f>SUMIF('Avoided Costs 2013-2021'!$A:$A,'2013 Actuals'!T333&amp;'2013 Actuals'!S333,'Avoided Costs 2013-2021'!$E:$E)*J333</f>
        <v>71603.684560512222</v>
      </c>
      <c r="V333" s="73">
        <f>SUMIF('Avoided Costs 2013-2021'!$A:$A,'2013 Actuals'!T333&amp;'2013 Actuals'!S333,'Avoided Costs 2013-2021'!$K:$K)*N333</f>
        <v>33608.720584598777</v>
      </c>
      <c r="W333" s="73">
        <f>SUMIF('Avoided Costs 2013-2021'!$A:$A,'2013 Actuals'!T333&amp;'2013 Actuals'!S333,'Avoided Costs 2013-2021'!$M:$M)*R333</f>
        <v>0</v>
      </c>
      <c r="X333" s="73">
        <f t="shared" si="153"/>
        <v>105212.405145111</v>
      </c>
      <c r="Y333" s="89">
        <v>131594</v>
      </c>
      <c r="Z333" s="74">
        <f t="shared" si="154"/>
        <v>115802.72</v>
      </c>
      <c r="AA333" s="75"/>
      <c r="AB333" s="75"/>
      <c r="AC333" s="75"/>
      <c r="AD333" s="74">
        <f t="shared" si="155"/>
        <v>115802.72</v>
      </c>
      <c r="AE333" s="74">
        <f t="shared" si="156"/>
        <v>-10590.314854889002</v>
      </c>
      <c r="AF333" s="52">
        <f t="shared" si="157"/>
        <v>480591.19680000003</v>
      </c>
      <c r="AG333" s="52">
        <f t="shared" si="158"/>
        <v>546126.36</v>
      </c>
    </row>
    <row r="334" spans="1:33" s="21" customFormat="1" x14ac:dyDescent="0.2">
      <c r="A334" s="115" t="s">
        <v>342</v>
      </c>
      <c r="B334" s="115"/>
      <c r="C334" s="115"/>
      <c r="D334" s="163">
        <v>1</v>
      </c>
      <c r="E334" s="164"/>
      <c r="F334" s="165">
        <v>0.12</v>
      </c>
      <c r="G334" s="165"/>
      <c r="H334" s="51">
        <v>105269</v>
      </c>
      <c r="I334" s="52">
        <f t="shared" ref="I334:I340" si="159">+$H$39*H334</f>
        <v>93057.796000000002</v>
      </c>
      <c r="J334" s="52">
        <f t="shared" ref="J334:J340" si="160">I334*(1-F334)</f>
        <v>81890.860480000003</v>
      </c>
      <c r="K334" s="62"/>
      <c r="L334" s="163">
        <v>0</v>
      </c>
      <c r="M334" s="55">
        <f t="shared" ref="M334:M340" si="161">+$L$39*L334</f>
        <v>0</v>
      </c>
      <c r="N334" s="55">
        <f t="shared" ref="N334:N340" si="162">M334*(1-F334)</f>
        <v>0</v>
      </c>
      <c r="O334" s="96"/>
      <c r="P334" s="163">
        <v>0</v>
      </c>
      <c r="Q334" s="55">
        <f t="shared" ref="Q334:Q340" si="163">+P334*$P$39</f>
        <v>0</v>
      </c>
      <c r="R334" s="65">
        <f t="shared" ref="R334:R340" si="164">Q334*(1-F334)</f>
        <v>0</v>
      </c>
      <c r="S334" s="119">
        <v>25</v>
      </c>
      <c r="T334" s="122" t="s">
        <v>201</v>
      </c>
      <c r="U334" s="73">
        <f>SUMIF('Avoided Costs 2013-2021'!$A:$A,'2013 Actuals'!T334&amp;'2013 Actuals'!S334,'Avoided Costs 2013-2021'!$E:$E)*J334</f>
        <v>256903.31082479467</v>
      </c>
      <c r="V334" s="73">
        <f>SUMIF('Avoided Costs 2013-2021'!$A:$A,'2013 Actuals'!T334&amp;'2013 Actuals'!S334,'Avoided Costs 2013-2021'!$K:$K)*N334</f>
        <v>0</v>
      </c>
      <c r="W334" s="73">
        <f>SUMIF('Avoided Costs 2013-2021'!$A:$A,'2013 Actuals'!T334&amp;'2013 Actuals'!S334,'Avoided Costs 2013-2021'!$M:$M)*R334</f>
        <v>0</v>
      </c>
      <c r="X334" s="73">
        <f t="shared" ref="X334:X340" si="165">SUM(U334:W334)</f>
        <v>256903.31082479467</v>
      </c>
      <c r="Y334" s="89">
        <v>47220</v>
      </c>
      <c r="Z334" s="74">
        <f t="shared" ref="Z334:Z340" si="166">Y334*(1-F334)</f>
        <v>41553.599999999999</v>
      </c>
      <c r="AA334" s="75"/>
      <c r="AB334" s="75"/>
      <c r="AC334" s="75"/>
      <c r="AD334" s="74">
        <f t="shared" ref="AD334:AD341" si="167">Z334+AB334</f>
        <v>41553.599999999999</v>
      </c>
      <c r="AE334" s="74">
        <f t="shared" ref="AE334:AE341" si="168">X334-AD334</f>
        <v>215349.71082479466</v>
      </c>
      <c r="AF334" s="52">
        <f t="shared" ref="AF334:AF340" si="169">J334*S334</f>
        <v>2047271.5120000001</v>
      </c>
      <c r="AG334" s="52">
        <f t="shared" ref="AG334:AG340" si="170">(I334*S334)</f>
        <v>2326444.9</v>
      </c>
    </row>
    <row r="335" spans="1:33" s="21" customFormat="1" x14ac:dyDescent="0.2">
      <c r="A335" s="115" t="s">
        <v>343</v>
      </c>
      <c r="B335" s="115"/>
      <c r="C335" s="115"/>
      <c r="D335" s="163">
        <v>1</v>
      </c>
      <c r="E335" s="164"/>
      <c r="F335" s="165">
        <v>0.12</v>
      </c>
      <c r="G335" s="165"/>
      <c r="H335" s="51">
        <v>55983</v>
      </c>
      <c r="I335" s="52">
        <f t="shared" si="159"/>
        <v>49488.972000000002</v>
      </c>
      <c r="J335" s="52">
        <f t="shared" si="160"/>
        <v>43550.295360000004</v>
      </c>
      <c r="K335" s="62"/>
      <c r="L335" s="163">
        <v>0</v>
      </c>
      <c r="M335" s="55">
        <f t="shared" si="161"/>
        <v>0</v>
      </c>
      <c r="N335" s="55">
        <f t="shared" si="162"/>
        <v>0</v>
      </c>
      <c r="O335" s="96"/>
      <c r="P335" s="163">
        <v>0</v>
      </c>
      <c r="Q335" s="55">
        <f t="shared" si="163"/>
        <v>0</v>
      </c>
      <c r="R335" s="65">
        <f t="shared" si="164"/>
        <v>0</v>
      </c>
      <c r="S335" s="119">
        <v>15</v>
      </c>
      <c r="T335" s="122" t="s">
        <v>201</v>
      </c>
      <c r="U335" s="73">
        <f>SUMIF('Avoided Costs 2013-2021'!$A:$A,'2013 Actuals'!T335&amp;'2013 Actuals'!S335,'Avoided Costs 2013-2021'!$E:$E)*J335</f>
        <v>97328.924215780993</v>
      </c>
      <c r="V335" s="73">
        <f>SUMIF('Avoided Costs 2013-2021'!$A:$A,'2013 Actuals'!T335&amp;'2013 Actuals'!S335,'Avoided Costs 2013-2021'!$K:$K)*N335</f>
        <v>0</v>
      </c>
      <c r="W335" s="73">
        <f>SUMIF('Avoided Costs 2013-2021'!$A:$A,'2013 Actuals'!T335&amp;'2013 Actuals'!S335,'Avoided Costs 2013-2021'!$M:$M)*R335</f>
        <v>0</v>
      </c>
      <c r="X335" s="73">
        <f t="shared" si="165"/>
        <v>97328.924215780993</v>
      </c>
      <c r="Y335" s="89">
        <v>35000</v>
      </c>
      <c r="Z335" s="74">
        <f t="shared" si="166"/>
        <v>30800</v>
      </c>
      <c r="AA335" s="75"/>
      <c r="AB335" s="75"/>
      <c r="AC335" s="75"/>
      <c r="AD335" s="74">
        <f t="shared" si="167"/>
        <v>30800</v>
      </c>
      <c r="AE335" s="74">
        <f t="shared" si="168"/>
        <v>66528.924215780993</v>
      </c>
      <c r="AF335" s="52">
        <f t="shared" si="169"/>
        <v>653254.43040000007</v>
      </c>
      <c r="AG335" s="52">
        <f t="shared" si="170"/>
        <v>742334.58000000007</v>
      </c>
    </row>
    <row r="336" spans="1:33" s="21" customFormat="1" x14ac:dyDescent="0.2">
      <c r="A336" s="115" t="s">
        <v>344</v>
      </c>
      <c r="B336" s="115"/>
      <c r="C336" s="115"/>
      <c r="D336" s="163">
        <v>1</v>
      </c>
      <c r="E336" s="164"/>
      <c r="F336" s="165">
        <v>0.12</v>
      </c>
      <c r="G336" s="165"/>
      <c r="H336" s="51">
        <v>7500</v>
      </c>
      <c r="I336" s="52">
        <f t="shared" si="159"/>
        <v>6630</v>
      </c>
      <c r="J336" s="52">
        <f t="shared" si="160"/>
        <v>5834.4</v>
      </c>
      <c r="K336" s="62"/>
      <c r="L336" s="163">
        <v>0</v>
      </c>
      <c r="M336" s="55">
        <f t="shared" si="161"/>
        <v>0</v>
      </c>
      <c r="N336" s="55">
        <f t="shared" si="162"/>
        <v>0</v>
      </c>
      <c r="O336" s="96"/>
      <c r="P336" s="163">
        <v>0</v>
      </c>
      <c r="Q336" s="55">
        <f t="shared" si="163"/>
        <v>0</v>
      </c>
      <c r="R336" s="65">
        <f t="shared" si="164"/>
        <v>0</v>
      </c>
      <c r="S336" s="119">
        <v>25</v>
      </c>
      <c r="T336" s="122" t="s">
        <v>217</v>
      </c>
      <c r="U336" s="73">
        <f>SUMIF('Avoided Costs 2013-2021'!$A:$A,'2013 Actuals'!T336&amp;'2013 Actuals'!S336,'Avoided Costs 2013-2021'!$E:$E)*J336</f>
        <v>17176.886997597107</v>
      </c>
      <c r="V336" s="73">
        <f>SUMIF('Avoided Costs 2013-2021'!$A:$A,'2013 Actuals'!T336&amp;'2013 Actuals'!S336,'Avoided Costs 2013-2021'!$K:$K)*N336</f>
        <v>0</v>
      </c>
      <c r="W336" s="73">
        <f>SUMIF('Avoided Costs 2013-2021'!$A:$A,'2013 Actuals'!T336&amp;'2013 Actuals'!S336,'Avoided Costs 2013-2021'!$M:$M)*R336</f>
        <v>0</v>
      </c>
      <c r="X336" s="73">
        <f t="shared" si="165"/>
        <v>17176.886997597107</v>
      </c>
      <c r="Y336" s="89">
        <v>3690</v>
      </c>
      <c r="Z336" s="74">
        <f t="shared" si="166"/>
        <v>3247.2</v>
      </c>
      <c r="AA336" s="75"/>
      <c r="AB336" s="75"/>
      <c r="AC336" s="75"/>
      <c r="AD336" s="74">
        <f t="shared" si="167"/>
        <v>3247.2</v>
      </c>
      <c r="AE336" s="74">
        <f t="shared" si="168"/>
        <v>13929.686997597106</v>
      </c>
      <c r="AF336" s="52">
        <f t="shared" si="169"/>
        <v>145860</v>
      </c>
      <c r="AG336" s="52">
        <f t="shared" si="170"/>
        <v>165750</v>
      </c>
    </row>
    <row r="337" spans="1:33" s="21" customFormat="1" x14ac:dyDescent="0.2">
      <c r="A337" s="115" t="s">
        <v>345</v>
      </c>
      <c r="B337" s="115"/>
      <c r="C337" s="115"/>
      <c r="D337" s="163">
        <v>1</v>
      </c>
      <c r="E337" s="164"/>
      <c r="F337" s="165">
        <v>0.12</v>
      </c>
      <c r="G337" s="165"/>
      <c r="H337" s="51">
        <v>3748</v>
      </c>
      <c r="I337" s="52">
        <f t="shared" si="159"/>
        <v>3313.232</v>
      </c>
      <c r="J337" s="52">
        <f t="shared" si="160"/>
        <v>2915.6441599999998</v>
      </c>
      <c r="K337" s="62"/>
      <c r="L337" s="163">
        <v>0</v>
      </c>
      <c r="M337" s="55">
        <f t="shared" si="161"/>
        <v>0</v>
      </c>
      <c r="N337" s="55">
        <f t="shared" si="162"/>
        <v>0</v>
      </c>
      <c r="O337" s="96"/>
      <c r="P337" s="163">
        <v>0</v>
      </c>
      <c r="Q337" s="55">
        <f t="shared" si="163"/>
        <v>0</v>
      </c>
      <c r="R337" s="65">
        <f t="shared" si="164"/>
        <v>0</v>
      </c>
      <c r="S337" s="119">
        <v>15</v>
      </c>
      <c r="T337" s="122" t="s">
        <v>201</v>
      </c>
      <c r="U337" s="73">
        <f>SUMIF('Avoided Costs 2013-2021'!$A:$A,'2013 Actuals'!T337&amp;'2013 Actuals'!S337,'Avoided Costs 2013-2021'!$E:$E)*J337</f>
        <v>6516.0639472830526</v>
      </c>
      <c r="V337" s="73">
        <f>SUMIF('Avoided Costs 2013-2021'!$A:$A,'2013 Actuals'!T337&amp;'2013 Actuals'!S337,'Avoided Costs 2013-2021'!$K:$K)*N337</f>
        <v>0</v>
      </c>
      <c r="W337" s="73">
        <f>SUMIF('Avoided Costs 2013-2021'!$A:$A,'2013 Actuals'!T337&amp;'2013 Actuals'!S337,'Avoided Costs 2013-2021'!$M:$M)*R337</f>
        <v>0</v>
      </c>
      <c r="X337" s="73">
        <f t="shared" si="165"/>
        <v>6516.0639472830526</v>
      </c>
      <c r="Y337" s="89">
        <v>4390</v>
      </c>
      <c r="Z337" s="74">
        <f t="shared" si="166"/>
        <v>3863.2</v>
      </c>
      <c r="AA337" s="75"/>
      <c r="AB337" s="75"/>
      <c r="AC337" s="75"/>
      <c r="AD337" s="74">
        <f t="shared" si="167"/>
        <v>3863.2</v>
      </c>
      <c r="AE337" s="74">
        <f t="shared" si="168"/>
        <v>2652.8639472830528</v>
      </c>
      <c r="AF337" s="52">
        <f t="shared" si="169"/>
        <v>43734.662400000001</v>
      </c>
      <c r="AG337" s="52">
        <f t="shared" si="170"/>
        <v>49698.479999999996</v>
      </c>
    </row>
    <row r="338" spans="1:33" s="21" customFormat="1" x14ac:dyDescent="0.2">
      <c r="A338" s="115" t="s">
        <v>346</v>
      </c>
      <c r="B338" s="115"/>
      <c r="C338" s="115"/>
      <c r="D338" s="163">
        <v>1</v>
      </c>
      <c r="E338" s="164"/>
      <c r="F338" s="165">
        <v>0.12</v>
      </c>
      <c r="G338" s="165"/>
      <c r="H338" s="51">
        <v>245281</v>
      </c>
      <c r="I338" s="52">
        <f t="shared" si="159"/>
        <v>216828.40400000001</v>
      </c>
      <c r="J338" s="52">
        <f t="shared" si="160"/>
        <v>190808.99552</v>
      </c>
      <c r="K338" s="62"/>
      <c r="L338" s="163">
        <v>145138</v>
      </c>
      <c r="M338" s="55">
        <f t="shared" si="161"/>
        <v>145138</v>
      </c>
      <c r="N338" s="55">
        <f t="shared" si="162"/>
        <v>127721.44</v>
      </c>
      <c r="O338" s="96"/>
      <c r="P338" s="163">
        <v>0</v>
      </c>
      <c r="Q338" s="55">
        <f t="shared" si="163"/>
        <v>0</v>
      </c>
      <c r="R338" s="65">
        <f t="shared" si="164"/>
        <v>0</v>
      </c>
      <c r="S338" s="119">
        <v>15</v>
      </c>
      <c r="T338" s="122" t="s">
        <v>201</v>
      </c>
      <c r="U338" s="73">
        <f>SUMIF('Avoided Costs 2013-2021'!$A:$A,'2013 Actuals'!T338&amp;'2013 Actuals'!S338,'Avoided Costs 2013-2021'!$E:$E)*J338</f>
        <v>426431.87861620449</v>
      </c>
      <c r="V338" s="73">
        <f>SUMIF('Avoided Costs 2013-2021'!$A:$A,'2013 Actuals'!T338&amp;'2013 Actuals'!S338,'Avoided Costs 2013-2021'!$K:$K)*N338</f>
        <v>133710.76692545426</v>
      </c>
      <c r="W338" s="73">
        <f>SUMIF('Avoided Costs 2013-2021'!$A:$A,'2013 Actuals'!T338&amp;'2013 Actuals'!S338,'Avoided Costs 2013-2021'!$M:$M)*R338</f>
        <v>0</v>
      </c>
      <c r="X338" s="73">
        <f t="shared" si="165"/>
        <v>560142.64554165874</v>
      </c>
      <c r="Y338" s="89">
        <v>200000</v>
      </c>
      <c r="Z338" s="74">
        <f t="shared" si="166"/>
        <v>176000</v>
      </c>
      <c r="AA338" s="75"/>
      <c r="AB338" s="75"/>
      <c r="AC338" s="75"/>
      <c r="AD338" s="74">
        <f t="shared" si="167"/>
        <v>176000</v>
      </c>
      <c r="AE338" s="74">
        <f t="shared" si="168"/>
        <v>384142.64554165874</v>
      </c>
      <c r="AF338" s="52">
        <f t="shared" si="169"/>
        <v>2862134.9328000001</v>
      </c>
      <c r="AG338" s="52">
        <f t="shared" si="170"/>
        <v>3252426.06</v>
      </c>
    </row>
    <row r="339" spans="1:33" s="21" customFormat="1" x14ac:dyDescent="0.2">
      <c r="A339" s="114" t="s">
        <v>347</v>
      </c>
      <c r="B339" s="114"/>
      <c r="C339" s="114"/>
      <c r="D339" s="160">
        <v>0</v>
      </c>
      <c r="E339" s="161"/>
      <c r="F339" s="162">
        <v>0.12</v>
      </c>
      <c r="G339" s="162"/>
      <c r="H339" s="52">
        <v>20000</v>
      </c>
      <c r="I339" s="52">
        <f t="shared" si="159"/>
        <v>17680</v>
      </c>
      <c r="J339" s="52">
        <f t="shared" si="160"/>
        <v>15558.4</v>
      </c>
      <c r="K339" s="61"/>
      <c r="L339" s="160">
        <v>0</v>
      </c>
      <c r="M339" s="55">
        <f t="shared" si="161"/>
        <v>0</v>
      </c>
      <c r="N339" s="55">
        <f t="shared" si="162"/>
        <v>0</v>
      </c>
      <c r="O339" s="95"/>
      <c r="P339" s="160">
        <v>0</v>
      </c>
      <c r="Q339" s="55">
        <f t="shared" si="163"/>
        <v>0</v>
      </c>
      <c r="R339" s="65">
        <f t="shared" si="164"/>
        <v>0</v>
      </c>
      <c r="S339" s="118">
        <v>15</v>
      </c>
      <c r="T339" s="121" t="s">
        <v>201</v>
      </c>
      <c r="U339" s="73">
        <f>SUMIF('Avoided Costs 2013-2021'!$A:$A,'2013 Actuals'!T339&amp;'2013 Actuals'!S339,'Avoided Costs 2013-2021'!$E:$E)*J339</f>
        <v>34770.885524455989</v>
      </c>
      <c r="V339" s="73">
        <f>SUMIF('Avoided Costs 2013-2021'!$A:$A,'2013 Actuals'!T339&amp;'2013 Actuals'!S339,'Avoided Costs 2013-2021'!$K:$K)*N339</f>
        <v>0</v>
      </c>
      <c r="W339" s="73">
        <f>SUMIF('Avoided Costs 2013-2021'!$A:$A,'2013 Actuals'!T339&amp;'2013 Actuals'!S339,'Avoided Costs 2013-2021'!$M:$M)*R339</f>
        <v>0</v>
      </c>
      <c r="X339" s="73">
        <f t="shared" si="165"/>
        <v>34770.885524455989</v>
      </c>
      <c r="Y339" s="83">
        <v>38094</v>
      </c>
      <c r="Z339" s="74">
        <f t="shared" si="166"/>
        <v>33522.720000000001</v>
      </c>
      <c r="AA339" s="74"/>
      <c r="AB339" s="74"/>
      <c r="AC339" s="74"/>
      <c r="AD339" s="74">
        <f t="shared" si="167"/>
        <v>33522.720000000001</v>
      </c>
      <c r="AE339" s="74">
        <f t="shared" si="168"/>
        <v>1248.1655244559879</v>
      </c>
      <c r="AF339" s="52">
        <f t="shared" si="169"/>
        <v>233376</v>
      </c>
      <c r="AG339" s="52">
        <f t="shared" si="170"/>
        <v>265200</v>
      </c>
    </row>
    <row r="340" spans="1:33" s="21" customFormat="1" x14ac:dyDescent="0.2">
      <c r="A340" s="114" t="s">
        <v>348</v>
      </c>
      <c r="B340" s="114"/>
      <c r="C340" s="114"/>
      <c r="D340" s="160">
        <v>1</v>
      </c>
      <c r="E340" s="161"/>
      <c r="F340" s="162">
        <v>0.12</v>
      </c>
      <c r="G340" s="162"/>
      <c r="H340" s="52">
        <v>85675</v>
      </c>
      <c r="I340" s="52">
        <f t="shared" si="159"/>
        <v>75736.7</v>
      </c>
      <c r="J340" s="52">
        <f t="shared" si="160"/>
        <v>66648.296000000002</v>
      </c>
      <c r="K340" s="61"/>
      <c r="L340" s="160">
        <v>0</v>
      </c>
      <c r="M340" s="55">
        <f t="shared" si="161"/>
        <v>0</v>
      </c>
      <c r="N340" s="55">
        <f t="shared" si="162"/>
        <v>0</v>
      </c>
      <c r="O340" s="95"/>
      <c r="P340" s="160">
        <v>0</v>
      </c>
      <c r="Q340" s="55">
        <f t="shared" si="163"/>
        <v>0</v>
      </c>
      <c r="R340" s="65">
        <f t="shared" si="164"/>
        <v>0</v>
      </c>
      <c r="S340" s="118">
        <v>15</v>
      </c>
      <c r="T340" s="121" t="s">
        <v>201</v>
      </c>
      <c r="U340" s="73">
        <f>SUMIF('Avoided Costs 2013-2021'!$A:$A,'2013 Actuals'!T340&amp;'2013 Actuals'!S340,'Avoided Costs 2013-2021'!$E:$E)*J340</f>
        <v>148949.78086538837</v>
      </c>
      <c r="V340" s="73">
        <f>SUMIF('Avoided Costs 2013-2021'!$A:$A,'2013 Actuals'!T340&amp;'2013 Actuals'!S340,'Avoided Costs 2013-2021'!$K:$K)*N340</f>
        <v>0</v>
      </c>
      <c r="W340" s="73">
        <f>SUMIF('Avoided Costs 2013-2021'!$A:$A,'2013 Actuals'!T340&amp;'2013 Actuals'!S340,'Avoided Costs 2013-2021'!$M:$M)*R340</f>
        <v>0</v>
      </c>
      <c r="X340" s="73">
        <f t="shared" si="165"/>
        <v>148949.78086538837</v>
      </c>
      <c r="Y340" s="83">
        <v>290573</v>
      </c>
      <c r="Z340" s="74">
        <f t="shared" si="166"/>
        <v>255704.24</v>
      </c>
      <c r="AA340" s="74"/>
      <c r="AB340" s="74"/>
      <c r="AC340" s="74"/>
      <c r="AD340" s="74">
        <f t="shared" si="167"/>
        <v>255704.24</v>
      </c>
      <c r="AE340" s="74">
        <f t="shared" si="168"/>
        <v>-106754.45913461162</v>
      </c>
      <c r="AF340" s="52">
        <f t="shared" si="169"/>
        <v>999724.44000000006</v>
      </c>
      <c r="AG340" s="52">
        <f t="shared" si="170"/>
        <v>1136050.5</v>
      </c>
    </row>
    <row r="341" spans="1:33" s="17" customFormat="1" collapsed="1" x14ac:dyDescent="0.2">
      <c r="A341" s="166" t="s">
        <v>4</v>
      </c>
      <c r="B341" s="166" t="s">
        <v>95</v>
      </c>
      <c r="C341" s="125"/>
      <c r="D341" s="65">
        <f>SUM(D270:D340)</f>
        <v>53</v>
      </c>
      <c r="E341" s="291"/>
      <c r="F341" s="168"/>
      <c r="G341" s="292"/>
      <c r="H341" s="52">
        <v>4650900</v>
      </c>
      <c r="I341" s="52">
        <f>SUM(I270:I340)</f>
        <v>4116607.5959999994</v>
      </c>
      <c r="J341" s="52">
        <f>SUM(J270:J340)</f>
        <v>3622614.6844799998</v>
      </c>
      <c r="K341" s="167"/>
      <c r="L341" s="52">
        <v>1629001</v>
      </c>
      <c r="M341" s="52">
        <f>SUM(M270:M340)</f>
        <v>1629001</v>
      </c>
      <c r="N341" s="52">
        <f>SUM(N270:N340)</f>
        <v>1433520.88</v>
      </c>
      <c r="O341" s="169"/>
      <c r="P341" s="52">
        <v>0</v>
      </c>
      <c r="Q341" s="52">
        <f>SUM(Q270:Q340)</f>
        <v>0</v>
      </c>
      <c r="R341" s="52">
        <f>SUM(R270:R340)</f>
        <v>0</v>
      </c>
      <c r="S341" s="133"/>
      <c r="T341" s="125" t="s">
        <v>215</v>
      </c>
      <c r="U341" s="74">
        <f>SUM(U270:U340)</f>
        <v>6911071.7614161</v>
      </c>
      <c r="V341" s="74">
        <f>SUM(V270:V340)</f>
        <v>1517512.9751699772</v>
      </c>
      <c r="W341" s="74">
        <f>SUM(W270:W340)</f>
        <v>0</v>
      </c>
      <c r="X341" s="74">
        <f>SUM(X270:X340)</f>
        <v>8428584.7365860771</v>
      </c>
      <c r="Y341" s="83"/>
      <c r="Z341" s="74">
        <f t="shared" ref="Z341" si="171">SUM(Z270:Z340)</f>
        <v>4480632.745600001</v>
      </c>
      <c r="AA341" s="74">
        <v>601219.29</v>
      </c>
      <c r="AB341" s="74">
        <v>86541.42</v>
      </c>
      <c r="AC341" s="74">
        <f>AA341+AB341</f>
        <v>687760.71000000008</v>
      </c>
      <c r="AD341" s="74">
        <f t="shared" si="167"/>
        <v>4567174.1656000009</v>
      </c>
      <c r="AE341" s="293">
        <f t="shared" si="168"/>
        <v>3861410.5709860763</v>
      </c>
      <c r="AF341" s="52">
        <f>SUM(AF270:AF340)</f>
        <v>49981594.665703379</v>
      </c>
      <c r="AG341" s="52">
        <f>SUM(AG270:AG340)</f>
        <v>56797266.665572017</v>
      </c>
    </row>
    <row r="342" spans="1:33" x14ac:dyDescent="0.2">
      <c r="A342" s="150"/>
      <c r="J342" s="44"/>
      <c r="O342" s="92"/>
      <c r="P342" s="44"/>
      <c r="R342" s="44"/>
      <c r="S342" s="4"/>
      <c r="Z342" s="72"/>
      <c r="AA342" s="72"/>
      <c r="AC342" s="72"/>
      <c r="AD342" s="72"/>
      <c r="AE342" s="72"/>
      <c r="AF342" s="79"/>
      <c r="AG342" s="79"/>
    </row>
    <row r="343" spans="1:33" x14ac:dyDescent="0.2">
      <c r="A343" s="150" t="s">
        <v>116</v>
      </c>
      <c r="B343" s="2" t="s">
        <v>117</v>
      </c>
      <c r="J343" s="44"/>
      <c r="O343" s="92"/>
      <c r="P343" s="44"/>
      <c r="R343" s="44"/>
      <c r="S343" s="4"/>
      <c r="Z343" s="72"/>
      <c r="AA343" s="72"/>
      <c r="AC343" s="72"/>
      <c r="AD343" s="72"/>
      <c r="AE343" s="72"/>
      <c r="AF343" s="79"/>
      <c r="AG343" s="79"/>
    </row>
    <row r="344" spans="1:33" s="21" customFormat="1" x14ac:dyDescent="0.2">
      <c r="A344" s="114" t="s">
        <v>884</v>
      </c>
      <c r="B344" s="114"/>
      <c r="C344" s="114"/>
      <c r="D344" s="160">
        <v>1</v>
      </c>
      <c r="E344" s="161"/>
      <c r="F344" s="162">
        <v>0.12</v>
      </c>
      <c r="G344" s="162"/>
      <c r="H344" s="52">
        <v>29140</v>
      </c>
      <c r="I344" s="52">
        <f t="shared" ref="I344:I345" si="172">+$H$39*H344</f>
        <v>25759.760000000002</v>
      </c>
      <c r="J344" s="52">
        <f t="shared" ref="J344:J350" si="173">I344*(1-F344)</f>
        <v>22668.588800000001</v>
      </c>
      <c r="K344" s="61"/>
      <c r="L344" s="160">
        <v>0</v>
      </c>
      <c r="M344" s="55">
        <f t="shared" ref="M344:M350" si="174">L344</f>
        <v>0</v>
      </c>
      <c r="N344" s="55">
        <f t="shared" ref="N344:N350" si="175">M344*(1-F344)</f>
        <v>0</v>
      </c>
      <c r="O344" s="95"/>
      <c r="P344" s="160">
        <v>0</v>
      </c>
      <c r="Q344" s="55">
        <f t="shared" ref="Q344:Q350" si="176">+P344</f>
        <v>0</v>
      </c>
      <c r="R344" s="65">
        <f t="shared" ref="R344:R350" si="177">Q344*(1-F344)</f>
        <v>0</v>
      </c>
      <c r="S344" s="118">
        <v>25</v>
      </c>
      <c r="T344" s="121" t="s">
        <v>217</v>
      </c>
      <c r="U344" s="73">
        <f>SUMIF('Avoided Costs 2013-2021'!$A:$A,'2013 Actuals'!T344&amp;'2013 Actuals'!S344,'Avoided Costs 2013-2021'!$E:$E)*J344</f>
        <v>66737.931614663976</v>
      </c>
      <c r="V344" s="73">
        <f>SUMIF('Avoided Costs 2013-2021'!$A:$A,'2013 Actuals'!T344&amp;'2013 Actuals'!S344,'Avoided Costs 2013-2021'!$K:$K)*N344</f>
        <v>0</v>
      </c>
      <c r="W344" s="73">
        <f>SUMIF('Avoided Costs 2013-2021'!$A:$A,'2013 Actuals'!T344&amp;'2013 Actuals'!S344,'Avoided Costs 2013-2021'!$M:$M)*R344</f>
        <v>0</v>
      </c>
      <c r="X344" s="73">
        <f t="shared" ref="X344:X350" si="178">SUM(U344:W344)</f>
        <v>66737.931614663976</v>
      </c>
      <c r="Y344" s="83">
        <v>19182</v>
      </c>
      <c r="Z344" s="74">
        <f t="shared" ref="Z344:Z350" si="179">Y344*(1-F344)</f>
        <v>16880.16</v>
      </c>
      <c r="AA344" s="74"/>
      <c r="AB344" s="74"/>
      <c r="AC344" s="74"/>
      <c r="AD344" s="74">
        <f t="shared" ref="AD344:AD351" si="180">Z344+AB344</f>
        <v>16880.16</v>
      </c>
      <c r="AE344" s="74">
        <f t="shared" ref="AE344:AE351" si="181">X344-AD344</f>
        <v>49857.771614663972</v>
      </c>
      <c r="AF344" s="52">
        <f t="shared" ref="AF344:AF350" si="182">J344*S344</f>
        <v>566714.72000000009</v>
      </c>
      <c r="AG344" s="52">
        <f t="shared" ref="AG344:AG350" si="183">(I344*S344)</f>
        <v>643994</v>
      </c>
    </row>
    <row r="345" spans="1:33" s="21" customFormat="1" x14ac:dyDescent="0.2">
      <c r="A345" s="114" t="s">
        <v>885</v>
      </c>
      <c r="B345" s="114"/>
      <c r="C345" s="114"/>
      <c r="D345" s="160">
        <v>1</v>
      </c>
      <c r="E345" s="161"/>
      <c r="F345" s="162">
        <v>0.12</v>
      </c>
      <c r="G345" s="162"/>
      <c r="H345" s="52">
        <v>53700</v>
      </c>
      <c r="I345" s="52">
        <f t="shared" si="172"/>
        <v>47470.8</v>
      </c>
      <c r="J345" s="52">
        <f t="shared" si="173"/>
        <v>41774.304000000004</v>
      </c>
      <c r="K345" s="61"/>
      <c r="L345" s="160">
        <v>0</v>
      </c>
      <c r="M345" s="55">
        <f t="shared" si="174"/>
        <v>0</v>
      </c>
      <c r="N345" s="55">
        <f t="shared" si="175"/>
        <v>0</v>
      </c>
      <c r="O345" s="95"/>
      <c r="P345" s="160">
        <v>0</v>
      </c>
      <c r="Q345" s="55">
        <f t="shared" si="176"/>
        <v>0</v>
      </c>
      <c r="R345" s="65">
        <f t="shared" si="177"/>
        <v>0</v>
      </c>
      <c r="S345" s="118">
        <v>15</v>
      </c>
      <c r="T345" s="121" t="s">
        <v>217</v>
      </c>
      <c r="U345" s="73">
        <f>SUMIF('Avoided Costs 2013-2021'!$A:$A,'2013 Actuals'!T345&amp;'2013 Actuals'!S345,'Avoided Costs 2013-2021'!$E:$E)*J345</f>
        <v>87632.956103778546</v>
      </c>
      <c r="V345" s="73">
        <f>SUMIF('Avoided Costs 2013-2021'!$A:$A,'2013 Actuals'!T345&amp;'2013 Actuals'!S345,'Avoided Costs 2013-2021'!$K:$K)*N345</f>
        <v>0</v>
      </c>
      <c r="W345" s="73">
        <f>SUMIF('Avoided Costs 2013-2021'!$A:$A,'2013 Actuals'!T345&amp;'2013 Actuals'!S345,'Avoided Costs 2013-2021'!$M:$M)*R345</f>
        <v>0</v>
      </c>
      <c r="X345" s="73">
        <f t="shared" si="178"/>
        <v>87632.956103778546</v>
      </c>
      <c r="Y345" s="83">
        <v>28980</v>
      </c>
      <c r="Z345" s="74">
        <f t="shared" si="179"/>
        <v>25502.400000000001</v>
      </c>
      <c r="AA345" s="74"/>
      <c r="AB345" s="74"/>
      <c r="AC345" s="74"/>
      <c r="AD345" s="74">
        <f t="shared" si="180"/>
        <v>25502.400000000001</v>
      </c>
      <c r="AE345" s="74">
        <f t="shared" si="181"/>
        <v>62130.556103778545</v>
      </c>
      <c r="AF345" s="52">
        <f t="shared" si="182"/>
        <v>626614.56000000006</v>
      </c>
      <c r="AG345" s="52">
        <f t="shared" si="183"/>
        <v>712062</v>
      </c>
    </row>
    <row r="346" spans="1:33" s="21" customFormat="1" x14ac:dyDescent="0.2">
      <c r="A346" s="114" t="s">
        <v>886</v>
      </c>
      <c r="B346" s="114"/>
      <c r="C346" s="114"/>
      <c r="D346" s="160">
        <v>1</v>
      </c>
      <c r="E346" s="161"/>
      <c r="F346" s="162">
        <v>0.12</v>
      </c>
      <c r="G346" s="162"/>
      <c r="H346" s="52">
        <v>19189</v>
      </c>
      <c r="I346" s="52">
        <f t="shared" ref="I346:I347" si="184">H346</f>
        <v>19189</v>
      </c>
      <c r="J346" s="52">
        <f t="shared" si="173"/>
        <v>16886.32</v>
      </c>
      <c r="K346" s="61"/>
      <c r="L346" s="160">
        <v>0</v>
      </c>
      <c r="M346" s="55">
        <f t="shared" si="174"/>
        <v>0</v>
      </c>
      <c r="N346" s="55">
        <f t="shared" si="175"/>
        <v>0</v>
      </c>
      <c r="O346" s="95"/>
      <c r="P346" s="160">
        <v>0</v>
      </c>
      <c r="Q346" s="55">
        <f t="shared" si="176"/>
        <v>0</v>
      </c>
      <c r="R346" s="65">
        <f t="shared" si="177"/>
        <v>0</v>
      </c>
      <c r="S346" s="118">
        <v>25</v>
      </c>
      <c r="T346" s="121" t="s">
        <v>201</v>
      </c>
      <c r="U346" s="73">
        <f>SUMIF('Avoided Costs 2013-2021'!$A:$A,'2013 Actuals'!T346&amp;'2013 Actuals'!S346,'Avoided Costs 2013-2021'!$E:$E)*J346</f>
        <v>52974.794625664515</v>
      </c>
      <c r="V346" s="73">
        <f>SUMIF('Avoided Costs 2013-2021'!$A:$A,'2013 Actuals'!T346&amp;'2013 Actuals'!S346,'Avoided Costs 2013-2021'!$K:$K)*N346</f>
        <v>0</v>
      </c>
      <c r="W346" s="73">
        <f>SUMIF('Avoided Costs 2013-2021'!$A:$A,'2013 Actuals'!T346&amp;'2013 Actuals'!S346,'Avoided Costs 2013-2021'!$M:$M)*R346</f>
        <v>0</v>
      </c>
      <c r="X346" s="73">
        <f t="shared" si="178"/>
        <v>52974.794625664515</v>
      </c>
      <c r="Y346" s="83">
        <v>7400</v>
      </c>
      <c r="Z346" s="74">
        <f t="shared" si="179"/>
        <v>6512</v>
      </c>
      <c r="AA346" s="74"/>
      <c r="AB346" s="74"/>
      <c r="AC346" s="74"/>
      <c r="AD346" s="74">
        <f t="shared" si="180"/>
        <v>6512</v>
      </c>
      <c r="AE346" s="74">
        <f t="shared" si="181"/>
        <v>46462.794625664515</v>
      </c>
      <c r="AF346" s="52">
        <f t="shared" si="182"/>
        <v>422158</v>
      </c>
      <c r="AG346" s="52">
        <f t="shared" si="183"/>
        <v>479725</v>
      </c>
    </row>
    <row r="347" spans="1:33" s="21" customFormat="1" x14ac:dyDescent="0.2">
      <c r="A347" s="114" t="s">
        <v>887</v>
      </c>
      <c r="B347" s="114"/>
      <c r="C347" s="114"/>
      <c r="D347" s="160">
        <v>1</v>
      </c>
      <c r="E347" s="161"/>
      <c r="F347" s="162">
        <v>0.12</v>
      </c>
      <c r="G347" s="162"/>
      <c r="H347" s="52">
        <v>12141</v>
      </c>
      <c r="I347" s="52">
        <f t="shared" si="184"/>
        <v>12141</v>
      </c>
      <c r="J347" s="52">
        <f t="shared" si="173"/>
        <v>10684.08</v>
      </c>
      <c r="K347" s="61"/>
      <c r="L347" s="160">
        <v>0</v>
      </c>
      <c r="M347" s="55">
        <f t="shared" si="174"/>
        <v>0</v>
      </c>
      <c r="N347" s="55">
        <f t="shared" si="175"/>
        <v>0</v>
      </c>
      <c r="O347" s="95"/>
      <c r="P347" s="160">
        <v>0</v>
      </c>
      <c r="Q347" s="55">
        <f t="shared" si="176"/>
        <v>0</v>
      </c>
      <c r="R347" s="65">
        <f t="shared" si="177"/>
        <v>0</v>
      </c>
      <c r="S347" s="118">
        <v>25</v>
      </c>
      <c r="T347" s="121" t="s">
        <v>201</v>
      </c>
      <c r="U347" s="73">
        <f>SUMIF('Avoided Costs 2013-2021'!$A:$A,'2013 Actuals'!T347&amp;'2013 Actuals'!S347,'Avoided Costs 2013-2021'!$E:$E)*J347</f>
        <v>33517.483013715821</v>
      </c>
      <c r="V347" s="73">
        <f>SUMIF('Avoided Costs 2013-2021'!$A:$A,'2013 Actuals'!T347&amp;'2013 Actuals'!S347,'Avoided Costs 2013-2021'!$K:$K)*N347</f>
        <v>0</v>
      </c>
      <c r="W347" s="73">
        <f>SUMIF('Avoided Costs 2013-2021'!$A:$A,'2013 Actuals'!T347&amp;'2013 Actuals'!S347,'Avoided Costs 2013-2021'!$M:$M)*R347</f>
        <v>0</v>
      </c>
      <c r="X347" s="73">
        <f t="shared" si="178"/>
        <v>33517.483013715821</v>
      </c>
      <c r="Y347" s="83">
        <v>10300</v>
      </c>
      <c r="Z347" s="74">
        <f t="shared" si="179"/>
        <v>9064</v>
      </c>
      <c r="AA347" s="74"/>
      <c r="AB347" s="74"/>
      <c r="AC347" s="74"/>
      <c r="AD347" s="74">
        <f t="shared" si="180"/>
        <v>9064</v>
      </c>
      <c r="AE347" s="74">
        <f t="shared" si="181"/>
        <v>24453.483013715821</v>
      </c>
      <c r="AF347" s="52">
        <f t="shared" si="182"/>
        <v>267102</v>
      </c>
      <c r="AG347" s="52">
        <f t="shared" si="183"/>
        <v>303525</v>
      </c>
    </row>
    <row r="348" spans="1:33" s="21" customFormat="1" x14ac:dyDescent="0.2">
      <c r="A348" s="114" t="s">
        <v>888</v>
      </c>
      <c r="B348" s="114"/>
      <c r="C348" s="114"/>
      <c r="D348" s="160">
        <v>1</v>
      </c>
      <c r="E348" s="161"/>
      <c r="F348" s="162">
        <v>0.12</v>
      </c>
      <c r="G348" s="162"/>
      <c r="H348" s="52">
        <v>1854</v>
      </c>
      <c r="I348" s="52">
        <f t="shared" ref="I348:I350" si="185">+$H$39*H348</f>
        <v>1638.9359999999999</v>
      </c>
      <c r="J348" s="52">
        <f t="shared" si="173"/>
        <v>1442.26368</v>
      </c>
      <c r="K348" s="61"/>
      <c r="L348" s="160">
        <v>0</v>
      </c>
      <c r="M348" s="55">
        <f t="shared" si="174"/>
        <v>0</v>
      </c>
      <c r="N348" s="55">
        <f t="shared" si="175"/>
        <v>0</v>
      </c>
      <c r="O348" s="95"/>
      <c r="P348" s="160">
        <v>0</v>
      </c>
      <c r="Q348" s="55">
        <f t="shared" si="176"/>
        <v>0</v>
      </c>
      <c r="R348" s="65">
        <f t="shared" si="177"/>
        <v>0</v>
      </c>
      <c r="S348" s="118">
        <v>25</v>
      </c>
      <c r="T348" s="121" t="s">
        <v>201</v>
      </c>
      <c r="U348" s="73">
        <f>SUMIF('Avoided Costs 2013-2021'!$A:$A,'2013 Actuals'!T348&amp;'2013 Actuals'!S348,'Avoided Costs 2013-2021'!$E:$E)*J348</f>
        <v>4524.5868989842147</v>
      </c>
      <c r="V348" s="73">
        <f>SUMIF('Avoided Costs 2013-2021'!$A:$A,'2013 Actuals'!T348&amp;'2013 Actuals'!S348,'Avoided Costs 2013-2021'!$K:$K)*N348</f>
        <v>0</v>
      </c>
      <c r="W348" s="73">
        <f>SUMIF('Avoided Costs 2013-2021'!$A:$A,'2013 Actuals'!T348&amp;'2013 Actuals'!S348,'Avoided Costs 2013-2021'!$M:$M)*R348</f>
        <v>0</v>
      </c>
      <c r="X348" s="73">
        <f t="shared" si="178"/>
        <v>4524.5868989842147</v>
      </c>
      <c r="Y348" s="83">
        <v>3589</v>
      </c>
      <c r="Z348" s="74">
        <f t="shared" si="179"/>
        <v>3158.32</v>
      </c>
      <c r="AA348" s="74"/>
      <c r="AB348" s="74"/>
      <c r="AC348" s="74"/>
      <c r="AD348" s="74">
        <f t="shared" si="180"/>
        <v>3158.32</v>
      </c>
      <c r="AE348" s="74">
        <f t="shared" si="181"/>
        <v>1366.2668989842145</v>
      </c>
      <c r="AF348" s="52">
        <f t="shared" si="182"/>
        <v>36056.592000000004</v>
      </c>
      <c r="AG348" s="52">
        <f t="shared" si="183"/>
        <v>40973.4</v>
      </c>
    </row>
    <row r="349" spans="1:33" s="21" customFormat="1" x14ac:dyDescent="0.2">
      <c r="A349" s="114" t="s">
        <v>889</v>
      </c>
      <c r="B349" s="114"/>
      <c r="C349" s="114"/>
      <c r="D349" s="160">
        <v>1</v>
      </c>
      <c r="E349" s="161"/>
      <c r="F349" s="162">
        <v>0.12</v>
      </c>
      <c r="G349" s="162"/>
      <c r="H349" s="52">
        <v>56390</v>
      </c>
      <c r="I349" s="52">
        <f t="shared" si="185"/>
        <v>49848.76</v>
      </c>
      <c r="J349" s="52">
        <f t="shared" si="173"/>
        <v>43866.908800000005</v>
      </c>
      <c r="K349" s="61"/>
      <c r="L349" s="160">
        <v>0</v>
      </c>
      <c r="M349" s="55">
        <f t="shared" si="174"/>
        <v>0</v>
      </c>
      <c r="N349" s="55">
        <f t="shared" si="175"/>
        <v>0</v>
      </c>
      <c r="O349" s="95"/>
      <c r="P349" s="160">
        <v>0</v>
      </c>
      <c r="Q349" s="55">
        <f t="shared" si="176"/>
        <v>0</v>
      </c>
      <c r="R349" s="65">
        <f t="shared" si="177"/>
        <v>0</v>
      </c>
      <c r="S349" s="118">
        <v>15</v>
      </c>
      <c r="T349" s="121" t="s">
        <v>201</v>
      </c>
      <c r="U349" s="73">
        <f>SUMIF('Avoided Costs 2013-2021'!$A:$A,'2013 Actuals'!T349&amp;'2013 Actuals'!S349,'Avoided Costs 2013-2021'!$E:$E)*J349</f>
        <v>98036.511736203684</v>
      </c>
      <c r="V349" s="73">
        <f>SUMIF('Avoided Costs 2013-2021'!$A:$A,'2013 Actuals'!T349&amp;'2013 Actuals'!S349,'Avoided Costs 2013-2021'!$K:$K)*N349</f>
        <v>0</v>
      </c>
      <c r="W349" s="73">
        <f>SUMIF('Avoided Costs 2013-2021'!$A:$A,'2013 Actuals'!T349&amp;'2013 Actuals'!S349,'Avoided Costs 2013-2021'!$M:$M)*R349</f>
        <v>0</v>
      </c>
      <c r="X349" s="73">
        <f t="shared" si="178"/>
        <v>98036.511736203684</v>
      </c>
      <c r="Y349" s="83">
        <v>95398</v>
      </c>
      <c r="Z349" s="74">
        <f t="shared" si="179"/>
        <v>83950.24</v>
      </c>
      <c r="AA349" s="74"/>
      <c r="AB349" s="74"/>
      <c r="AC349" s="74"/>
      <c r="AD349" s="74">
        <f t="shared" si="180"/>
        <v>83950.24</v>
      </c>
      <c r="AE349" s="74">
        <f t="shared" si="181"/>
        <v>14086.271736203678</v>
      </c>
      <c r="AF349" s="52">
        <f t="shared" si="182"/>
        <v>658003.6320000001</v>
      </c>
      <c r="AG349" s="52">
        <f t="shared" si="183"/>
        <v>747731.4</v>
      </c>
    </row>
    <row r="350" spans="1:33" s="21" customFormat="1" x14ac:dyDescent="0.2">
      <c r="A350" s="114" t="s">
        <v>890</v>
      </c>
      <c r="B350" s="114"/>
      <c r="C350" s="114"/>
      <c r="D350" s="160">
        <v>1</v>
      </c>
      <c r="E350" s="161"/>
      <c r="F350" s="162">
        <v>0.12</v>
      </c>
      <c r="G350" s="162"/>
      <c r="H350" s="52">
        <v>77733</v>
      </c>
      <c r="I350" s="52">
        <f t="shared" si="185"/>
        <v>68715.971999999994</v>
      </c>
      <c r="J350" s="52">
        <f t="shared" si="173"/>
        <v>60470.055359999998</v>
      </c>
      <c r="K350" s="61"/>
      <c r="L350" s="160">
        <v>0</v>
      </c>
      <c r="M350" s="55">
        <f t="shared" si="174"/>
        <v>0</v>
      </c>
      <c r="N350" s="55">
        <f t="shared" si="175"/>
        <v>0</v>
      </c>
      <c r="O350" s="95"/>
      <c r="P350" s="160">
        <v>0</v>
      </c>
      <c r="Q350" s="55">
        <f t="shared" si="176"/>
        <v>0</v>
      </c>
      <c r="R350" s="65">
        <f t="shared" si="177"/>
        <v>0</v>
      </c>
      <c r="S350" s="118">
        <v>25</v>
      </c>
      <c r="T350" s="121" t="s">
        <v>201</v>
      </c>
      <c r="U350" s="73">
        <f>SUMIF('Avoided Costs 2013-2021'!$A:$A,'2013 Actuals'!T350&amp;'2013 Actuals'!S350,'Avoided Costs 2013-2021'!$E:$E)*J350</f>
        <v>189703.18954624594</v>
      </c>
      <c r="V350" s="73">
        <f>SUMIF('Avoided Costs 2013-2021'!$A:$A,'2013 Actuals'!T350&amp;'2013 Actuals'!S350,'Avoided Costs 2013-2021'!$K:$K)*N350</f>
        <v>0</v>
      </c>
      <c r="W350" s="73">
        <f>SUMIF('Avoided Costs 2013-2021'!$A:$A,'2013 Actuals'!T350&amp;'2013 Actuals'!S350,'Avoided Costs 2013-2021'!$M:$M)*R350</f>
        <v>0</v>
      </c>
      <c r="X350" s="73">
        <f t="shared" si="178"/>
        <v>189703.18954624594</v>
      </c>
      <c r="Y350" s="83">
        <v>30524</v>
      </c>
      <c r="Z350" s="74">
        <f t="shared" si="179"/>
        <v>26861.119999999999</v>
      </c>
      <c r="AA350" s="74"/>
      <c r="AB350" s="74"/>
      <c r="AC350" s="74"/>
      <c r="AD350" s="74">
        <f t="shared" si="180"/>
        <v>26861.119999999999</v>
      </c>
      <c r="AE350" s="74">
        <f t="shared" si="181"/>
        <v>162842.06954624594</v>
      </c>
      <c r="AF350" s="52">
        <f t="shared" si="182"/>
        <v>1511751.3840000001</v>
      </c>
      <c r="AG350" s="52">
        <f t="shared" si="183"/>
        <v>1717899.2999999998</v>
      </c>
    </row>
    <row r="351" spans="1:33" s="4" customFormat="1" collapsed="1" x14ac:dyDescent="0.2">
      <c r="A351" s="303" t="s">
        <v>4</v>
      </c>
      <c r="B351" s="303" t="s">
        <v>115</v>
      </c>
      <c r="C351" s="304"/>
      <c r="D351" s="52">
        <f>SUM(D344:D350)</f>
        <v>7</v>
      </c>
      <c r="E351" s="291"/>
      <c r="F351" s="305"/>
      <c r="G351" s="305"/>
      <c r="H351" s="52">
        <v>250147</v>
      </c>
      <c r="I351" s="52">
        <f>SUM(I344:I350)</f>
        <v>224764.228</v>
      </c>
      <c r="J351" s="52">
        <f>SUM(J344:J350)</f>
        <v>197792.52064</v>
      </c>
      <c r="K351" s="291"/>
      <c r="L351" s="52">
        <v>0</v>
      </c>
      <c r="M351" s="52">
        <f>SUM(M344:M350)</f>
        <v>0</v>
      </c>
      <c r="N351" s="52">
        <f>SUM(N344:N350)</f>
        <v>0</v>
      </c>
      <c r="O351" s="306"/>
      <c r="P351" s="52">
        <v>0</v>
      </c>
      <c r="Q351" s="52">
        <f>SUM(Q344:Q350)</f>
        <v>0</v>
      </c>
      <c r="R351" s="52">
        <f>SUM(R344:R350)</f>
        <v>0</v>
      </c>
      <c r="S351" s="305"/>
      <c r="T351" s="304" t="s">
        <v>215</v>
      </c>
      <c r="U351" s="307">
        <f>SUM(U344:U350)</f>
        <v>533127.4535392567</v>
      </c>
      <c r="V351" s="307">
        <f>SUM(V344:V350)</f>
        <v>0</v>
      </c>
      <c r="W351" s="307">
        <f>SUM(W344:W350)</f>
        <v>0</v>
      </c>
      <c r="X351" s="307">
        <f>SUM(X344:X350)</f>
        <v>533127.4535392567</v>
      </c>
      <c r="Y351" s="83"/>
      <c r="Z351" s="307">
        <f t="shared" ref="Z351" si="186">SUM(Z344:Z350)</f>
        <v>171928.24</v>
      </c>
      <c r="AA351" s="74">
        <v>8558.17</v>
      </c>
      <c r="AB351" s="74">
        <v>0</v>
      </c>
      <c r="AC351" s="74">
        <f>AA351+AB351</f>
        <v>8558.17</v>
      </c>
      <c r="AD351" s="74">
        <f t="shared" si="180"/>
        <v>171928.24</v>
      </c>
      <c r="AE351" s="293">
        <f t="shared" si="181"/>
        <v>361199.21353925671</v>
      </c>
      <c r="AF351" s="52">
        <f>SUM(AF344:AF350)</f>
        <v>4088400.8880000003</v>
      </c>
      <c r="AG351" s="52">
        <f>SUM(AG344:AG350)</f>
        <v>4645910.0999999996</v>
      </c>
    </row>
    <row r="352" spans="1:33" x14ac:dyDescent="0.2">
      <c r="A352" s="150"/>
      <c r="J352" s="44"/>
      <c r="O352" s="92"/>
      <c r="P352" s="44"/>
      <c r="R352" s="44"/>
      <c r="S352" s="4"/>
      <c r="Z352" s="72"/>
      <c r="AA352" s="72"/>
      <c r="AC352" s="72"/>
      <c r="AD352" s="72"/>
      <c r="AE352" s="72"/>
      <c r="AF352" s="79"/>
      <c r="AG352" s="79"/>
    </row>
    <row r="353" spans="1:33" x14ac:dyDescent="0.2">
      <c r="A353" s="150" t="s">
        <v>92</v>
      </c>
      <c r="B353" s="2" t="s">
        <v>72</v>
      </c>
      <c r="J353" s="44"/>
      <c r="O353" s="92"/>
      <c r="P353" s="44"/>
      <c r="R353" s="44"/>
      <c r="S353" s="4"/>
      <c r="Z353" s="72"/>
      <c r="AA353" s="72"/>
      <c r="AC353" s="72"/>
      <c r="AD353" s="72"/>
      <c r="AE353" s="72"/>
      <c r="AF353" s="79"/>
      <c r="AG353" s="79"/>
    </row>
    <row r="354" spans="1:33" s="21" customFormat="1" x14ac:dyDescent="0.2">
      <c r="A354" s="166" t="s">
        <v>216</v>
      </c>
      <c r="B354" s="166"/>
      <c r="C354" s="166"/>
      <c r="D354" s="65">
        <v>0</v>
      </c>
      <c r="E354" s="167"/>
      <c r="F354" s="168">
        <v>0.12</v>
      </c>
      <c r="G354" s="168"/>
      <c r="H354" s="52">
        <v>168</v>
      </c>
      <c r="I354" s="52">
        <f t="shared" ref="I354:I385" si="187">+$H$39*H354</f>
        <v>148.512</v>
      </c>
      <c r="J354" s="52">
        <f t="shared" ref="J354:J385" si="188">I354*(1-F354)</f>
        <v>130.69056</v>
      </c>
      <c r="K354" s="167"/>
      <c r="L354" s="65">
        <v>0</v>
      </c>
      <c r="M354" s="55">
        <f t="shared" ref="M354:M385" si="189">+$L$39*L354</f>
        <v>0</v>
      </c>
      <c r="N354" s="55">
        <f t="shared" ref="N354:N385" si="190">M354*(1-F354)</f>
        <v>0</v>
      </c>
      <c r="O354" s="169"/>
      <c r="P354" s="65">
        <v>0</v>
      </c>
      <c r="Q354" s="55">
        <f t="shared" ref="Q354:Q385" si="191">+P354*$P$39</f>
        <v>0</v>
      </c>
      <c r="R354" s="65">
        <f t="shared" ref="R354:R385" si="192">Q354*(1-F354)</f>
        <v>0</v>
      </c>
      <c r="S354" s="127">
        <v>15</v>
      </c>
      <c r="T354" s="125" t="s">
        <v>217</v>
      </c>
      <c r="U354" s="73">
        <f>SUMIF('Avoided Costs 2013-2021'!$A:$A,'2013 Actuals'!T354&amp;'2013 Actuals'!S354,'Avoided Costs 2013-2021'!$E:$E)*J354</f>
        <v>274.15896881629038</v>
      </c>
      <c r="V354" s="73">
        <f>SUMIF('Avoided Costs 2013-2021'!$A:$A,'2013 Actuals'!T354&amp;'2013 Actuals'!S354,'Avoided Costs 2013-2021'!$K:$K)*N354</f>
        <v>0</v>
      </c>
      <c r="W354" s="73">
        <f>SUMIF('Avoided Costs 2013-2021'!$A:$A,'2013 Actuals'!T354&amp;'2013 Actuals'!S354,'Avoided Costs 2013-2021'!$M:$M)*R354</f>
        <v>0</v>
      </c>
      <c r="X354" s="73">
        <f t="shared" ref="X354:X385" si="193">SUM(U354:W354)</f>
        <v>274.15896881629038</v>
      </c>
      <c r="Y354" s="83">
        <v>0</v>
      </c>
      <c r="Z354" s="74">
        <f t="shared" ref="Z354:Z385" si="194">Y354*(1-F354)</f>
        <v>0</v>
      </c>
      <c r="AA354" s="74"/>
      <c r="AB354" s="74"/>
      <c r="AC354" s="74"/>
      <c r="AD354" s="74">
        <f t="shared" ref="AD354:AD385" si="195">Z354+AB354</f>
        <v>0</v>
      </c>
      <c r="AE354" s="74">
        <f t="shared" ref="AE354:AE385" si="196">X354-AD354</f>
        <v>274.15896881629038</v>
      </c>
      <c r="AF354" s="52">
        <f t="shared" ref="AF354:AF385" si="197">J354*S354</f>
        <v>1960.3584000000001</v>
      </c>
      <c r="AG354" s="52">
        <f t="shared" ref="AG354:AG385" si="198">(I354*S354)</f>
        <v>2227.6799999999998</v>
      </c>
    </row>
    <row r="355" spans="1:33" s="21" customFormat="1" x14ac:dyDescent="0.2">
      <c r="A355" s="170" t="s">
        <v>218</v>
      </c>
      <c r="B355" s="170"/>
      <c r="C355" s="170"/>
      <c r="D355" s="171">
        <v>1</v>
      </c>
      <c r="E355" s="172"/>
      <c r="F355" s="173">
        <v>0.12</v>
      </c>
      <c r="G355" s="173"/>
      <c r="H355" s="51">
        <v>26595</v>
      </c>
      <c r="I355" s="52">
        <f t="shared" si="187"/>
        <v>23509.98</v>
      </c>
      <c r="J355" s="52">
        <f t="shared" si="188"/>
        <v>20688.7824</v>
      </c>
      <c r="K355" s="172"/>
      <c r="L355" s="171">
        <v>110420</v>
      </c>
      <c r="M355" s="55">
        <f t="shared" si="189"/>
        <v>110420</v>
      </c>
      <c r="N355" s="55">
        <f t="shared" si="190"/>
        <v>97169.600000000006</v>
      </c>
      <c r="O355" s="174"/>
      <c r="P355" s="171">
        <v>0</v>
      </c>
      <c r="Q355" s="55">
        <f t="shared" si="191"/>
        <v>0</v>
      </c>
      <c r="R355" s="65">
        <f t="shared" si="192"/>
        <v>0</v>
      </c>
      <c r="S355" s="131">
        <v>15</v>
      </c>
      <c r="T355" s="32" t="s">
        <v>201</v>
      </c>
      <c r="U355" s="73">
        <f>SUMIF('Avoided Costs 2013-2021'!$A:$A,'2013 Actuals'!T355&amp;'2013 Actuals'!S355,'Avoided Costs 2013-2021'!$E:$E)*J355</f>
        <v>46236.585026145352</v>
      </c>
      <c r="V355" s="73">
        <f>SUMIF('Avoided Costs 2013-2021'!$A:$A,'2013 Actuals'!T355&amp;'2013 Actuals'!S355,'Avoided Costs 2013-2021'!$K:$K)*N355</f>
        <v>101726.23905461465</v>
      </c>
      <c r="W355" s="73">
        <f>SUMIF('Avoided Costs 2013-2021'!$A:$A,'2013 Actuals'!T355&amp;'2013 Actuals'!S355,'Avoided Costs 2013-2021'!$M:$M)*R355</f>
        <v>0</v>
      </c>
      <c r="X355" s="73">
        <f t="shared" si="193"/>
        <v>147962.82408076001</v>
      </c>
      <c r="Y355" s="89">
        <v>48000</v>
      </c>
      <c r="Z355" s="74">
        <f t="shared" si="194"/>
        <v>42240</v>
      </c>
      <c r="AA355" s="75"/>
      <c r="AB355" s="75"/>
      <c r="AC355" s="75"/>
      <c r="AD355" s="74">
        <f t="shared" si="195"/>
        <v>42240</v>
      </c>
      <c r="AE355" s="74">
        <f t="shared" si="196"/>
        <v>105722.82408076001</v>
      </c>
      <c r="AF355" s="52">
        <f t="shared" si="197"/>
        <v>310331.73599999998</v>
      </c>
      <c r="AG355" s="52">
        <f t="shared" si="198"/>
        <v>352649.7</v>
      </c>
    </row>
    <row r="356" spans="1:33" s="21" customFormat="1" x14ac:dyDescent="0.2">
      <c r="A356" s="170" t="s">
        <v>219</v>
      </c>
      <c r="B356" s="170"/>
      <c r="C356" s="170"/>
      <c r="D356" s="171">
        <v>1</v>
      </c>
      <c r="E356" s="172"/>
      <c r="F356" s="173">
        <v>0.12</v>
      </c>
      <c r="G356" s="173"/>
      <c r="H356" s="51">
        <v>23110</v>
      </c>
      <c r="I356" s="52">
        <f t="shared" si="187"/>
        <v>20429.240000000002</v>
      </c>
      <c r="J356" s="52">
        <f t="shared" si="188"/>
        <v>17977.731200000002</v>
      </c>
      <c r="K356" s="172"/>
      <c r="L356" s="171">
        <v>0</v>
      </c>
      <c r="M356" s="55">
        <f t="shared" si="189"/>
        <v>0</v>
      </c>
      <c r="N356" s="55">
        <f t="shared" si="190"/>
        <v>0</v>
      </c>
      <c r="O356" s="174"/>
      <c r="P356" s="171">
        <v>0</v>
      </c>
      <c r="Q356" s="55">
        <f t="shared" si="191"/>
        <v>0</v>
      </c>
      <c r="R356" s="65">
        <f t="shared" si="192"/>
        <v>0</v>
      </c>
      <c r="S356" s="131">
        <v>25</v>
      </c>
      <c r="T356" s="32" t="s">
        <v>201</v>
      </c>
      <c r="U356" s="73">
        <f>SUMIF('Avoided Costs 2013-2021'!$A:$A,'2013 Actuals'!T356&amp;'2013 Actuals'!S356,'Avoided Costs 2013-2021'!$E:$E)*J356</f>
        <v>56398.707246777354</v>
      </c>
      <c r="V356" s="73">
        <f>SUMIF('Avoided Costs 2013-2021'!$A:$A,'2013 Actuals'!T356&amp;'2013 Actuals'!S356,'Avoided Costs 2013-2021'!$K:$K)*N356</f>
        <v>0</v>
      </c>
      <c r="W356" s="73">
        <f>SUMIF('Avoided Costs 2013-2021'!$A:$A,'2013 Actuals'!T356&amp;'2013 Actuals'!S356,'Avoided Costs 2013-2021'!$M:$M)*R356</f>
        <v>0</v>
      </c>
      <c r="X356" s="73">
        <f t="shared" si="193"/>
        <v>56398.707246777354</v>
      </c>
      <c r="Y356" s="89">
        <v>14254</v>
      </c>
      <c r="Z356" s="74">
        <f t="shared" si="194"/>
        <v>12543.52</v>
      </c>
      <c r="AA356" s="75"/>
      <c r="AB356" s="75"/>
      <c r="AC356" s="75"/>
      <c r="AD356" s="74">
        <f t="shared" si="195"/>
        <v>12543.52</v>
      </c>
      <c r="AE356" s="74">
        <f t="shared" si="196"/>
        <v>43855.18724677735</v>
      </c>
      <c r="AF356" s="52">
        <f t="shared" si="197"/>
        <v>449443.28</v>
      </c>
      <c r="AG356" s="52">
        <f t="shared" si="198"/>
        <v>510731.00000000006</v>
      </c>
    </row>
    <row r="357" spans="1:33" s="21" customFormat="1" x14ac:dyDescent="0.2">
      <c r="A357" s="170" t="s">
        <v>220</v>
      </c>
      <c r="B357" s="170"/>
      <c r="C357" s="170"/>
      <c r="D357" s="171">
        <v>1</v>
      </c>
      <c r="E357" s="172"/>
      <c r="F357" s="173">
        <v>0.12</v>
      </c>
      <c r="G357" s="173"/>
      <c r="H357" s="51">
        <v>1861</v>
      </c>
      <c r="I357" s="52">
        <f>H357</f>
        <v>1861</v>
      </c>
      <c r="J357" s="52">
        <f t="shared" si="188"/>
        <v>1637.68</v>
      </c>
      <c r="K357" s="172"/>
      <c r="L357" s="171">
        <v>0</v>
      </c>
      <c r="M357" s="55">
        <f t="shared" si="189"/>
        <v>0</v>
      </c>
      <c r="N357" s="55">
        <f t="shared" si="190"/>
        <v>0</v>
      </c>
      <c r="O357" s="174"/>
      <c r="P357" s="171">
        <v>0</v>
      </c>
      <c r="Q357" s="55">
        <f t="shared" si="191"/>
        <v>0</v>
      </c>
      <c r="R357" s="65">
        <f t="shared" si="192"/>
        <v>0</v>
      </c>
      <c r="S357" s="131">
        <v>25</v>
      </c>
      <c r="T357" s="32" t="s">
        <v>217</v>
      </c>
      <c r="U357" s="73">
        <f>SUMIF('Avoided Costs 2013-2021'!$A:$A,'2013 Actuals'!T357&amp;'2013 Actuals'!S357,'Avoided Costs 2013-2021'!$E:$E)*J357</f>
        <v>4821.4459581490528</v>
      </c>
      <c r="V357" s="73">
        <f>SUMIF('Avoided Costs 2013-2021'!$A:$A,'2013 Actuals'!T357&amp;'2013 Actuals'!S357,'Avoided Costs 2013-2021'!$K:$K)*N357</f>
        <v>0</v>
      </c>
      <c r="W357" s="73">
        <f>SUMIF('Avoided Costs 2013-2021'!$A:$A,'2013 Actuals'!T357&amp;'2013 Actuals'!S357,'Avoided Costs 2013-2021'!$M:$M)*R357</f>
        <v>0</v>
      </c>
      <c r="X357" s="73">
        <f t="shared" si="193"/>
        <v>4821.4459581490528</v>
      </c>
      <c r="Y357" s="89">
        <v>4500</v>
      </c>
      <c r="Z357" s="74">
        <f t="shared" si="194"/>
        <v>3960</v>
      </c>
      <c r="AA357" s="75"/>
      <c r="AB357" s="75"/>
      <c r="AC357" s="75"/>
      <c r="AD357" s="74">
        <f t="shared" si="195"/>
        <v>3960</v>
      </c>
      <c r="AE357" s="74">
        <f t="shared" si="196"/>
        <v>861.44595814905279</v>
      </c>
      <c r="AF357" s="52">
        <f t="shared" si="197"/>
        <v>40942</v>
      </c>
      <c r="AG357" s="52">
        <f t="shared" si="198"/>
        <v>46525</v>
      </c>
    </row>
    <row r="358" spans="1:33" s="21" customFormat="1" x14ac:dyDescent="0.2">
      <c r="A358" s="170" t="s">
        <v>221</v>
      </c>
      <c r="B358" s="170"/>
      <c r="C358" s="170"/>
      <c r="D358" s="171">
        <v>1</v>
      </c>
      <c r="E358" s="172"/>
      <c r="F358" s="173">
        <v>0.12</v>
      </c>
      <c r="G358" s="173"/>
      <c r="H358" s="51">
        <v>10766</v>
      </c>
      <c r="I358" s="52">
        <f t="shared" si="187"/>
        <v>9517.1440000000002</v>
      </c>
      <c r="J358" s="52">
        <f t="shared" si="188"/>
        <v>8375.0867200000012</v>
      </c>
      <c r="K358" s="172"/>
      <c r="L358" s="171">
        <v>0</v>
      </c>
      <c r="M358" s="55">
        <f t="shared" si="189"/>
        <v>0</v>
      </c>
      <c r="N358" s="55">
        <f t="shared" si="190"/>
        <v>0</v>
      </c>
      <c r="O358" s="174"/>
      <c r="P358" s="171">
        <v>0</v>
      </c>
      <c r="Q358" s="55">
        <f t="shared" si="191"/>
        <v>0</v>
      </c>
      <c r="R358" s="65">
        <f t="shared" si="192"/>
        <v>0</v>
      </c>
      <c r="S358" s="131">
        <v>5</v>
      </c>
      <c r="T358" s="32" t="s">
        <v>201</v>
      </c>
      <c r="U358" s="73">
        <f>SUMIF('Avoided Costs 2013-2021'!$A:$A,'2013 Actuals'!T358&amp;'2013 Actuals'!S358,'Avoided Costs 2013-2021'!$E:$E)*J358</f>
        <v>6521.7024078225504</v>
      </c>
      <c r="V358" s="73">
        <f>SUMIF('Avoided Costs 2013-2021'!$A:$A,'2013 Actuals'!T358&amp;'2013 Actuals'!S358,'Avoided Costs 2013-2021'!$K:$K)*N358</f>
        <v>0</v>
      </c>
      <c r="W358" s="73">
        <f>SUMIF('Avoided Costs 2013-2021'!$A:$A,'2013 Actuals'!T358&amp;'2013 Actuals'!S358,'Avoided Costs 2013-2021'!$M:$M)*R358</f>
        <v>0</v>
      </c>
      <c r="X358" s="73">
        <f t="shared" si="193"/>
        <v>6521.7024078225504</v>
      </c>
      <c r="Y358" s="89">
        <v>2260</v>
      </c>
      <c r="Z358" s="74">
        <f t="shared" si="194"/>
        <v>1988.8</v>
      </c>
      <c r="AA358" s="75"/>
      <c r="AB358" s="75"/>
      <c r="AC358" s="75"/>
      <c r="AD358" s="74">
        <f t="shared" si="195"/>
        <v>1988.8</v>
      </c>
      <c r="AE358" s="74">
        <f t="shared" si="196"/>
        <v>4532.9024078225502</v>
      </c>
      <c r="AF358" s="52">
        <f t="shared" si="197"/>
        <v>41875.433600000004</v>
      </c>
      <c r="AG358" s="52">
        <f t="shared" si="198"/>
        <v>47585.72</v>
      </c>
    </row>
    <row r="359" spans="1:33" s="21" customFormat="1" x14ac:dyDescent="0.2">
      <c r="A359" s="170" t="s">
        <v>222</v>
      </c>
      <c r="B359" s="170"/>
      <c r="C359" s="170"/>
      <c r="D359" s="171">
        <v>1</v>
      </c>
      <c r="E359" s="172"/>
      <c r="F359" s="173">
        <v>0.12</v>
      </c>
      <c r="G359" s="173"/>
      <c r="H359" s="51">
        <v>5220</v>
      </c>
      <c r="I359" s="52">
        <f t="shared" si="187"/>
        <v>4614.4800000000005</v>
      </c>
      <c r="J359" s="52">
        <f t="shared" si="188"/>
        <v>4060.7424000000005</v>
      </c>
      <c r="K359" s="172"/>
      <c r="L359" s="171">
        <v>0</v>
      </c>
      <c r="M359" s="55">
        <f t="shared" si="189"/>
        <v>0</v>
      </c>
      <c r="N359" s="55">
        <f t="shared" si="190"/>
        <v>0</v>
      </c>
      <c r="O359" s="174"/>
      <c r="P359" s="171">
        <v>0</v>
      </c>
      <c r="Q359" s="55">
        <f t="shared" si="191"/>
        <v>0</v>
      </c>
      <c r="R359" s="65">
        <f t="shared" si="192"/>
        <v>0</v>
      </c>
      <c r="S359" s="131">
        <v>5</v>
      </c>
      <c r="T359" s="32" t="s">
        <v>201</v>
      </c>
      <c r="U359" s="73">
        <f>SUMIF('Avoided Costs 2013-2021'!$A:$A,'2013 Actuals'!T359&amp;'2013 Actuals'!S359,'Avoided Costs 2013-2021'!$E:$E)*J359</f>
        <v>3162.1109575361056</v>
      </c>
      <c r="V359" s="73">
        <f>SUMIF('Avoided Costs 2013-2021'!$A:$A,'2013 Actuals'!T359&amp;'2013 Actuals'!S359,'Avoided Costs 2013-2021'!$K:$K)*N359</f>
        <v>0</v>
      </c>
      <c r="W359" s="73">
        <f>SUMIF('Avoided Costs 2013-2021'!$A:$A,'2013 Actuals'!T359&amp;'2013 Actuals'!S359,'Avoided Costs 2013-2021'!$M:$M)*R359</f>
        <v>0</v>
      </c>
      <c r="X359" s="73">
        <f t="shared" si="193"/>
        <v>3162.1109575361056</v>
      </c>
      <c r="Y359" s="89">
        <v>780</v>
      </c>
      <c r="Z359" s="74">
        <f t="shared" si="194"/>
        <v>686.4</v>
      </c>
      <c r="AA359" s="75"/>
      <c r="AB359" s="75"/>
      <c r="AC359" s="75"/>
      <c r="AD359" s="74">
        <f t="shared" si="195"/>
        <v>686.4</v>
      </c>
      <c r="AE359" s="74">
        <f t="shared" si="196"/>
        <v>2475.7109575361055</v>
      </c>
      <c r="AF359" s="52">
        <f t="shared" si="197"/>
        <v>20303.712000000003</v>
      </c>
      <c r="AG359" s="52">
        <f t="shared" si="198"/>
        <v>23072.400000000001</v>
      </c>
    </row>
    <row r="360" spans="1:33" s="21" customFormat="1" x14ac:dyDescent="0.2">
      <c r="A360" s="170" t="s">
        <v>223</v>
      </c>
      <c r="B360" s="170"/>
      <c r="C360" s="170"/>
      <c r="D360" s="171">
        <v>1</v>
      </c>
      <c r="E360" s="172"/>
      <c r="F360" s="173">
        <v>0.12</v>
      </c>
      <c r="G360" s="173"/>
      <c r="H360" s="51">
        <v>27082</v>
      </c>
      <c r="I360" s="52">
        <f t="shared" si="187"/>
        <v>23940.488000000001</v>
      </c>
      <c r="J360" s="52">
        <f t="shared" si="188"/>
        <v>21067.629440000001</v>
      </c>
      <c r="K360" s="172"/>
      <c r="L360" s="171">
        <v>0</v>
      </c>
      <c r="M360" s="55">
        <f t="shared" si="189"/>
        <v>0</v>
      </c>
      <c r="N360" s="55">
        <f t="shared" si="190"/>
        <v>0</v>
      </c>
      <c r="O360" s="174"/>
      <c r="P360" s="171">
        <v>0</v>
      </c>
      <c r="Q360" s="55">
        <f t="shared" si="191"/>
        <v>0</v>
      </c>
      <c r="R360" s="65">
        <f t="shared" si="192"/>
        <v>0</v>
      </c>
      <c r="S360" s="131">
        <v>15</v>
      </c>
      <c r="T360" s="32" t="s">
        <v>201</v>
      </c>
      <c r="U360" s="73">
        <f>SUMIF('Avoided Costs 2013-2021'!$A:$A,'2013 Actuals'!T360&amp;'2013 Actuals'!S360,'Avoided Costs 2013-2021'!$E:$E)*J360</f>
        <v>47083.256088665861</v>
      </c>
      <c r="V360" s="73">
        <f>SUMIF('Avoided Costs 2013-2021'!$A:$A,'2013 Actuals'!T360&amp;'2013 Actuals'!S360,'Avoided Costs 2013-2021'!$K:$K)*N360</f>
        <v>0</v>
      </c>
      <c r="W360" s="73">
        <f>SUMIF('Avoided Costs 2013-2021'!$A:$A,'2013 Actuals'!T360&amp;'2013 Actuals'!S360,'Avoided Costs 2013-2021'!$M:$M)*R360</f>
        <v>0</v>
      </c>
      <c r="X360" s="73">
        <f t="shared" si="193"/>
        <v>47083.256088665861</v>
      </c>
      <c r="Y360" s="89">
        <v>17900</v>
      </c>
      <c r="Z360" s="74">
        <f t="shared" si="194"/>
        <v>15752</v>
      </c>
      <c r="AA360" s="75"/>
      <c r="AB360" s="75"/>
      <c r="AC360" s="75"/>
      <c r="AD360" s="74">
        <f t="shared" si="195"/>
        <v>15752</v>
      </c>
      <c r="AE360" s="74">
        <f t="shared" si="196"/>
        <v>31331.256088665861</v>
      </c>
      <c r="AF360" s="52">
        <f t="shared" si="197"/>
        <v>316014.44160000002</v>
      </c>
      <c r="AG360" s="52">
        <f t="shared" si="198"/>
        <v>359107.32</v>
      </c>
    </row>
    <row r="361" spans="1:33" s="21" customFormat="1" x14ac:dyDescent="0.2">
      <c r="A361" s="170" t="s">
        <v>224</v>
      </c>
      <c r="B361" s="170"/>
      <c r="C361" s="170"/>
      <c r="D361" s="171">
        <v>1</v>
      </c>
      <c r="E361" s="172"/>
      <c r="F361" s="173">
        <v>0.12</v>
      </c>
      <c r="G361" s="173"/>
      <c r="H361" s="51">
        <v>13703</v>
      </c>
      <c r="I361" s="52">
        <f t="shared" si="187"/>
        <v>12113.451999999999</v>
      </c>
      <c r="J361" s="52">
        <f t="shared" si="188"/>
        <v>10659.83776</v>
      </c>
      <c r="K361" s="172"/>
      <c r="L361" s="171">
        <v>0</v>
      </c>
      <c r="M361" s="55">
        <f t="shared" si="189"/>
        <v>0</v>
      </c>
      <c r="N361" s="55">
        <f t="shared" si="190"/>
        <v>0</v>
      </c>
      <c r="O361" s="174"/>
      <c r="P361" s="171">
        <v>0</v>
      </c>
      <c r="Q361" s="55">
        <f t="shared" si="191"/>
        <v>0</v>
      </c>
      <c r="R361" s="65">
        <f t="shared" si="192"/>
        <v>0</v>
      </c>
      <c r="S361" s="131">
        <v>5</v>
      </c>
      <c r="T361" s="32" t="s">
        <v>201</v>
      </c>
      <c r="U361" s="73">
        <f>SUMIF('Avoided Costs 2013-2021'!$A:$A,'2013 Actuals'!T361&amp;'2013 Actuals'!S361,'Avoided Costs 2013-2021'!$E:$E)*J361</f>
        <v>8300.844147723612</v>
      </c>
      <c r="V361" s="73">
        <f>SUMIF('Avoided Costs 2013-2021'!$A:$A,'2013 Actuals'!T361&amp;'2013 Actuals'!S361,'Avoided Costs 2013-2021'!$K:$K)*N361</f>
        <v>0</v>
      </c>
      <c r="W361" s="73">
        <f>SUMIF('Avoided Costs 2013-2021'!$A:$A,'2013 Actuals'!T361&amp;'2013 Actuals'!S361,'Avoided Costs 2013-2021'!$M:$M)*R361</f>
        <v>0</v>
      </c>
      <c r="X361" s="73">
        <f t="shared" si="193"/>
        <v>8300.844147723612</v>
      </c>
      <c r="Y361" s="89">
        <v>1315</v>
      </c>
      <c r="Z361" s="74">
        <f t="shared" si="194"/>
        <v>1157.2</v>
      </c>
      <c r="AA361" s="75"/>
      <c r="AB361" s="75"/>
      <c r="AC361" s="75"/>
      <c r="AD361" s="74">
        <f t="shared" si="195"/>
        <v>1157.2</v>
      </c>
      <c r="AE361" s="74">
        <f t="shared" si="196"/>
        <v>7143.6441477236122</v>
      </c>
      <c r="AF361" s="52">
        <f t="shared" si="197"/>
        <v>53299.188800000004</v>
      </c>
      <c r="AG361" s="52">
        <f t="shared" si="198"/>
        <v>60567.259999999995</v>
      </c>
    </row>
    <row r="362" spans="1:33" s="21" customFormat="1" x14ac:dyDescent="0.2">
      <c r="A362" s="170" t="s">
        <v>225</v>
      </c>
      <c r="B362" s="170"/>
      <c r="C362" s="170"/>
      <c r="D362" s="171">
        <v>1</v>
      </c>
      <c r="E362" s="172"/>
      <c r="F362" s="173">
        <v>0.12</v>
      </c>
      <c r="G362" s="173"/>
      <c r="H362" s="51">
        <v>30692</v>
      </c>
      <c r="I362" s="52">
        <f t="shared" si="187"/>
        <v>27131.727999999999</v>
      </c>
      <c r="J362" s="52">
        <f t="shared" si="188"/>
        <v>23875.92064</v>
      </c>
      <c r="K362" s="172"/>
      <c r="L362" s="171">
        <v>0</v>
      </c>
      <c r="M362" s="55">
        <f t="shared" si="189"/>
        <v>0</v>
      </c>
      <c r="N362" s="55">
        <f t="shared" si="190"/>
        <v>0</v>
      </c>
      <c r="O362" s="174"/>
      <c r="P362" s="171">
        <v>0</v>
      </c>
      <c r="Q362" s="55">
        <f t="shared" si="191"/>
        <v>0</v>
      </c>
      <c r="R362" s="65">
        <f t="shared" si="192"/>
        <v>0</v>
      </c>
      <c r="S362" s="131">
        <v>15</v>
      </c>
      <c r="T362" s="32" t="s">
        <v>217</v>
      </c>
      <c r="U362" s="73">
        <f>SUMIF('Avoided Costs 2013-2021'!$A:$A,'2013 Actuals'!T362&amp;'2013 Actuals'!S362,'Avoided Costs 2013-2021'!$E:$E)*J362</f>
        <v>50086.232564938</v>
      </c>
      <c r="V362" s="73">
        <f>SUMIF('Avoided Costs 2013-2021'!$A:$A,'2013 Actuals'!T362&amp;'2013 Actuals'!S362,'Avoided Costs 2013-2021'!$K:$K)*N362</f>
        <v>0</v>
      </c>
      <c r="W362" s="73">
        <f>SUMIF('Avoided Costs 2013-2021'!$A:$A,'2013 Actuals'!T362&amp;'2013 Actuals'!S362,'Avoided Costs 2013-2021'!$M:$M)*R362</f>
        <v>0</v>
      </c>
      <c r="X362" s="73">
        <f t="shared" si="193"/>
        <v>50086.232564938</v>
      </c>
      <c r="Y362" s="89">
        <v>32398</v>
      </c>
      <c r="Z362" s="74">
        <f t="shared" si="194"/>
        <v>28510.240000000002</v>
      </c>
      <c r="AA362" s="75"/>
      <c r="AB362" s="75"/>
      <c r="AC362" s="75"/>
      <c r="AD362" s="74">
        <f t="shared" si="195"/>
        <v>28510.240000000002</v>
      </c>
      <c r="AE362" s="74">
        <f t="shared" si="196"/>
        <v>21575.992564937998</v>
      </c>
      <c r="AF362" s="52">
        <f t="shared" si="197"/>
        <v>358138.80959999998</v>
      </c>
      <c r="AG362" s="52">
        <f t="shared" si="198"/>
        <v>406975.92</v>
      </c>
    </row>
    <row r="363" spans="1:33" s="21" customFormat="1" x14ac:dyDescent="0.2">
      <c r="A363" s="170" t="s">
        <v>226</v>
      </c>
      <c r="B363" s="170"/>
      <c r="C363" s="170"/>
      <c r="D363" s="171">
        <v>1</v>
      </c>
      <c r="E363" s="172"/>
      <c r="F363" s="173">
        <v>0.12</v>
      </c>
      <c r="G363" s="173"/>
      <c r="H363" s="51">
        <v>8674</v>
      </c>
      <c r="I363" s="52">
        <f t="shared" si="187"/>
        <v>7667.8159999999998</v>
      </c>
      <c r="J363" s="52">
        <f t="shared" si="188"/>
        <v>6747.6780799999997</v>
      </c>
      <c r="K363" s="172"/>
      <c r="L363" s="171">
        <v>0</v>
      </c>
      <c r="M363" s="55">
        <f t="shared" si="189"/>
        <v>0</v>
      </c>
      <c r="N363" s="55">
        <f t="shared" si="190"/>
        <v>0</v>
      </c>
      <c r="O363" s="174"/>
      <c r="P363" s="171">
        <v>0</v>
      </c>
      <c r="Q363" s="55">
        <f t="shared" si="191"/>
        <v>0</v>
      </c>
      <c r="R363" s="65">
        <f t="shared" si="192"/>
        <v>0</v>
      </c>
      <c r="S363" s="131">
        <v>25</v>
      </c>
      <c r="T363" s="32" t="s">
        <v>201</v>
      </c>
      <c r="U363" s="73">
        <f>SUMIF('Avoided Costs 2013-2021'!$A:$A,'2013 Actuals'!T363&amp;'2013 Actuals'!S363,'Avoided Costs 2013-2021'!$E:$E)*J363</f>
        <v>21168.42867410414</v>
      </c>
      <c r="V363" s="73">
        <f>SUMIF('Avoided Costs 2013-2021'!$A:$A,'2013 Actuals'!T363&amp;'2013 Actuals'!S363,'Avoided Costs 2013-2021'!$K:$K)*N363</f>
        <v>0</v>
      </c>
      <c r="W363" s="73">
        <f>SUMIF('Avoided Costs 2013-2021'!$A:$A,'2013 Actuals'!T363&amp;'2013 Actuals'!S363,'Avoided Costs 2013-2021'!$M:$M)*R363</f>
        <v>0</v>
      </c>
      <c r="X363" s="73">
        <f t="shared" si="193"/>
        <v>21168.42867410414</v>
      </c>
      <c r="Y363" s="89">
        <v>26184</v>
      </c>
      <c r="Z363" s="74">
        <f t="shared" si="194"/>
        <v>23041.920000000002</v>
      </c>
      <c r="AA363" s="75"/>
      <c r="AB363" s="75"/>
      <c r="AC363" s="75"/>
      <c r="AD363" s="74">
        <f t="shared" si="195"/>
        <v>23041.920000000002</v>
      </c>
      <c r="AE363" s="74">
        <f t="shared" si="196"/>
        <v>-1873.4913258958622</v>
      </c>
      <c r="AF363" s="52">
        <f t="shared" si="197"/>
        <v>168691.95199999999</v>
      </c>
      <c r="AG363" s="52">
        <f t="shared" si="198"/>
        <v>191695.4</v>
      </c>
    </row>
    <row r="364" spans="1:33" s="21" customFormat="1" x14ac:dyDescent="0.2">
      <c r="A364" s="170" t="s">
        <v>227</v>
      </c>
      <c r="B364" s="170"/>
      <c r="C364" s="170"/>
      <c r="D364" s="171">
        <v>1</v>
      </c>
      <c r="E364" s="172"/>
      <c r="F364" s="173">
        <v>0.12</v>
      </c>
      <c r="G364" s="173"/>
      <c r="H364" s="51">
        <v>21569</v>
      </c>
      <c r="I364" s="52">
        <f t="shared" si="187"/>
        <v>19066.995999999999</v>
      </c>
      <c r="J364" s="52">
        <f t="shared" si="188"/>
        <v>16778.956480000001</v>
      </c>
      <c r="K364" s="172"/>
      <c r="L364" s="171">
        <v>357535</v>
      </c>
      <c r="M364" s="55">
        <f t="shared" si="189"/>
        <v>357535</v>
      </c>
      <c r="N364" s="55">
        <f t="shared" si="190"/>
        <v>314630.8</v>
      </c>
      <c r="O364" s="174"/>
      <c r="P364" s="171">
        <v>0</v>
      </c>
      <c r="Q364" s="55">
        <f t="shared" si="191"/>
        <v>0</v>
      </c>
      <c r="R364" s="65">
        <f t="shared" si="192"/>
        <v>0</v>
      </c>
      <c r="S364" s="131">
        <v>15</v>
      </c>
      <c r="T364" s="32" t="s">
        <v>201</v>
      </c>
      <c r="U364" s="73">
        <f>SUMIF('Avoided Costs 2013-2021'!$A:$A,'2013 Actuals'!T364&amp;'2013 Actuals'!S364,'Avoided Costs 2013-2021'!$E:$E)*J364</f>
        <v>37498.66149384957</v>
      </c>
      <c r="V364" s="73">
        <f>SUMIF('Avoided Costs 2013-2021'!$A:$A,'2013 Actuals'!T364&amp;'2013 Actuals'!S364,'Avoided Costs 2013-2021'!$K:$K)*N364</f>
        <v>329384.99257735594</v>
      </c>
      <c r="W364" s="73">
        <f>SUMIF('Avoided Costs 2013-2021'!$A:$A,'2013 Actuals'!T364&amp;'2013 Actuals'!S364,'Avoided Costs 2013-2021'!$M:$M)*R364</f>
        <v>0</v>
      </c>
      <c r="X364" s="73">
        <f t="shared" si="193"/>
        <v>366883.65407120553</v>
      </c>
      <c r="Y364" s="89">
        <v>187453</v>
      </c>
      <c r="Z364" s="74">
        <f t="shared" si="194"/>
        <v>164958.64000000001</v>
      </c>
      <c r="AA364" s="75"/>
      <c r="AB364" s="75"/>
      <c r="AC364" s="75"/>
      <c r="AD364" s="74">
        <f t="shared" si="195"/>
        <v>164958.64000000001</v>
      </c>
      <c r="AE364" s="74">
        <f t="shared" si="196"/>
        <v>201925.01407120551</v>
      </c>
      <c r="AF364" s="52">
        <f t="shared" si="197"/>
        <v>251684.34720000002</v>
      </c>
      <c r="AG364" s="52">
        <f t="shared" si="198"/>
        <v>286004.94</v>
      </c>
    </row>
    <row r="365" spans="1:33" s="21" customFormat="1" x14ac:dyDescent="0.2">
      <c r="A365" s="170" t="s">
        <v>228</v>
      </c>
      <c r="B365" s="170"/>
      <c r="C365" s="170"/>
      <c r="D365" s="171">
        <v>0</v>
      </c>
      <c r="E365" s="172"/>
      <c r="F365" s="173">
        <v>0.12</v>
      </c>
      <c r="G365" s="173"/>
      <c r="H365" s="51">
        <v>1026</v>
      </c>
      <c r="I365" s="52">
        <f t="shared" si="187"/>
        <v>906.98400000000004</v>
      </c>
      <c r="J365" s="52">
        <f t="shared" si="188"/>
        <v>798.14592000000005</v>
      </c>
      <c r="K365" s="172"/>
      <c r="L365" s="171">
        <v>0</v>
      </c>
      <c r="M365" s="55">
        <f t="shared" si="189"/>
        <v>0</v>
      </c>
      <c r="N365" s="55">
        <f t="shared" si="190"/>
        <v>0</v>
      </c>
      <c r="O365" s="174"/>
      <c r="P365" s="171">
        <v>0</v>
      </c>
      <c r="Q365" s="55">
        <f t="shared" si="191"/>
        <v>0</v>
      </c>
      <c r="R365" s="65">
        <f t="shared" si="192"/>
        <v>0</v>
      </c>
      <c r="S365" s="131">
        <v>25</v>
      </c>
      <c r="T365" s="32" t="s">
        <v>217</v>
      </c>
      <c r="U365" s="73">
        <f>SUMIF('Avoided Costs 2013-2021'!$A:$A,'2013 Actuals'!T365&amp;'2013 Actuals'!S365,'Avoided Costs 2013-2021'!$E:$E)*J365</f>
        <v>2349.7981412712847</v>
      </c>
      <c r="V365" s="73">
        <f>SUMIF('Avoided Costs 2013-2021'!$A:$A,'2013 Actuals'!T365&amp;'2013 Actuals'!S365,'Avoided Costs 2013-2021'!$K:$K)*N365</f>
        <v>0</v>
      </c>
      <c r="W365" s="73">
        <f>SUMIF('Avoided Costs 2013-2021'!$A:$A,'2013 Actuals'!T365&amp;'2013 Actuals'!S365,'Avoided Costs 2013-2021'!$M:$M)*R365</f>
        <v>0</v>
      </c>
      <c r="X365" s="73">
        <f t="shared" si="193"/>
        <v>2349.7981412712847</v>
      </c>
      <c r="Y365" s="89">
        <v>-3651</v>
      </c>
      <c r="Z365" s="74">
        <f t="shared" si="194"/>
        <v>-3212.88</v>
      </c>
      <c r="AA365" s="75"/>
      <c r="AB365" s="75"/>
      <c r="AC365" s="75"/>
      <c r="AD365" s="74">
        <f t="shared" si="195"/>
        <v>-3212.88</v>
      </c>
      <c r="AE365" s="74">
        <f t="shared" si="196"/>
        <v>5562.6781412712844</v>
      </c>
      <c r="AF365" s="52">
        <f t="shared" si="197"/>
        <v>19953.648000000001</v>
      </c>
      <c r="AG365" s="52">
        <f t="shared" si="198"/>
        <v>22674.600000000002</v>
      </c>
    </row>
    <row r="366" spans="1:33" s="21" customFormat="1" x14ac:dyDescent="0.2">
      <c r="A366" s="170" t="s">
        <v>229</v>
      </c>
      <c r="B366" s="170"/>
      <c r="C366" s="170"/>
      <c r="D366" s="171">
        <v>1</v>
      </c>
      <c r="E366" s="172"/>
      <c r="F366" s="173">
        <v>0.12</v>
      </c>
      <c r="G366" s="173"/>
      <c r="H366" s="51">
        <v>14674</v>
      </c>
      <c r="I366" s="52">
        <f t="shared" si="187"/>
        <v>12971.816000000001</v>
      </c>
      <c r="J366" s="52">
        <f t="shared" si="188"/>
        <v>11415.19808</v>
      </c>
      <c r="K366" s="172"/>
      <c r="L366" s="171">
        <v>0</v>
      </c>
      <c r="M366" s="55">
        <f t="shared" si="189"/>
        <v>0</v>
      </c>
      <c r="N366" s="55">
        <f t="shared" si="190"/>
        <v>0</v>
      </c>
      <c r="O366" s="174"/>
      <c r="P366" s="171">
        <v>0</v>
      </c>
      <c r="Q366" s="55">
        <f t="shared" si="191"/>
        <v>0</v>
      </c>
      <c r="R366" s="65">
        <f t="shared" si="192"/>
        <v>0</v>
      </c>
      <c r="S366" s="131">
        <v>25</v>
      </c>
      <c r="T366" s="32" t="s">
        <v>201</v>
      </c>
      <c r="U366" s="73">
        <f>SUMIF('Avoided Costs 2013-2021'!$A:$A,'2013 Actuals'!T366&amp;'2013 Actuals'!S366,'Avoided Costs 2013-2021'!$E:$E)*J366</f>
        <v>35811.104722596749</v>
      </c>
      <c r="V366" s="73">
        <f>SUMIF('Avoided Costs 2013-2021'!$A:$A,'2013 Actuals'!T366&amp;'2013 Actuals'!S366,'Avoided Costs 2013-2021'!$K:$K)*N366</f>
        <v>0</v>
      </c>
      <c r="W366" s="73">
        <f>SUMIF('Avoided Costs 2013-2021'!$A:$A,'2013 Actuals'!T366&amp;'2013 Actuals'!S366,'Avoided Costs 2013-2021'!$M:$M)*R366</f>
        <v>0</v>
      </c>
      <c r="X366" s="73">
        <f t="shared" si="193"/>
        <v>35811.104722596749</v>
      </c>
      <c r="Y366" s="89">
        <v>6371</v>
      </c>
      <c r="Z366" s="74">
        <f t="shared" si="194"/>
        <v>5606.4800000000005</v>
      </c>
      <c r="AA366" s="75"/>
      <c r="AB366" s="75"/>
      <c r="AC366" s="75"/>
      <c r="AD366" s="74">
        <f t="shared" si="195"/>
        <v>5606.4800000000005</v>
      </c>
      <c r="AE366" s="74">
        <f t="shared" si="196"/>
        <v>30204.624722596749</v>
      </c>
      <c r="AF366" s="52">
        <f t="shared" si="197"/>
        <v>285379.95199999999</v>
      </c>
      <c r="AG366" s="52">
        <f t="shared" si="198"/>
        <v>324295.40000000002</v>
      </c>
    </row>
    <row r="367" spans="1:33" s="21" customFormat="1" x14ac:dyDescent="0.2">
      <c r="A367" s="170" t="s">
        <v>230</v>
      </c>
      <c r="B367" s="170"/>
      <c r="C367" s="170"/>
      <c r="D367" s="171">
        <v>0</v>
      </c>
      <c r="E367" s="172"/>
      <c r="F367" s="173">
        <v>0.12</v>
      </c>
      <c r="G367" s="173"/>
      <c r="H367" s="51">
        <v>1693</v>
      </c>
      <c r="I367" s="52">
        <f t="shared" si="187"/>
        <v>1496.6120000000001</v>
      </c>
      <c r="J367" s="52">
        <f t="shared" si="188"/>
        <v>1317.01856</v>
      </c>
      <c r="K367" s="172"/>
      <c r="L367" s="171">
        <v>32675</v>
      </c>
      <c r="M367" s="55">
        <f t="shared" si="189"/>
        <v>32675</v>
      </c>
      <c r="N367" s="55">
        <f t="shared" si="190"/>
        <v>28754</v>
      </c>
      <c r="O367" s="174"/>
      <c r="P367" s="171">
        <v>0</v>
      </c>
      <c r="Q367" s="55">
        <f t="shared" si="191"/>
        <v>0</v>
      </c>
      <c r="R367" s="65">
        <f t="shared" si="192"/>
        <v>0</v>
      </c>
      <c r="S367" s="131">
        <v>15</v>
      </c>
      <c r="T367" s="32" t="s">
        <v>201</v>
      </c>
      <c r="U367" s="73">
        <f>SUMIF('Avoided Costs 2013-2021'!$A:$A,'2013 Actuals'!T367&amp;'2013 Actuals'!S367,'Avoided Costs 2013-2021'!$E:$E)*J367</f>
        <v>2943.3554596451995</v>
      </c>
      <c r="V367" s="73">
        <f>SUMIF('Avoided Costs 2013-2021'!$A:$A,'2013 Actuals'!T367&amp;'2013 Actuals'!S367,'Avoided Costs 2013-2021'!$K:$K)*N367</f>
        <v>30102.380557050656</v>
      </c>
      <c r="W367" s="73">
        <f>SUMIF('Avoided Costs 2013-2021'!$A:$A,'2013 Actuals'!T367&amp;'2013 Actuals'!S367,'Avoided Costs 2013-2021'!$M:$M)*R367</f>
        <v>0</v>
      </c>
      <c r="X367" s="73">
        <f t="shared" si="193"/>
        <v>33045.736016695853</v>
      </c>
      <c r="Y367" s="89">
        <v>5174</v>
      </c>
      <c r="Z367" s="74">
        <f t="shared" si="194"/>
        <v>4553.12</v>
      </c>
      <c r="AA367" s="75"/>
      <c r="AB367" s="75"/>
      <c r="AC367" s="75"/>
      <c r="AD367" s="74">
        <f t="shared" si="195"/>
        <v>4553.12</v>
      </c>
      <c r="AE367" s="74">
        <f t="shared" si="196"/>
        <v>28492.616016695854</v>
      </c>
      <c r="AF367" s="52">
        <f t="shared" si="197"/>
        <v>19755.278399999999</v>
      </c>
      <c r="AG367" s="52">
        <f t="shared" si="198"/>
        <v>22449.18</v>
      </c>
    </row>
    <row r="368" spans="1:33" s="21" customFormat="1" x14ac:dyDescent="0.2">
      <c r="A368" s="170" t="s">
        <v>231</v>
      </c>
      <c r="B368" s="170"/>
      <c r="C368" s="170"/>
      <c r="D368" s="171">
        <v>1</v>
      </c>
      <c r="E368" s="172"/>
      <c r="F368" s="173">
        <v>0.12</v>
      </c>
      <c r="G368" s="173"/>
      <c r="H368" s="51">
        <v>3341</v>
      </c>
      <c r="I368" s="52">
        <f t="shared" si="187"/>
        <v>2953.444</v>
      </c>
      <c r="J368" s="52">
        <f t="shared" si="188"/>
        <v>2599.0307200000002</v>
      </c>
      <c r="K368" s="172"/>
      <c r="L368" s="171">
        <v>0</v>
      </c>
      <c r="M368" s="55">
        <f t="shared" si="189"/>
        <v>0</v>
      </c>
      <c r="N368" s="55">
        <f t="shared" si="190"/>
        <v>0</v>
      </c>
      <c r="O368" s="174"/>
      <c r="P368" s="171">
        <v>0</v>
      </c>
      <c r="Q368" s="55">
        <f t="shared" si="191"/>
        <v>0</v>
      </c>
      <c r="R368" s="65">
        <f t="shared" si="192"/>
        <v>0</v>
      </c>
      <c r="S368" s="131">
        <v>25</v>
      </c>
      <c r="T368" s="32" t="s">
        <v>201</v>
      </c>
      <c r="U368" s="73">
        <f>SUMIF('Avoided Costs 2013-2021'!$A:$A,'2013 Actuals'!T368&amp;'2013 Actuals'!S368,'Avoided Costs 2013-2021'!$E:$E)*J368</f>
        <v>8153.530113002299</v>
      </c>
      <c r="V368" s="73">
        <f>SUMIF('Avoided Costs 2013-2021'!$A:$A,'2013 Actuals'!T368&amp;'2013 Actuals'!S368,'Avoided Costs 2013-2021'!$K:$K)*N368</f>
        <v>0</v>
      </c>
      <c r="W368" s="73">
        <f>SUMIF('Avoided Costs 2013-2021'!$A:$A,'2013 Actuals'!T368&amp;'2013 Actuals'!S368,'Avoided Costs 2013-2021'!$M:$M)*R368</f>
        <v>0</v>
      </c>
      <c r="X368" s="73">
        <f t="shared" si="193"/>
        <v>8153.530113002299</v>
      </c>
      <c r="Y368" s="89">
        <v>8787</v>
      </c>
      <c r="Z368" s="74">
        <f t="shared" si="194"/>
        <v>7732.56</v>
      </c>
      <c r="AA368" s="75"/>
      <c r="AB368" s="75"/>
      <c r="AC368" s="75"/>
      <c r="AD368" s="74">
        <f t="shared" si="195"/>
        <v>7732.56</v>
      </c>
      <c r="AE368" s="74">
        <f t="shared" si="196"/>
        <v>420.9701130022986</v>
      </c>
      <c r="AF368" s="52">
        <f t="shared" si="197"/>
        <v>64975.768000000004</v>
      </c>
      <c r="AG368" s="52">
        <f t="shared" si="198"/>
        <v>73836.100000000006</v>
      </c>
    </row>
    <row r="369" spans="1:33" s="21" customFormat="1" x14ac:dyDescent="0.2">
      <c r="A369" s="170" t="s">
        <v>232</v>
      </c>
      <c r="B369" s="170"/>
      <c r="C369" s="170"/>
      <c r="D369" s="171">
        <v>1</v>
      </c>
      <c r="E369" s="172"/>
      <c r="F369" s="173">
        <v>0.12</v>
      </c>
      <c r="G369" s="173"/>
      <c r="H369" s="51">
        <v>9131</v>
      </c>
      <c r="I369" s="52">
        <f t="shared" si="187"/>
        <v>8071.8040000000001</v>
      </c>
      <c r="J369" s="52">
        <f t="shared" si="188"/>
        <v>7103.1875200000004</v>
      </c>
      <c r="K369" s="172"/>
      <c r="L369" s="171">
        <v>68593</v>
      </c>
      <c r="M369" s="55">
        <f t="shared" si="189"/>
        <v>68593</v>
      </c>
      <c r="N369" s="55">
        <f t="shared" si="190"/>
        <v>60361.840000000004</v>
      </c>
      <c r="O369" s="174"/>
      <c r="P369" s="171">
        <v>0</v>
      </c>
      <c r="Q369" s="55">
        <f t="shared" si="191"/>
        <v>0</v>
      </c>
      <c r="R369" s="65">
        <f t="shared" si="192"/>
        <v>0</v>
      </c>
      <c r="S369" s="131">
        <v>15</v>
      </c>
      <c r="T369" s="32" t="s">
        <v>201</v>
      </c>
      <c r="U369" s="73">
        <f>SUMIF('Avoided Costs 2013-2021'!$A:$A,'2013 Actuals'!T369&amp;'2013 Actuals'!S369,'Avoided Costs 2013-2021'!$E:$E)*J369</f>
        <v>15874.647786190384</v>
      </c>
      <c r="V369" s="73">
        <f>SUMIF('Avoided Costs 2013-2021'!$A:$A,'2013 Actuals'!T369&amp;'2013 Actuals'!S369,'Avoided Costs 2013-2021'!$K:$K)*N369</f>
        <v>63192.428142303776</v>
      </c>
      <c r="W369" s="73">
        <f>SUMIF('Avoided Costs 2013-2021'!$A:$A,'2013 Actuals'!T369&amp;'2013 Actuals'!S369,'Avoided Costs 2013-2021'!$M:$M)*R369</f>
        <v>0</v>
      </c>
      <c r="X369" s="73">
        <f t="shared" si="193"/>
        <v>79067.07592849416</v>
      </c>
      <c r="Y369" s="89">
        <v>86514</v>
      </c>
      <c r="Z369" s="74">
        <f t="shared" si="194"/>
        <v>76132.320000000007</v>
      </c>
      <c r="AA369" s="75"/>
      <c r="AB369" s="75"/>
      <c r="AC369" s="75"/>
      <c r="AD369" s="74">
        <f t="shared" si="195"/>
        <v>76132.320000000007</v>
      </c>
      <c r="AE369" s="74">
        <f t="shared" si="196"/>
        <v>2934.7559284941526</v>
      </c>
      <c r="AF369" s="52">
        <f t="shared" si="197"/>
        <v>106547.8128</v>
      </c>
      <c r="AG369" s="52">
        <f t="shared" si="198"/>
        <v>121077.06</v>
      </c>
    </row>
    <row r="370" spans="1:33" s="21" customFormat="1" x14ac:dyDescent="0.2">
      <c r="A370" s="170" t="s">
        <v>233</v>
      </c>
      <c r="B370" s="170"/>
      <c r="C370" s="170"/>
      <c r="D370" s="171">
        <v>1</v>
      </c>
      <c r="E370" s="172"/>
      <c r="F370" s="173">
        <v>0.12</v>
      </c>
      <c r="G370" s="173"/>
      <c r="H370" s="51">
        <v>25191</v>
      </c>
      <c r="I370" s="52">
        <f t="shared" si="187"/>
        <v>22268.844000000001</v>
      </c>
      <c r="J370" s="52">
        <f t="shared" si="188"/>
        <v>19596.582720000002</v>
      </c>
      <c r="K370" s="172"/>
      <c r="L370" s="171">
        <v>0</v>
      </c>
      <c r="M370" s="55">
        <f t="shared" si="189"/>
        <v>0</v>
      </c>
      <c r="N370" s="55">
        <f t="shared" si="190"/>
        <v>0</v>
      </c>
      <c r="O370" s="174"/>
      <c r="P370" s="171">
        <v>0</v>
      </c>
      <c r="Q370" s="55">
        <f t="shared" si="191"/>
        <v>0</v>
      </c>
      <c r="R370" s="65">
        <f t="shared" si="192"/>
        <v>0</v>
      </c>
      <c r="S370" s="131">
        <v>15</v>
      </c>
      <c r="T370" s="32" t="s">
        <v>217</v>
      </c>
      <c r="U370" s="73">
        <f>SUMIF('Avoided Costs 2013-2021'!$A:$A,'2013 Actuals'!T370&amp;'2013 Actuals'!S370,'Avoided Costs 2013-2021'!$E:$E)*J370</f>
        <v>41109.158234828406</v>
      </c>
      <c r="V370" s="73">
        <f>SUMIF('Avoided Costs 2013-2021'!$A:$A,'2013 Actuals'!T370&amp;'2013 Actuals'!S370,'Avoided Costs 2013-2021'!$K:$K)*N370</f>
        <v>0</v>
      </c>
      <c r="W370" s="73">
        <f>SUMIF('Avoided Costs 2013-2021'!$A:$A,'2013 Actuals'!T370&amp;'2013 Actuals'!S370,'Avoided Costs 2013-2021'!$M:$M)*R370</f>
        <v>0</v>
      </c>
      <c r="X370" s="73">
        <f t="shared" si="193"/>
        <v>41109.158234828406</v>
      </c>
      <c r="Y370" s="89">
        <v>30720</v>
      </c>
      <c r="Z370" s="74">
        <f t="shared" si="194"/>
        <v>27033.599999999999</v>
      </c>
      <c r="AA370" s="75"/>
      <c r="AB370" s="75"/>
      <c r="AC370" s="75"/>
      <c r="AD370" s="74">
        <f t="shared" si="195"/>
        <v>27033.599999999999</v>
      </c>
      <c r="AE370" s="74">
        <f t="shared" si="196"/>
        <v>14075.558234828408</v>
      </c>
      <c r="AF370" s="52">
        <f t="shared" si="197"/>
        <v>293948.74080000003</v>
      </c>
      <c r="AG370" s="52">
        <f t="shared" si="198"/>
        <v>334032.66000000003</v>
      </c>
    </row>
    <row r="371" spans="1:33" s="21" customFormat="1" x14ac:dyDescent="0.2">
      <c r="A371" s="170" t="s">
        <v>234</v>
      </c>
      <c r="B371" s="170"/>
      <c r="C371" s="170"/>
      <c r="D371" s="171">
        <v>1</v>
      </c>
      <c r="E371" s="172"/>
      <c r="F371" s="173">
        <v>0.12</v>
      </c>
      <c r="G371" s="173"/>
      <c r="H371" s="51">
        <v>7990</v>
      </c>
      <c r="I371" s="52">
        <f t="shared" si="187"/>
        <v>7063.16</v>
      </c>
      <c r="J371" s="52">
        <f t="shared" si="188"/>
        <v>6215.5807999999997</v>
      </c>
      <c r="K371" s="172"/>
      <c r="L371" s="171">
        <v>0</v>
      </c>
      <c r="M371" s="55">
        <f t="shared" si="189"/>
        <v>0</v>
      </c>
      <c r="N371" s="55">
        <f t="shared" si="190"/>
        <v>0</v>
      </c>
      <c r="O371" s="174"/>
      <c r="P371" s="171">
        <v>0</v>
      </c>
      <c r="Q371" s="55">
        <f t="shared" si="191"/>
        <v>0</v>
      </c>
      <c r="R371" s="65">
        <f t="shared" si="192"/>
        <v>0</v>
      </c>
      <c r="S371" s="131">
        <v>25</v>
      </c>
      <c r="T371" s="32" t="s">
        <v>201</v>
      </c>
      <c r="U371" s="73">
        <f>SUMIF('Avoided Costs 2013-2021'!$A:$A,'2013 Actuals'!T371&amp;'2013 Actuals'!S371,'Avoided Costs 2013-2021'!$E:$E)*J371</f>
        <v>19499.163604575984</v>
      </c>
      <c r="V371" s="73">
        <f>SUMIF('Avoided Costs 2013-2021'!$A:$A,'2013 Actuals'!T371&amp;'2013 Actuals'!S371,'Avoided Costs 2013-2021'!$K:$K)*N371</f>
        <v>0</v>
      </c>
      <c r="W371" s="73">
        <f>SUMIF('Avoided Costs 2013-2021'!$A:$A,'2013 Actuals'!T371&amp;'2013 Actuals'!S371,'Avoided Costs 2013-2021'!$M:$M)*R371</f>
        <v>0</v>
      </c>
      <c r="X371" s="73">
        <f t="shared" si="193"/>
        <v>19499.163604575984</v>
      </c>
      <c r="Y371" s="89">
        <v>23942</v>
      </c>
      <c r="Z371" s="74">
        <f t="shared" si="194"/>
        <v>21068.959999999999</v>
      </c>
      <c r="AA371" s="75"/>
      <c r="AB371" s="75"/>
      <c r="AC371" s="75"/>
      <c r="AD371" s="74">
        <f t="shared" si="195"/>
        <v>21068.959999999999</v>
      </c>
      <c r="AE371" s="74">
        <f t="shared" si="196"/>
        <v>-1569.7963954240149</v>
      </c>
      <c r="AF371" s="52">
        <f t="shared" si="197"/>
        <v>155389.51999999999</v>
      </c>
      <c r="AG371" s="52">
        <f t="shared" si="198"/>
        <v>176579</v>
      </c>
    </row>
    <row r="372" spans="1:33" s="21" customFormat="1" x14ac:dyDescent="0.2">
      <c r="A372" s="170" t="s">
        <v>235</v>
      </c>
      <c r="B372" s="170"/>
      <c r="C372" s="170"/>
      <c r="D372" s="171">
        <v>1</v>
      </c>
      <c r="E372" s="172"/>
      <c r="F372" s="173">
        <v>0.12</v>
      </c>
      <c r="G372" s="173"/>
      <c r="H372" s="51">
        <v>17045</v>
      </c>
      <c r="I372" s="52">
        <f t="shared" si="187"/>
        <v>15067.78</v>
      </c>
      <c r="J372" s="52">
        <f t="shared" si="188"/>
        <v>13259.646400000001</v>
      </c>
      <c r="K372" s="172"/>
      <c r="L372" s="171">
        <v>0</v>
      </c>
      <c r="M372" s="55">
        <f t="shared" si="189"/>
        <v>0</v>
      </c>
      <c r="N372" s="55">
        <f t="shared" si="190"/>
        <v>0</v>
      </c>
      <c r="O372" s="174"/>
      <c r="P372" s="171">
        <v>0</v>
      </c>
      <c r="Q372" s="55">
        <f t="shared" si="191"/>
        <v>0</v>
      </c>
      <c r="R372" s="65">
        <f t="shared" si="192"/>
        <v>0</v>
      </c>
      <c r="S372" s="131">
        <v>14</v>
      </c>
      <c r="T372" s="32" t="s">
        <v>201</v>
      </c>
      <c r="U372" s="73">
        <f>SUMIF('Avoided Costs 2013-2021'!$A:$A,'2013 Actuals'!T372&amp;'2013 Actuals'!S372,'Avoided Costs 2013-2021'!$E:$E)*J372</f>
        <v>28091.473525617213</v>
      </c>
      <c r="V372" s="73">
        <f>SUMIF('Avoided Costs 2013-2021'!$A:$A,'2013 Actuals'!T372&amp;'2013 Actuals'!S372,'Avoided Costs 2013-2021'!$K:$K)*N372</f>
        <v>0</v>
      </c>
      <c r="W372" s="73">
        <f>SUMIF('Avoided Costs 2013-2021'!$A:$A,'2013 Actuals'!T372&amp;'2013 Actuals'!S372,'Avoided Costs 2013-2021'!$M:$M)*R372</f>
        <v>0</v>
      </c>
      <c r="X372" s="73">
        <f t="shared" si="193"/>
        <v>28091.473525617213</v>
      </c>
      <c r="Y372" s="89">
        <v>6812</v>
      </c>
      <c r="Z372" s="74">
        <f t="shared" si="194"/>
        <v>5994.56</v>
      </c>
      <c r="AA372" s="75"/>
      <c r="AB372" s="75"/>
      <c r="AC372" s="75"/>
      <c r="AD372" s="74">
        <f t="shared" si="195"/>
        <v>5994.56</v>
      </c>
      <c r="AE372" s="74">
        <f t="shared" si="196"/>
        <v>22096.913525617212</v>
      </c>
      <c r="AF372" s="52">
        <f t="shared" si="197"/>
        <v>185635.04960000003</v>
      </c>
      <c r="AG372" s="52">
        <f t="shared" si="198"/>
        <v>210948.92</v>
      </c>
    </row>
    <row r="373" spans="1:33" s="21" customFormat="1" x14ac:dyDescent="0.2">
      <c r="A373" s="170" t="s">
        <v>236</v>
      </c>
      <c r="B373" s="170"/>
      <c r="C373" s="170"/>
      <c r="D373" s="171">
        <v>1</v>
      </c>
      <c r="E373" s="172"/>
      <c r="F373" s="173">
        <v>0.12</v>
      </c>
      <c r="G373" s="173"/>
      <c r="H373" s="51">
        <v>26823</v>
      </c>
      <c r="I373" s="52">
        <f t="shared" si="187"/>
        <v>23711.531999999999</v>
      </c>
      <c r="J373" s="52">
        <f t="shared" si="188"/>
        <v>20866.148160000001</v>
      </c>
      <c r="K373" s="172"/>
      <c r="L373" s="171">
        <v>0</v>
      </c>
      <c r="M373" s="55">
        <f t="shared" si="189"/>
        <v>0</v>
      </c>
      <c r="N373" s="55">
        <f t="shared" si="190"/>
        <v>0</v>
      </c>
      <c r="O373" s="174"/>
      <c r="P373" s="171">
        <v>0</v>
      </c>
      <c r="Q373" s="55">
        <f t="shared" si="191"/>
        <v>0</v>
      </c>
      <c r="R373" s="65">
        <f t="shared" si="192"/>
        <v>0</v>
      </c>
      <c r="S373" s="131">
        <v>25</v>
      </c>
      <c r="T373" s="32" t="s">
        <v>201</v>
      </c>
      <c r="U373" s="73">
        <f>SUMIF('Avoided Costs 2013-2021'!$A:$A,'2013 Actuals'!T373&amp;'2013 Actuals'!S373,'Avoided Costs 2013-2021'!$E:$E)*J373</f>
        <v>65460.083274786193</v>
      </c>
      <c r="V373" s="73">
        <f>SUMIF('Avoided Costs 2013-2021'!$A:$A,'2013 Actuals'!T373&amp;'2013 Actuals'!S373,'Avoided Costs 2013-2021'!$K:$K)*N373</f>
        <v>0</v>
      </c>
      <c r="W373" s="73">
        <f>SUMIF('Avoided Costs 2013-2021'!$A:$A,'2013 Actuals'!T373&amp;'2013 Actuals'!S373,'Avoided Costs 2013-2021'!$M:$M)*R373</f>
        <v>0</v>
      </c>
      <c r="X373" s="73">
        <f t="shared" si="193"/>
        <v>65460.083274786193</v>
      </c>
      <c r="Y373" s="89">
        <v>32006</v>
      </c>
      <c r="Z373" s="74">
        <f t="shared" si="194"/>
        <v>28165.279999999999</v>
      </c>
      <c r="AA373" s="75"/>
      <c r="AB373" s="75"/>
      <c r="AC373" s="75"/>
      <c r="AD373" s="74">
        <f t="shared" si="195"/>
        <v>28165.279999999999</v>
      </c>
      <c r="AE373" s="74">
        <f t="shared" si="196"/>
        <v>37294.803274786194</v>
      </c>
      <c r="AF373" s="52">
        <f t="shared" si="197"/>
        <v>521653.70400000003</v>
      </c>
      <c r="AG373" s="52">
        <f t="shared" si="198"/>
        <v>592788.29999999993</v>
      </c>
    </row>
    <row r="374" spans="1:33" s="21" customFormat="1" x14ac:dyDescent="0.2">
      <c r="A374" s="170" t="s">
        <v>237</v>
      </c>
      <c r="B374" s="170"/>
      <c r="C374" s="170"/>
      <c r="D374" s="171">
        <v>1</v>
      </c>
      <c r="E374" s="172"/>
      <c r="F374" s="173">
        <v>0.12</v>
      </c>
      <c r="G374" s="173"/>
      <c r="H374" s="51">
        <v>588122</v>
      </c>
      <c r="I374" s="52">
        <f t="shared" si="187"/>
        <v>519899.848</v>
      </c>
      <c r="J374" s="52">
        <f t="shared" si="188"/>
        <v>457511.86624</v>
      </c>
      <c r="K374" s="172"/>
      <c r="L374" s="171">
        <v>0</v>
      </c>
      <c r="M374" s="55">
        <f t="shared" si="189"/>
        <v>0</v>
      </c>
      <c r="N374" s="55">
        <f t="shared" si="190"/>
        <v>0</v>
      </c>
      <c r="O374" s="174"/>
      <c r="P374" s="171">
        <v>0</v>
      </c>
      <c r="Q374" s="55">
        <f t="shared" si="191"/>
        <v>0</v>
      </c>
      <c r="R374" s="65">
        <f t="shared" si="192"/>
        <v>0</v>
      </c>
      <c r="S374" s="131">
        <v>4</v>
      </c>
      <c r="T374" s="32" t="s">
        <v>201</v>
      </c>
      <c r="U374" s="73">
        <f>SUMIF('Avoided Costs 2013-2021'!$A:$A,'2013 Actuals'!T374&amp;'2013 Actuals'!S374,'Avoided Costs 2013-2021'!$E:$E)*J374</f>
        <v>284748.37316908874</v>
      </c>
      <c r="V374" s="73">
        <f>SUMIF('Avoided Costs 2013-2021'!$A:$A,'2013 Actuals'!T374&amp;'2013 Actuals'!S374,'Avoided Costs 2013-2021'!$K:$K)*N374</f>
        <v>0</v>
      </c>
      <c r="W374" s="73">
        <f>SUMIF('Avoided Costs 2013-2021'!$A:$A,'2013 Actuals'!T374&amp;'2013 Actuals'!S374,'Avoided Costs 2013-2021'!$M:$M)*R374</f>
        <v>0</v>
      </c>
      <c r="X374" s="73">
        <f t="shared" si="193"/>
        <v>284748.37316908874</v>
      </c>
      <c r="Y374" s="89">
        <v>22977</v>
      </c>
      <c r="Z374" s="74">
        <f t="shared" si="194"/>
        <v>20219.759999999998</v>
      </c>
      <c r="AA374" s="75"/>
      <c r="AB374" s="75"/>
      <c r="AC374" s="75"/>
      <c r="AD374" s="74">
        <f t="shared" si="195"/>
        <v>20219.759999999998</v>
      </c>
      <c r="AE374" s="74">
        <f t="shared" si="196"/>
        <v>264528.61316908873</v>
      </c>
      <c r="AF374" s="52">
        <f t="shared" si="197"/>
        <v>1830047.46496</v>
      </c>
      <c r="AG374" s="52">
        <f t="shared" si="198"/>
        <v>2079599.392</v>
      </c>
    </row>
    <row r="375" spans="1:33" s="21" customFormat="1" x14ac:dyDescent="0.2">
      <c r="A375" s="170" t="s">
        <v>238</v>
      </c>
      <c r="B375" s="170"/>
      <c r="C375" s="170"/>
      <c r="D375" s="171">
        <v>1</v>
      </c>
      <c r="E375" s="172"/>
      <c r="F375" s="173">
        <v>0.12</v>
      </c>
      <c r="G375" s="173"/>
      <c r="H375" s="51">
        <v>590285</v>
      </c>
      <c r="I375" s="52">
        <f t="shared" si="187"/>
        <v>521811.94</v>
      </c>
      <c r="J375" s="52">
        <f t="shared" si="188"/>
        <v>459194.50719999999</v>
      </c>
      <c r="K375" s="172"/>
      <c r="L375" s="171">
        <v>442256</v>
      </c>
      <c r="M375" s="55">
        <f t="shared" si="189"/>
        <v>442256</v>
      </c>
      <c r="N375" s="55">
        <f t="shared" si="190"/>
        <v>389185.28000000003</v>
      </c>
      <c r="O375" s="174"/>
      <c r="P375" s="171">
        <v>0</v>
      </c>
      <c r="Q375" s="55">
        <f t="shared" si="191"/>
        <v>0</v>
      </c>
      <c r="R375" s="65">
        <f t="shared" si="192"/>
        <v>0</v>
      </c>
      <c r="S375" s="131">
        <v>15</v>
      </c>
      <c r="T375" s="32" t="s">
        <v>201</v>
      </c>
      <c r="U375" s="73">
        <f>SUMIF('Avoided Costs 2013-2021'!$A:$A,'2013 Actuals'!T375&amp;'2013 Actuals'!S375,'Avoided Costs 2013-2021'!$E:$E)*J375</f>
        <v>1026236.6080901753</v>
      </c>
      <c r="V375" s="73">
        <f>SUMIF('Avoided Costs 2013-2021'!$A:$A,'2013 Actuals'!T375&amp;'2013 Actuals'!S375,'Avoided Costs 2013-2021'!$K:$K)*N375</f>
        <v>407435.60568137706</v>
      </c>
      <c r="W375" s="73">
        <f>SUMIF('Avoided Costs 2013-2021'!$A:$A,'2013 Actuals'!T375&amp;'2013 Actuals'!S375,'Avoided Costs 2013-2021'!$M:$M)*R375</f>
        <v>0</v>
      </c>
      <c r="X375" s="73">
        <f t="shared" si="193"/>
        <v>1433672.2137715523</v>
      </c>
      <c r="Y375" s="89">
        <v>2193693</v>
      </c>
      <c r="Z375" s="74">
        <f t="shared" si="194"/>
        <v>1930449.84</v>
      </c>
      <c r="AA375" s="75"/>
      <c r="AB375" s="75"/>
      <c r="AC375" s="75"/>
      <c r="AD375" s="74">
        <f t="shared" si="195"/>
        <v>1930449.84</v>
      </c>
      <c r="AE375" s="74">
        <f t="shared" si="196"/>
        <v>-496777.62622844777</v>
      </c>
      <c r="AF375" s="52">
        <f t="shared" si="197"/>
        <v>6887917.608</v>
      </c>
      <c r="AG375" s="52">
        <f t="shared" si="198"/>
        <v>7827179.0999999996</v>
      </c>
    </row>
    <row r="376" spans="1:33" s="21" customFormat="1" x14ac:dyDescent="0.2">
      <c r="A376" s="170" t="s">
        <v>239</v>
      </c>
      <c r="B376" s="170"/>
      <c r="C376" s="170"/>
      <c r="D376" s="171">
        <v>0</v>
      </c>
      <c r="E376" s="172"/>
      <c r="F376" s="173">
        <v>0.12</v>
      </c>
      <c r="G376" s="173"/>
      <c r="H376" s="51">
        <v>22846</v>
      </c>
      <c r="I376" s="52">
        <f t="shared" si="187"/>
        <v>20195.864000000001</v>
      </c>
      <c r="J376" s="52">
        <f t="shared" si="188"/>
        <v>17772.36032</v>
      </c>
      <c r="K376" s="172"/>
      <c r="L376" s="171">
        <v>0</v>
      </c>
      <c r="M376" s="55">
        <f t="shared" si="189"/>
        <v>0</v>
      </c>
      <c r="N376" s="55">
        <f t="shared" si="190"/>
        <v>0</v>
      </c>
      <c r="O376" s="174"/>
      <c r="P376" s="171">
        <v>0</v>
      </c>
      <c r="Q376" s="55">
        <f t="shared" si="191"/>
        <v>0</v>
      </c>
      <c r="R376" s="65">
        <f t="shared" si="192"/>
        <v>0</v>
      </c>
      <c r="S376" s="134">
        <v>11</v>
      </c>
      <c r="T376" s="32" t="s">
        <v>201</v>
      </c>
      <c r="U376" s="73">
        <f>SUMIF('Avoided Costs 2013-2021'!$A:$A,'2013 Actuals'!T376&amp;'2013 Actuals'!S376,'Avoided Costs 2013-2021'!$E:$E)*J376</f>
        <v>30823.531167232271</v>
      </c>
      <c r="V376" s="73">
        <f>SUMIF('Avoided Costs 2013-2021'!$A:$A,'2013 Actuals'!T376&amp;'2013 Actuals'!S376,'Avoided Costs 2013-2021'!$K:$K)*N376</f>
        <v>0</v>
      </c>
      <c r="W376" s="73">
        <f>SUMIF('Avoided Costs 2013-2021'!$A:$A,'2013 Actuals'!T376&amp;'2013 Actuals'!S376,'Avoided Costs 2013-2021'!$M:$M)*R376</f>
        <v>0</v>
      </c>
      <c r="X376" s="73">
        <f t="shared" si="193"/>
        <v>30823.531167232271</v>
      </c>
      <c r="Y376" s="89">
        <v>700667</v>
      </c>
      <c r="Z376" s="74">
        <f t="shared" si="194"/>
        <v>616586.96</v>
      </c>
      <c r="AA376" s="75"/>
      <c r="AB376" s="75"/>
      <c r="AC376" s="75"/>
      <c r="AD376" s="74">
        <f t="shared" si="195"/>
        <v>616586.96</v>
      </c>
      <c r="AE376" s="74">
        <f t="shared" si="196"/>
        <v>-585763.42883276765</v>
      </c>
      <c r="AF376" s="52">
        <f t="shared" si="197"/>
        <v>195495.96351999999</v>
      </c>
      <c r="AG376" s="52">
        <f t="shared" si="198"/>
        <v>222154.50400000002</v>
      </c>
    </row>
    <row r="377" spans="1:33" s="21" customFormat="1" x14ac:dyDescent="0.2">
      <c r="A377" s="170" t="s">
        <v>240</v>
      </c>
      <c r="B377" s="170"/>
      <c r="C377" s="170"/>
      <c r="D377" s="171">
        <v>1</v>
      </c>
      <c r="E377" s="172"/>
      <c r="F377" s="173">
        <v>0.12</v>
      </c>
      <c r="G377" s="173"/>
      <c r="H377" s="51">
        <v>1016432</v>
      </c>
      <c r="I377" s="52">
        <f t="shared" si="187"/>
        <v>898525.88800000004</v>
      </c>
      <c r="J377" s="52">
        <f t="shared" si="188"/>
        <v>790702.78144000005</v>
      </c>
      <c r="K377" s="172"/>
      <c r="L377" s="171">
        <v>1365202</v>
      </c>
      <c r="M377" s="55">
        <f t="shared" si="189"/>
        <v>1365202</v>
      </c>
      <c r="N377" s="55">
        <f t="shared" si="190"/>
        <v>1201377.76</v>
      </c>
      <c r="O377" s="174"/>
      <c r="P377" s="171">
        <v>1600</v>
      </c>
      <c r="Q377" s="55">
        <f t="shared" si="191"/>
        <v>1600</v>
      </c>
      <c r="R377" s="65">
        <f t="shared" si="192"/>
        <v>1408</v>
      </c>
      <c r="S377" s="131">
        <v>15</v>
      </c>
      <c r="T377" s="32" t="s">
        <v>201</v>
      </c>
      <c r="U377" s="73">
        <f>SUMIF('Avoided Costs 2013-2021'!$A:$A,'2013 Actuals'!T377&amp;'2013 Actuals'!S377,'Avoided Costs 2013-2021'!$E:$E)*J377</f>
        <v>1767112.0357696929</v>
      </c>
      <c r="V377" s="73">
        <f>SUMIF('Avoided Costs 2013-2021'!$A:$A,'2013 Actuals'!T377&amp;'2013 Actuals'!S377,'Avoided Costs 2013-2021'!$K:$K)*N377</f>
        <v>1257714.770963938</v>
      </c>
      <c r="W377" s="73">
        <f>SUMIF('Avoided Costs 2013-2021'!$A:$A,'2013 Actuals'!T377&amp;'2013 Actuals'!S377,'Avoided Costs 2013-2021'!$M:$M)*R377</f>
        <v>37637.217392105202</v>
      </c>
      <c r="X377" s="73">
        <f t="shared" si="193"/>
        <v>3062464.0241257357</v>
      </c>
      <c r="Y377" s="89">
        <v>3850068</v>
      </c>
      <c r="Z377" s="74">
        <f t="shared" si="194"/>
        <v>3388059.84</v>
      </c>
      <c r="AA377" s="75"/>
      <c r="AB377" s="75"/>
      <c r="AC377" s="75"/>
      <c r="AD377" s="74">
        <f t="shared" si="195"/>
        <v>3388059.84</v>
      </c>
      <c r="AE377" s="74">
        <f t="shared" si="196"/>
        <v>-325595.81587426411</v>
      </c>
      <c r="AF377" s="52">
        <f t="shared" si="197"/>
        <v>11860541.7216</v>
      </c>
      <c r="AG377" s="52">
        <f t="shared" si="198"/>
        <v>13477888.32</v>
      </c>
    </row>
    <row r="378" spans="1:33" s="21" customFormat="1" x14ac:dyDescent="0.2">
      <c r="A378" s="170" t="s">
        <v>241</v>
      </c>
      <c r="B378" s="170"/>
      <c r="C378" s="170"/>
      <c r="D378" s="171">
        <v>1</v>
      </c>
      <c r="E378" s="172"/>
      <c r="F378" s="173">
        <v>0.12</v>
      </c>
      <c r="G378" s="173"/>
      <c r="H378" s="51">
        <v>12639</v>
      </c>
      <c r="I378" s="52">
        <f t="shared" si="187"/>
        <v>11172.876</v>
      </c>
      <c r="J378" s="52">
        <f t="shared" si="188"/>
        <v>9832.1308800000006</v>
      </c>
      <c r="K378" s="172"/>
      <c r="L378" s="171">
        <v>0</v>
      </c>
      <c r="M378" s="55">
        <f t="shared" si="189"/>
        <v>0</v>
      </c>
      <c r="N378" s="55">
        <f t="shared" si="190"/>
        <v>0</v>
      </c>
      <c r="O378" s="174"/>
      <c r="P378" s="171">
        <v>0</v>
      </c>
      <c r="Q378" s="55">
        <f t="shared" si="191"/>
        <v>0</v>
      </c>
      <c r="R378" s="65">
        <f t="shared" si="192"/>
        <v>0</v>
      </c>
      <c r="S378" s="131">
        <v>25</v>
      </c>
      <c r="T378" s="32" t="s">
        <v>201</v>
      </c>
      <c r="U378" s="73">
        <f>SUMIF('Avoided Costs 2013-2021'!$A:$A,'2013 Actuals'!T378&amp;'2013 Actuals'!S378,'Avoided Costs 2013-2021'!$E:$E)*J378</f>
        <v>30844.797096149676</v>
      </c>
      <c r="V378" s="73">
        <f>SUMIF('Avoided Costs 2013-2021'!$A:$A,'2013 Actuals'!T378&amp;'2013 Actuals'!S378,'Avoided Costs 2013-2021'!$K:$K)*N378</f>
        <v>0</v>
      </c>
      <c r="W378" s="73">
        <f>SUMIF('Avoided Costs 2013-2021'!$A:$A,'2013 Actuals'!T378&amp;'2013 Actuals'!S378,'Avoided Costs 2013-2021'!$M:$M)*R378</f>
        <v>0</v>
      </c>
      <c r="X378" s="73">
        <f t="shared" si="193"/>
        <v>30844.797096149676</v>
      </c>
      <c r="Y378" s="89">
        <v>31707</v>
      </c>
      <c r="Z378" s="74">
        <f t="shared" si="194"/>
        <v>27902.16</v>
      </c>
      <c r="AA378" s="75"/>
      <c r="AB378" s="75"/>
      <c r="AC378" s="75"/>
      <c r="AD378" s="74">
        <f t="shared" si="195"/>
        <v>27902.16</v>
      </c>
      <c r="AE378" s="74">
        <f t="shared" si="196"/>
        <v>2942.6370961496759</v>
      </c>
      <c r="AF378" s="52">
        <f t="shared" si="197"/>
        <v>245803.27200000003</v>
      </c>
      <c r="AG378" s="52">
        <f t="shared" si="198"/>
        <v>279321.90000000002</v>
      </c>
    </row>
    <row r="379" spans="1:33" s="21" customFormat="1" x14ac:dyDescent="0.2">
      <c r="A379" s="170" t="s">
        <v>242</v>
      </c>
      <c r="B379" s="170"/>
      <c r="C379" s="170"/>
      <c r="D379" s="171">
        <v>1</v>
      </c>
      <c r="E379" s="172"/>
      <c r="F379" s="173">
        <v>0.12</v>
      </c>
      <c r="G379" s="173"/>
      <c r="H379" s="51">
        <v>1050208</v>
      </c>
      <c r="I379" s="52">
        <f t="shared" si="187"/>
        <v>928383.87199999997</v>
      </c>
      <c r="J379" s="52">
        <f t="shared" si="188"/>
        <v>816977.80735999998</v>
      </c>
      <c r="K379" s="172"/>
      <c r="L379" s="171">
        <v>0</v>
      </c>
      <c r="M379" s="55">
        <f t="shared" si="189"/>
        <v>0</v>
      </c>
      <c r="N379" s="55">
        <f t="shared" si="190"/>
        <v>0</v>
      </c>
      <c r="O379" s="174"/>
      <c r="P379" s="171">
        <v>0</v>
      </c>
      <c r="Q379" s="55">
        <f t="shared" si="191"/>
        <v>0</v>
      </c>
      <c r="R379" s="65">
        <f t="shared" si="192"/>
        <v>0</v>
      </c>
      <c r="S379" s="131">
        <v>25</v>
      </c>
      <c r="T379" s="32" t="s">
        <v>201</v>
      </c>
      <c r="U379" s="73">
        <f>SUMIF('Avoided Costs 2013-2021'!$A:$A,'2013 Actuals'!T379&amp;'2013 Actuals'!S379,'Avoided Costs 2013-2021'!$E:$E)*J379</f>
        <v>2562975.921255887</v>
      </c>
      <c r="V379" s="73">
        <f>SUMIF('Avoided Costs 2013-2021'!$A:$A,'2013 Actuals'!T379&amp;'2013 Actuals'!S379,'Avoided Costs 2013-2021'!$K:$K)*N379</f>
        <v>0</v>
      </c>
      <c r="W379" s="73">
        <f>SUMIF('Avoided Costs 2013-2021'!$A:$A,'2013 Actuals'!T379&amp;'2013 Actuals'!S379,'Avoided Costs 2013-2021'!$M:$M)*R379</f>
        <v>0</v>
      </c>
      <c r="X379" s="73">
        <f t="shared" si="193"/>
        <v>2562975.921255887</v>
      </c>
      <c r="Y379" s="89">
        <v>730885.65</v>
      </c>
      <c r="Z379" s="74">
        <f t="shared" si="194"/>
        <v>643179.37199999997</v>
      </c>
      <c r="AA379" s="75"/>
      <c r="AB379" s="75"/>
      <c r="AC379" s="75"/>
      <c r="AD379" s="74">
        <f t="shared" si="195"/>
        <v>643179.37199999997</v>
      </c>
      <c r="AE379" s="74">
        <f t="shared" si="196"/>
        <v>1919796.549255887</v>
      </c>
      <c r="AF379" s="52">
        <f t="shared" si="197"/>
        <v>20424445.184</v>
      </c>
      <c r="AG379" s="52">
        <f t="shared" si="198"/>
        <v>23209596.800000001</v>
      </c>
    </row>
    <row r="380" spans="1:33" s="21" customFormat="1" x14ac:dyDescent="0.2">
      <c r="A380" s="170" t="s">
        <v>243</v>
      </c>
      <c r="B380" s="170"/>
      <c r="C380" s="170"/>
      <c r="D380" s="171">
        <v>1</v>
      </c>
      <c r="E380" s="172"/>
      <c r="F380" s="173">
        <v>0.12</v>
      </c>
      <c r="G380" s="173"/>
      <c r="H380" s="51">
        <v>41944</v>
      </c>
      <c r="I380" s="52">
        <f t="shared" si="187"/>
        <v>37078.495999999999</v>
      </c>
      <c r="J380" s="52">
        <f t="shared" si="188"/>
        <v>32629.07648</v>
      </c>
      <c r="K380" s="172"/>
      <c r="L380" s="171">
        <v>0</v>
      </c>
      <c r="M380" s="55">
        <f t="shared" si="189"/>
        <v>0</v>
      </c>
      <c r="N380" s="55">
        <f t="shared" si="190"/>
        <v>0</v>
      </c>
      <c r="O380" s="174"/>
      <c r="P380" s="171">
        <v>0</v>
      </c>
      <c r="Q380" s="55">
        <f t="shared" si="191"/>
        <v>0</v>
      </c>
      <c r="R380" s="65">
        <f t="shared" si="192"/>
        <v>0</v>
      </c>
      <c r="S380" s="131">
        <v>14</v>
      </c>
      <c r="T380" s="32" t="s">
        <v>201</v>
      </c>
      <c r="U380" s="73">
        <f>SUMIF('Avoided Costs 2013-2021'!$A:$A,'2013 Actuals'!T380&amp;'2013 Actuals'!S380,'Avoided Costs 2013-2021'!$E:$E)*J380</f>
        <v>69126.944297945927</v>
      </c>
      <c r="V380" s="73">
        <f>SUMIF('Avoided Costs 2013-2021'!$A:$A,'2013 Actuals'!T380&amp;'2013 Actuals'!S380,'Avoided Costs 2013-2021'!$K:$K)*N380</f>
        <v>0</v>
      </c>
      <c r="W380" s="73">
        <f>SUMIF('Avoided Costs 2013-2021'!$A:$A,'2013 Actuals'!T380&amp;'2013 Actuals'!S380,'Avoided Costs 2013-2021'!$M:$M)*R380</f>
        <v>0</v>
      </c>
      <c r="X380" s="73">
        <f t="shared" si="193"/>
        <v>69126.944297945927</v>
      </c>
      <c r="Y380" s="89">
        <v>2410</v>
      </c>
      <c r="Z380" s="74">
        <f t="shared" si="194"/>
        <v>2120.8000000000002</v>
      </c>
      <c r="AA380" s="75"/>
      <c r="AB380" s="75"/>
      <c r="AC380" s="75"/>
      <c r="AD380" s="74">
        <f t="shared" si="195"/>
        <v>2120.8000000000002</v>
      </c>
      <c r="AE380" s="74">
        <f t="shared" si="196"/>
        <v>67006.144297945924</v>
      </c>
      <c r="AF380" s="52">
        <f t="shared" si="197"/>
        <v>456807.07072000002</v>
      </c>
      <c r="AG380" s="52">
        <f t="shared" si="198"/>
        <v>519098.94400000002</v>
      </c>
    </row>
    <row r="381" spans="1:33" s="21" customFormat="1" x14ac:dyDescent="0.2">
      <c r="A381" s="170" t="s">
        <v>244</v>
      </c>
      <c r="B381" s="170"/>
      <c r="C381" s="170"/>
      <c r="D381" s="171">
        <v>1</v>
      </c>
      <c r="E381" s="172"/>
      <c r="F381" s="173">
        <v>0.12</v>
      </c>
      <c r="G381" s="173"/>
      <c r="H381" s="51">
        <v>137939</v>
      </c>
      <c r="I381" s="52">
        <f t="shared" si="187"/>
        <v>121938.076</v>
      </c>
      <c r="J381" s="52">
        <f t="shared" si="188"/>
        <v>107305.50688</v>
      </c>
      <c r="K381" s="172"/>
      <c r="L381" s="171">
        <v>0</v>
      </c>
      <c r="M381" s="55">
        <f t="shared" si="189"/>
        <v>0</v>
      </c>
      <c r="N381" s="55">
        <f t="shared" si="190"/>
        <v>0</v>
      </c>
      <c r="O381" s="174"/>
      <c r="P381" s="171">
        <v>0</v>
      </c>
      <c r="Q381" s="55">
        <f t="shared" si="191"/>
        <v>0</v>
      </c>
      <c r="R381" s="65">
        <f t="shared" si="192"/>
        <v>0</v>
      </c>
      <c r="S381" s="131">
        <v>4</v>
      </c>
      <c r="T381" s="32" t="s">
        <v>201</v>
      </c>
      <c r="U381" s="73">
        <f>SUMIF('Avoided Costs 2013-2021'!$A:$A,'2013 Actuals'!T381&amp;'2013 Actuals'!S381,'Avoided Costs 2013-2021'!$E:$E)*J381</f>
        <v>66785.302788487636</v>
      </c>
      <c r="V381" s="73">
        <f>SUMIF('Avoided Costs 2013-2021'!$A:$A,'2013 Actuals'!T381&amp;'2013 Actuals'!S381,'Avoided Costs 2013-2021'!$K:$K)*N381</f>
        <v>0</v>
      </c>
      <c r="W381" s="73">
        <f>SUMIF('Avoided Costs 2013-2021'!$A:$A,'2013 Actuals'!T381&amp;'2013 Actuals'!S381,'Avoided Costs 2013-2021'!$M:$M)*R381</f>
        <v>0</v>
      </c>
      <c r="X381" s="73">
        <f t="shared" si="193"/>
        <v>66785.302788487636</v>
      </c>
      <c r="Y381" s="89">
        <v>22977</v>
      </c>
      <c r="Z381" s="74">
        <f t="shared" si="194"/>
        <v>20219.759999999998</v>
      </c>
      <c r="AA381" s="75"/>
      <c r="AB381" s="75"/>
      <c r="AC381" s="75"/>
      <c r="AD381" s="74">
        <f t="shared" si="195"/>
        <v>20219.759999999998</v>
      </c>
      <c r="AE381" s="74">
        <f t="shared" si="196"/>
        <v>46565.542788487641</v>
      </c>
      <c r="AF381" s="52">
        <f t="shared" si="197"/>
        <v>429222.02752</v>
      </c>
      <c r="AG381" s="52">
        <f t="shared" si="198"/>
        <v>487752.304</v>
      </c>
    </row>
    <row r="382" spans="1:33" s="21" customFormat="1" x14ac:dyDescent="0.2">
      <c r="A382" s="170" t="s">
        <v>245</v>
      </c>
      <c r="B382" s="170"/>
      <c r="C382" s="170"/>
      <c r="D382" s="171">
        <v>1</v>
      </c>
      <c r="E382" s="172"/>
      <c r="F382" s="173">
        <v>0.12</v>
      </c>
      <c r="G382" s="173"/>
      <c r="H382" s="51">
        <v>3711</v>
      </c>
      <c r="I382" s="52">
        <f t="shared" si="187"/>
        <v>3280.5239999999999</v>
      </c>
      <c r="J382" s="52">
        <f t="shared" si="188"/>
        <v>2886.86112</v>
      </c>
      <c r="K382" s="172"/>
      <c r="L382" s="171">
        <v>0</v>
      </c>
      <c r="M382" s="55">
        <f t="shared" si="189"/>
        <v>0</v>
      </c>
      <c r="N382" s="55">
        <f t="shared" si="190"/>
        <v>0</v>
      </c>
      <c r="O382" s="174"/>
      <c r="P382" s="171">
        <v>0</v>
      </c>
      <c r="Q382" s="55">
        <f t="shared" si="191"/>
        <v>0</v>
      </c>
      <c r="R382" s="65">
        <f t="shared" si="192"/>
        <v>0</v>
      </c>
      <c r="S382" s="131">
        <v>5</v>
      </c>
      <c r="T382" s="32" t="s">
        <v>201</v>
      </c>
      <c r="U382" s="73">
        <f>SUMIF('Avoided Costs 2013-2021'!$A:$A,'2013 Actuals'!T382&amp;'2013 Actuals'!S382,'Avoided Costs 2013-2021'!$E:$E)*J382</f>
        <v>2248.0064680874498</v>
      </c>
      <c r="V382" s="73">
        <f>SUMIF('Avoided Costs 2013-2021'!$A:$A,'2013 Actuals'!T382&amp;'2013 Actuals'!S382,'Avoided Costs 2013-2021'!$K:$K)*N382</f>
        <v>0</v>
      </c>
      <c r="W382" s="73">
        <f>SUMIF('Avoided Costs 2013-2021'!$A:$A,'2013 Actuals'!T382&amp;'2013 Actuals'!S382,'Avoided Costs 2013-2021'!$M:$M)*R382</f>
        <v>0</v>
      </c>
      <c r="X382" s="73">
        <f t="shared" si="193"/>
        <v>2248.0064680874498</v>
      </c>
      <c r="Y382" s="89">
        <v>153740.18</v>
      </c>
      <c r="Z382" s="74">
        <f t="shared" si="194"/>
        <v>135291.3584</v>
      </c>
      <c r="AA382" s="75"/>
      <c r="AB382" s="75"/>
      <c r="AC382" s="75"/>
      <c r="AD382" s="74">
        <f t="shared" si="195"/>
        <v>135291.3584</v>
      </c>
      <c r="AE382" s="74">
        <f t="shared" si="196"/>
        <v>-133043.35193191253</v>
      </c>
      <c r="AF382" s="52">
        <f t="shared" si="197"/>
        <v>14434.3056</v>
      </c>
      <c r="AG382" s="52">
        <f t="shared" si="198"/>
        <v>16402.62</v>
      </c>
    </row>
    <row r="383" spans="1:33" s="21" customFormat="1" x14ac:dyDescent="0.2">
      <c r="A383" s="170" t="s">
        <v>246</v>
      </c>
      <c r="B383" s="170"/>
      <c r="C383" s="170"/>
      <c r="D383" s="171">
        <v>1</v>
      </c>
      <c r="E383" s="172"/>
      <c r="F383" s="173">
        <v>0.12</v>
      </c>
      <c r="G383" s="173"/>
      <c r="H383" s="51">
        <v>49473</v>
      </c>
      <c r="I383" s="52">
        <f t="shared" si="187"/>
        <v>43734.131999999998</v>
      </c>
      <c r="J383" s="52">
        <f t="shared" si="188"/>
        <v>38486.036159999996</v>
      </c>
      <c r="K383" s="172"/>
      <c r="L383" s="171">
        <v>0</v>
      </c>
      <c r="M383" s="55">
        <f t="shared" si="189"/>
        <v>0</v>
      </c>
      <c r="N383" s="55">
        <f t="shared" si="190"/>
        <v>0</v>
      </c>
      <c r="O383" s="174"/>
      <c r="P383" s="171">
        <v>0</v>
      </c>
      <c r="Q383" s="55">
        <f t="shared" si="191"/>
        <v>0</v>
      </c>
      <c r="R383" s="65">
        <f t="shared" si="192"/>
        <v>0</v>
      </c>
      <c r="S383" s="131">
        <v>14</v>
      </c>
      <c r="T383" s="32" t="s">
        <v>201</v>
      </c>
      <c r="U383" s="73">
        <f>SUMIF('Avoided Costs 2013-2021'!$A:$A,'2013 Actuals'!T383&amp;'2013 Actuals'!S383,'Avoided Costs 2013-2021'!$E:$E)*J383</f>
        <v>81535.316499434441</v>
      </c>
      <c r="V383" s="73">
        <f>SUMIF('Avoided Costs 2013-2021'!$A:$A,'2013 Actuals'!T383&amp;'2013 Actuals'!S383,'Avoided Costs 2013-2021'!$K:$K)*N383</f>
        <v>0</v>
      </c>
      <c r="W383" s="73">
        <f>SUMIF('Avoided Costs 2013-2021'!$A:$A,'2013 Actuals'!T383&amp;'2013 Actuals'!S383,'Avoided Costs 2013-2021'!$M:$M)*R383</f>
        <v>0</v>
      </c>
      <c r="X383" s="73">
        <f t="shared" si="193"/>
        <v>81535.316499434441</v>
      </c>
      <c r="Y383" s="89">
        <v>3435</v>
      </c>
      <c r="Z383" s="74">
        <f t="shared" si="194"/>
        <v>3022.8</v>
      </c>
      <c r="AA383" s="75"/>
      <c r="AB383" s="75"/>
      <c r="AC383" s="75"/>
      <c r="AD383" s="74">
        <f t="shared" si="195"/>
        <v>3022.8</v>
      </c>
      <c r="AE383" s="74">
        <f t="shared" si="196"/>
        <v>78512.516499434438</v>
      </c>
      <c r="AF383" s="52">
        <f t="shared" si="197"/>
        <v>538804.5062399999</v>
      </c>
      <c r="AG383" s="52">
        <f t="shared" si="198"/>
        <v>612277.848</v>
      </c>
    </row>
    <row r="384" spans="1:33" s="21" customFormat="1" x14ac:dyDescent="0.2">
      <c r="A384" s="170" t="s">
        <v>247</v>
      </c>
      <c r="B384" s="170"/>
      <c r="C384" s="170"/>
      <c r="D384" s="171">
        <v>1</v>
      </c>
      <c r="E384" s="172"/>
      <c r="F384" s="173">
        <v>0.12</v>
      </c>
      <c r="G384" s="173"/>
      <c r="H384" s="51">
        <v>27142</v>
      </c>
      <c r="I384" s="52">
        <f t="shared" si="187"/>
        <v>23993.527999999998</v>
      </c>
      <c r="J384" s="52">
        <f t="shared" si="188"/>
        <v>21114.304639999998</v>
      </c>
      <c r="K384" s="172"/>
      <c r="L384" s="171">
        <v>0</v>
      </c>
      <c r="M384" s="55">
        <f t="shared" si="189"/>
        <v>0</v>
      </c>
      <c r="N384" s="55">
        <f t="shared" si="190"/>
        <v>0</v>
      </c>
      <c r="O384" s="174"/>
      <c r="P384" s="171">
        <v>0</v>
      </c>
      <c r="Q384" s="55">
        <f t="shared" si="191"/>
        <v>0</v>
      </c>
      <c r="R384" s="65">
        <f t="shared" si="192"/>
        <v>0</v>
      </c>
      <c r="S384" s="131">
        <v>14</v>
      </c>
      <c r="T384" s="32" t="s">
        <v>201</v>
      </c>
      <c r="U384" s="73">
        <f>SUMIF('Avoided Costs 2013-2021'!$A:$A,'2013 Actuals'!T384&amp;'2013 Actuals'!S384,'Avoided Costs 2013-2021'!$E:$E)*J384</f>
        <v>44732.107622898344</v>
      </c>
      <c r="V384" s="73">
        <f>SUMIF('Avoided Costs 2013-2021'!$A:$A,'2013 Actuals'!T384&amp;'2013 Actuals'!S384,'Avoided Costs 2013-2021'!$K:$K)*N384</f>
        <v>0</v>
      </c>
      <c r="W384" s="73">
        <f>SUMIF('Avoided Costs 2013-2021'!$A:$A,'2013 Actuals'!T384&amp;'2013 Actuals'!S384,'Avoided Costs 2013-2021'!$M:$M)*R384</f>
        <v>0</v>
      </c>
      <c r="X384" s="73">
        <f t="shared" si="193"/>
        <v>44732.107622898344</v>
      </c>
      <c r="Y384" s="89">
        <v>3297</v>
      </c>
      <c r="Z384" s="74">
        <f t="shared" si="194"/>
        <v>2901.36</v>
      </c>
      <c r="AA384" s="75"/>
      <c r="AB384" s="75"/>
      <c r="AC384" s="75"/>
      <c r="AD384" s="74">
        <f t="shared" si="195"/>
        <v>2901.36</v>
      </c>
      <c r="AE384" s="74">
        <f t="shared" si="196"/>
        <v>41830.747622898343</v>
      </c>
      <c r="AF384" s="52">
        <f t="shared" si="197"/>
        <v>295600.26496</v>
      </c>
      <c r="AG384" s="52">
        <f t="shared" si="198"/>
        <v>335909.39199999999</v>
      </c>
    </row>
    <row r="385" spans="1:33" s="21" customFormat="1" x14ac:dyDescent="0.2">
      <c r="A385" s="170" t="s">
        <v>248</v>
      </c>
      <c r="B385" s="170"/>
      <c r="C385" s="170"/>
      <c r="D385" s="171">
        <v>1</v>
      </c>
      <c r="E385" s="172"/>
      <c r="F385" s="173">
        <v>0.12</v>
      </c>
      <c r="G385" s="173"/>
      <c r="H385" s="51">
        <v>418</v>
      </c>
      <c r="I385" s="52">
        <f t="shared" si="187"/>
        <v>369.512</v>
      </c>
      <c r="J385" s="52">
        <f t="shared" si="188"/>
        <v>325.17056000000002</v>
      </c>
      <c r="K385" s="172"/>
      <c r="L385" s="171">
        <v>0</v>
      </c>
      <c r="M385" s="55">
        <f t="shared" si="189"/>
        <v>0</v>
      </c>
      <c r="N385" s="55">
        <f t="shared" si="190"/>
        <v>0</v>
      </c>
      <c r="O385" s="174"/>
      <c r="P385" s="171">
        <v>0</v>
      </c>
      <c r="Q385" s="55">
        <f t="shared" si="191"/>
        <v>0</v>
      </c>
      <c r="R385" s="65">
        <f t="shared" si="192"/>
        <v>0</v>
      </c>
      <c r="S385" s="131">
        <v>14</v>
      </c>
      <c r="T385" s="32" t="s">
        <v>201</v>
      </c>
      <c r="U385" s="73">
        <f>SUMIF('Avoided Costs 2013-2021'!$A:$A,'2013 Actuals'!T385&amp;'2013 Actuals'!S385,'Avoided Costs 2013-2021'!$E:$E)*J385</f>
        <v>688.89621200985596</v>
      </c>
      <c r="V385" s="73">
        <f>SUMIF('Avoided Costs 2013-2021'!$A:$A,'2013 Actuals'!T385&amp;'2013 Actuals'!S385,'Avoided Costs 2013-2021'!$K:$K)*N385</f>
        <v>0</v>
      </c>
      <c r="W385" s="73">
        <f>SUMIF('Avoided Costs 2013-2021'!$A:$A,'2013 Actuals'!T385&amp;'2013 Actuals'!S385,'Avoided Costs 2013-2021'!$M:$M)*R385</f>
        <v>0</v>
      </c>
      <c r="X385" s="73">
        <f t="shared" si="193"/>
        <v>688.89621200985596</v>
      </c>
      <c r="Y385" s="89">
        <v>149</v>
      </c>
      <c r="Z385" s="74">
        <f t="shared" si="194"/>
        <v>131.12</v>
      </c>
      <c r="AA385" s="75"/>
      <c r="AB385" s="75"/>
      <c r="AC385" s="75"/>
      <c r="AD385" s="74">
        <f t="shared" si="195"/>
        <v>131.12</v>
      </c>
      <c r="AE385" s="74">
        <f t="shared" si="196"/>
        <v>557.77621200985595</v>
      </c>
      <c r="AF385" s="52">
        <f t="shared" si="197"/>
        <v>4552.3878400000003</v>
      </c>
      <c r="AG385" s="52">
        <f t="shared" si="198"/>
        <v>5173.1679999999997</v>
      </c>
    </row>
    <row r="386" spans="1:33" s="21" customFormat="1" x14ac:dyDescent="0.2">
      <c r="A386" s="170" t="s">
        <v>249</v>
      </c>
      <c r="B386" s="170"/>
      <c r="C386" s="170"/>
      <c r="D386" s="171">
        <v>1</v>
      </c>
      <c r="E386" s="172"/>
      <c r="F386" s="173">
        <v>0.12</v>
      </c>
      <c r="G386" s="173"/>
      <c r="H386" s="51">
        <v>4766</v>
      </c>
      <c r="I386" s="52">
        <f t="shared" ref="I386:I414" si="199">+$H$39*H386</f>
        <v>4213.1440000000002</v>
      </c>
      <c r="J386" s="52">
        <f t="shared" ref="J386:J414" si="200">I386*(1-F386)</f>
        <v>3707.5667200000003</v>
      </c>
      <c r="K386" s="172"/>
      <c r="L386" s="171">
        <v>0</v>
      </c>
      <c r="M386" s="55">
        <f t="shared" ref="M386:M414" si="201">+$L$39*L386</f>
        <v>0</v>
      </c>
      <c r="N386" s="55">
        <f t="shared" ref="N386:N414" si="202">M386*(1-F386)</f>
        <v>0</v>
      </c>
      <c r="O386" s="174"/>
      <c r="P386" s="171">
        <v>0</v>
      </c>
      <c r="Q386" s="55">
        <f t="shared" ref="Q386:Q414" si="203">+P386*$P$39</f>
        <v>0</v>
      </c>
      <c r="R386" s="65">
        <f t="shared" ref="R386:R414" si="204">Q386*(1-F386)</f>
        <v>0</v>
      </c>
      <c r="S386" s="131">
        <v>14</v>
      </c>
      <c r="T386" s="32" t="s">
        <v>201</v>
      </c>
      <c r="U386" s="73">
        <f>SUMIF('Avoided Costs 2013-2021'!$A:$A,'2013 Actuals'!T386&amp;'2013 Actuals'!S386,'Avoided Costs 2013-2021'!$E:$E)*J386</f>
        <v>7854.735278562137</v>
      </c>
      <c r="V386" s="73">
        <f>SUMIF('Avoided Costs 2013-2021'!$A:$A,'2013 Actuals'!T386&amp;'2013 Actuals'!S386,'Avoided Costs 2013-2021'!$K:$K)*N386</f>
        <v>0</v>
      </c>
      <c r="W386" s="73">
        <f>SUMIF('Avoided Costs 2013-2021'!$A:$A,'2013 Actuals'!T386&amp;'2013 Actuals'!S386,'Avoided Costs 2013-2021'!$M:$M)*R386</f>
        <v>0</v>
      </c>
      <c r="X386" s="73">
        <f t="shared" ref="X386:X414" si="205">SUM(U386:W386)</f>
        <v>7854.735278562137</v>
      </c>
      <c r="Y386" s="89">
        <v>5875</v>
      </c>
      <c r="Z386" s="74">
        <f t="shared" ref="Z386:Z414" si="206">Y386*(1-F386)</f>
        <v>5170</v>
      </c>
      <c r="AA386" s="75"/>
      <c r="AB386" s="75"/>
      <c r="AC386" s="75"/>
      <c r="AD386" s="74">
        <f t="shared" ref="AD386:AD415" si="207">Z386+AB386</f>
        <v>5170</v>
      </c>
      <c r="AE386" s="74">
        <f t="shared" ref="AE386:AE415" si="208">X386-AD386</f>
        <v>2684.735278562137</v>
      </c>
      <c r="AF386" s="52">
        <f t="shared" ref="AF386:AF414" si="209">J386*S386</f>
        <v>51905.934080000006</v>
      </c>
      <c r="AG386" s="52">
        <f t="shared" ref="AG386:AG414" si="210">(I386*S386)</f>
        <v>58984.016000000003</v>
      </c>
    </row>
    <row r="387" spans="1:33" s="21" customFormat="1" x14ac:dyDescent="0.2">
      <c r="A387" s="170" t="s">
        <v>250</v>
      </c>
      <c r="B387" s="170"/>
      <c r="C387" s="170"/>
      <c r="D387" s="171">
        <v>1</v>
      </c>
      <c r="E387" s="172"/>
      <c r="F387" s="173">
        <v>0.12</v>
      </c>
      <c r="G387" s="173"/>
      <c r="H387" s="51">
        <v>44273</v>
      </c>
      <c r="I387" s="52">
        <f t="shared" si="199"/>
        <v>39137.332000000002</v>
      </c>
      <c r="J387" s="52">
        <f t="shared" si="200"/>
        <v>34440.852160000002</v>
      </c>
      <c r="K387" s="172"/>
      <c r="L387" s="171">
        <v>0</v>
      </c>
      <c r="M387" s="55">
        <f t="shared" si="201"/>
        <v>0</v>
      </c>
      <c r="N387" s="55">
        <f t="shared" si="202"/>
        <v>0</v>
      </c>
      <c r="O387" s="174"/>
      <c r="P387" s="171">
        <v>0</v>
      </c>
      <c r="Q387" s="55">
        <f t="shared" si="203"/>
        <v>0</v>
      </c>
      <c r="R387" s="65">
        <f t="shared" si="204"/>
        <v>0</v>
      </c>
      <c r="S387" s="131">
        <v>14</v>
      </c>
      <c r="T387" s="32" t="s">
        <v>201</v>
      </c>
      <c r="U387" s="73">
        <f>SUMIF('Avoided Costs 2013-2021'!$A:$A,'2013 Actuals'!T387&amp;'2013 Actuals'!S387,'Avoided Costs 2013-2021'!$E:$E)*J387</f>
        <v>72965.315775866868</v>
      </c>
      <c r="V387" s="73">
        <f>SUMIF('Avoided Costs 2013-2021'!$A:$A,'2013 Actuals'!T387&amp;'2013 Actuals'!S387,'Avoided Costs 2013-2021'!$K:$K)*N387</f>
        <v>0</v>
      </c>
      <c r="W387" s="73">
        <f>SUMIF('Avoided Costs 2013-2021'!$A:$A,'2013 Actuals'!T387&amp;'2013 Actuals'!S387,'Avoided Costs 2013-2021'!$M:$M)*R387</f>
        <v>0</v>
      </c>
      <c r="X387" s="73">
        <f t="shared" si="205"/>
        <v>72965.315775866868</v>
      </c>
      <c r="Y387" s="89">
        <v>1249</v>
      </c>
      <c r="Z387" s="74">
        <f t="shared" si="206"/>
        <v>1099.1200000000001</v>
      </c>
      <c r="AA387" s="75"/>
      <c r="AB387" s="75"/>
      <c r="AC387" s="75"/>
      <c r="AD387" s="74">
        <f t="shared" si="207"/>
        <v>1099.1200000000001</v>
      </c>
      <c r="AE387" s="74">
        <f t="shared" si="208"/>
        <v>71866.195775866872</v>
      </c>
      <c r="AF387" s="52">
        <f t="shared" si="209"/>
        <v>482171.93024000002</v>
      </c>
      <c r="AG387" s="52">
        <f t="shared" si="210"/>
        <v>547922.64800000004</v>
      </c>
    </row>
    <row r="388" spans="1:33" s="21" customFormat="1" x14ac:dyDescent="0.2">
      <c r="A388" s="170" t="s">
        <v>251</v>
      </c>
      <c r="B388" s="170"/>
      <c r="C388" s="170"/>
      <c r="D388" s="171">
        <v>1</v>
      </c>
      <c r="E388" s="172"/>
      <c r="F388" s="173">
        <v>0.12</v>
      </c>
      <c r="G388" s="173"/>
      <c r="H388" s="51">
        <v>18550</v>
      </c>
      <c r="I388" s="52">
        <f t="shared" si="199"/>
        <v>16398.2</v>
      </c>
      <c r="J388" s="52">
        <f t="shared" si="200"/>
        <v>14430.416000000001</v>
      </c>
      <c r="K388" s="172"/>
      <c r="L388" s="171">
        <v>0</v>
      </c>
      <c r="M388" s="55">
        <f t="shared" si="201"/>
        <v>0</v>
      </c>
      <c r="N388" s="55">
        <f t="shared" si="202"/>
        <v>0</v>
      </c>
      <c r="O388" s="174"/>
      <c r="P388" s="171">
        <v>0</v>
      </c>
      <c r="Q388" s="55">
        <f t="shared" si="203"/>
        <v>0</v>
      </c>
      <c r="R388" s="65">
        <f t="shared" si="204"/>
        <v>0</v>
      </c>
      <c r="S388" s="131">
        <v>25</v>
      </c>
      <c r="T388" s="32" t="s">
        <v>201</v>
      </c>
      <c r="U388" s="73">
        <f>SUMIF('Avoided Costs 2013-2021'!$A:$A,'2013 Actuals'!T388&amp;'2013 Actuals'!S388,'Avoided Costs 2013-2021'!$E:$E)*J388</f>
        <v>45270.27344992297</v>
      </c>
      <c r="V388" s="73">
        <f>SUMIF('Avoided Costs 2013-2021'!$A:$A,'2013 Actuals'!T388&amp;'2013 Actuals'!S388,'Avoided Costs 2013-2021'!$K:$K)*N388</f>
        <v>0</v>
      </c>
      <c r="W388" s="73">
        <f>SUMIF('Avoided Costs 2013-2021'!$A:$A,'2013 Actuals'!T388&amp;'2013 Actuals'!S388,'Avoided Costs 2013-2021'!$M:$M)*R388</f>
        <v>0</v>
      </c>
      <c r="X388" s="73">
        <f t="shared" si="205"/>
        <v>45270.27344992297</v>
      </c>
      <c r="Y388" s="89">
        <v>12213</v>
      </c>
      <c r="Z388" s="74">
        <f t="shared" si="206"/>
        <v>10747.44</v>
      </c>
      <c r="AA388" s="75"/>
      <c r="AB388" s="75"/>
      <c r="AC388" s="75"/>
      <c r="AD388" s="74">
        <f t="shared" si="207"/>
        <v>10747.44</v>
      </c>
      <c r="AE388" s="74">
        <f t="shared" si="208"/>
        <v>34522.833449922968</v>
      </c>
      <c r="AF388" s="52">
        <f t="shared" si="209"/>
        <v>360760.4</v>
      </c>
      <c r="AG388" s="52">
        <f t="shared" si="210"/>
        <v>409955</v>
      </c>
    </row>
    <row r="389" spans="1:33" s="21" customFormat="1" x14ac:dyDescent="0.2">
      <c r="A389" s="170" t="s">
        <v>252</v>
      </c>
      <c r="B389" s="170"/>
      <c r="C389" s="170"/>
      <c r="D389" s="171">
        <v>1</v>
      </c>
      <c r="E389" s="172"/>
      <c r="F389" s="173">
        <v>0.12</v>
      </c>
      <c r="G389" s="173"/>
      <c r="H389" s="51">
        <v>369</v>
      </c>
      <c r="I389" s="52">
        <f t="shared" si="199"/>
        <v>326.19600000000003</v>
      </c>
      <c r="J389" s="52">
        <f t="shared" si="200"/>
        <v>287.05248</v>
      </c>
      <c r="K389" s="172"/>
      <c r="L389" s="171">
        <v>0</v>
      </c>
      <c r="M389" s="55">
        <f t="shared" si="201"/>
        <v>0</v>
      </c>
      <c r="N389" s="55">
        <f t="shared" si="202"/>
        <v>0</v>
      </c>
      <c r="O389" s="174"/>
      <c r="P389" s="171">
        <v>0</v>
      </c>
      <c r="Q389" s="55">
        <f t="shared" si="203"/>
        <v>0</v>
      </c>
      <c r="R389" s="65">
        <f t="shared" si="204"/>
        <v>0</v>
      </c>
      <c r="S389" s="131">
        <v>14</v>
      </c>
      <c r="T389" s="32" t="s">
        <v>201</v>
      </c>
      <c r="U389" s="73">
        <f>SUMIF('Avoided Costs 2013-2021'!$A:$A,'2013 Actuals'!T389&amp;'2013 Actuals'!S389,'Avoided Costs 2013-2021'!$E:$E)*J389</f>
        <v>608.14043596085367</v>
      </c>
      <c r="V389" s="73">
        <f>SUMIF('Avoided Costs 2013-2021'!$A:$A,'2013 Actuals'!T389&amp;'2013 Actuals'!S389,'Avoided Costs 2013-2021'!$K:$K)*N389</f>
        <v>0</v>
      </c>
      <c r="W389" s="73">
        <f>SUMIF('Avoided Costs 2013-2021'!$A:$A,'2013 Actuals'!T389&amp;'2013 Actuals'!S389,'Avoided Costs 2013-2021'!$M:$M)*R389</f>
        <v>0</v>
      </c>
      <c r="X389" s="73">
        <f t="shared" si="205"/>
        <v>608.14043596085367</v>
      </c>
      <c r="Y389" s="89">
        <v>1017</v>
      </c>
      <c r="Z389" s="74">
        <f t="shared" si="206"/>
        <v>894.96</v>
      </c>
      <c r="AA389" s="75"/>
      <c r="AB389" s="75"/>
      <c r="AC389" s="75"/>
      <c r="AD389" s="74">
        <f t="shared" si="207"/>
        <v>894.96</v>
      </c>
      <c r="AE389" s="74">
        <f t="shared" si="208"/>
        <v>-286.81956403914637</v>
      </c>
      <c r="AF389" s="52">
        <f t="shared" si="209"/>
        <v>4018.7347199999999</v>
      </c>
      <c r="AG389" s="52">
        <f t="shared" si="210"/>
        <v>4566.7440000000006</v>
      </c>
    </row>
    <row r="390" spans="1:33" s="21" customFormat="1" x14ac:dyDescent="0.2">
      <c r="A390" s="170" t="s">
        <v>253</v>
      </c>
      <c r="B390" s="170"/>
      <c r="C390" s="170"/>
      <c r="D390" s="171">
        <v>1</v>
      </c>
      <c r="E390" s="172"/>
      <c r="F390" s="173">
        <v>0.12</v>
      </c>
      <c r="G390" s="173"/>
      <c r="H390" s="51">
        <v>702</v>
      </c>
      <c r="I390" s="52">
        <f t="shared" si="199"/>
        <v>620.56799999999998</v>
      </c>
      <c r="J390" s="52">
        <f t="shared" si="200"/>
        <v>546.09983999999997</v>
      </c>
      <c r="K390" s="172"/>
      <c r="L390" s="171">
        <v>0</v>
      </c>
      <c r="M390" s="55">
        <f t="shared" si="201"/>
        <v>0</v>
      </c>
      <c r="N390" s="55">
        <f t="shared" si="202"/>
        <v>0</v>
      </c>
      <c r="O390" s="174"/>
      <c r="P390" s="171">
        <v>0</v>
      </c>
      <c r="Q390" s="55">
        <f t="shared" si="203"/>
        <v>0</v>
      </c>
      <c r="R390" s="65">
        <f t="shared" si="204"/>
        <v>0</v>
      </c>
      <c r="S390" s="131">
        <v>14</v>
      </c>
      <c r="T390" s="32" t="s">
        <v>201</v>
      </c>
      <c r="U390" s="73">
        <f>SUMIF('Avoided Costs 2013-2021'!$A:$A,'2013 Actuals'!T390&amp;'2013 Actuals'!S390,'Avoided Costs 2013-2021'!$E:$E)*J390</f>
        <v>1156.9500976816239</v>
      </c>
      <c r="V390" s="73">
        <f>SUMIF('Avoided Costs 2013-2021'!$A:$A,'2013 Actuals'!T390&amp;'2013 Actuals'!S390,'Avoided Costs 2013-2021'!$K:$K)*N390</f>
        <v>0</v>
      </c>
      <c r="W390" s="73">
        <f>SUMIF('Avoided Costs 2013-2021'!$A:$A,'2013 Actuals'!T390&amp;'2013 Actuals'!S390,'Avoided Costs 2013-2021'!$M:$M)*R390</f>
        <v>0</v>
      </c>
      <c r="X390" s="73">
        <f t="shared" si="205"/>
        <v>1156.9500976816239</v>
      </c>
      <c r="Y390" s="89">
        <v>1539</v>
      </c>
      <c r="Z390" s="74">
        <f t="shared" si="206"/>
        <v>1354.32</v>
      </c>
      <c r="AA390" s="75"/>
      <c r="AB390" s="75"/>
      <c r="AC390" s="75"/>
      <c r="AD390" s="74">
        <f t="shared" si="207"/>
        <v>1354.32</v>
      </c>
      <c r="AE390" s="74">
        <f t="shared" si="208"/>
        <v>-197.36990231837603</v>
      </c>
      <c r="AF390" s="52">
        <f t="shared" si="209"/>
        <v>7645.3977599999998</v>
      </c>
      <c r="AG390" s="52">
        <f t="shared" si="210"/>
        <v>8687.9519999999993</v>
      </c>
    </row>
    <row r="391" spans="1:33" s="21" customFormat="1" x14ac:dyDescent="0.2">
      <c r="A391" s="170" t="s">
        <v>254</v>
      </c>
      <c r="B391" s="170"/>
      <c r="C391" s="170"/>
      <c r="D391" s="171">
        <v>1</v>
      </c>
      <c r="E391" s="172"/>
      <c r="F391" s="173">
        <v>0.12</v>
      </c>
      <c r="G391" s="173"/>
      <c r="H391" s="51">
        <v>4019</v>
      </c>
      <c r="I391" s="52">
        <f t="shared" si="199"/>
        <v>3552.7959999999998</v>
      </c>
      <c r="J391" s="52">
        <f t="shared" si="200"/>
        <v>3126.4604799999997</v>
      </c>
      <c r="K391" s="172"/>
      <c r="L391" s="171">
        <v>0</v>
      </c>
      <c r="M391" s="55">
        <f t="shared" si="201"/>
        <v>0</v>
      </c>
      <c r="N391" s="55">
        <f t="shared" si="202"/>
        <v>0</v>
      </c>
      <c r="O391" s="174"/>
      <c r="P391" s="171">
        <v>0</v>
      </c>
      <c r="Q391" s="55">
        <f t="shared" si="203"/>
        <v>0</v>
      </c>
      <c r="R391" s="65">
        <f t="shared" si="204"/>
        <v>0</v>
      </c>
      <c r="S391" s="131">
        <v>14</v>
      </c>
      <c r="T391" s="32" t="s">
        <v>201</v>
      </c>
      <c r="U391" s="73">
        <f>SUMIF('Avoided Costs 2013-2021'!$A:$A,'2013 Actuals'!T391&amp;'2013 Actuals'!S391,'Avoided Costs 2013-2021'!$E:$E)*J391</f>
        <v>6623.621713080408</v>
      </c>
      <c r="V391" s="73">
        <f>SUMIF('Avoided Costs 2013-2021'!$A:$A,'2013 Actuals'!T391&amp;'2013 Actuals'!S391,'Avoided Costs 2013-2021'!$K:$K)*N391</f>
        <v>0</v>
      </c>
      <c r="W391" s="73">
        <f>SUMIF('Avoided Costs 2013-2021'!$A:$A,'2013 Actuals'!T391&amp;'2013 Actuals'!S391,'Avoided Costs 2013-2021'!$M:$M)*R391</f>
        <v>0</v>
      </c>
      <c r="X391" s="73">
        <f t="shared" si="205"/>
        <v>6623.621713080408</v>
      </c>
      <c r="Y391" s="89">
        <v>4906</v>
      </c>
      <c r="Z391" s="74">
        <f t="shared" si="206"/>
        <v>4317.28</v>
      </c>
      <c r="AA391" s="75"/>
      <c r="AB391" s="75"/>
      <c r="AC391" s="75"/>
      <c r="AD391" s="74">
        <f t="shared" si="207"/>
        <v>4317.28</v>
      </c>
      <c r="AE391" s="74">
        <f t="shared" si="208"/>
        <v>2306.3417130804082</v>
      </c>
      <c r="AF391" s="52">
        <f t="shared" si="209"/>
        <v>43770.446719999993</v>
      </c>
      <c r="AG391" s="52">
        <f t="shared" si="210"/>
        <v>49739.144</v>
      </c>
    </row>
    <row r="392" spans="1:33" s="21" customFormat="1" x14ac:dyDescent="0.2">
      <c r="A392" s="170" t="s">
        <v>255</v>
      </c>
      <c r="B392" s="170"/>
      <c r="C392" s="170"/>
      <c r="D392" s="171">
        <v>1</v>
      </c>
      <c r="E392" s="172"/>
      <c r="F392" s="173">
        <v>0.12</v>
      </c>
      <c r="G392" s="173"/>
      <c r="H392" s="51">
        <v>2915</v>
      </c>
      <c r="I392" s="52">
        <f t="shared" si="199"/>
        <v>2576.86</v>
      </c>
      <c r="J392" s="52">
        <f t="shared" si="200"/>
        <v>2267.6368000000002</v>
      </c>
      <c r="K392" s="172"/>
      <c r="L392" s="171">
        <v>0</v>
      </c>
      <c r="M392" s="55">
        <f t="shared" si="201"/>
        <v>0</v>
      </c>
      <c r="N392" s="55">
        <f t="shared" si="202"/>
        <v>0</v>
      </c>
      <c r="O392" s="174"/>
      <c r="P392" s="171">
        <v>0</v>
      </c>
      <c r="Q392" s="55">
        <f t="shared" si="203"/>
        <v>0</v>
      </c>
      <c r="R392" s="65">
        <f t="shared" si="204"/>
        <v>0</v>
      </c>
      <c r="S392" s="131">
        <v>14</v>
      </c>
      <c r="T392" s="32" t="s">
        <v>201</v>
      </c>
      <c r="U392" s="73">
        <f>SUMIF('Avoided Costs 2013-2021'!$A:$A,'2013 Actuals'!T392&amp;'2013 Actuals'!S392,'Avoided Costs 2013-2021'!$E:$E)*J392</f>
        <v>4804.1446363845216</v>
      </c>
      <c r="V392" s="73">
        <f>SUMIF('Avoided Costs 2013-2021'!$A:$A,'2013 Actuals'!T392&amp;'2013 Actuals'!S392,'Avoided Costs 2013-2021'!$K:$K)*N392</f>
        <v>0</v>
      </c>
      <c r="W392" s="73">
        <f>SUMIF('Avoided Costs 2013-2021'!$A:$A,'2013 Actuals'!T392&amp;'2013 Actuals'!S392,'Avoided Costs 2013-2021'!$M:$M)*R392</f>
        <v>0</v>
      </c>
      <c r="X392" s="73">
        <f t="shared" si="205"/>
        <v>4804.1446363845216</v>
      </c>
      <c r="Y392" s="89">
        <v>2356</v>
      </c>
      <c r="Z392" s="74">
        <f t="shared" si="206"/>
        <v>2073.2800000000002</v>
      </c>
      <c r="AA392" s="75"/>
      <c r="AB392" s="75"/>
      <c r="AC392" s="75"/>
      <c r="AD392" s="74">
        <f t="shared" si="207"/>
        <v>2073.2800000000002</v>
      </c>
      <c r="AE392" s="74">
        <f t="shared" si="208"/>
        <v>2730.8646363845214</v>
      </c>
      <c r="AF392" s="52">
        <f t="shared" si="209"/>
        <v>31746.915200000003</v>
      </c>
      <c r="AG392" s="52">
        <f t="shared" si="210"/>
        <v>36076.04</v>
      </c>
    </row>
    <row r="393" spans="1:33" s="21" customFormat="1" x14ac:dyDescent="0.2">
      <c r="A393" s="170" t="s">
        <v>256</v>
      </c>
      <c r="B393" s="170"/>
      <c r="C393" s="170"/>
      <c r="D393" s="171">
        <v>1</v>
      </c>
      <c r="E393" s="172"/>
      <c r="F393" s="173">
        <v>0.12</v>
      </c>
      <c r="G393" s="173"/>
      <c r="H393" s="51">
        <v>4822</v>
      </c>
      <c r="I393" s="52">
        <f t="shared" si="199"/>
        <v>4262.6480000000001</v>
      </c>
      <c r="J393" s="52">
        <f t="shared" si="200"/>
        <v>3751.13024</v>
      </c>
      <c r="K393" s="172"/>
      <c r="L393" s="171">
        <v>0</v>
      </c>
      <c r="M393" s="55">
        <f t="shared" si="201"/>
        <v>0</v>
      </c>
      <c r="N393" s="55">
        <f t="shared" si="202"/>
        <v>0</v>
      </c>
      <c r="O393" s="174"/>
      <c r="P393" s="171">
        <v>0</v>
      </c>
      <c r="Q393" s="55">
        <f t="shared" si="203"/>
        <v>0</v>
      </c>
      <c r="R393" s="65">
        <f t="shared" si="204"/>
        <v>0</v>
      </c>
      <c r="S393" s="131">
        <v>14</v>
      </c>
      <c r="T393" s="32" t="s">
        <v>201</v>
      </c>
      <c r="U393" s="73">
        <f>SUMIF('Avoided Costs 2013-2021'!$A:$A,'2013 Actuals'!T393&amp;'2013 Actuals'!S393,'Avoided Costs 2013-2021'!$E:$E)*J393</f>
        <v>7947.0275940467109</v>
      </c>
      <c r="V393" s="73">
        <f>SUMIF('Avoided Costs 2013-2021'!$A:$A,'2013 Actuals'!T393&amp;'2013 Actuals'!S393,'Avoided Costs 2013-2021'!$K:$K)*N393</f>
        <v>0</v>
      </c>
      <c r="W393" s="73">
        <f>SUMIF('Avoided Costs 2013-2021'!$A:$A,'2013 Actuals'!T393&amp;'2013 Actuals'!S393,'Avoided Costs 2013-2021'!$M:$M)*R393</f>
        <v>0</v>
      </c>
      <c r="X393" s="73">
        <f t="shared" si="205"/>
        <v>7947.0275940467109</v>
      </c>
      <c r="Y393" s="89">
        <v>1644</v>
      </c>
      <c r="Z393" s="74">
        <f t="shared" si="206"/>
        <v>1446.72</v>
      </c>
      <c r="AA393" s="75"/>
      <c r="AB393" s="75"/>
      <c r="AC393" s="75"/>
      <c r="AD393" s="74">
        <f t="shared" si="207"/>
        <v>1446.72</v>
      </c>
      <c r="AE393" s="74">
        <f t="shared" si="208"/>
        <v>6500.3075940467106</v>
      </c>
      <c r="AF393" s="52">
        <f t="shared" si="209"/>
        <v>52515.823360000002</v>
      </c>
      <c r="AG393" s="52">
        <f t="shared" si="210"/>
        <v>59677.072</v>
      </c>
    </row>
    <row r="394" spans="1:33" s="21" customFormat="1" x14ac:dyDescent="0.2">
      <c r="A394" s="170" t="s">
        <v>257</v>
      </c>
      <c r="B394" s="170"/>
      <c r="C394" s="170"/>
      <c r="D394" s="171">
        <v>1</v>
      </c>
      <c r="E394" s="172"/>
      <c r="F394" s="173">
        <v>0.12</v>
      </c>
      <c r="G394" s="173"/>
      <c r="H394" s="51">
        <v>1753</v>
      </c>
      <c r="I394" s="52">
        <f t="shared" si="199"/>
        <v>1549.652</v>
      </c>
      <c r="J394" s="52">
        <f t="shared" si="200"/>
        <v>1363.6937600000001</v>
      </c>
      <c r="K394" s="172"/>
      <c r="L394" s="171">
        <v>0</v>
      </c>
      <c r="M394" s="55">
        <f t="shared" si="201"/>
        <v>0</v>
      </c>
      <c r="N394" s="55">
        <f t="shared" si="202"/>
        <v>0</v>
      </c>
      <c r="O394" s="174"/>
      <c r="P394" s="171">
        <v>0</v>
      </c>
      <c r="Q394" s="55">
        <f t="shared" si="203"/>
        <v>0</v>
      </c>
      <c r="R394" s="65">
        <f t="shared" si="204"/>
        <v>0</v>
      </c>
      <c r="S394" s="131">
        <v>14</v>
      </c>
      <c r="T394" s="32" t="s">
        <v>201</v>
      </c>
      <c r="U394" s="73">
        <f>SUMIF('Avoided Costs 2013-2021'!$A:$A,'2013 Actuals'!T394&amp;'2013 Actuals'!S394,'Avoided Costs 2013-2021'!$E:$E)*J394</f>
        <v>2889.0790900796114</v>
      </c>
      <c r="V394" s="73">
        <f>SUMIF('Avoided Costs 2013-2021'!$A:$A,'2013 Actuals'!T394&amp;'2013 Actuals'!S394,'Avoided Costs 2013-2021'!$K:$K)*N394</f>
        <v>0</v>
      </c>
      <c r="W394" s="73">
        <f>SUMIF('Avoided Costs 2013-2021'!$A:$A,'2013 Actuals'!T394&amp;'2013 Actuals'!S394,'Avoided Costs 2013-2021'!$M:$M)*R394</f>
        <v>0</v>
      </c>
      <c r="X394" s="73">
        <f t="shared" si="205"/>
        <v>2889.0790900796114</v>
      </c>
      <c r="Y394" s="89">
        <v>440</v>
      </c>
      <c r="Z394" s="74">
        <f t="shared" si="206"/>
        <v>387.2</v>
      </c>
      <c r="AA394" s="75"/>
      <c r="AB394" s="75"/>
      <c r="AC394" s="75"/>
      <c r="AD394" s="74">
        <f t="shared" si="207"/>
        <v>387.2</v>
      </c>
      <c r="AE394" s="74">
        <f t="shared" si="208"/>
        <v>2501.8790900796116</v>
      </c>
      <c r="AF394" s="52">
        <f t="shared" si="209"/>
        <v>19091.712640000002</v>
      </c>
      <c r="AG394" s="52">
        <f t="shared" si="210"/>
        <v>21695.128000000001</v>
      </c>
    </row>
    <row r="395" spans="1:33" s="21" customFormat="1" x14ac:dyDescent="0.2">
      <c r="A395" s="170" t="s">
        <v>258</v>
      </c>
      <c r="B395" s="170"/>
      <c r="C395" s="170"/>
      <c r="D395" s="171">
        <v>1</v>
      </c>
      <c r="E395" s="172"/>
      <c r="F395" s="173">
        <v>0.12</v>
      </c>
      <c r="G395" s="173"/>
      <c r="H395" s="51">
        <v>3305</v>
      </c>
      <c r="I395" s="52">
        <f t="shared" si="199"/>
        <v>2921.62</v>
      </c>
      <c r="J395" s="52">
        <f t="shared" si="200"/>
        <v>2571.0255999999999</v>
      </c>
      <c r="K395" s="172"/>
      <c r="L395" s="171">
        <v>0</v>
      </c>
      <c r="M395" s="55">
        <f t="shared" si="201"/>
        <v>0</v>
      </c>
      <c r="N395" s="55">
        <f t="shared" si="202"/>
        <v>0</v>
      </c>
      <c r="O395" s="174"/>
      <c r="P395" s="171">
        <v>0</v>
      </c>
      <c r="Q395" s="55">
        <f t="shared" si="203"/>
        <v>0</v>
      </c>
      <c r="R395" s="65">
        <f t="shared" si="204"/>
        <v>0</v>
      </c>
      <c r="S395" s="131">
        <v>14</v>
      </c>
      <c r="T395" s="32" t="s">
        <v>201</v>
      </c>
      <c r="U395" s="73">
        <f>SUMIF('Avoided Costs 2013-2021'!$A:$A,'2013 Actuals'!T395&amp;'2013 Actuals'!S395,'Avoided Costs 2013-2021'!$E:$E)*J395</f>
        <v>5446.8946906520905</v>
      </c>
      <c r="V395" s="73">
        <f>SUMIF('Avoided Costs 2013-2021'!$A:$A,'2013 Actuals'!T395&amp;'2013 Actuals'!S395,'Avoided Costs 2013-2021'!$K:$K)*N395</f>
        <v>0</v>
      </c>
      <c r="W395" s="73">
        <f>SUMIF('Avoided Costs 2013-2021'!$A:$A,'2013 Actuals'!T395&amp;'2013 Actuals'!S395,'Avoided Costs 2013-2021'!$M:$M)*R395</f>
        <v>0</v>
      </c>
      <c r="X395" s="73">
        <f t="shared" si="205"/>
        <v>5446.8946906520905</v>
      </c>
      <c r="Y395" s="89">
        <v>3290</v>
      </c>
      <c r="Z395" s="74">
        <f t="shared" si="206"/>
        <v>2895.2</v>
      </c>
      <c r="AA395" s="75"/>
      <c r="AB395" s="75"/>
      <c r="AC395" s="75"/>
      <c r="AD395" s="74">
        <f t="shared" si="207"/>
        <v>2895.2</v>
      </c>
      <c r="AE395" s="74">
        <f t="shared" si="208"/>
        <v>2551.6946906520907</v>
      </c>
      <c r="AF395" s="52">
        <f t="shared" si="209"/>
        <v>35994.358399999997</v>
      </c>
      <c r="AG395" s="52">
        <f t="shared" si="210"/>
        <v>40902.68</v>
      </c>
    </row>
    <row r="396" spans="1:33" s="21" customFormat="1" x14ac:dyDescent="0.2">
      <c r="A396" s="170" t="s">
        <v>259</v>
      </c>
      <c r="B396" s="170"/>
      <c r="C396" s="170"/>
      <c r="D396" s="171">
        <v>1</v>
      </c>
      <c r="E396" s="172"/>
      <c r="F396" s="173">
        <v>0.12</v>
      </c>
      <c r="G396" s="173"/>
      <c r="H396" s="51">
        <v>4165</v>
      </c>
      <c r="I396" s="52">
        <f t="shared" si="199"/>
        <v>3681.86</v>
      </c>
      <c r="J396" s="52">
        <f t="shared" si="200"/>
        <v>3240.0368000000003</v>
      </c>
      <c r="K396" s="172"/>
      <c r="L396" s="171">
        <v>0</v>
      </c>
      <c r="M396" s="55">
        <f t="shared" si="201"/>
        <v>0</v>
      </c>
      <c r="N396" s="55">
        <f t="shared" si="202"/>
        <v>0</v>
      </c>
      <c r="O396" s="174"/>
      <c r="P396" s="171">
        <v>0</v>
      </c>
      <c r="Q396" s="55">
        <f t="shared" si="203"/>
        <v>0</v>
      </c>
      <c r="R396" s="65">
        <f t="shared" si="204"/>
        <v>0</v>
      </c>
      <c r="S396" s="131">
        <v>14</v>
      </c>
      <c r="T396" s="32" t="s">
        <v>201</v>
      </c>
      <c r="U396" s="73">
        <f>SUMIF('Avoided Costs 2013-2021'!$A:$A,'2013 Actuals'!T396&amp;'2013 Actuals'!S396,'Avoided Costs 2013-2021'!$E:$E)*J396</f>
        <v>6864.2409641651921</v>
      </c>
      <c r="V396" s="73">
        <f>SUMIF('Avoided Costs 2013-2021'!$A:$A,'2013 Actuals'!T396&amp;'2013 Actuals'!S396,'Avoided Costs 2013-2021'!$K:$K)*N396</f>
        <v>0</v>
      </c>
      <c r="W396" s="73">
        <f>SUMIF('Avoided Costs 2013-2021'!$A:$A,'2013 Actuals'!T396&amp;'2013 Actuals'!S396,'Avoided Costs 2013-2021'!$M:$M)*R396</f>
        <v>0</v>
      </c>
      <c r="X396" s="73">
        <f t="shared" si="205"/>
        <v>6864.2409641651921</v>
      </c>
      <c r="Y396" s="89">
        <v>224</v>
      </c>
      <c r="Z396" s="74">
        <f t="shared" si="206"/>
        <v>197.12</v>
      </c>
      <c r="AA396" s="75"/>
      <c r="AB396" s="75"/>
      <c r="AC396" s="75"/>
      <c r="AD396" s="74">
        <f t="shared" si="207"/>
        <v>197.12</v>
      </c>
      <c r="AE396" s="74">
        <f t="shared" si="208"/>
        <v>6667.1209641651922</v>
      </c>
      <c r="AF396" s="52">
        <f t="shared" si="209"/>
        <v>45360.515200000002</v>
      </c>
      <c r="AG396" s="52">
        <f t="shared" si="210"/>
        <v>51546.04</v>
      </c>
    </row>
    <row r="397" spans="1:33" s="21" customFormat="1" x14ac:dyDescent="0.2">
      <c r="A397" s="170" t="s">
        <v>260</v>
      </c>
      <c r="B397" s="170"/>
      <c r="C397" s="170"/>
      <c r="D397" s="171">
        <v>1</v>
      </c>
      <c r="E397" s="172"/>
      <c r="F397" s="173">
        <v>0.12</v>
      </c>
      <c r="G397" s="173"/>
      <c r="H397" s="51">
        <v>3776</v>
      </c>
      <c r="I397" s="52">
        <f t="shared" si="199"/>
        <v>3337.9839999999999</v>
      </c>
      <c r="J397" s="52">
        <f t="shared" si="200"/>
        <v>2937.4259200000001</v>
      </c>
      <c r="K397" s="172"/>
      <c r="L397" s="171">
        <v>0</v>
      </c>
      <c r="M397" s="55">
        <f t="shared" si="201"/>
        <v>0</v>
      </c>
      <c r="N397" s="55">
        <f t="shared" si="202"/>
        <v>0</v>
      </c>
      <c r="O397" s="174"/>
      <c r="P397" s="171">
        <v>0</v>
      </c>
      <c r="Q397" s="55">
        <f t="shared" si="203"/>
        <v>0</v>
      </c>
      <c r="R397" s="65">
        <f t="shared" si="204"/>
        <v>0</v>
      </c>
      <c r="S397" s="131">
        <v>14</v>
      </c>
      <c r="T397" s="32" t="s">
        <v>201</v>
      </c>
      <c r="U397" s="73">
        <f>SUMIF('Avoided Costs 2013-2021'!$A:$A,'2013 Actuals'!T397&amp;'2013 Actuals'!S397,'Avoided Costs 2013-2021'!$E:$E)*J397</f>
        <v>6223.138986959847</v>
      </c>
      <c r="V397" s="73">
        <f>SUMIF('Avoided Costs 2013-2021'!$A:$A,'2013 Actuals'!T397&amp;'2013 Actuals'!S397,'Avoided Costs 2013-2021'!$K:$K)*N397</f>
        <v>0</v>
      </c>
      <c r="W397" s="73">
        <f>SUMIF('Avoided Costs 2013-2021'!$A:$A,'2013 Actuals'!T397&amp;'2013 Actuals'!S397,'Avoided Costs 2013-2021'!$M:$M)*R397</f>
        <v>0</v>
      </c>
      <c r="X397" s="73">
        <f t="shared" si="205"/>
        <v>6223.138986959847</v>
      </c>
      <c r="Y397" s="89">
        <v>555</v>
      </c>
      <c r="Z397" s="74">
        <f t="shared" si="206"/>
        <v>488.4</v>
      </c>
      <c r="AA397" s="75"/>
      <c r="AB397" s="75"/>
      <c r="AC397" s="75"/>
      <c r="AD397" s="74">
        <f t="shared" si="207"/>
        <v>488.4</v>
      </c>
      <c r="AE397" s="74">
        <f t="shared" si="208"/>
        <v>5734.7389869598474</v>
      </c>
      <c r="AF397" s="52">
        <f t="shared" si="209"/>
        <v>41123.962879999999</v>
      </c>
      <c r="AG397" s="52">
        <f t="shared" si="210"/>
        <v>46731.775999999998</v>
      </c>
    </row>
    <row r="398" spans="1:33" s="21" customFormat="1" x14ac:dyDescent="0.2">
      <c r="A398" s="166" t="s">
        <v>261</v>
      </c>
      <c r="B398" s="166"/>
      <c r="C398" s="166"/>
      <c r="D398" s="65">
        <v>1</v>
      </c>
      <c r="E398" s="167"/>
      <c r="F398" s="168">
        <v>0.12</v>
      </c>
      <c r="G398" s="168"/>
      <c r="H398" s="52">
        <v>246</v>
      </c>
      <c r="I398" s="52">
        <f t="shared" si="199"/>
        <v>217.464</v>
      </c>
      <c r="J398" s="52">
        <f t="shared" si="200"/>
        <v>191.36832000000001</v>
      </c>
      <c r="K398" s="167"/>
      <c r="L398" s="65">
        <v>0</v>
      </c>
      <c r="M398" s="55">
        <f t="shared" si="201"/>
        <v>0</v>
      </c>
      <c r="N398" s="55">
        <f t="shared" si="202"/>
        <v>0</v>
      </c>
      <c r="O398" s="169"/>
      <c r="P398" s="65">
        <v>0</v>
      </c>
      <c r="Q398" s="55">
        <f t="shared" si="203"/>
        <v>0</v>
      </c>
      <c r="R398" s="65">
        <f t="shared" si="204"/>
        <v>0</v>
      </c>
      <c r="S398" s="127">
        <v>14</v>
      </c>
      <c r="T398" s="125" t="s">
        <v>201</v>
      </c>
      <c r="U398" s="73">
        <f>SUMIF('Avoided Costs 2013-2021'!$A:$A,'2013 Actuals'!T398&amp;'2013 Actuals'!S398,'Avoided Costs 2013-2021'!$E:$E)*J398</f>
        <v>405.4269573072358</v>
      </c>
      <c r="V398" s="73">
        <f>SUMIF('Avoided Costs 2013-2021'!$A:$A,'2013 Actuals'!T398&amp;'2013 Actuals'!S398,'Avoided Costs 2013-2021'!$K:$K)*N398</f>
        <v>0</v>
      </c>
      <c r="W398" s="73">
        <f>SUMIF('Avoided Costs 2013-2021'!$A:$A,'2013 Actuals'!T398&amp;'2013 Actuals'!S398,'Avoided Costs 2013-2021'!$M:$M)*R398</f>
        <v>0</v>
      </c>
      <c r="X398" s="73">
        <f t="shared" si="205"/>
        <v>405.4269573072358</v>
      </c>
      <c r="Y398" s="83">
        <v>220</v>
      </c>
      <c r="Z398" s="74">
        <f t="shared" si="206"/>
        <v>193.6</v>
      </c>
      <c r="AA398" s="74"/>
      <c r="AB398" s="74"/>
      <c r="AC398" s="74"/>
      <c r="AD398" s="74">
        <f t="shared" si="207"/>
        <v>193.6</v>
      </c>
      <c r="AE398" s="74">
        <f t="shared" si="208"/>
        <v>211.8269573072358</v>
      </c>
      <c r="AF398" s="52">
        <f t="shared" si="209"/>
        <v>2679.1564800000001</v>
      </c>
      <c r="AG398" s="52">
        <f t="shared" si="210"/>
        <v>3044.4960000000001</v>
      </c>
    </row>
    <row r="399" spans="1:33" s="21" customFormat="1" x14ac:dyDescent="0.2">
      <c r="A399" s="166" t="s">
        <v>262</v>
      </c>
      <c r="B399" s="166"/>
      <c r="C399" s="166"/>
      <c r="D399" s="65">
        <v>1</v>
      </c>
      <c r="E399" s="167"/>
      <c r="F399" s="168">
        <v>0.12</v>
      </c>
      <c r="G399" s="168"/>
      <c r="H399" s="52">
        <v>306</v>
      </c>
      <c r="I399" s="52">
        <f t="shared" si="199"/>
        <v>270.50400000000002</v>
      </c>
      <c r="J399" s="52">
        <f t="shared" si="200"/>
        <v>238.04352000000003</v>
      </c>
      <c r="K399" s="167"/>
      <c r="L399" s="65">
        <v>0</v>
      </c>
      <c r="M399" s="55">
        <f t="shared" si="201"/>
        <v>0</v>
      </c>
      <c r="N399" s="55">
        <f t="shared" si="202"/>
        <v>0</v>
      </c>
      <c r="O399" s="169"/>
      <c r="P399" s="65">
        <v>0</v>
      </c>
      <c r="Q399" s="55">
        <f t="shared" si="203"/>
        <v>0</v>
      </c>
      <c r="R399" s="65">
        <f t="shared" si="204"/>
        <v>0</v>
      </c>
      <c r="S399" s="127">
        <v>14</v>
      </c>
      <c r="T399" s="125" t="s">
        <v>201</v>
      </c>
      <c r="U399" s="73">
        <f>SUMIF('Avoided Costs 2013-2021'!$A:$A,'2013 Actuals'!T399&amp;'2013 Actuals'!S399,'Avoided Costs 2013-2021'!$E:$E)*J399</f>
        <v>504.31158104070795</v>
      </c>
      <c r="V399" s="73">
        <f>SUMIF('Avoided Costs 2013-2021'!$A:$A,'2013 Actuals'!T399&amp;'2013 Actuals'!S399,'Avoided Costs 2013-2021'!$K:$K)*N399</f>
        <v>0</v>
      </c>
      <c r="W399" s="73">
        <f>SUMIF('Avoided Costs 2013-2021'!$A:$A,'2013 Actuals'!T399&amp;'2013 Actuals'!S399,'Avoided Costs 2013-2021'!$M:$M)*R399</f>
        <v>0</v>
      </c>
      <c r="X399" s="73">
        <f t="shared" si="205"/>
        <v>504.31158104070795</v>
      </c>
      <c r="Y399" s="83">
        <v>550</v>
      </c>
      <c r="Z399" s="74">
        <f t="shared" si="206"/>
        <v>484</v>
      </c>
      <c r="AA399" s="74"/>
      <c r="AB399" s="74"/>
      <c r="AC399" s="74"/>
      <c r="AD399" s="74">
        <f t="shared" si="207"/>
        <v>484</v>
      </c>
      <c r="AE399" s="74">
        <f t="shared" si="208"/>
        <v>20.311581040707949</v>
      </c>
      <c r="AF399" s="52">
        <f t="shared" si="209"/>
        <v>3332.6092800000006</v>
      </c>
      <c r="AG399" s="52">
        <f t="shared" si="210"/>
        <v>3787.0560000000005</v>
      </c>
    </row>
    <row r="400" spans="1:33" s="21" customFormat="1" x14ac:dyDescent="0.2">
      <c r="A400" s="166" t="s">
        <v>263</v>
      </c>
      <c r="B400" s="166"/>
      <c r="C400" s="166"/>
      <c r="D400" s="65">
        <v>1</v>
      </c>
      <c r="E400" s="167"/>
      <c r="F400" s="168">
        <v>0.12</v>
      </c>
      <c r="G400" s="168"/>
      <c r="H400" s="52">
        <v>42</v>
      </c>
      <c r="I400" s="52">
        <f t="shared" si="199"/>
        <v>37.128</v>
      </c>
      <c r="J400" s="52">
        <f t="shared" si="200"/>
        <v>32.672640000000001</v>
      </c>
      <c r="K400" s="167"/>
      <c r="L400" s="65">
        <v>0</v>
      </c>
      <c r="M400" s="55">
        <f t="shared" si="201"/>
        <v>0</v>
      </c>
      <c r="N400" s="55">
        <f t="shared" si="202"/>
        <v>0</v>
      </c>
      <c r="O400" s="169"/>
      <c r="P400" s="65">
        <v>0</v>
      </c>
      <c r="Q400" s="55">
        <f t="shared" si="203"/>
        <v>0</v>
      </c>
      <c r="R400" s="65">
        <f t="shared" si="204"/>
        <v>0</v>
      </c>
      <c r="S400" s="127">
        <v>14</v>
      </c>
      <c r="T400" s="125" t="s">
        <v>201</v>
      </c>
      <c r="U400" s="73">
        <f>SUMIF('Avoided Costs 2013-2021'!$A:$A,'2013 Actuals'!T400&amp;'2013 Actuals'!S400,'Avoided Costs 2013-2021'!$E:$E)*J400</f>
        <v>69.219236613430496</v>
      </c>
      <c r="V400" s="73">
        <f>SUMIF('Avoided Costs 2013-2021'!$A:$A,'2013 Actuals'!T400&amp;'2013 Actuals'!S400,'Avoided Costs 2013-2021'!$K:$K)*N400</f>
        <v>0</v>
      </c>
      <c r="W400" s="73">
        <f>SUMIF('Avoided Costs 2013-2021'!$A:$A,'2013 Actuals'!T400&amp;'2013 Actuals'!S400,'Avoided Costs 2013-2021'!$M:$M)*R400</f>
        <v>0</v>
      </c>
      <c r="X400" s="73">
        <f t="shared" si="205"/>
        <v>69.219236613430496</v>
      </c>
      <c r="Y400" s="83">
        <v>330</v>
      </c>
      <c r="Z400" s="74">
        <f t="shared" si="206"/>
        <v>290.39999999999998</v>
      </c>
      <c r="AA400" s="74"/>
      <c r="AB400" s="74"/>
      <c r="AC400" s="74"/>
      <c r="AD400" s="74">
        <f t="shared" si="207"/>
        <v>290.39999999999998</v>
      </c>
      <c r="AE400" s="74">
        <f t="shared" si="208"/>
        <v>-221.18076338656948</v>
      </c>
      <c r="AF400" s="52">
        <f t="shared" si="209"/>
        <v>457.41696000000002</v>
      </c>
      <c r="AG400" s="52">
        <f t="shared" si="210"/>
        <v>519.79200000000003</v>
      </c>
    </row>
    <row r="401" spans="1:33" s="21" customFormat="1" x14ac:dyDescent="0.2">
      <c r="A401" s="166" t="s">
        <v>264</v>
      </c>
      <c r="B401" s="166"/>
      <c r="C401" s="166"/>
      <c r="D401" s="65">
        <v>1</v>
      </c>
      <c r="E401" s="167"/>
      <c r="F401" s="168">
        <v>0.12</v>
      </c>
      <c r="G401" s="168"/>
      <c r="H401" s="52">
        <v>3016</v>
      </c>
      <c r="I401" s="52">
        <f t="shared" si="199"/>
        <v>2666.1440000000002</v>
      </c>
      <c r="J401" s="52">
        <f t="shared" si="200"/>
        <v>2346.2067200000001</v>
      </c>
      <c r="K401" s="167"/>
      <c r="L401" s="65">
        <v>0</v>
      </c>
      <c r="M401" s="55">
        <f t="shared" si="201"/>
        <v>0</v>
      </c>
      <c r="N401" s="55">
        <f t="shared" si="202"/>
        <v>0</v>
      </c>
      <c r="O401" s="169"/>
      <c r="P401" s="65">
        <v>0</v>
      </c>
      <c r="Q401" s="55">
        <f t="shared" si="203"/>
        <v>0</v>
      </c>
      <c r="R401" s="65">
        <f t="shared" si="204"/>
        <v>0</v>
      </c>
      <c r="S401" s="127">
        <v>14</v>
      </c>
      <c r="T401" s="125" t="s">
        <v>201</v>
      </c>
      <c r="U401" s="73">
        <f>SUMIF('Avoided Costs 2013-2021'!$A:$A,'2013 Actuals'!T401&amp;'2013 Actuals'!S401,'Avoided Costs 2013-2021'!$E:$E)*J401</f>
        <v>4970.6004196692002</v>
      </c>
      <c r="V401" s="73">
        <f>SUMIF('Avoided Costs 2013-2021'!$A:$A,'2013 Actuals'!T401&amp;'2013 Actuals'!S401,'Avoided Costs 2013-2021'!$K:$K)*N401</f>
        <v>0</v>
      </c>
      <c r="W401" s="73">
        <f>SUMIF('Avoided Costs 2013-2021'!$A:$A,'2013 Actuals'!T401&amp;'2013 Actuals'!S401,'Avoided Costs 2013-2021'!$M:$M)*R401</f>
        <v>0</v>
      </c>
      <c r="X401" s="73">
        <f t="shared" si="205"/>
        <v>4970.6004196692002</v>
      </c>
      <c r="Y401" s="83">
        <v>330</v>
      </c>
      <c r="Z401" s="74">
        <f t="shared" si="206"/>
        <v>290.39999999999998</v>
      </c>
      <c r="AA401" s="74"/>
      <c r="AB401" s="74"/>
      <c r="AC401" s="74"/>
      <c r="AD401" s="74">
        <f t="shared" si="207"/>
        <v>290.39999999999998</v>
      </c>
      <c r="AE401" s="74">
        <f t="shared" si="208"/>
        <v>4680.2004196692005</v>
      </c>
      <c r="AF401" s="52">
        <f t="shared" si="209"/>
        <v>32846.894079999998</v>
      </c>
      <c r="AG401" s="52">
        <f t="shared" si="210"/>
        <v>37326.016000000003</v>
      </c>
    </row>
    <row r="402" spans="1:33" s="21" customFormat="1" x14ac:dyDescent="0.2">
      <c r="A402" s="166" t="s">
        <v>265</v>
      </c>
      <c r="B402" s="166"/>
      <c r="C402" s="166"/>
      <c r="D402" s="65">
        <v>1</v>
      </c>
      <c r="E402" s="167"/>
      <c r="F402" s="168">
        <v>0.12</v>
      </c>
      <c r="G402" s="168"/>
      <c r="H402" s="52">
        <v>2770</v>
      </c>
      <c r="I402" s="52">
        <f t="shared" si="199"/>
        <v>2448.6799999999998</v>
      </c>
      <c r="J402" s="52">
        <f t="shared" si="200"/>
        <v>2154.8384000000001</v>
      </c>
      <c r="K402" s="167"/>
      <c r="L402" s="65">
        <v>0</v>
      </c>
      <c r="M402" s="55">
        <f t="shared" si="201"/>
        <v>0</v>
      </c>
      <c r="N402" s="55">
        <f t="shared" si="202"/>
        <v>0</v>
      </c>
      <c r="O402" s="169"/>
      <c r="P402" s="65">
        <v>0</v>
      </c>
      <c r="Q402" s="55">
        <f t="shared" si="203"/>
        <v>0</v>
      </c>
      <c r="R402" s="65">
        <f t="shared" si="204"/>
        <v>0</v>
      </c>
      <c r="S402" s="127">
        <v>14</v>
      </c>
      <c r="T402" s="125" t="s">
        <v>201</v>
      </c>
      <c r="U402" s="73">
        <f>SUMIF('Avoided Costs 2013-2021'!$A:$A,'2013 Actuals'!T402&amp;'2013 Actuals'!S402,'Avoided Costs 2013-2021'!$E:$E)*J402</f>
        <v>4565.1734623619641</v>
      </c>
      <c r="V402" s="73">
        <f>SUMIF('Avoided Costs 2013-2021'!$A:$A,'2013 Actuals'!T402&amp;'2013 Actuals'!S402,'Avoided Costs 2013-2021'!$K:$K)*N402</f>
        <v>0</v>
      </c>
      <c r="W402" s="73">
        <f>SUMIF('Avoided Costs 2013-2021'!$A:$A,'2013 Actuals'!T402&amp;'2013 Actuals'!S402,'Avoided Costs 2013-2021'!$M:$M)*R402</f>
        <v>0</v>
      </c>
      <c r="X402" s="73">
        <f t="shared" si="205"/>
        <v>4565.1734623619641</v>
      </c>
      <c r="Y402" s="83">
        <v>1555</v>
      </c>
      <c r="Z402" s="74">
        <f t="shared" si="206"/>
        <v>1368.4</v>
      </c>
      <c r="AA402" s="74"/>
      <c r="AB402" s="74"/>
      <c r="AC402" s="74"/>
      <c r="AD402" s="74">
        <f t="shared" si="207"/>
        <v>1368.4</v>
      </c>
      <c r="AE402" s="74">
        <f t="shared" si="208"/>
        <v>3196.773462361964</v>
      </c>
      <c r="AF402" s="52">
        <f t="shared" si="209"/>
        <v>30167.7376</v>
      </c>
      <c r="AG402" s="52">
        <f t="shared" si="210"/>
        <v>34281.519999999997</v>
      </c>
    </row>
    <row r="403" spans="1:33" s="21" customFormat="1" x14ac:dyDescent="0.2">
      <c r="A403" s="166" t="s">
        <v>266</v>
      </c>
      <c r="B403" s="166"/>
      <c r="C403" s="166"/>
      <c r="D403" s="65">
        <v>1</v>
      </c>
      <c r="E403" s="167"/>
      <c r="F403" s="168">
        <v>0.12</v>
      </c>
      <c r="G403" s="168"/>
      <c r="H403" s="52">
        <v>1735</v>
      </c>
      <c r="I403" s="52">
        <f t="shared" si="199"/>
        <v>1533.74</v>
      </c>
      <c r="J403" s="52">
        <f t="shared" si="200"/>
        <v>1349.6912</v>
      </c>
      <c r="K403" s="167"/>
      <c r="L403" s="65">
        <v>0</v>
      </c>
      <c r="M403" s="55">
        <f t="shared" si="201"/>
        <v>0</v>
      </c>
      <c r="N403" s="55">
        <f t="shared" si="202"/>
        <v>0</v>
      </c>
      <c r="O403" s="169"/>
      <c r="P403" s="65">
        <v>0</v>
      </c>
      <c r="Q403" s="55">
        <f t="shared" si="203"/>
        <v>0</v>
      </c>
      <c r="R403" s="65">
        <f t="shared" si="204"/>
        <v>0</v>
      </c>
      <c r="S403" s="127">
        <v>14</v>
      </c>
      <c r="T403" s="125" t="s">
        <v>201</v>
      </c>
      <c r="U403" s="73">
        <f>SUMIF('Avoided Costs 2013-2021'!$A:$A,'2013 Actuals'!T403&amp;'2013 Actuals'!S403,'Avoided Costs 2013-2021'!$E:$E)*J403</f>
        <v>2859.4137029595695</v>
      </c>
      <c r="V403" s="73">
        <f>SUMIF('Avoided Costs 2013-2021'!$A:$A,'2013 Actuals'!T403&amp;'2013 Actuals'!S403,'Avoided Costs 2013-2021'!$K:$K)*N403</f>
        <v>0</v>
      </c>
      <c r="W403" s="73">
        <f>SUMIF('Avoided Costs 2013-2021'!$A:$A,'2013 Actuals'!T403&amp;'2013 Actuals'!S403,'Avoided Costs 2013-2021'!$M:$M)*R403</f>
        <v>0</v>
      </c>
      <c r="X403" s="73">
        <f t="shared" si="205"/>
        <v>2859.4137029595695</v>
      </c>
      <c r="Y403" s="83">
        <v>1652</v>
      </c>
      <c r="Z403" s="74">
        <f t="shared" si="206"/>
        <v>1453.76</v>
      </c>
      <c r="AA403" s="74"/>
      <c r="AB403" s="74"/>
      <c r="AC403" s="74"/>
      <c r="AD403" s="74">
        <f t="shared" si="207"/>
        <v>1453.76</v>
      </c>
      <c r="AE403" s="74">
        <f t="shared" si="208"/>
        <v>1405.6537029595695</v>
      </c>
      <c r="AF403" s="52">
        <f t="shared" si="209"/>
        <v>18895.676800000001</v>
      </c>
      <c r="AG403" s="52">
        <f t="shared" si="210"/>
        <v>21472.36</v>
      </c>
    </row>
    <row r="404" spans="1:33" s="21" customFormat="1" x14ac:dyDescent="0.2">
      <c r="A404" s="166" t="s">
        <v>267</v>
      </c>
      <c r="B404" s="166"/>
      <c r="C404" s="166"/>
      <c r="D404" s="65">
        <v>1</v>
      </c>
      <c r="E404" s="167"/>
      <c r="F404" s="168">
        <v>0.12</v>
      </c>
      <c r="G404" s="168"/>
      <c r="H404" s="52">
        <v>664</v>
      </c>
      <c r="I404" s="52">
        <f t="shared" si="199"/>
        <v>586.976</v>
      </c>
      <c r="J404" s="52">
        <f t="shared" si="200"/>
        <v>516.53887999999995</v>
      </c>
      <c r="K404" s="167"/>
      <c r="L404" s="65">
        <v>0</v>
      </c>
      <c r="M404" s="55">
        <f t="shared" si="201"/>
        <v>0</v>
      </c>
      <c r="N404" s="55">
        <f t="shared" si="202"/>
        <v>0</v>
      </c>
      <c r="O404" s="169"/>
      <c r="P404" s="65">
        <v>0</v>
      </c>
      <c r="Q404" s="55">
        <f t="shared" si="203"/>
        <v>0</v>
      </c>
      <c r="R404" s="65">
        <f t="shared" si="204"/>
        <v>0</v>
      </c>
      <c r="S404" s="127">
        <v>14</v>
      </c>
      <c r="T404" s="125" t="s">
        <v>201</v>
      </c>
      <c r="U404" s="73">
        <f>SUMIF('Avoided Costs 2013-2021'!$A:$A,'2013 Actuals'!T404&amp;'2013 Actuals'!S404,'Avoided Costs 2013-2021'!$E:$E)*J404</f>
        <v>1094.3231693170915</v>
      </c>
      <c r="V404" s="73">
        <f>SUMIF('Avoided Costs 2013-2021'!$A:$A,'2013 Actuals'!T404&amp;'2013 Actuals'!S404,'Avoided Costs 2013-2021'!$K:$K)*N404</f>
        <v>0</v>
      </c>
      <c r="W404" s="73">
        <f>SUMIF('Avoided Costs 2013-2021'!$A:$A,'2013 Actuals'!T404&amp;'2013 Actuals'!S404,'Avoided Costs 2013-2021'!$M:$M)*R404</f>
        <v>0</v>
      </c>
      <c r="X404" s="73">
        <f t="shared" si="205"/>
        <v>1094.3231693170915</v>
      </c>
      <c r="Y404" s="83">
        <v>2035</v>
      </c>
      <c r="Z404" s="74">
        <f t="shared" si="206"/>
        <v>1790.8</v>
      </c>
      <c r="AA404" s="74"/>
      <c r="AB404" s="74"/>
      <c r="AC404" s="74"/>
      <c r="AD404" s="74">
        <f t="shared" si="207"/>
        <v>1790.8</v>
      </c>
      <c r="AE404" s="74">
        <f t="shared" si="208"/>
        <v>-696.47683068290848</v>
      </c>
      <c r="AF404" s="52">
        <f t="shared" si="209"/>
        <v>7231.5443199999991</v>
      </c>
      <c r="AG404" s="52">
        <f t="shared" si="210"/>
        <v>8217.6640000000007</v>
      </c>
    </row>
    <row r="405" spans="1:33" s="21" customFormat="1" x14ac:dyDescent="0.2">
      <c r="A405" s="166" t="s">
        <v>268</v>
      </c>
      <c r="B405" s="166"/>
      <c r="C405" s="166"/>
      <c r="D405" s="65">
        <v>1</v>
      </c>
      <c r="E405" s="167"/>
      <c r="F405" s="168">
        <v>0.12</v>
      </c>
      <c r="G405" s="168"/>
      <c r="H405" s="52">
        <v>82703</v>
      </c>
      <c r="I405" s="52">
        <f t="shared" si="199"/>
        <v>73109.452000000005</v>
      </c>
      <c r="J405" s="52">
        <f t="shared" si="200"/>
        <v>64336.317760000005</v>
      </c>
      <c r="K405" s="167"/>
      <c r="L405" s="65">
        <v>0</v>
      </c>
      <c r="M405" s="55">
        <f t="shared" si="201"/>
        <v>0</v>
      </c>
      <c r="N405" s="55">
        <f t="shared" si="202"/>
        <v>0</v>
      </c>
      <c r="O405" s="169"/>
      <c r="P405" s="65">
        <v>0</v>
      </c>
      <c r="Q405" s="55">
        <f t="shared" si="203"/>
        <v>0</v>
      </c>
      <c r="R405" s="65">
        <f t="shared" si="204"/>
        <v>0</v>
      </c>
      <c r="S405" s="127">
        <v>14</v>
      </c>
      <c r="T405" s="125" t="s">
        <v>201</v>
      </c>
      <c r="U405" s="73">
        <f>SUMIF('Avoided Costs 2013-2021'!$A:$A,'2013 Actuals'!T405&amp;'2013 Actuals'!S405,'Avoided Costs 2013-2021'!$E:$E)*J405</f>
        <v>136300.91727715579</v>
      </c>
      <c r="V405" s="73">
        <f>SUMIF('Avoided Costs 2013-2021'!$A:$A,'2013 Actuals'!T405&amp;'2013 Actuals'!S405,'Avoided Costs 2013-2021'!$K:$K)*N405</f>
        <v>0</v>
      </c>
      <c r="W405" s="73">
        <f>SUMIF('Avoided Costs 2013-2021'!$A:$A,'2013 Actuals'!T405&amp;'2013 Actuals'!S405,'Avoided Costs 2013-2021'!$M:$M)*R405</f>
        <v>0</v>
      </c>
      <c r="X405" s="73">
        <f t="shared" si="205"/>
        <v>136300.91727715579</v>
      </c>
      <c r="Y405" s="83">
        <v>2459</v>
      </c>
      <c r="Z405" s="74">
        <f t="shared" si="206"/>
        <v>2163.92</v>
      </c>
      <c r="AA405" s="74"/>
      <c r="AB405" s="74"/>
      <c r="AC405" s="74"/>
      <c r="AD405" s="74">
        <f t="shared" si="207"/>
        <v>2163.92</v>
      </c>
      <c r="AE405" s="74">
        <f t="shared" si="208"/>
        <v>134136.99727715578</v>
      </c>
      <c r="AF405" s="52">
        <f t="shared" si="209"/>
        <v>900708.44864000008</v>
      </c>
      <c r="AG405" s="52">
        <f t="shared" si="210"/>
        <v>1023532.3280000001</v>
      </c>
    </row>
    <row r="406" spans="1:33" s="21" customFormat="1" x14ac:dyDescent="0.2">
      <c r="A406" s="166" t="s">
        <v>269</v>
      </c>
      <c r="B406" s="166"/>
      <c r="C406" s="166"/>
      <c r="D406" s="65">
        <v>1</v>
      </c>
      <c r="E406" s="167"/>
      <c r="F406" s="168">
        <v>0.12</v>
      </c>
      <c r="G406" s="168"/>
      <c r="H406" s="52">
        <v>2103</v>
      </c>
      <c r="I406" s="52">
        <f t="shared" si="199"/>
        <v>1859.0519999999999</v>
      </c>
      <c r="J406" s="52">
        <f t="shared" si="200"/>
        <v>1635.9657599999998</v>
      </c>
      <c r="K406" s="167"/>
      <c r="L406" s="65">
        <v>0</v>
      </c>
      <c r="M406" s="55">
        <f t="shared" si="201"/>
        <v>0</v>
      </c>
      <c r="N406" s="55">
        <f t="shared" si="202"/>
        <v>0</v>
      </c>
      <c r="O406" s="169"/>
      <c r="P406" s="65">
        <v>0</v>
      </c>
      <c r="Q406" s="55">
        <f t="shared" si="203"/>
        <v>0</v>
      </c>
      <c r="R406" s="65">
        <f t="shared" si="204"/>
        <v>0</v>
      </c>
      <c r="S406" s="127">
        <v>14</v>
      </c>
      <c r="T406" s="125" t="s">
        <v>201</v>
      </c>
      <c r="U406" s="73">
        <f>SUMIF('Avoided Costs 2013-2021'!$A:$A,'2013 Actuals'!T406&amp;'2013 Actuals'!S406,'Avoided Costs 2013-2021'!$E:$E)*J406</f>
        <v>3465.906061858198</v>
      </c>
      <c r="V406" s="73">
        <f>SUMIF('Avoided Costs 2013-2021'!$A:$A,'2013 Actuals'!T406&amp;'2013 Actuals'!S406,'Avoided Costs 2013-2021'!$K:$K)*N406</f>
        <v>0</v>
      </c>
      <c r="W406" s="73">
        <f>SUMIF('Avoided Costs 2013-2021'!$A:$A,'2013 Actuals'!T406&amp;'2013 Actuals'!S406,'Avoided Costs 2013-2021'!$M:$M)*R406</f>
        <v>0</v>
      </c>
      <c r="X406" s="73">
        <f t="shared" si="205"/>
        <v>3465.906061858198</v>
      </c>
      <c r="Y406" s="83">
        <v>3252</v>
      </c>
      <c r="Z406" s="74">
        <f t="shared" si="206"/>
        <v>2861.76</v>
      </c>
      <c r="AA406" s="74"/>
      <c r="AB406" s="74"/>
      <c r="AC406" s="74"/>
      <c r="AD406" s="74">
        <f t="shared" si="207"/>
        <v>2861.76</v>
      </c>
      <c r="AE406" s="74">
        <f t="shared" si="208"/>
        <v>604.14606185819775</v>
      </c>
      <c r="AF406" s="52">
        <f t="shared" si="209"/>
        <v>22903.520639999999</v>
      </c>
      <c r="AG406" s="52">
        <f t="shared" si="210"/>
        <v>26026.727999999999</v>
      </c>
    </row>
    <row r="407" spans="1:33" s="21" customFormat="1" x14ac:dyDescent="0.2">
      <c r="A407" s="166" t="s">
        <v>270</v>
      </c>
      <c r="B407" s="166"/>
      <c r="C407" s="166"/>
      <c r="D407" s="65">
        <v>1</v>
      </c>
      <c r="E407" s="167"/>
      <c r="F407" s="168">
        <v>0.12</v>
      </c>
      <c r="G407" s="168"/>
      <c r="H407" s="52">
        <v>498</v>
      </c>
      <c r="I407" s="52">
        <f t="shared" si="199"/>
        <v>440.23200000000003</v>
      </c>
      <c r="J407" s="52">
        <f t="shared" si="200"/>
        <v>387.40416000000005</v>
      </c>
      <c r="K407" s="167"/>
      <c r="L407" s="65">
        <v>0</v>
      </c>
      <c r="M407" s="55">
        <f t="shared" si="201"/>
        <v>0</v>
      </c>
      <c r="N407" s="55">
        <f t="shared" si="202"/>
        <v>0</v>
      </c>
      <c r="O407" s="169"/>
      <c r="P407" s="65">
        <v>0</v>
      </c>
      <c r="Q407" s="55">
        <f t="shared" si="203"/>
        <v>0</v>
      </c>
      <c r="R407" s="65">
        <f t="shared" si="204"/>
        <v>0</v>
      </c>
      <c r="S407" s="127">
        <v>14</v>
      </c>
      <c r="T407" s="125" t="s">
        <v>201</v>
      </c>
      <c r="U407" s="73">
        <f>SUMIF('Avoided Costs 2013-2021'!$A:$A,'2013 Actuals'!T407&amp;'2013 Actuals'!S407,'Avoided Costs 2013-2021'!$E:$E)*J407</f>
        <v>820.74237698781883</v>
      </c>
      <c r="V407" s="73">
        <f>SUMIF('Avoided Costs 2013-2021'!$A:$A,'2013 Actuals'!T407&amp;'2013 Actuals'!S407,'Avoided Costs 2013-2021'!$K:$K)*N407</f>
        <v>0</v>
      </c>
      <c r="W407" s="73">
        <f>SUMIF('Avoided Costs 2013-2021'!$A:$A,'2013 Actuals'!T407&amp;'2013 Actuals'!S407,'Avoided Costs 2013-2021'!$M:$M)*R407</f>
        <v>0</v>
      </c>
      <c r="X407" s="73">
        <f t="shared" si="205"/>
        <v>820.74237698781883</v>
      </c>
      <c r="Y407" s="83">
        <v>440</v>
      </c>
      <c r="Z407" s="74">
        <f t="shared" si="206"/>
        <v>387.2</v>
      </c>
      <c r="AA407" s="74"/>
      <c r="AB407" s="74"/>
      <c r="AC407" s="74"/>
      <c r="AD407" s="74">
        <f t="shared" si="207"/>
        <v>387.2</v>
      </c>
      <c r="AE407" s="74">
        <f t="shared" si="208"/>
        <v>433.54237698781884</v>
      </c>
      <c r="AF407" s="52">
        <f t="shared" si="209"/>
        <v>5423.6582400000007</v>
      </c>
      <c r="AG407" s="52">
        <f t="shared" si="210"/>
        <v>6163.2480000000005</v>
      </c>
    </row>
    <row r="408" spans="1:33" s="21" customFormat="1" x14ac:dyDescent="0.2">
      <c r="A408" s="166" t="s">
        <v>271</v>
      </c>
      <c r="B408" s="166"/>
      <c r="C408" s="166"/>
      <c r="D408" s="65">
        <v>1</v>
      </c>
      <c r="E408" s="167"/>
      <c r="F408" s="168">
        <v>0.12</v>
      </c>
      <c r="G408" s="168"/>
      <c r="H408" s="52">
        <v>33955</v>
      </c>
      <c r="I408" s="52">
        <f t="shared" si="199"/>
        <v>30016.22</v>
      </c>
      <c r="J408" s="52">
        <f t="shared" si="200"/>
        <v>26414.2736</v>
      </c>
      <c r="K408" s="167"/>
      <c r="L408" s="65">
        <v>0</v>
      </c>
      <c r="M408" s="55">
        <f t="shared" si="201"/>
        <v>0</v>
      </c>
      <c r="N408" s="55">
        <f t="shared" si="202"/>
        <v>0</v>
      </c>
      <c r="O408" s="169"/>
      <c r="P408" s="65">
        <v>0</v>
      </c>
      <c r="Q408" s="55">
        <f t="shared" si="203"/>
        <v>0</v>
      </c>
      <c r="R408" s="65">
        <f t="shared" si="204"/>
        <v>0</v>
      </c>
      <c r="S408" s="127">
        <v>25</v>
      </c>
      <c r="T408" s="125" t="s">
        <v>201</v>
      </c>
      <c r="U408" s="73">
        <f>SUMIF('Avoided Costs 2013-2021'!$A:$A,'2013 Actuals'!T408&amp;'2013 Actuals'!S408,'Avoided Costs 2013-2021'!$E:$E)*J408</f>
        <v>82865.344204427733</v>
      </c>
      <c r="V408" s="73">
        <f>SUMIF('Avoided Costs 2013-2021'!$A:$A,'2013 Actuals'!T408&amp;'2013 Actuals'!S408,'Avoided Costs 2013-2021'!$K:$K)*N408</f>
        <v>0</v>
      </c>
      <c r="W408" s="73">
        <f>SUMIF('Avoided Costs 2013-2021'!$A:$A,'2013 Actuals'!T408&amp;'2013 Actuals'!S408,'Avoided Costs 2013-2021'!$M:$M)*R408</f>
        <v>0</v>
      </c>
      <c r="X408" s="73">
        <f t="shared" si="205"/>
        <v>82865.344204427733</v>
      </c>
      <c r="Y408" s="83">
        <v>28988</v>
      </c>
      <c r="Z408" s="74">
        <f t="shared" si="206"/>
        <v>25509.439999999999</v>
      </c>
      <c r="AA408" s="74"/>
      <c r="AB408" s="74"/>
      <c r="AC408" s="74"/>
      <c r="AD408" s="74">
        <f t="shared" si="207"/>
        <v>25509.439999999999</v>
      </c>
      <c r="AE408" s="74">
        <f t="shared" si="208"/>
        <v>57355.90420442773</v>
      </c>
      <c r="AF408" s="52">
        <f t="shared" si="209"/>
        <v>660356.84</v>
      </c>
      <c r="AG408" s="52">
        <f t="shared" si="210"/>
        <v>750405.5</v>
      </c>
    </row>
    <row r="409" spans="1:33" s="21" customFormat="1" x14ac:dyDescent="0.2">
      <c r="A409" s="166" t="s">
        <v>272</v>
      </c>
      <c r="B409" s="166"/>
      <c r="C409" s="166"/>
      <c r="D409" s="65">
        <v>1</v>
      </c>
      <c r="E409" s="167"/>
      <c r="F409" s="168">
        <v>0.12</v>
      </c>
      <c r="G409" s="168"/>
      <c r="H409" s="52">
        <v>123290</v>
      </c>
      <c r="I409" s="52">
        <f t="shared" si="199"/>
        <v>108988.36</v>
      </c>
      <c r="J409" s="52">
        <f t="shared" si="200"/>
        <v>95909.756800000003</v>
      </c>
      <c r="K409" s="167"/>
      <c r="L409" s="65">
        <v>0</v>
      </c>
      <c r="M409" s="55">
        <f t="shared" si="201"/>
        <v>0</v>
      </c>
      <c r="N409" s="55">
        <f t="shared" si="202"/>
        <v>0</v>
      </c>
      <c r="O409" s="169"/>
      <c r="P409" s="65">
        <v>0</v>
      </c>
      <c r="Q409" s="55">
        <f t="shared" si="203"/>
        <v>0</v>
      </c>
      <c r="R409" s="65">
        <f t="shared" si="204"/>
        <v>0</v>
      </c>
      <c r="S409" s="127">
        <v>14</v>
      </c>
      <c r="T409" s="125" t="s">
        <v>201</v>
      </c>
      <c r="U409" s="73">
        <f>SUMIF('Avoided Costs 2013-2021'!$A:$A,'2013 Actuals'!T409&amp;'2013 Actuals'!S409,'Avoided Costs 2013-2021'!$E:$E)*J409</f>
        <v>203191.42100166299</v>
      </c>
      <c r="V409" s="73">
        <f>SUMIF('Avoided Costs 2013-2021'!$A:$A,'2013 Actuals'!T409&amp;'2013 Actuals'!S409,'Avoided Costs 2013-2021'!$K:$K)*N409</f>
        <v>0</v>
      </c>
      <c r="W409" s="73">
        <f>SUMIF('Avoided Costs 2013-2021'!$A:$A,'2013 Actuals'!T409&amp;'2013 Actuals'!S409,'Avoided Costs 2013-2021'!$M:$M)*R409</f>
        <v>0</v>
      </c>
      <c r="X409" s="73">
        <f t="shared" si="205"/>
        <v>203191.42100166299</v>
      </c>
      <c r="Y409" s="83">
        <v>22977</v>
      </c>
      <c r="Z409" s="74">
        <f t="shared" si="206"/>
        <v>20219.759999999998</v>
      </c>
      <c r="AA409" s="74"/>
      <c r="AB409" s="74"/>
      <c r="AC409" s="74"/>
      <c r="AD409" s="74">
        <f t="shared" si="207"/>
        <v>20219.759999999998</v>
      </c>
      <c r="AE409" s="74">
        <f t="shared" si="208"/>
        <v>182971.66100166299</v>
      </c>
      <c r="AF409" s="52">
        <f t="shared" si="209"/>
        <v>1342736.5952000001</v>
      </c>
      <c r="AG409" s="52">
        <f t="shared" si="210"/>
        <v>1525837.04</v>
      </c>
    </row>
    <row r="410" spans="1:33" s="21" customFormat="1" x14ac:dyDescent="0.2">
      <c r="A410" s="166" t="s">
        <v>273</v>
      </c>
      <c r="B410" s="166"/>
      <c r="C410" s="166"/>
      <c r="D410" s="65">
        <v>1</v>
      </c>
      <c r="E410" s="167"/>
      <c r="F410" s="168">
        <v>0.12</v>
      </c>
      <c r="G410" s="168"/>
      <c r="H410" s="52">
        <v>1836</v>
      </c>
      <c r="I410" s="52">
        <f t="shared" si="199"/>
        <v>1623.0240000000001</v>
      </c>
      <c r="J410" s="52">
        <f t="shared" si="200"/>
        <v>1428.2611200000001</v>
      </c>
      <c r="K410" s="167"/>
      <c r="L410" s="65">
        <v>0</v>
      </c>
      <c r="M410" s="55">
        <f t="shared" si="201"/>
        <v>0</v>
      </c>
      <c r="N410" s="55">
        <f t="shared" si="202"/>
        <v>0</v>
      </c>
      <c r="O410" s="169"/>
      <c r="P410" s="65">
        <v>0</v>
      </c>
      <c r="Q410" s="55">
        <f t="shared" si="203"/>
        <v>0</v>
      </c>
      <c r="R410" s="65">
        <f t="shared" si="204"/>
        <v>0</v>
      </c>
      <c r="S410" s="127">
        <v>14</v>
      </c>
      <c r="T410" s="125" t="s">
        <v>201</v>
      </c>
      <c r="U410" s="73">
        <f>SUMIF('Avoided Costs 2013-2021'!$A:$A,'2013 Actuals'!T410&amp;'2013 Actuals'!S410,'Avoided Costs 2013-2021'!$E:$E)*J410</f>
        <v>3025.8694862442476</v>
      </c>
      <c r="V410" s="73">
        <f>SUMIF('Avoided Costs 2013-2021'!$A:$A,'2013 Actuals'!T410&amp;'2013 Actuals'!S410,'Avoided Costs 2013-2021'!$K:$K)*N410</f>
        <v>0</v>
      </c>
      <c r="W410" s="73">
        <f>SUMIF('Avoided Costs 2013-2021'!$A:$A,'2013 Actuals'!T410&amp;'2013 Actuals'!S410,'Avoided Costs 2013-2021'!$M:$M)*R410</f>
        <v>0</v>
      </c>
      <c r="X410" s="73">
        <f t="shared" si="205"/>
        <v>3025.8694862442476</v>
      </c>
      <c r="Y410" s="83">
        <v>1175</v>
      </c>
      <c r="Z410" s="74">
        <f t="shared" si="206"/>
        <v>1034</v>
      </c>
      <c r="AA410" s="74"/>
      <c r="AB410" s="74"/>
      <c r="AC410" s="74"/>
      <c r="AD410" s="74">
        <f t="shared" si="207"/>
        <v>1034</v>
      </c>
      <c r="AE410" s="74">
        <f t="shared" si="208"/>
        <v>1991.8694862442476</v>
      </c>
      <c r="AF410" s="52">
        <f t="shared" si="209"/>
        <v>19995.655680000003</v>
      </c>
      <c r="AG410" s="52">
        <f t="shared" si="210"/>
        <v>22722.336000000003</v>
      </c>
    </row>
    <row r="411" spans="1:33" s="21" customFormat="1" x14ac:dyDescent="0.2">
      <c r="A411" s="166" t="s">
        <v>274</v>
      </c>
      <c r="B411" s="166"/>
      <c r="C411" s="166"/>
      <c r="D411" s="65">
        <v>1</v>
      </c>
      <c r="E411" s="167"/>
      <c r="F411" s="168">
        <v>0.12</v>
      </c>
      <c r="G411" s="168"/>
      <c r="H411" s="52">
        <v>2837</v>
      </c>
      <c r="I411" s="52">
        <f t="shared" si="199"/>
        <v>2507.9079999999999</v>
      </c>
      <c r="J411" s="52">
        <f t="shared" si="200"/>
        <v>2206.9590399999997</v>
      </c>
      <c r="K411" s="167"/>
      <c r="L411" s="65">
        <v>0</v>
      </c>
      <c r="M411" s="55">
        <f t="shared" si="201"/>
        <v>0</v>
      </c>
      <c r="N411" s="55">
        <f t="shared" si="202"/>
        <v>0</v>
      </c>
      <c r="O411" s="169"/>
      <c r="P411" s="65">
        <v>0</v>
      </c>
      <c r="Q411" s="55">
        <f t="shared" si="203"/>
        <v>0</v>
      </c>
      <c r="R411" s="65">
        <f t="shared" si="204"/>
        <v>0</v>
      </c>
      <c r="S411" s="127">
        <v>4</v>
      </c>
      <c r="T411" s="125" t="s">
        <v>201</v>
      </c>
      <c r="U411" s="73">
        <f>SUMIF('Avoided Costs 2013-2021'!$A:$A,'2013 Actuals'!T411&amp;'2013 Actuals'!S411,'Avoided Costs 2013-2021'!$E:$E)*J411</f>
        <v>1373.5774799798419</v>
      </c>
      <c r="V411" s="73">
        <f>SUMIF('Avoided Costs 2013-2021'!$A:$A,'2013 Actuals'!T411&amp;'2013 Actuals'!S411,'Avoided Costs 2013-2021'!$K:$K)*N411</f>
        <v>0</v>
      </c>
      <c r="W411" s="73">
        <f>SUMIF('Avoided Costs 2013-2021'!$A:$A,'2013 Actuals'!T411&amp;'2013 Actuals'!S411,'Avoided Costs 2013-2021'!$M:$M)*R411</f>
        <v>0</v>
      </c>
      <c r="X411" s="73">
        <f t="shared" si="205"/>
        <v>1373.5774799798419</v>
      </c>
      <c r="Y411" s="83">
        <v>114081.75</v>
      </c>
      <c r="Z411" s="74">
        <f t="shared" si="206"/>
        <v>100391.94</v>
      </c>
      <c r="AA411" s="74"/>
      <c r="AB411" s="74"/>
      <c r="AC411" s="74"/>
      <c r="AD411" s="74">
        <f t="shared" si="207"/>
        <v>100391.94</v>
      </c>
      <c r="AE411" s="74">
        <f t="shared" si="208"/>
        <v>-99018.362520020164</v>
      </c>
      <c r="AF411" s="52">
        <f t="shared" si="209"/>
        <v>8827.8361599999989</v>
      </c>
      <c r="AG411" s="52">
        <f t="shared" si="210"/>
        <v>10031.632</v>
      </c>
    </row>
    <row r="412" spans="1:33" s="21" customFormat="1" x14ac:dyDescent="0.2">
      <c r="A412" s="166" t="s">
        <v>275</v>
      </c>
      <c r="B412" s="166"/>
      <c r="C412" s="166"/>
      <c r="D412" s="65">
        <v>1</v>
      </c>
      <c r="E412" s="167"/>
      <c r="F412" s="168">
        <v>0.12</v>
      </c>
      <c r="G412" s="168"/>
      <c r="H412" s="52">
        <v>6235</v>
      </c>
      <c r="I412" s="52">
        <f t="shared" si="199"/>
        <v>5511.74</v>
      </c>
      <c r="J412" s="52">
        <f t="shared" si="200"/>
        <v>4850.3311999999996</v>
      </c>
      <c r="K412" s="167"/>
      <c r="L412" s="65">
        <v>0</v>
      </c>
      <c r="M412" s="55">
        <f t="shared" si="201"/>
        <v>0</v>
      </c>
      <c r="N412" s="55">
        <f t="shared" si="202"/>
        <v>0</v>
      </c>
      <c r="O412" s="169"/>
      <c r="P412" s="65">
        <v>0</v>
      </c>
      <c r="Q412" s="55">
        <f t="shared" si="203"/>
        <v>0</v>
      </c>
      <c r="R412" s="65">
        <f t="shared" si="204"/>
        <v>0</v>
      </c>
      <c r="S412" s="127">
        <v>15</v>
      </c>
      <c r="T412" s="125" t="s">
        <v>201</v>
      </c>
      <c r="U412" s="73">
        <f>SUMIF('Avoided Costs 2013-2021'!$A:$A,'2013 Actuals'!T412&amp;'2013 Actuals'!S412,'Avoided Costs 2013-2021'!$E:$E)*J412</f>
        <v>10839.823562249156</v>
      </c>
      <c r="V412" s="73">
        <f>SUMIF('Avoided Costs 2013-2021'!$A:$A,'2013 Actuals'!T412&amp;'2013 Actuals'!S412,'Avoided Costs 2013-2021'!$K:$K)*N412</f>
        <v>0</v>
      </c>
      <c r="W412" s="73">
        <f>SUMIF('Avoided Costs 2013-2021'!$A:$A,'2013 Actuals'!T412&amp;'2013 Actuals'!S412,'Avoided Costs 2013-2021'!$M:$M)*R412</f>
        <v>0</v>
      </c>
      <c r="X412" s="73">
        <f t="shared" si="205"/>
        <v>10839.823562249156</v>
      </c>
      <c r="Y412" s="83">
        <v>202812</v>
      </c>
      <c r="Z412" s="74">
        <f t="shared" si="206"/>
        <v>178474.56</v>
      </c>
      <c r="AA412" s="74"/>
      <c r="AB412" s="74"/>
      <c r="AC412" s="74"/>
      <c r="AD412" s="74">
        <f t="shared" si="207"/>
        <v>178474.56</v>
      </c>
      <c r="AE412" s="74">
        <f t="shared" si="208"/>
        <v>-167634.73643775083</v>
      </c>
      <c r="AF412" s="52">
        <f t="shared" si="209"/>
        <v>72754.967999999993</v>
      </c>
      <c r="AG412" s="52">
        <f t="shared" si="210"/>
        <v>82676.099999999991</v>
      </c>
    </row>
    <row r="413" spans="1:33" s="21" customFormat="1" x14ac:dyDescent="0.2">
      <c r="A413" s="166" t="s">
        <v>276</v>
      </c>
      <c r="B413" s="166"/>
      <c r="C413" s="166"/>
      <c r="D413" s="65">
        <v>1</v>
      </c>
      <c r="E413" s="167"/>
      <c r="F413" s="168">
        <v>0.12</v>
      </c>
      <c r="G413" s="168"/>
      <c r="H413" s="52">
        <v>17400</v>
      </c>
      <c r="I413" s="52">
        <f t="shared" si="199"/>
        <v>15381.6</v>
      </c>
      <c r="J413" s="52">
        <f t="shared" si="200"/>
        <v>13535.808000000001</v>
      </c>
      <c r="K413" s="167"/>
      <c r="L413" s="65">
        <v>0</v>
      </c>
      <c r="M413" s="55">
        <f t="shared" si="201"/>
        <v>0</v>
      </c>
      <c r="N413" s="55">
        <f t="shared" si="202"/>
        <v>0</v>
      </c>
      <c r="O413" s="169"/>
      <c r="P413" s="65">
        <v>0</v>
      </c>
      <c r="Q413" s="55">
        <f t="shared" si="203"/>
        <v>0</v>
      </c>
      <c r="R413" s="65">
        <f t="shared" si="204"/>
        <v>0</v>
      </c>
      <c r="S413" s="127">
        <v>4</v>
      </c>
      <c r="T413" s="125" t="s">
        <v>201</v>
      </c>
      <c r="U413" s="73">
        <f>SUMIF('Avoided Costs 2013-2021'!$A:$A,'2013 Actuals'!T413&amp;'2013 Actuals'!S413,'Avoided Costs 2013-2021'!$E:$E)*J413</f>
        <v>8424.4794330804561</v>
      </c>
      <c r="V413" s="73">
        <f>SUMIF('Avoided Costs 2013-2021'!$A:$A,'2013 Actuals'!T413&amp;'2013 Actuals'!S413,'Avoided Costs 2013-2021'!$K:$K)*N413</f>
        <v>0</v>
      </c>
      <c r="W413" s="73">
        <f>SUMIF('Avoided Costs 2013-2021'!$A:$A,'2013 Actuals'!T413&amp;'2013 Actuals'!S413,'Avoided Costs 2013-2021'!$M:$M)*R413</f>
        <v>0</v>
      </c>
      <c r="X413" s="73">
        <f t="shared" si="205"/>
        <v>8424.4794330804561</v>
      </c>
      <c r="Y413" s="83">
        <v>153740.18</v>
      </c>
      <c r="Z413" s="74">
        <f t="shared" si="206"/>
        <v>135291.3584</v>
      </c>
      <c r="AA413" s="74"/>
      <c r="AB413" s="74"/>
      <c r="AC413" s="74"/>
      <c r="AD413" s="74">
        <f t="shared" si="207"/>
        <v>135291.3584</v>
      </c>
      <c r="AE413" s="74">
        <f t="shared" si="208"/>
        <v>-126866.87896691954</v>
      </c>
      <c r="AF413" s="52">
        <f t="shared" si="209"/>
        <v>54143.232000000004</v>
      </c>
      <c r="AG413" s="52">
        <f t="shared" si="210"/>
        <v>61526.400000000001</v>
      </c>
    </row>
    <row r="414" spans="1:33" s="21" customFormat="1" x14ac:dyDescent="0.2">
      <c r="A414" s="166" t="s">
        <v>277</v>
      </c>
      <c r="B414" s="166"/>
      <c r="C414" s="166"/>
      <c r="D414" s="65">
        <v>1</v>
      </c>
      <c r="E414" s="167"/>
      <c r="F414" s="168">
        <v>0.12</v>
      </c>
      <c r="G414" s="168"/>
      <c r="H414" s="52">
        <v>22828</v>
      </c>
      <c r="I414" s="52">
        <f t="shared" si="199"/>
        <v>20179.952000000001</v>
      </c>
      <c r="J414" s="52">
        <f t="shared" si="200"/>
        <v>17758.357760000003</v>
      </c>
      <c r="K414" s="167"/>
      <c r="L414" s="65">
        <v>0</v>
      </c>
      <c r="M414" s="55">
        <f t="shared" si="201"/>
        <v>0</v>
      </c>
      <c r="N414" s="55">
        <f t="shared" si="202"/>
        <v>0</v>
      </c>
      <c r="O414" s="169"/>
      <c r="P414" s="65">
        <v>0</v>
      </c>
      <c r="Q414" s="55">
        <f t="shared" si="203"/>
        <v>0</v>
      </c>
      <c r="R414" s="65">
        <f t="shared" si="204"/>
        <v>0</v>
      </c>
      <c r="S414" s="127">
        <v>4</v>
      </c>
      <c r="T414" s="125" t="s">
        <v>201</v>
      </c>
      <c r="U414" s="73">
        <f>SUMIF('Avoided Costs 2013-2021'!$A:$A,'2013 Actuals'!T414&amp;'2013 Actuals'!S414,'Avoided Costs 2013-2021'!$E:$E)*J414</f>
        <v>11052.529683813831</v>
      </c>
      <c r="V414" s="73">
        <f>SUMIF('Avoided Costs 2013-2021'!$A:$A,'2013 Actuals'!T414&amp;'2013 Actuals'!S414,'Avoided Costs 2013-2021'!$K:$K)*N414</f>
        <v>0</v>
      </c>
      <c r="W414" s="73">
        <f>SUMIF('Avoided Costs 2013-2021'!$A:$A,'2013 Actuals'!T414&amp;'2013 Actuals'!S414,'Avoided Costs 2013-2021'!$M:$M)*R414</f>
        <v>0</v>
      </c>
      <c r="X414" s="73">
        <f t="shared" si="205"/>
        <v>11052.529683813831</v>
      </c>
      <c r="Y414" s="83">
        <v>153740.18</v>
      </c>
      <c r="Z414" s="74">
        <f t="shared" si="206"/>
        <v>135291.3584</v>
      </c>
      <c r="AA414" s="74"/>
      <c r="AB414" s="74"/>
      <c r="AC414" s="74"/>
      <c r="AD414" s="74">
        <f t="shared" si="207"/>
        <v>135291.3584</v>
      </c>
      <c r="AE414" s="74">
        <f t="shared" si="208"/>
        <v>-124238.82871618617</v>
      </c>
      <c r="AF414" s="52">
        <f t="shared" si="209"/>
        <v>71033.43104000001</v>
      </c>
      <c r="AG414" s="52">
        <f t="shared" si="210"/>
        <v>80719.808000000005</v>
      </c>
    </row>
    <row r="415" spans="1:33" s="17" customFormat="1" collapsed="1" x14ac:dyDescent="0.2">
      <c r="A415" s="166" t="s">
        <v>4</v>
      </c>
      <c r="B415" s="166" t="s">
        <v>96</v>
      </c>
      <c r="C415" s="125"/>
      <c r="D415" s="65">
        <f>SUM(D354:D414)</f>
        <v>57</v>
      </c>
      <c r="E415" s="291"/>
      <c r="F415" s="168"/>
      <c r="G415" s="292"/>
      <c r="H415" s="52">
        <v>4213392</v>
      </c>
      <c r="I415" s="52">
        <f>SUM(I354:I414)</f>
        <v>3724854.404000001</v>
      </c>
      <c r="J415" s="52">
        <f>SUM(J354:J414)</f>
        <v>3277871.8755199988</v>
      </c>
      <c r="K415" s="167"/>
      <c r="L415" s="52">
        <v>2376681</v>
      </c>
      <c r="M415" s="52">
        <f>SUM(M354:M414)</f>
        <v>2376681</v>
      </c>
      <c r="N415" s="52">
        <f>SUM(N354:N414)</f>
        <v>2091479.28</v>
      </c>
      <c r="O415" s="169"/>
      <c r="P415" s="52">
        <v>1600</v>
      </c>
      <c r="Q415" s="52">
        <f>SUM(Q354:Q414)</f>
        <v>1600</v>
      </c>
      <c r="R415" s="52">
        <f>SUM(R354:R414)</f>
        <v>1408</v>
      </c>
      <c r="S415" s="133"/>
      <c r="T415" s="125"/>
      <c r="U415" s="74">
        <f>SUM(U354:U414)</f>
        <v>7113184.9306442216</v>
      </c>
      <c r="V415" s="74">
        <f>SUM(V354:V414)</f>
        <v>2189556.41697664</v>
      </c>
      <c r="W415" s="74">
        <f>SUM(W354:W414)</f>
        <v>37637.217392105202</v>
      </c>
      <c r="X415" s="74">
        <f>SUM(X354:X414)</f>
        <v>9340378.5650129654</v>
      </c>
      <c r="Y415" s="83"/>
      <c r="Z415" s="74">
        <f t="shared" ref="Z415" si="211">SUM(Z354:Z414)</f>
        <v>7896565.5472000036</v>
      </c>
      <c r="AA415" s="74">
        <v>381294.41</v>
      </c>
      <c r="AB415" s="74">
        <v>14965.2</v>
      </c>
      <c r="AC415" s="74">
        <f>AA415+AB415</f>
        <v>396259.61</v>
      </c>
      <c r="AD415" s="74">
        <f t="shared" si="207"/>
        <v>7911530.7472000038</v>
      </c>
      <c r="AE415" s="293">
        <f t="shared" si="208"/>
        <v>1428847.8178129615</v>
      </c>
      <c r="AF415" s="52">
        <f>SUM(AF354:AF414)</f>
        <v>51280197.86208</v>
      </c>
      <c r="AG415" s="52">
        <f>SUM(AG354:AG414)</f>
        <v>58272952.116000004</v>
      </c>
    </row>
    <row r="416" spans="1:33" x14ac:dyDescent="0.2">
      <c r="A416" s="150"/>
      <c r="J416" s="44"/>
      <c r="O416" s="92"/>
      <c r="P416" s="44"/>
      <c r="R416" s="44"/>
      <c r="S416" s="4"/>
      <c r="Z416" s="72"/>
      <c r="AA416" s="72"/>
      <c r="AC416" s="72"/>
      <c r="AD416" s="72"/>
      <c r="AE416" s="72"/>
      <c r="AF416" s="79"/>
      <c r="AG416" s="79"/>
    </row>
    <row r="417" spans="1:33" x14ac:dyDescent="0.2">
      <c r="A417" s="150" t="s">
        <v>121</v>
      </c>
      <c r="B417" s="2" t="s">
        <v>53</v>
      </c>
      <c r="J417" s="44"/>
      <c r="O417" s="92"/>
      <c r="P417" s="44"/>
      <c r="R417" s="44"/>
      <c r="S417" s="4"/>
      <c r="Z417" s="72"/>
      <c r="AA417" s="72"/>
      <c r="AC417" s="72"/>
      <c r="AD417" s="72"/>
      <c r="AE417" s="72"/>
      <c r="AF417" s="79"/>
      <c r="AG417" s="79"/>
    </row>
    <row r="418" spans="1:33" s="21" customFormat="1" x14ac:dyDescent="0.2">
      <c r="A418" s="114" t="s">
        <v>962</v>
      </c>
      <c r="B418" s="114"/>
      <c r="C418" s="114"/>
      <c r="D418" s="160">
        <v>1</v>
      </c>
      <c r="E418" s="161"/>
      <c r="F418" s="162">
        <v>0.12</v>
      </c>
      <c r="G418" s="162"/>
      <c r="H418" s="52">
        <v>12217</v>
      </c>
      <c r="I418" s="52">
        <f t="shared" ref="I418:I463" si="212">H418</f>
        <v>12217</v>
      </c>
      <c r="J418" s="52">
        <f t="shared" ref="J418:J463" si="213">I418*(1-F418)</f>
        <v>10750.960000000001</v>
      </c>
      <c r="K418" s="61"/>
      <c r="L418" s="160">
        <v>0</v>
      </c>
      <c r="M418" s="55">
        <f t="shared" ref="M418:M463" si="214">L418</f>
        <v>0</v>
      </c>
      <c r="N418" s="55">
        <f t="shared" ref="N418:N463" si="215">M418*(1-F418)</f>
        <v>0</v>
      </c>
      <c r="O418" s="95"/>
      <c r="P418" s="160">
        <v>0</v>
      </c>
      <c r="Q418" s="55">
        <f t="shared" ref="Q418:Q463" si="216">+P418</f>
        <v>0</v>
      </c>
      <c r="R418" s="65">
        <f t="shared" ref="R418:R463" si="217">Q418*(1-F418)</f>
        <v>0</v>
      </c>
      <c r="S418" s="118">
        <v>25</v>
      </c>
      <c r="T418" s="121" t="s">
        <v>201</v>
      </c>
      <c r="U418" s="73">
        <f>SUMIF('Avoided Costs 2013-2021'!$A:$A,'2013 Actuals'!T418&amp;'2013 Actuals'!S418,'Avoided Costs 2013-2021'!$E:$E)*J418</f>
        <v>33727.295113958178</v>
      </c>
      <c r="V418" s="73">
        <f>SUMIF('Avoided Costs 2013-2021'!$A:$A,'2013 Actuals'!T418&amp;'2013 Actuals'!S418,'Avoided Costs 2013-2021'!$K:$K)*N418</f>
        <v>0</v>
      </c>
      <c r="W418" s="73">
        <f>SUMIF('Avoided Costs 2013-2021'!$A:$A,'2013 Actuals'!T418&amp;'2013 Actuals'!S418,'Avoided Costs 2013-2021'!$M:$M)*R418</f>
        <v>0</v>
      </c>
      <c r="X418" s="73">
        <f t="shared" ref="X418:X463" si="218">SUM(U418:W418)</f>
        <v>33727.295113958178</v>
      </c>
      <c r="Y418" s="83">
        <v>8646</v>
      </c>
      <c r="Z418" s="74">
        <f t="shared" ref="Z418:Z463" si="219">Y418*(1-F418)</f>
        <v>7608.4800000000005</v>
      </c>
      <c r="AA418" s="74"/>
      <c r="AB418" s="74"/>
      <c r="AC418" s="74"/>
      <c r="AD418" s="74">
        <f t="shared" ref="AD418:AD464" si="220">Z418+AB418</f>
        <v>7608.4800000000005</v>
      </c>
      <c r="AE418" s="74">
        <f t="shared" ref="AE418:AE464" si="221">X418-AD418</f>
        <v>26118.815113958179</v>
      </c>
      <c r="AF418" s="52">
        <f t="shared" ref="AF418:AF463" si="222">J418*S418</f>
        <v>268774</v>
      </c>
      <c r="AG418" s="52">
        <f t="shared" ref="AG418:AG463" si="223">(I418*S418)</f>
        <v>305425</v>
      </c>
    </row>
    <row r="419" spans="1:33" s="21" customFormat="1" x14ac:dyDescent="0.2">
      <c r="A419" s="114" t="s">
        <v>963</v>
      </c>
      <c r="B419" s="114"/>
      <c r="C419" s="114"/>
      <c r="D419" s="160">
        <v>1</v>
      </c>
      <c r="E419" s="161"/>
      <c r="F419" s="162">
        <v>0.12</v>
      </c>
      <c r="G419" s="162"/>
      <c r="H419" s="52">
        <v>49476</v>
      </c>
      <c r="I419" s="52">
        <f t="shared" si="212"/>
        <v>49476</v>
      </c>
      <c r="J419" s="52">
        <f t="shared" si="213"/>
        <v>43538.879999999997</v>
      </c>
      <c r="K419" s="61"/>
      <c r="L419" s="160">
        <v>0</v>
      </c>
      <c r="M419" s="55">
        <f t="shared" si="214"/>
        <v>0</v>
      </c>
      <c r="N419" s="55">
        <f t="shared" si="215"/>
        <v>0</v>
      </c>
      <c r="O419" s="95"/>
      <c r="P419" s="160">
        <v>0</v>
      </c>
      <c r="Q419" s="55">
        <f t="shared" si="216"/>
        <v>0</v>
      </c>
      <c r="R419" s="65">
        <f t="shared" si="217"/>
        <v>0</v>
      </c>
      <c r="S419" s="118">
        <v>25</v>
      </c>
      <c r="T419" s="121" t="s">
        <v>201</v>
      </c>
      <c r="U419" s="73">
        <f>SUMIF('Avoided Costs 2013-2021'!$A:$A,'2013 Actuals'!T419&amp;'2013 Actuals'!S419,'Avoided Costs 2013-2021'!$E:$E)*J419</f>
        <v>136587.67725777152</v>
      </c>
      <c r="V419" s="73">
        <f>SUMIF('Avoided Costs 2013-2021'!$A:$A,'2013 Actuals'!T419&amp;'2013 Actuals'!S419,'Avoided Costs 2013-2021'!$K:$K)*N419</f>
        <v>0</v>
      </c>
      <c r="W419" s="73">
        <f>SUMIF('Avoided Costs 2013-2021'!$A:$A,'2013 Actuals'!T419&amp;'2013 Actuals'!S419,'Avoided Costs 2013-2021'!$M:$M)*R419</f>
        <v>0</v>
      </c>
      <c r="X419" s="73">
        <f t="shared" si="218"/>
        <v>136587.67725777152</v>
      </c>
      <c r="Y419" s="83">
        <v>14470</v>
      </c>
      <c r="Z419" s="74">
        <f t="shared" si="219"/>
        <v>12733.6</v>
      </c>
      <c r="AA419" s="74"/>
      <c r="AB419" s="74"/>
      <c r="AC419" s="74"/>
      <c r="AD419" s="74">
        <f t="shared" si="220"/>
        <v>12733.6</v>
      </c>
      <c r="AE419" s="74">
        <f t="shared" si="221"/>
        <v>123854.07725777151</v>
      </c>
      <c r="AF419" s="52">
        <f t="shared" si="222"/>
        <v>1088472</v>
      </c>
      <c r="AG419" s="52">
        <f t="shared" si="223"/>
        <v>1236900</v>
      </c>
    </row>
    <row r="420" spans="1:33" s="21" customFormat="1" x14ac:dyDescent="0.2">
      <c r="A420" s="114" t="s">
        <v>964</v>
      </c>
      <c r="B420" s="114"/>
      <c r="C420" s="114"/>
      <c r="D420" s="160">
        <v>0</v>
      </c>
      <c r="E420" s="161"/>
      <c r="F420" s="162">
        <v>0.12</v>
      </c>
      <c r="G420" s="162"/>
      <c r="H420" s="52">
        <v>2245</v>
      </c>
      <c r="I420" s="52">
        <f t="shared" ref="I420:I427" si="224">+$H$39*H420</f>
        <v>1984.58</v>
      </c>
      <c r="J420" s="52">
        <f t="shared" si="213"/>
        <v>1746.4304</v>
      </c>
      <c r="K420" s="61"/>
      <c r="L420" s="160">
        <v>0</v>
      </c>
      <c r="M420" s="55">
        <f t="shared" si="214"/>
        <v>0</v>
      </c>
      <c r="N420" s="55">
        <f t="shared" si="215"/>
        <v>0</v>
      </c>
      <c r="O420" s="95"/>
      <c r="P420" s="160">
        <v>0</v>
      </c>
      <c r="Q420" s="55">
        <f t="shared" si="216"/>
        <v>0</v>
      </c>
      <c r="R420" s="65">
        <f t="shared" si="217"/>
        <v>0</v>
      </c>
      <c r="S420" s="118">
        <v>15</v>
      </c>
      <c r="T420" s="121" t="s">
        <v>201</v>
      </c>
      <c r="U420" s="73">
        <f>SUMIF('Avoided Costs 2013-2021'!$A:$A,'2013 Actuals'!T420&amp;'2013 Actuals'!S420,'Avoided Costs 2013-2021'!$E:$E)*J420</f>
        <v>3903.0319001201851</v>
      </c>
      <c r="V420" s="73">
        <f>SUMIF('Avoided Costs 2013-2021'!$A:$A,'2013 Actuals'!T420&amp;'2013 Actuals'!S420,'Avoided Costs 2013-2021'!$K:$K)*N420</f>
        <v>0</v>
      </c>
      <c r="W420" s="73">
        <f>SUMIF('Avoided Costs 2013-2021'!$A:$A,'2013 Actuals'!T420&amp;'2013 Actuals'!S420,'Avoided Costs 2013-2021'!$M:$M)*R420</f>
        <v>0</v>
      </c>
      <c r="X420" s="73">
        <f t="shared" si="218"/>
        <v>3903.0319001201851</v>
      </c>
      <c r="Y420" s="83">
        <v>0</v>
      </c>
      <c r="Z420" s="74">
        <f t="shared" si="219"/>
        <v>0</v>
      </c>
      <c r="AA420" s="74"/>
      <c r="AB420" s="74"/>
      <c r="AC420" s="74"/>
      <c r="AD420" s="74">
        <f t="shared" si="220"/>
        <v>0</v>
      </c>
      <c r="AE420" s="74">
        <f t="shared" si="221"/>
        <v>3903.0319001201851</v>
      </c>
      <c r="AF420" s="52">
        <f t="shared" si="222"/>
        <v>26196.455999999998</v>
      </c>
      <c r="AG420" s="52">
        <f t="shared" si="223"/>
        <v>29768.699999999997</v>
      </c>
    </row>
    <row r="421" spans="1:33" s="21" customFormat="1" x14ac:dyDescent="0.2">
      <c r="A421" s="114" t="s">
        <v>965</v>
      </c>
      <c r="B421" s="114"/>
      <c r="C421" s="114"/>
      <c r="D421" s="160">
        <v>1</v>
      </c>
      <c r="E421" s="161"/>
      <c r="F421" s="162">
        <v>0.12</v>
      </c>
      <c r="G421" s="162"/>
      <c r="H421" s="52">
        <v>12923</v>
      </c>
      <c r="I421" s="52">
        <f t="shared" si="224"/>
        <v>11423.932000000001</v>
      </c>
      <c r="J421" s="52">
        <f t="shared" si="213"/>
        <v>10053.060160000001</v>
      </c>
      <c r="K421" s="61"/>
      <c r="L421" s="160">
        <v>0</v>
      </c>
      <c r="M421" s="55">
        <f t="shared" si="214"/>
        <v>0</v>
      </c>
      <c r="N421" s="55">
        <f t="shared" si="215"/>
        <v>0</v>
      </c>
      <c r="O421" s="95"/>
      <c r="P421" s="160">
        <v>0</v>
      </c>
      <c r="Q421" s="55">
        <f t="shared" si="216"/>
        <v>0</v>
      </c>
      <c r="R421" s="65">
        <f t="shared" si="217"/>
        <v>0</v>
      </c>
      <c r="S421" s="118">
        <v>25</v>
      </c>
      <c r="T421" s="121" t="s">
        <v>201</v>
      </c>
      <c r="U421" s="73">
        <f>SUMIF('Avoided Costs 2013-2021'!$A:$A,'2013 Actuals'!T421&amp;'2013 Actuals'!S421,'Avoided Costs 2013-2021'!$E:$E)*J421</f>
        <v>31537.883762444992</v>
      </c>
      <c r="V421" s="73">
        <f>SUMIF('Avoided Costs 2013-2021'!$A:$A,'2013 Actuals'!T421&amp;'2013 Actuals'!S421,'Avoided Costs 2013-2021'!$K:$K)*N421</f>
        <v>0</v>
      </c>
      <c r="W421" s="73">
        <f>SUMIF('Avoided Costs 2013-2021'!$A:$A,'2013 Actuals'!T421&amp;'2013 Actuals'!S421,'Avoided Costs 2013-2021'!$M:$M)*R421</f>
        <v>0</v>
      </c>
      <c r="X421" s="73">
        <f t="shared" si="218"/>
        <v>31537.883762444992</v>
      </c>
      <c r="Y421" s="83">
        <v>10000</v>
      </c>
      <c r="Z421" s="74">
        <f t="shared" si="219"/>
        <v>8800</v>
      </c>
      <c r="AA421" s="74"/>
      <c r="AB421" s="74"/>
      <c r="AC421" s="74"/>
      <c r="AD421" s="74">
        <f t="shared" si="220"/>
        <v>8800</v>
      </c>
      <c r="AE421" s="74">
        <f t="shared" si="221"/>
        <v>22737.883762444992</v>
      </c>
      <c r="AF421" s="52">
        <f t="shared" si="222"/>
        <v>251326.50400000002</v>
      </c>
      <c r="AG421" s="52">
        <f t="shared" si="223"/>
        <v>285598.30000000005</v>
      </c>
    </row>
    <row r="422" spans="1:33" s="21" customFormat="1" x14ac:dyDescent="0.2">
      <c r="A422" s="114" t="s">
        <v>966</v>
      </c>
      <c r="B422" s="114"/>
      <c r="C422" s="114"/>
      <c r="D422" s="160">
        <v>1</v>
      </c>
      <c r="E422" s="161"/>
      <c r="F422" s="162">
        <v>0.12</v>
      </c>
      <c r="G422" s="162"/>
      <c r="H422" s="52">
        <v>11419</v>
      </c>
      <c r="I422" s="52">
        <f t="shared" si="224"/>
        <v>10094.396000000001</v>
      </c>
      <c r="J422" s="52">
        <f t="shared" si="213"/>
        <v>8883.0684799999999</v>
      </c>
      <c r="K422" s="61"/>
      <c r="L422" s="160">
        <v>0</v>
      </c>
      <c r="M422" s="55">
        <f t="shared" si="214"/>
        <v>0</v>
      </c>
      <c r="N422" s="55">
        <f t="shared" si="215"/>
        <v>0</v>
      </c>
      <c r="O422" s="95"/>
      <c r="P422" s="160">
        <v>0</v>
      </c>
      <c r="Q422" s="55">
        <f t="shared" si="216"/>
        <v>0</v>
      </c>
      <c r="R422" s="65">
        <f t="shared" si="217"/>
        <v>0</v>
      </c>
      <c r="S422" s="118">
        <v>5</v>
      </c>
      <c r="T422" s="121" t="s">
        <v>201</v>
      </c>
      <c r="U422" s="73">
        <f>SUMIF('Avoided Costs 2013-2021'!$A:$A,'2013 Actuals'!T422&amp;'2013 Actuals'!S422,'Avoided Costs 2013-2021'!$E:$E)*J422</f>
        <v>6917.2691617058972</v>
      </c>
      <c r="V422" s="73">
        <f>SUMIF('Avoided Costs 2013-2021'!$A:$A,'2013 Actuals'!T422&amp;'2013 Actuals'!S422,'Avoided Costs 2013-2021'!$K:$K)*N422</f>
        <v>0</v>
      </c>
      <c r="W422" s="73">
        <f>SUMIF('Avoided Costs 2013-2021'!$A:$A,'2013 Actuals'!T422&amp;'2013 Actuals'!S422,'Avoided Costs 2013-2021'!$M:$M)*R422</f>
        <v>0</v>
      </c>
      <c r="X422" s="73">
        <f t="shared" si="218"/>
        <v>6917.2691617058972</v>
      </c>
      <c r="Y422" s="83">
        <v>2458</v>
      </c>
      <c r="Z422" s="74">
        <f t="shared" si="219"/>
        <v>2163.04</v>
      </c>
      <c r="AA422" s="74"/>
      <c r="AB422" s="74"/>
      <c r="AC422" s="74"/>
      <c r="AD422" s="74">
        <f t="shared" si="220"/>
        <v>2163.04</v>
      </c>
      <c r="AE422" s="74">
        <f t="shared" si="221"/>
        <v>4754.2291617058972</v>
      </c>
      <c r="AF422" s="52">
        <f t="shared" si="222"/>
        <v>44415.342400000001</v>
      </c>
      <c r="AG422" s="52">
        <f t="shared" si="223"/>
        <v>50471.98</v>
      </c>
    </row>
    <row r="423" spans="1:33" s="21" customFormat="1" x14ac:dyDescent="0.2">
      <c r="A423" s="114" t="s">
        <v>967</v>
      </c>
      <c r="B423" s="114"/>
      <c r="C423" s="114"/>
      <c r="D423" s="160">
        <v>1</v>
      </c>
      <c r="E423" s="161"/>
      <c r="F423" s="162">
        <v>0.12</v>
      </c>
      <c r="G423" s="162"/>
      <c r="H423" s="52">
        <v>5873</v>
      </c>
      <c r="I423" s="52">
        <f t="shared" si="224"/>
        <v>5191.732</v>
      </c>
      <c r="J423" s="52">
        <f t="shared" si="213"/>
        <v>4568.7241599999998</v>
      </c>
      <c r="K423" s="61"/>
      <c r="L423" s="160">
        <v>0</v>
      </c>
      <c r="M423" s="55">
        <f t="shared" si="214"/>
        <v>0</v>
      </c>
      <c r="N423" s="55">
        <f t="shared" si="215"/>
        <v>0</v>
      </c>
      <c r="O423" s="95"/>
      <c r="P423" s="160">
        <v>0</v>
      </c>
      <c r="Q423" s="55">
        <f t="shared" si="216"/>
        <v>0</v>
      </c>
      <c r="R423" s="65">
        <f t="shared" si="217"/>
        <v>0</v>
      </c>
      <c r="S423" s="118">
        <v>5</v>
      </c>
      <c r="T423" s="121" t="s">
        <v>201</v>
      </c>
      <c r="U423" s="73">
        <f>SUMIF('Avoided Costs 2013-2021'!$A:$A,'2013 Actuals'!T423&amp;'2013 Actuals'!S423,'Avoided Costs 2013-2021'!$E:$E)*J423</f>
        <v>3557.6777114194533</v>
      </c>
      <c r="V423" s="73">
        <f>SUMIF('Avoided Costs 2013-2021'!$A:$A,'2013 Actuals'!T423&amp;'2013 Actuals'!S423,'Avoided Costs 2013-2021'!$K:$K)*N423</f>
        <v>0</v>
      </c>
      <c r="W423" s="73">
        <f>SUMIF('Avoided Costs 2013-2021'!$A:$A,'2013 Actuals'!T423&amp;'2013 Actuals'!S423,'Avoided Costs 2013-2021'!$M:$M)*R423</f>
        <v>0</v>
      </c>
      <c r="X423" s="73">
        <f t="shared" si="218"/>
        <v>3557.6777114194533</v>
      </c>
      <c r="Y423" s="83">
        <v>1780</v>
      </c>
      <c r="Z423" s="74">
        <f t="shared" si="219"/>
        <v>1566.4</v>
      </c>
      <c r="AA423" s="74"/>
      <c r="AB423" s="74"/>
      <c r="AC423" s="74"/>
      <c r="AD423" s="74">
        <f t="shared" si="220"/>
        <v>1566.4</v>
      </c>
      <c r="AE423" s="74">
        <f t="shared" si="221"/>
        <v>1991.2777114194532</v>
      </c>
      <c r="AF423" s="52">
        <f t="shared" si="222"/>
        <v>22843.620799999997</v>
      </c>
      <c r="AG423" s="52">
        <f t="shared" si="223"/>
        <v>25958.66</v>
      </c>
    </row>
    <row r="424" spans="1:33" s="21" customFormat="1" x14ac:dyDescent="0.2">
      <c r="A424" s="114" t="s">
        <v>968</v>
      </c>
      <c r="B424" s="114"/>
      <c r="C424" s="114"/>
      <c r="D424" s="160">
        <v>1</v>
      </c>
      <c r="E424" s="161"/>
      <c r="F424" s="162">
        <v>0.12</v>
      </c>
      <c r="G424" s="162"/>
      <c r="H424" s="52">
        <v>32788</v>
      </c>
      <c r="I424" s="52">
        <f t="shared" si="224"/>
        <v>28984.592000000001</v>
      </c>
      <c r="J424" s="52">
        <f t="shared" si="213"/>
        <v>25506.44096</v>
      </c>
      <c r="K424" s="61"/>
      <c r="L424" s="160">
        <v>0</v>
      </c>
      <c r="M424" s="55">
        <f t="shared" si="214"/>
        <v>0</v>
      </c>
      <c r="N424" s="55">
        <f t="shared" si="215"/>
        <v>0</v>
      </c>
      <c r="O424" s="95"/>
      <c r="P424" s="160">
        <v>0</v>
      </c>
      <c r="Q424" s="55">
        <f t="shared" si="216"/>
        <v>0</v>
      </c>
      <c r="R424" s="65">
        <f t="shared" si="217"/>
        <v>0</v>
      </c>
      <c r="S424" s="118">
        <v>5</v>
      </c>
      <c r="T424" s="121" t="s">
        <v>201</v>
      </c>
      <c r="U424" s="73">
        <f>SUMIF('Avoided Costs 2013-2021'!$A:$A,'2013 Actuals'!T424&amp;'2013 Actuals'!S424,'Avoided Costs 2013-2021'!$E:$E)*J424</f>
        <v>19861.933730975827</v>
      </c>
      <c r="V424" s="73">
        <f>SUMIF('Avoided Costs 2013-2021'!$A:$A,'2013 Actuals'!T424&amp;'2013 Actuals'!S424,'Avoided Costs 2013-2021'!$K:$K)*N424</f>
        <v>0</v>
      </c>
      <c r="W424" s="73">
        <f>SUMIF('Avoided Costs 2013-2021'!$A:$A,'2013 Actuals'!T424&amp;'2013 Actuals'!S424,'Avoided Costs 2013-2021'!$M:$M)*R424</f>
        <v>0</v>
      </c>
      <c r="X424" s="73">
        <f t="shared" si="218"/>
        <v>19861.933730975827</v>
      </c>
      <c r="Y424" s="83">
        <v>2032.5</v>
      </c>
      <c r="Z424" s="74">
        <f t="shared" si="219"/>
        <v>1788.6</v>
      </c>
      <c r="AA424" s="74"/>
      <c r="AB424" s="74"/>
      <c r="AC424" s="74"/>
      <c r="AD424" s="74">
        <f t="shared" si="220"/>
        <v>1788.6</v>
      </c>
      <c r="AE424" s="74">
        <f t="shared" si="221"/>
        <v>18073.333730975828</v>
      </c>
      <c r="AF424" s="52">
        <f t="shared" si="222"/>
        <v>127532.20480000001</v>
      </c>
      <c r="AG424" s="52">
        <f t="shared" si="223"/>
        <v>144922.96</v>
      </c>
    </row>
    <row r="425" spans="1:33" s="21" customFormat="1" x14ac:dyDescent="0.2">
      <c r="A425" s="114" t="s">
        <v>969</v>
      </c>
      <c r="B425" s="114"/>
      <c r="C425" s="114"/>
      <c r="D425" s="160">
        <v>1</v>
      </c>
      <c r="E425" s="161"/>
      <c r="F425" s="162">
        <v>0.12</v>
      </c>
      <c r="G425" s="162"/>
      <c r="H425" s="52">
        <v>18923</v>
      </c>
      <c r="I425" s="52">
        <f t="shared" si="224"/>
        <v>16727.932000000001</v>
      </c>
      <c r="J425" s="52">
        <f t="shared" si="213"/>
        <v>14720.580160000001</v>
      </c>
      <c r="K425" s="61"/>
      <c r="L425" s="160">
        <v>0</v>
      </c>
      <c r="M425" s="55">
        <f t="shared" si="214"/>
        <v>0</v>
      </c>
      <c r="N425" s="55">
        <f t="shared" si="215"/>
        <v>0</v>
      </c>
      <c r="O425" s="95"/>
      <c r="P425" s="160">
        <v>0</v>
      </c>
      <c r="Q425" s="55">
        <f t="shared" si="216"/>
        <v>0</v>
      </c>
      <c r="R425" s="65">
        <f t="shared" si="217"/>
        <v>0</v>
      </c>
      <c r="S425" s="118">
        <v>5</v>
      </c>
      <c r="T425" s="121" t="s">
        <v>201</v>
      </c>
      <c r="U425" s="73">
        <f>SUMIF('Avoided Costs 2013-2021'!$A:$A,'2013 Actuals'!T425&amp;'2013 Actuals'!S425,'Avoided Costs 2013-2021'!$E:$E)*J425</f>
        <v>11462.955105259718</v>
      </c>
      <c r="V425" s="73">
        <f>SUMIF('Avoided Costs 2013-2021'!$A:$A,'2013 Actuals'!T425&amp;'2013 Actuals'!S425,'Avoided Costs 2013-2021'!$K:$K)*N425</f>
        <v>0</v>
      </c>
      <c r="W425" s="73">
        <f>SUMIF('Avoided Costs 2013-2021'!$A:$A,'2013 Actuals'!T425&amp;'2013 Actuals'!S425,'Avoided Costs 2013-2021'!$M:$M)*R425</f>
        <v>0</v>
      </c>
      <c r="X425" s="73">
        <f t="shared" si="218"/>
        <v>11462.955105259718</v>
      </c>
      <c r="Y425" s="83">
        <v>5123</v>
      </c>
      <c r="Z425" s="74">
        <f t="shared" si="219"/>
        <v>4508.24</v>
      </c>
      <c r="AA425" s="74"/>
      <c r="AB425" s="74"/>
      <c r="AC425" s="74"/>
      <c r="AD425" s="74">
        <f t="shared" si="220"/>
        <v>4508.24</v>
      </c>
      <c r="AE425" s="74">
        <f t="shared" si="221"/>
        <v>6954.7151052597183</v>
      </c>
      <c r="AF425" s="52">
        <f t="shared" si="222"/>
        <v>73602.900800000003</v>
      </c>
      <c r="AG425" s="52">
        <f t="shared" si="223"/>
        <v>83639.66</v>
      </c>
    </row>
    <row r="426" spans="1:33" s="21" customFormat="1" x14ac:dyDescent="0.2">
      <c r="A426" s="114" t="s">
        <v>970</v>
      </c>
      <c r="B426" s="114"/>
      <c r="C426" s="114"/>
      <c r="D426" s="160">
        <v>1</v>
      </c>
      <c r="E426" s="161"/>
      <c r="F426" s="162">
        <v>0.12</v>
      </c>
      <c r="G426" s="162"/>
      <c r="H426" s="52">
        <v>5873</v>
      </c>
      <c r="I426" s="52">
        <f t="shared" si="224"/>
        <v>5191.732</v>
      </c>
      <c r="J426" s="52">
        <f t="shared" si="213"/>
        <v>4568.7241599999998</v>
      </c>
      <c r="K426" s="61"/>
      <c r="L426" s="160">
        <v>0</v>
      </c>
      <c r="M426" s="55">
        <f t="shared" si="214"/>
        <v>0</v>
      </c>
      <c r="N426" s="55">
        <f t="shared" si="215"/>
        <v>0</v>
      </c>
      <c r="O426" s="95"/>
      <c r="P426" s="160">
        <v>0</v>
      </c>
      <c r="Q426" s="55">
        <f t="shared" si="216"/>
        <v>0</v>
      </c>
      <c r="R426" s="65">
        <f t="shared" si="217"/>
        <v>0</v>
      </c>
      <c r="S426" s="118">
        <v>5</v>
      </c>
      <c r="T426" s="121" t="s">
        <v>201</v>
      </c>
      <c r="U426" s="73">
        <f>SUMIF('Avoided Costs 2013-2021'!$A:$A,'2013 Actuals'!T426&amp;'2013 Actuals'!S426,'Avoided Costs 2013-2021'!$E:$E)*J426</f>
        <v>3557.6777114194533</v>
      </c>
      <c r="V426" s="73">
        <f>SUMIF('Avoided Costs 2013-2021'!$A:$A,'2013 Actuals'!T426&amp;'2013 Actuals'!S426,'Avoided Costs 2013-2021'!$K:$K)*N426</f>
        <v>0</v>
      </c>
      <c r="W426" s="73">
        <f>SUMIF('Avoided Costs 2013-2021'!$A:$A,'2013 Actuals'!T426&amp;'2013 Actuals'!S426,'Avoided Costs 2013-2021'!$M:$M)*R426</f>
        <v>0</v>
      </c>
      <c r="X426" s="73">
        <f t="shared" si="218"/>
        <v>3557.6777114194533</v>
      </c>
      <c r="Y426" s="83">
        <v>2403</v>
      </c>
      <c r="Z426" s="74">
        <f t="shared" si="219"/>
        <v>2114.64</v>
      </c>
      <c r="AA426" s="74"/>
      <c r="AB426" s="74"/>
      <c r="AC426" s="74"/>
      <c r="AD426" s="74">
        <f t="shared" si="220"/>
        <v>2114.64</v>
      </c>
      <c r="AE426" s="74">
        <f t="shared" si="221"/>
        <v>1443.0377114194534</v>
      </c>
      <c r="AF426" s="52">
        <f t="shared" si="222"/>
        <v>22843.620799999997</v>
      </c>
      <c r="AG426" s="52">
        <f t="shared" si="223"/>
        <v>25958.66</v>
      </c>
    </row>
    <row r="427" spans="1:33" s="21" customFormat="1" x14ac:dyDescent="0.2">
      <c r="A427" s="114" t="s">
        <v>971</v>
      </c>
      <c r="B427" s="114"/>
      <c r="C427" s="114"/>
      <c r="D427" s="160">
        <v>1</v>
      </c>
      <c r="E427" s="161"/>
      <c r="F427" s="162">
        <v>0.12</v>
      </c>
      <c r="G427" s="162"/>
      <c r="H427" s="52">
        <v>3088</v>
      </c>
      <c r="I427" s="52">
        <f t="shared" si="224"/>
        <v>2729.7919999999999</v>
      </c>
      <c r="J427" s="52">
        <f t="shared" si="213"/>
        <v>2402.2169599999997</v>
      </c>
      <c r="K427" s="61"/>
      <c r="L427" s="160">
        <v>0</v>
      </c>
      <c r="M427" s="55">
        <f t="shared" si="214"/>
        <v>0</v>
      </c>
      <c r="N427" s="55">
        <f t="shared" si="215"/>
        <v>0</v>
      </c>
      <c r="O427" s="95"/>
      <c r="P427" s="160">
        <v>0</v>
      </c>
      <c r="Q427" s="55">
        <f t="shared" si="216"/>
        <v>0</v>
      </c>
      <c r="R427" s="65">
        <f t="shared" si="217"/>
        <v>0</v>
      </c>
      <c r="S427" s="118">
        <v>15</v>
      </c>
      <c r="T427" s="121" t="s">
        <v>201</v>
      </c>
      <c r="U427" s="73">
        <f>SUMIF('Avoided Costs 2013-2021'!$A:$A,'2013 Actuals'!T427&amp;'2013 Actuals'!S427,'Avoided Costs 2013-2021'!$E:$E)*J427</f>
        <v>5368.6247249760045</v>
      </c>
      <c r="V427" s="73">
        <f>SUMIF('Avoided Costs 2013-2021'!$A:$A,'2013 Actuals'!T427&amp;'2013 Actuals'!S427,'Avoided Costs 2013-2021'!$K:$K)*N427</f>
        <v>0</v>
      </c>
      <c r="W427" s="73">
        <f>SUMIF('Avoided Costs 2013-2021'!$A:$A,'2013 Actuals'!T427&amp;'2013 Actuals'!S427,'Avoided Costs 2013-2021'!$M:$M)*R427</f>
        <v>0</v>
      </c>
      <c r="X427" s="73">
        <f t="shared" si="218"/>
        <v>5368.6247249760045</v>
      </c>
      <c r="Y427" s="83">
        <v>2007</v>
      </c>
      <c r="Z427" s="74">
        <f t="shared" si="219"/>
        <v>1766.16</v>
      </c>
      <c r="AA427" s="74"/>
      <c r="AB427" s="74"/>
      <c r="AC427" s="74"/>
      <c r="AD427" s="74">
        <f t="shared" si="220"/>
        <v>1766.16</v>
      </c>
      <c r="AE427" s="74">
        <f t="shared" si="221"/>
        <v>3602.4647249760046</v>
      </c>
      <c r="AF427" s="52">
        <f t="shared" si="222"/>
        <v>36033.254399999998</v>
      </c>
      <c r="AG427" s="52">
        <f t="shared" si="223"/>
        <v>40946.879999999997</v>
      </c>
    </row>
    <row r="428" spans="1:33" s="21" customFormat="1" x14ac:dyDescent="0.2">
      <c r="A428" s="114" t="s">
        <v>972</v>
      </c>
      <c r="B428" s="114"/>
      <c r="C428" s="114"/>
      <c r="D428" s="160">
        <v>1</v>
      </c>
      <c r="E428" s="161"/>
      <c r="F428" s="162">
        <v>0.12</v>
      </c>
      <c r="G428" s="162"/>
      <c r="H428" s="52">
        <v>49476</v>
      </c>
      <c r="I428" s="52">
        <f t="shared" si="212"/>
        <v>49476</v>
      </c>
      <c r="J428" s="52">
        <f t="shared" si="213"/>
        <v>43538.879999999997</v>
      </c>
      <c r="K428" s="61"/>
      <c r="L428" s="160">
        <v>0</v>
      </c>
      <c r="M428" s="55">
        <f t="shared" si="214"/>
        <v>0</v>
      </c>
      <c r="N428" s="55">
        <f t="shared" si="215"/>
        <v>0</v>
      </c>
      <c r="O428" s="95"/>
      <c r="P428" s="160">
        <v>0</v>
      </c>
      <c r="Q428" s="55">
        <f t="shared" si="216"/>
        <v>0</v>
      </c>
      <c r="R428" s="65">
        <f t="shared" si="217"/>
        <v>0</v>
      </c>
      <c r="S428" s="118">
        <v>25</v>
      </c>
      <c r="T428" s="121" t="s">
        <v>201</v>
      </c>
      <c r="U428" s="73">
        <f>SUMIF('Avoided Costs 2013-2021'!$A:$A,'2013 Actuals'!T428&amp;'2013 Actuals'!S428,'Avoided Costs 2013-2021'!$E:$E)*J428</f>
        <v>136587.67725777152</v>
      </c>
      <c r="V428" s="73">
        <f>SUMIF('Avoided Costs 2013-2021'!$A:$A,'2013 Actuals'!T428&amp;'2013 Actuals'!S428,'Avoided Costs 2013-2021'!$K:$K)*N428</f>
        <v>0</v>
      </c>
      <c r="W428" s="73">
        <f>SUMIF('Avoided Costs 2013-2021'!$A:$A,'2013 Actuals'!T428&amp;'2013 Actuals'!S428,'Avoided Costs 2013-2021'!$M:$M)*R428</f>
        <v>0</v>
      </c>
      <c r="X428" s="73">
        <f t="shared" si="218"/>
        <v>136587.67725777152</v>
      </c>
      <c r="Y428" s="83">
        <v>14470</v>
      </c>
      <c r="Z428" s="74">
        <f t="shared" si="219"/>
        <v>12733.6</v>
      </c>
      <c r="AA428" s="74"/>
      <c r="AB428" s="74"/>
      <c r="AC428" s="74"/>
      <c r="AD428" s="74">
        <f t="shared" si="220"/>
        <v>12733.6</v>
      </c>
      <c r="AE428" s="74">
        <f t="shared" si="221"/>
        <v>123854.07725777151</v>
      </c>
      <c r="AF428" s="52">
        <f t="shared" si="222"/>
        <v>1088472</v>
      </c>
      <c r="AG428" s="52">
        <f t="shared" si="223"/>
        <v>1236900</v>
      </c>
    </row>
    <row r="429" spans="1:33" s="21" customFormat="1" x14ac:dyDescent="0.2">
      <c r="A429" s="114" t="s">
        <v>973</v>
      </c>
      <c r="B429" s="114"/>
      <c r="C429" s="114"/>
      <c r="D429" s="160">
        <v>1</v>
      </c>
      <c r="E429" s="161"/>
      <c r="F429" s="162">
        <v>0.12</v>
      </c>
      <c r="G429" s="162"/>
      <c r="H429" s="52">
        <v>49476</v>
      </c>
      <c r="I429" s="52">
        <f t="shared" si="212"/>
        <v>49476</v>
      </c>
      <c r="J429" s="52">
        <f t="shared" si="213"/>
        <v>43538.879999999997</v>
      </c>
      <c r="K429" s="61"/>
      <c r="L429" s="160">
        <v>0</v>
      </c>
      <c r="M429" s="55">
        <f t="shared" si="214"/>
        <v>0</v>
      </c>
      <c r="N429" s="55">
        <f t="shared" si="215"/>
        <v>0</v>
      </c>
      <c r="O429" s="95"/>
      <c r="P429" s="160">
        <v>0</v>
      </c>
      <c r="Q429" s="55">
        <f t="shared" si="216"/>
        <v>0</v>
      </c>
      <c r="R429" s="65">
        <f t="shared" si="217"/>
        <v>0</v>
      </c>
      <c r="S429" s="118">
        <v>25</v>
      </c>
      <c r="T429" s="121" t="s">
        <v>201</v>
      </c>
      <c r="U429" s="73">
        <f>SUMIF('Avoided Costs 2013-2021'!$A:$A,'2013 Actuals'!T429&amp;'2013 Actuals'!S429,'Avoided Costs 2013-2021'!$E:$E)*J429</f>
        <v>136587.67725777152</v>
      </c>
      <c r="V429" s="73">
        <f>SUMIF('Avoided Costs 2013-2021'!$A:$A,'2013 Actuals'!T429&amp;'2013 Actuals'!S429,'Avoided Costs 2013-2021'!$K:$K)*N429</f>
        <v>0</v>
      </c>
      <c r="W429" s="73">
        <f>SUMIF('Avoided Costs 2013-2021'!$A:$A,'2013 Actuals'!T429&amp;'2013 Actuals'!S429,'Avoided Costs 2013-2021'!$M:$M)*R429</f>
        <v>0</v>
      </c>
      <c r="X429" s="73">
        <f t="shared" si="218"/>
        <v>136587.67725777152</v>
      </c>
      <c r="Y429" s="83">
        <v>14470</v>
      </c>
      <c r="Z429" s="74">
        <f t="shared" si="219"/>
        <v>12733.6</v>
      </c>
      <c r="AA429" s="74"/>
      <c r="AB429" s="74"/>
      <c r="AC429" s="74"/>
      <c r="AD429" s="74">
        <f t="shared" si="220"/>
        <v>12733.6</v>
      </c>
      <c r="AE429" s="74">
        <f t="shared" si="221"/>
        <v>123854.07725777151</v>
      </c>
      <c r="AF429" s="52">
        <f t="shared" si="222"/>
        <v>1088472</v>
      </c>
      <c r="AG429" s="52">
        <f t="shared" si="223"/>
        <v>1236900</v>
      </c>
    </row>
    <row r="430" spans="1:33" s="21" customFormat="1" x14ac:dyDescent="0.2">
      <c r="A430" s="114" t="s">
        <v>974</v>
      </c>
      <c r="B430" s="114"/>
      <c r="C430" s="114"/>
      <c r="D430" s="160">
        <v>1</v>
      </c>
      <c r="E430" s="161"/>
      <c r="F430" s="162">
        <v>0.12</v>
      </c>
      <c r="G430" s="162"/>
      <c r="H430" s="52">
        <v>49476</v>
      </c>
      <c r="I430" s="52">
        <f t="shared" si="212"/>
        <v>49476</v>
      </c>
      <c r="J430" s="52">
        <f t="shared" si="213"/>
        <v>43538.879999999997</v>
      </c>
      <c r="K430" s="61"/>
      <c r="L430" s="160">
        <v>0</v>
      </c>
      <c r="M430" s="55">
        <f t="shared" si="214"/>
        <v>0</v>
      </c>
      <c r="N430" s="55">
        <f t="shared" si="215"/>
        <v>0</v>
      </c>
      <c r="O430" s="95"/>
      <c r="P430" s="160">
        <v>0</v>
      </c>
      <c r="Q430" s="55">
        <f t="shared" si="216"/>
        <v>0</v>
      </c>
      <c r="R430" s="65">
        <f t="shared" si="217"/>
        <v>0</v>
      </c>
      <c r="S430" s="118">
        <v>25</v>
      </c>
      <c r="T430" s="121" t="s">
        <v>201</v>
      </c>
      <c r="U430" s="73">
        <f>SUMIF('Avoided Costs 2013-2021'!$A:$A,'2013 Actuals'!T430&amp;'2013 Actuals'!S430,'Avoided Costs 2013-2021'!$E:$E)*J430</f>
        <v>136587.67725777152</v>
      </c>
      <c r="V430" s="73">
        <f>SUMIF('Avoided Costs 2013-2021'!$A:$A,'2013 Actuals'!T430&amp;'2013 Actuals'!S430,'Avoided Costs 2013-2021'!$K:$K)*N430</f>
        <v>0</v>
      </c>
      <c r="W430" s="73">
        <f>SUMIF('Avoided Costs 2013-2021'!$A:$A,'2013 Actuals'!T430&amp;'2013 Actuals'!S430,'Avoided Costs 2013-2021'!$M:$M)*R430</f>
        <v>0</v>
      </c>
      <c r="X430" s="73">
        <f t="shared" si="218"/>
        <v>136587.67725777152</v>
      </c>
      <c r="Y430" s="83">
        <v>14470</v>
      </c>
      <c r="Z430" s="74">
        <f t="shared" si="219"/>
        <v>12733.6</v>
      </c>
      <c r="AA430" s="74"/>
      <c r="AB430" s="74"/>
      <c r="AC430" s="74"/>
      <c r="AD430" s="74">
        <f t="shared" si="220"/>
        <v>12733.6</v>
      </c>
      <c r="AE430" s="74">
        <f t="shared" si="221"/>
        <v>123854.07725777151</v>
      </c>
      <c r="AF430" s="52">
        <f t="shared" si="222"/>
        <v>1088472</v>
      </c>
      <c r="AG430" s="52">
        <f t="shared" si="223"/>
        <v>1236900</v>
      </c>
    </row>
    <row r="431" spans="1:33" s="21" customFormat="1" x14ac:dyDescent="0.2">
      <c r="A431" s="114" t="s">
        <v>975</v>
      </c>
      <c r="B431" s="114"/>
      <c r="C431" s="114"/>
      <c r="D431" s="160">
        <v>1</v>
      </c>
      <c r="E431" s="161"/>
      <c r="F431" s="162">
        <v>0.12</v>
      </c>
      <c r="G431" s="162"/>
      <c r="H431" s="52">
        <v>55160</v>
      </c>
      <c r="I431" s="52">
        <f t="shared" ref="I431:I433" si="225">+$H$39*H431</f>
        <v>48761.440000000002</v>
      </c>
      <c r="J431" s="52">
        <f t="shared" si="213"/>
        <v>42910.067200000005</v>
      </c>
      <c r="K431" s="61"/>
      <c r="L431" s="160">
        <v>0</v>
      </c>
      <c r="M431" s="55">
        <f t="shared" si="214"/>
        <v>0</v>
      </c>
      <c r="N431" s="55">
        <f t="shared" si="215"/>
        <v>0</v>
      </c>
      <c r="O431" s="95"/>
      <c r="P431" s="160">
        <v>0</v>
      </c>
      <c r="Q431" s="55">
        <f t="shared" si="216"/>
        <v>0</v>
      </c>
      <c r="R431" s="65">
        <f t="shared" si="217"/>
        <v>0</v>
      </c>
      <c r="S431" s="118">
        <v>25</v>
      </c>
      <c r="T431" s="121" t="s">
        <v>201</v>
      </c>
      <c r="U431" s="73">
        <f>SUMIF('Avoided Costs 2013-2021'!$A:$A,'2013 Actuals'!T431&amp;'2013 Actuals'!S431,'Avoided Costs 2013-2021'!$E:$E)*J431</f>
        <v>134615.00180580869</v>
      </c>
      <c r="V431" s="73">
        <f>SUMIF('Avoided Costs 2013-2021'!$A:$A,'2013 Actuals'!T431&amp;'2013 Actuals'!S431,'Avoided Costs 2013-2021'!$K:$K)*N431</f>
        <v>0</v>
      </c>
      <c r="W431" s="73">
        <f>SUMIF('Avoided Costs 2013-2021'!$A:$A,'2013 Actuals'!T431&amp;'2013 Actuals'!S431,'Avoided Costs 2013-2021'!$M:$M)*R431</f>
        <v>0</v>
      </c>
      <c r="X431" s="73">
        <f t="shared" si="218"/>
        <v>134615.00180580869</v>
      </c>
      <c r="Y431" s="83">
        <v>86135</v>
      </c>
      <c r="Z431" s="74">
        <f t="shared" si="219"/>
        <v>75798.8</v>
      </c>
      <c r="AA431" s="74"/>
      <c r="AB431" s="74"/>
      <c r="AC431" s="74"/>
      <c r="AD431" s="74">
        <f t="shared" si="220"/>
        <v>75798.8</v>
      </c>
      <c r="AE431" s="74">
        <f t="shared" si="221"/>
        <v>58816.201805808683</v>
      </c>
      <c r="AF431" s="52">
        <f t="shared" si="222"/>
        <v>1072751.6800000002</v>
      </c>
      <c r="AG431" s="52">
        <f t="shared" si="223"/>
        <v>1219036</v>
      </c>
    </row>
    <row r="432" spans="1:33" s="21" customFormat="1" x14ac:dyDescent="0.2">
      <c r="A432" s="114" t="s">
        <v>976</v>
      </c>
      <c r="B432" s="114"/>
      <c r="C432" s="114"/>
      <c r="D432" s="160">
        <v>1</v>
      </c>
      <c r="E432" s="161"/>
      <c r="F432" s="162">
        <v>0.12</v>
      </c>
      <c r="G432" s="162"/>
      <c r="H432" s="52">
        <v>3915</v>
      </c>
      <c r="I432" s="52">
        <f t="shared" si="225"/>
        <v>3460.86</v>
      </c>
      <c r="J432" s="52">
        <f t="shared" si="213"/>
        <v>3045.5568000000003</v>
      </c>
      <c r="K432" s="61"/>
      <c r="L432" s="160">
        <v>0</v>
      </c>
      <c r="M432" s="55">
        <f t="shared" si="214"/>
        <v>0</v>
      </c>
      <c r="N432" s="55">
        <f t="shared" si="215"/>
        <v>0</v>
      </c>
      <c r="O432" s="95"/>
      <c r="P432" s="160">
        <v>0</v>
      </c>
      <c r="Q432" s="55">
        <f t="shared" si="216"/>
        <v>0</v>
      </c>
      <c r="R432" s="65">
        <f t="shared" si="217"/>
        <v>0</v>
      </c>
      <c r="S432" s="118">
        <v>5</v>
      </c>
      <c r="T432" s="121" t="s">
        <v>201</v>
      </c>
      <c r="U432" s="73">
        <f>SUMIF('Avoided Costs 2013-2021'!$A:$A,'2013 Actuals'!T432&amp;'2013 Actuals'!S432,'Avoided Costs 2013-2021'!$E:$E)*J432</f>
        <v>2371.5832181520791</v>
      </c>
      <c r="V432" s="73">
        <f>SUMIF('Avoided Costs 2013-2021'!$A:$A,'2013 Actuals'!T432&amp;'2013 Actuals'!S432,'Avoided Costs 2013-2021'!$K:$K)*N432</f>
        <v>0</v>
      </c>
      <c r="W432" s="73">
        <f>SUMIF('Avoided Costs 2013-2021'!$A:$A,'2013 Actuals'!T432&amp;'2013 Actuals'!S432,'Avoided Costs 2013-2021'!$M:$M)*R432</f>
        <v>0</v>
      </c>
      <c r="X432" s="73">
        <f t="shared" si="218"/>
        <v>2371.5832181520791</v>
      </c>
      <c r="Y432" s="83">
        <v>417</v>
      </c>
      <c r="Z432" s="74">
        <f t="shared" si="219"/>
        <v>366.96</v>
      </c>
      <c r="AA432" s="74"/>
      <c r="AB432" s="74"/>
      <c r="AC432" s="74"/>
      <c r="AD432" s="74">
        <f t="shared" si="220"/>
        <v>366.96</v>
      </c>
      <c r="AE432" s="74">
        <f t="shared" si="221"/>
        <v>2004.6232181520791</v>
      </c>
      <c r="AF432" s="52">
        <f t="shared" si="222"/>
        <v>15227.784000000001</v>
      </c>
      <c r="AG432" s="52">
        <f t="shared" si="223"/>
        <v>17304.3</v>
      </c>
    </row>
    <row r="433" spans="1:33" s="21" customFormat="1" x14ac:dyDescent="0.2">
      <c r="A433" s="114" t="s">
        <v>977</v>
      </c>
      <c r="B433" s="114"/>
      <c r="C433" s="114"/>
      <c r="D433" s="160">
        <v>1</v>
      </c>
      <c r="E433" s="161"/>
      <c r="F433" s="162">
        <v>0.12</v>
      </c>
      <c r="G433" s="162"/>
      <c r="H433" s="52">
        <v>84522</v>
      </c>
      <c r="I433" s="52">
        <f t="shared" si="225"/>
        <v>74717.448000000004</v>
      </c>
      <c r="J433" s="52">
        <f t="shared" si="213"/>
        <v>65751.354240000001</v>
      </c>
      <c r="K433" s="61"/>
      <c r="L433" s="160">
        <v>0</v>
      </c>
      <c r="M433" s="55">
        <f t="shared" si="214"/>
        <v>0</v>
      </c>
      <c r="N433" s="55">
        <f t="shared" si="215"/>
        <v>0</v>
      </c>
      <c r="O433" s="95"/>
      <c r="P433" s="160">
        <v>0</v>
      </c>
      <c r="Q433" s="55">
        <f t="shared" si="216"/>
        <v>0</v>
      </c>
      <c r="R433" s="65">
        <f t="shared" si="217"/>
        <v>0</v>
      </c>
      <c r="S433" s="118">
        <v>25</v>
      </c>
      <c r="T433" s="121" t="s">
        <v>201</v>
      </c>
      <c r="U433" s="73">
        <f>SUMIF('Avoided Costs 2013-2021'!$A:$A,'2013 Actuals'!T433&amp;'2013 Actuals'!S433,'Avoided Costs 2013-2021'!$E:$E)*J433</f>
        <v>206271.37749511533</v>
      </c>
      <c r="V433" s="73">
        <f>SUMIF('Avoided Costs 2013-2021'!$A:$A,'2013 Actuals'!T433&amp;'2013 Actuals'!S433,'Avoided Costs 2013-2021'!$K:$K)*N433</f>
        <v>0</v>
      </c>
      <c r="W433" s="73">
        <f>SUMIF('Avoided Costs 2013-2021'!$A:$A,'2013 Actuals'!T433&amp;'2013 Actuals'!S433,'Avoided Costs 2013-2021'!$M:$M)*R433</f>
        <v>0</v>
      </c>
      <c r="X433" s="73">
        <f t="shared" si="218"/>
        <v>206271.37749511533</v>
      </c>
      <c r="Y433" s="83">
        <v>21084</v>
      </c>
      <c r="Z433" s="74">
        <f t="shared" si="219"/>
        <v>18553.920000000002</v>
      </c>
      <c r="AA433" s="74"/>
      <c r="AB433" s="74"/>
      <c r="AC433" s="74"/>
      <c r="AD433" s="74">
        <f t="shared" si="220"/>
        <v>18553.920000000002</v>
      </c>
      <c r="AE433" s="74">
        <f t="shared" si="221"/>
        <v>187717.45749511532</v>
      </c>
      <c r="AF433" s="52">
        <f t="shared" si="222"/>
        <v>1643783.8559999999</v>
      </c>
      <c r="AG433" s="52">
        <f t="shared" si="223"/>
        <v>1867936.2000000002</v>
      </c>
    </row>
    <row r="434" spans="1:33" s="21" customFormat="1" x14ac:dyDescent="0.2">
      <c r="A434" s="114" t="s">
        <v>978</v>
      </c>
      <c r="B434" s="114"/>
      <c r="C434" s="114"/>
      <c r="D434" s="160">
        <v>1</v>
      </c>
      <c r="E434" s="161"/>
      <c r="F434" s="162">
        <v>0.12</v>
      </c>
      <c r="G434" s="162"/>
      <c r="H434" s="52">
        <v>49476</v>
      </c>
      <c r="I434" s="52">
        <f t="shared" si="212"/>
        <v>49476</v>
      </c>
      <c r="J434" s="52">
        <f t="shared" si="213"/>
        <v>43538.879999999997</v>
      </c>
      <c r="K434" s="61"/>
      <c r="L434" s="160">
        <v>0</v>
      </c>
      <c r="M434" s="55">
        <f t="shared" si="214"/>
        <v>0</v>
      </c>
      <c r="N434" s="55">
        <f t="shared" si="215"/>
        <v>0</v>
      </c>
      <c r="O434" s="95"/>
      <c r="P434" s="160">
        <v>0</v>
      </c>
      <c r="Q434" s="55">
        <f t="shared" si="216"/>
        <v>0</v>
      </c>
      <c r="R434" s="65">
        <f t="shared" si="217"/>
        <v>0</v>
      </c>
      <c r="S434" s="118">
        <v>25</v>
      </c>
      <c r="T434" s="121" t="s">
        <v>201</v>
      </c>
      <c r="U434" s="73">
        <f>SUMIF('Avoided Costs 2013-2021'!$A:$A,'2013 Actuals'!T434&amp;'2013 Actuals'!S434,'Avoided Costs 2013-2021'!$E:$E)*J434</f>
        <v>136587.67725777152</v>
      </c>
      <c r="V434" s="73">
        <f>SUMIF('Avoided Costs 2013-2021'!$A:$A,'2013 Actuals'!T434&amp;'2013 Actuals'!S434,'Avoided Costs 2013-2021'!$K:$K)*N434</f>
        <v>0</v>
      </c>
      <c r="W434" s="73">
        <f>SUMIF('Avoided Costs 2013-2021'!$A:$A,'2013 Actuals'!T434&amp;'2013 Actuals'!S434,'Avoided Costs 2013-2021'!$M:$M)*R434</f>
        <v>0</v>
      </c>
      <c r="X434" s="73">
        <f t="shared" si="218"/>
        <v>136587.67725777152</v>
      </c>
      <c r="Y434" s="83">
        <v>14470</v>
      </c>
      <c r="Z434" s="74">
        <f t="shared" si="219"/>
        <v>12733.6</v>
      </c>
      <c r="AA434" s="74"/>
      <c r="AB434" s="74"/>
      <c r="AC434" s="74"/>
      <c r="AD434" s="74">
        <f t="shared" si="220"/>
        <v>12733.6</v>
      </c>
      <c r="AE434" s="74">
        <f t="shared" si="221"/>
        <v>123854.07725777151</v>
      </c>
      <c r="AF434" s="52">
        <f t="shared" si="222"/>
        <v>1088472</v>
      </c>
      <c r="AG434" s="52">
        <f t="shared" si="223"/>
        <v>1236900</v>
      </c>
    </row>
    <row r="435" spans="1:33" s="21" customFormat="1" x14ac:dyDescent="0.2">
      <c r="A435" s="114" t="s">
        <v>979</v>
      </c>
      <c r="B435" s="114"/>
      <c r="C435" s="114"/>
      <c r="D435" s="160">
        <v>1</v>
      </c>
      <c r="E435" s="161"/>
      <c r="F435" s="162">
        <v>0.12</v>
      </c>
      <c r="G435" s="162"/>
      <c r="H435" s="52">
        <v>49476</v>
      </c>
      <c r="I435" s="52">
        <f t="shared" si="212"/>
        <v>49476</v>
      </c>
      <c r="J435" s="52">
        <f t="shared" si="213"/>
        <v>43538.879999999997</v>
      </c>
      <c r="K435" s="61"/>
      <c r="L435" s="160">
        <v>0</v>
      </c>
      <c r="M435" s="55">
        <f t="shared" si="214"/>
        <v>0</v>
      </c>
      <c r="N435" s="55">
        <f t="shared" si="215"/>
        <v>0</v>
      </c>
      <c r="O435" s="95"/>
      <c r="P435" s="160">
        <v>0</v>
      </c>
      <c r="Q435" s="55">
        <f t="shared" si="216"/>
        <v>0</v>
      </c>
      <c r="R435" s="65">
        <f t="shared" si="217"/>
        <v>0</v>
      </c>
      <c r="S435" s="118">
        <v>25</v>
      </c>
      <c r="T435" s="121" t="s">
        <v>201</v>
      </c>
      <c r="U435" s="73">
        <f>SUMIF('Avoided Costs 2013-2021'!$A:$A,'2013 Actuals'!T435&amp;'2013 Actuals'!S435,'Avoided Costs 2013-2021'!$E:$E)*J435</f>
        <v>136587.67725777152</v>
      </c>
      <c r="V435" s="73">
        <f>SUMIF('Avoided Costs 2013-2021'!$A:$A,'2013 Actuals'!T435&amp;'2013 Actuals'!S435,'Avoided Costs 2013-2021'!$K:$K)*N435</f>
        <v>0</v>
      </c>
      <c r="W435" s="73">
        <f>SUMIF('Avoided Costs 2013-2021'!$A:$A,'2013 Actuals'!T435&amp;'2013 Actuals'!S435,'Avoided Costs 2013-2021'!$M:$M)*R435</f>
        <v>0</v>
      </c>
      <c r="X435" s="73">
        <f t="shared" si="218"/>
        <v>136587.67725777152</v>
      </c>
      <c r="Y435" s="83">
        <v>14470</v>
      </c>
      <c r="Z435" s="74">
        <f t="shared" si="219"/>
        <v>12733.6</v>
      </c>
      <c r="AA435" s="74"/>
      <c r="AB435" s="74"/>
      <c r="AC435" s="74"/>
      <c r="AD435" s="74">
        <f t="shared" si="220"/>
        <v>12733.6</v>
      </c>
      <c r="AE435" s="74">
        <f t="shared" si="221"/>
        <v>123854.07725777151</v>
      </c>
      <c r="AF435" s="52">
        <f t="shared" si="222"/>
        <v>1088472</v>
      </c>
      <c r="AG435" s="52">
        <f t="shared" si="223"/>
        <v>1236900</v>
      </c>
    </row>
    <row r="436" spans="1:33" s="21" customFormat="1" x14ac:dyDescent="0.2">
      <c r="A436" s="114" t="s">
        <v>980</v>
      </c>
      <c r="B436" s="114"/>
      <c r="C436" s="114"/>
      <c r="D436" s="160">
        <v>1</v>
      </c>
      <c r="E436" s="161"/>
      <c r="F436" s="162">
        <v>0.12</v>
      </c>
      <c r="G436" s="162"/>
      <c r="H436" s="52">
        <v>49476</v>
      </c>
      <c r="I436" s="52">
        <f t="shared" si="212"/>
        <v>49476</v>
      </c>
      <c r="J436" s="52">
        <f t="shared" si="213"/>
        <v>43538.879999999997</v>
      </c>
      <c r="K436" s="61"/>
      <c r="L436" s="160">
        <v>0</v>
      </c>
      <c r="M436" s="55">
        <f t="shared" si="214"/>
        <v>0</v>
      </c>
      <c r="N436" s="55">
        <f t="shared" si="215"/>
        <v>0</v>
      </c>
      <c r="O436" s="95"/>
      <c r="P436" s="160">
        <v>0</v>
      </c>
      <c r="Q436" s="55">
        <f t="shared" si="216"/>
        <v>0</v>
      </c>
      <c r="R436" s="65">
        <f t="shared" si="217"/>
        <v>0</v>
      </c>
      <c r="S436" s="118">
        <v>25</v>
      </c>
      <c r="T436" s="121" t="s">
        <v>201</v>
      </c>
      <c r="U436" s="73">
        <f>SUMIF('Avoided Costs 2013-2021'!$A:$A,'2013 Actuals'!T436&amp;'2013 Actuals'!S436,'Avoided Costs 2013-2021'!$E:$E)*J436</f>
        <v>136587.67725777152</v>
      </c>
      <c r="V436" s="73">
        <f>SUMIF('Avoided Costs 2013-2021'!$A:$A,'2013 Actuals'!T436&amp;'2013 Actuals'!S436,'Avoided Costs 2013-2021'!$K:$K)*N436</f>
        <v>0</v>
      </c>
      <c r="W436" s="73">
        <f>SUMIF('Avoided Costs 2013-2021'!$A:$A,'2013 Actuals'!T436&amp;'2013 Actuals'!S436,'Avoided Costs 2013-2021'!$M:$M)*R436</f>
        <v>0</v>
      </c>
      <c r="X436" s="73">
        <f t="shared" si="218"/>
        <v>136587.67725777152</v>
      </c>
      <c r="Y436" s="83">
        <v>14470</v>
      </c>
      <c r="Z436" s="74">
        <f t="shared" si="219"/>
        <v>12733.6</v>
      </c>
      <c r="AA436" s="74"/>
      <c r="AB436" s="74"/>
      <c r="AC436" s="74"/>
      <c r="AD436" s="74">
        <f t="shared" si="220"/>
        <v>12733.6</v>
      </c>
      <c r="AE436" s="74">
        <f t="shared" si="221"/>
        <v>123854.07725777151</v>
      </c>
      <c r="AF436" s="52">
        <f t="shared" si="222"/>
        <v>1088472</v>
      </c>
      <c r="AG436" s="52">
        <f t="shared" si="223"/>
        <v>1236900</v>
      </c>
    </row>
    <row r="437" spans="1:33" s="21" customFormat="1" x14ac:dyDescent="0.2">
      <c r="A437" s="114" t="s">
        <v>981</v>
      </c>
      <c r="B437" s="114"/>
      <c r="C437" s="114"/>
      <c r="D437" s="160">
        <v>1</v>
      </c>
      <c r="E437" s="161"/>
      <c r="F437" s="162">
        <v>0.12</v>
      </c>
      <c r="G437" s="162"/>
      <c r="H437" s="52">
        <v>12217</v>
      </c>
      <c r="I437" s="52">
        <f t="shared" si="212"/>
        <v>12217</v>
      </c>
      <c r="J437" s="52">
        <f t="shared" si="213"/>
        <v>10750.960000000001</v>
      </c>
      <c r="K437" s="61"/>
      <c r="L437" s="160">
        <v>0</v>
      </c>
      <c r="M437" s="55">
        <f t="shared" si="214"/>
        <v>0</v>
      </c>
      <c r="N437" s="55">
        <f t="shared" si="215"/>
        <v>0</v>
      </c>
      <c r="O437" s="95"/>
      <c r="P437" s="160">
        <v>0</v>
      </c>
      <c r="Q437" s="55">
        <f t="shared" si="216"/>
        <v>0</v>
      </c>
      <c r="R437" s="65">
        <f t="shared" si="217"/>
        <v>0</v>
      </c>
      <c r="S437" s="118">
        <v>25</v>
      </c>
      <c r="T437" s="121" t="s">
        <v>201</v>
      </c>
      <c r="U437" s="73">
        <f>SUMIF('Avoided Costs 2013-2021'!$A:$A,'2013 Actuals'!T437&amp;'2013 Actuals'!S437,'Avoided Costs 2013-2021'!$E:$E)*J437</f>
        <v>33727.295113958178</v>
      </c>
      <c r="V437" s="73">
        <f>SUMIF('Avoided Costs 2013-2021'!$A:$A,'2013 Actuals'!T437&amp;'2013 Actuals'!S437,'Avoided Costs 2013-2021'!$K:$K)*N437</f>
        <v>0</v>
      </c>
      <c r="W437" s="73">
        <f>SUMIF('Avoided Costs 2013-2021'!$A:$A,'2013 Actuals'!T437&amp;'2013 Actuals'!S437,'Avoided Costs 2013-2021'!$M:$M)*R437</f>
        <v>0</v>
      </c>
      <c r="X437" s="73">
        <f t="shared" si="218"/>
        <v>33727.295113958178</v>
      </c>
      <c r="Y437" s="83">
        <v>8646</v>
      </c>
      <c r="Z437" s="74">
        <f t="shared" si="219"/>
        <v>7608.4800000000005</v>
      </c>
      <c r="AA437" s="74"/>
      <c r="AB437" s="74"/>
      <c r="AC437" s="74"/>
      <c r="AD437" s="74">
        <f t="shared" si="220"/>
        <v>7608.4800000000005</v>
      </c>
      <c r="AE437" s="74">
        <f t="shared" si="221"/>
        <v>26118.815113958179</v>
      </c>
      <c r="AF437" s="52">
        <f t="shared" si="222"/>
        <v>268774</v>
      </c>
      <c r="AG437" s="52">
        <f t="shared" si="223"/>
        <v>305425</v>
      </c>
    </row>
    <row r="438" spans="1:33" s="21" customFormat="1" x14ac:dyDescent="0.2">
      <c r="A438" s="114" t="s">
        <v>982</v>
      </c>
      <c r="B438" s="114"/>
      <c r="C438" s="114"/>
      <c r="D438" s="160">
        <v>1</v>
      </c>
      <c r="E438" s="161"/>
      <c r="F438" s="162">
        <v>0.12</v>
      </c>
      <c r="G438" s="162"/>
      <c r="H438" s="52">
        <v>12217</v>
      </c>
      <c r="I438" s="52">
        <f t="shared" si="212"/>
        <v>12217</v>
      </c>
      <c r="J438" s="52">
        <f t="shared" si="213"/>
        <v>10750.960000000001</v>
      </c>
      <c r="K438" s="61"/>
      <c r="L438" s="160">
        <v>0</v>
      </c>
      <c r="M438" s="55">
        <f t="shared" si="214"/>
        <v>0</v>
      </c>
      <c r="N438" s="55">
        <f t="shared" si="215"/>
        <v>0</v>
      </c>
      <c r="O438" s="95"/>
      <c r="P438" s="160">
        <v>0</v>
      </c>
      <c r="Q438" s="55">
        <f t="shared" si="216"/>
        <v>0</v>
      </c>
      <c r="R438" s="65">
        <f t="shared" si="217"/>
        <v>0</v>
      </c>
      <c r="S438" s="118">
        <v>25</v>
      </c>
      <c r="T438" s="121" t="s">
        <v>201</v>
      </c>
      <c r="U438" s="73">
        <f>SUMIF('Avoided Costs 2013-2021'!$A:$A,'2013 Actuals'!T438&amp;'2013 Actuals'!S438,'Avoided Costs 2013-2021'!$E:$E)*J438</f>
        <v>33727.295113958178</v>
      </c>
      <c r="V438" s="73">
        <f>SUMIF('Avoided Costs 2013-2021'!$A:$A,'2013 Actuals'!T438&amp;'2013 Actuals'!S438,'Avoided Costs 2013-2021'!$K:$K)*N438</f>
        <v>0</v>
      </c>
      <c r="W438" s="73">
        <f>SUMIF('Avoided Costs 2013-2021'!$A:$A,'2013 Actuals'!T438&amp;'2013 Actuals'!S438,'Avoided Costs 2013-2021'!$M:$M)*R438</f>
        <v>0</v>
      </c>
      <c r="X438" s="73">
        <f t="shared" si="218"/>
        <v>33727.295113958178</v>
      </c>
      <c r="Y438" s="83">
        <v>8646</v>
      </c>
      <c r="Z438" s="74">
        <f t="shared" si="219"/>
        <v>7608.4800000000005</v>
      </c>
      <c r="AA438" s="74"/>
      <c r="AB438" s="74"/>
      <c r="AC438" s="74"/>
      <c r="AD438" s="74">
        <f t="shared" si="220"/>
        <v>7608.4800000000005</v>
      </c>
      <c r="AE438" s="74">
        <f t="shared" si="221"/>
        <v>26118.815113958179</v>
      </c>
      <c r="AF438" s="52">
        <f t="shared" si="222"/>
        <v>268774</v>
      </c>
      <c r="AG438" s="52">
        <f t="shared" si="223"/>
        <v>305425</v>
      </c>
    </row>
    <row r="439" spans="1:33" s="21" customFormat="1" x14ac:dyDescent="0.2">
      <c r="A439" s="114" t="s">
        <v>983</v>
      </c>
      <c r="B439" s="114"/>
      <c r="C439" s="114"/>
      <c r="D439" s="160">
        <v>1</v>
      </c>
      <c r="E439" s="161"/>
      <c r="F439" s="162">
        <v>0.12</v>
      </c>
      <c r="G439" s="162"/>
      <c r="H439" s="52">
        <v>12217</v>
      </c>
      <c r="I439" s="52">
        <f t="shared" si="212"/>
        <v>12217</v>
      </c>
      <c r="J439" s="52">
        <f t="shared" si="213"/>
        <v>10750.960000000001</v>
      </c>
      <c r="K439" s="61"/>
      <c r="L439" s="160">
        <v>0</v>
      </c>
      <c r="M439" s="55">
        <f t="shared" si="214"/>
        <v>0</v>
      </c>
      <c r="N439" s="55">
        <f t="shared" si="215"/>
        <v>0</v>
      </c>
      <c r="O439" s="95"/>
      <c r="P439" s="160">
        <v>0</v>
      </c>
      <c r="Q439" s="55">
        <f t="shared" si="216"/>
        <v>0</v>
      </c>
      <c r="R439" s="65">
        <f t="shared" si="217"/>
        <v>0</v>
      </c>
      <c r="S439" s="118">
        <v>25</v>
      </c>
      <c r="T439" s="121" t="s">
        <v>201</v>
      </c>
      <c r="U439" s="73">
        <f>SUMIF('Avoided Costs 2013-2021'!$A:$A,'2013 Actuals'!T439&amp;'2013 Actuals'!S439,'Avoided Costs 2013-2021'!$E:$E)*J439</f>
        <v>33727.295113958178</v>
      </c>
      <c r="V439" s="73">
        <f>SUMIF('Avoided Costs 2013-2021'!$A:$A,'2013 Actuals'!T439&amp;'2013 Actuals'!S439,'Avoided Costs 2013-2021'!$K:$K)*N439</f>
        <v>0</v>
      </c>
      <c r="W439" s="73">
        <f>SUMIF('Avoided Costs 2013-2021'!$A:$A,'2013 Actuals'!T439&amp;'2013 Actuals'!S439,'Avoided Costs 2013-2021'!$M:$M)*R439</f>
        <v>0</v>
      </c>
      <c r="X439" s="73">
        <f t="shared" si="218"/>
        <v>33727.295113958178</v>
      </c>
      <c r="Y439" s="83">
        <v>8646</v>
      </c>
      <c r="Z439" s="74">
        <f t="shared" si="219"/>
        <v>7608.4800000000005</v>
      </c>
      <c r="AA439" s="74"/>
      <c r="AB439" s="74"/>
      <c r="AC439" s="74"/>
      <c r="AD439" s="74">
        <f t="shared" si="220"/>
        <v>7608.4800000000005</v>
      </c>
      <c r="AE439" s="74">
        <f t="shared" si="221"/>
        <v>26118.815113958179</v>
      </c>
      <c r="AF439" s="52">
        <f t="shared" si="222"/>
        <v>268774</v>
      </c>
      <c r="AG439" s="52">
        <f t="shared" si="223"/>
        <v>305425</v>
      </c>
    </row>
    <row r="440" spans="1:33" s="21" customFormat="1" x14ac:dyDescent="0.2">
      <c r="A440" s="114" t="s">
        <v>984</v>
      </c>
      <c r="B440" s="114"/>
      <c r="C440" s="114"/>
      <c r="D440" s="160">
        <v>1</v>
      </c>
      <c r="E440" s="161"/>
      <c r="F440" s="162">
        <v>0.12</v>
      </c>
      <c r="G440" s="162"/>
      <c r="H440" s="52">
        <v>12217</v>
      </c>
      <c r="I440" s="52">
        <f t="shared" si="212"/>
        <v>12217</v>
      </c>
      <c r="J440" s="52">
        <f t="shared" si="213"/>
        <v>10750.960000000001</v>
      </c>
      <c r="K440" s="61"/>
      <c r="L440" s="160">
        <v>0</v>
      </c>
      <c r="M440" s="55">
        <f t="shared" si="214"/>
        <v>0</v>
      </c>
      <c r="N440" s="55">
        <f t="shared" si="215"/>
        <v>0</v>
      </c>
      <c r="O440" s="95"/>
      <c r="P440" s="160">
        <v>0</v>
      </c>
      <c r="Q440" s="55">
        <f t="shared" si="216"/>
        <v>0</v>
      </c>
      <c r="R440" s="65">
        <f t="shared" si="217"/>
        <v>0</v>
      </c>
      <c r="S440" s="118">
        <v>25</v>
      </c>
      <c r="T440" s="121" t="s">
        <v>201</v>
      </c>
      <c r="U440" s="73">
        <f>SUMIF('Avoided Costs 2013-2021'!$A:$A,'2013 Actuals'!T440&amp;'2013 Actuals'!S440,'Avoided Costs 2013-2021'!$E:$E)*J440</f>
        <v>33727.295113958178</v>
      </c>
      <c r="V440" s="73">
        <f>SUMIF('Avoided Costs 2013-2021'!$A:$A,'2013 Actuals'!T440&amp;'2013 Actuals'!S440,'Avoided Costs 2013-2021'!$K:$K)*N440</f>
        <v>0</v>
      </c>
      <c r="W440" s="73">
        <f>SUMIF('Avoided Costs 2013-2021'!$A:$A,'2013 Actuals'!T440&amp;'2013 Actuals'!S440,'Avoided Costs 2013-2021'!$M:$M)*R440</f>
        <v>0</v>
      </c>
      <c r="X440" s="73">
        <f t="shared" si="218"/>
        <v>33727.295113958178</v>
      </c>
      <c r="Y440" s="83">
        <v>8646</v>
      </c>
      <c r="Z440" s="74">
        <f t="shared" si="219"/>
        <v>7608.4800000000005</v>
      </c>
      <c r="AA440" s="74"/>
      <c r="AB440" s="74"/>
      <c r="AC440" s="74"/>
      <c r="AD440" s="74">
        <f t="shared" si="220"/>
        <v>7608.4800000000005</v>
      </c>
      <c r="AE440" s="74">
        <f t="shared" si="221"/>
        <v>26118.815113958179</v>
      </c>
      <c r="AF440" s="52">
        <f t="shared" si="222"/>
        <v>268774</v>
      </c>
      <c r="AG440" s="52">
        <f t="shared" si="223"/>
        <v>305425</v>
      </c>
    </row>
    <row r="441" spans="1:33" s="21" customFormat="1" x14ac:dyDescent="0.2">
      <c r="A441" s="114" t="s">
        <v>985</v>
      </c>
      <c r="B441" s="114"/>
      <c r="C441" s="114"/>
      <c r="D441" s="160">
        <v>1</v>
      </c>
      <c r="E441" s="161"/>
      <c r="F441" s="162">
        <v>0.12</v>
      </c>
      <c r="G441" s="162"/>
      <c r="H441" s="52">
        <v>49476</v>
      </c>
      <c r="I441" s="52">
        <f t="shared" si="212"/>
        <v>49476</v>
      </c>
      <c r="J441" s="52">
        <f t="shared" si="213"/>
        <v>43538.879999999997</v>
      </c>
      <c r="K441" s="61"/>
      <c r="L441" s="160">
        <v>0</v>
      </c>
      <c r="M441" s="55">
        <f t="shared" si="214"/>
        <v>0</v>
      </c>
      <c r="N441" s="55">
        <f t="shared" si="215"/>
        <v>0</v>
      </c>
      <c r="O441" s="95"/>
      <c r="P441" s="160">
        <v>0</v>
      </c>
      <c r="Q441" s="55">
        <f t="shared" si="216"/>
        <v>0</v>
      </c>
      <c r="R441" s="65">
        <f t="shared" si="217"/>
        <v>0</v>
      </c>
      <c r="S441" s="118">
        <v>25</v>
      </c>
      <c r="T441" s="121" t="s">
        <v>201</v>
      </c>
      <c r="U441" s="73">
        <f>SUMIF('Avoided Costs 2013-2021'!$A:$A,'2013 Actuals'!T441&amp;'2013 Actuals'!S441,'Avoided Costs 2013-2021'!$E:$E)*J441</f>
        <v>136587.67725777152</v>
      </c>
      <c r="V441" s="73">
        <f>SUMIF('Avoided Costs 2013-2021'!$A:$A,'2013 Actuals'!T441&amp;'2013 Actuals'!S441,'Avoided Costs 2013-2021'!$K:$K)*N441</f>
        <v>0</v>
      </c>
      <c r="W441" s="73">
        <f>SUMIF('Avoided Costs 2013-2021'!$A:$A,'2013 Actuals'!T441&amp;'2013 Actuals'!S441,'Avoided Costs 2013-2021'!$M:$M)*R441</f>
        <v>0</v>
      </c>
      <c r="X441" s="73">
        <f t="shared" si="218"/>
        <v>136587.67725777152</v>
      </c>
      <c r="Y441" s="83">
        <v>14470</v>
      </c>
      <c r="Z441" s="74">
        <f t="shared" si="219"/>
        <v>12733.6</v>
      </c>
      <c r="AA441" s="74"/>
      <c r="AB441" s="74"/>
      <c r="AC441" s="74"/>
      <c r="AD441" s="74">
        <f t="shared" si="220"/>
        <v>12733.6</v>
      </c>
      <c r="AE441" s="74">
        <f t="shared" si="221"/>
        <v>123854.07725777151</v>
      </c>
      <c r="AF441" s="52">
        <f t="shared" si="222"/>
        <v>1088472</v>
      </c>
      <c r="AG441" s="52">
        <f t="shared" si="223"/>
        <v>1236900</v>
      </c>
    </row>
    <row r="442" spans="1:33" s="21" customFormat="1" x14ac:dyDescent="0.2">
      <c r="A442" s="114" t="s">
        <v>986</v>
      </c>
      <c r="B442" s="114"/>
      <c r="C442" s="114"/>
      <c r="D442" s="160">
        <v>1</v>
      </c>
      <c r="E442" s="161"/>
      <c r="F442" s="162">
        <v>0.12</v>
      </c>
      <c r="G442" s="162"/>
      <c r="H442" s="52">
        <v>24271</v>
      </c>
      <c r="I442" s="52">
        <f t="shared" ref="I442:I459" si="226">+$H$39*H442</f>
        <v>21455.563999999998</v>
      </c>
      <c r="J442" s="52">
        <f t="shared" si="213"/>
        <v>18880.89632</v>
      </c>
      <c r="K442" s="61"/>
      <c r="L442" s="160">
        <v>32517</v>
      </c>
      <c r="M442" s="55">
        <f t="shared" si="214"/>
        <v>32517</v>
      </c>
      <c r="N442" s="55">
        <f t="shared" si="215"/>
        <v>28614.959999999999</v>
      </c>
      <c r="O442" s="95"/>
      <c r="P442" s="160">
        <v>0</v>
      </c>
      <c r="Q442" s="55">
        <f t="shared" si="216"/>
        <v>0</v>
      </c>
      <c r="R442" s="65">
        <f t="shared" si="217"/>
        <v>0</v>
      </c>
      <c r="S442" s="118">
        <v>15</v>
      </c>
      <c r="T442" s="121" t="s">
        <v>201</v>
      </c>
      <c r="U442" s="73">
        <f>SUMIF('Avoided Costs 2013-2021'!$A:$A,'2013 Actuals'!T442&amp;'2013 Actuals'!S442,'Avoided Costs 2013-2021'!$E:$E)*J442</f>
        <v>42196.208128203572</v>
      </c>
      <c r="V442" s="73">
        <f>SUMIF('Avoided Costs 2013-2021'!$A:$A,'2013 Actuals'!T442&amp;'2013 Actuals'!S442,'Avoided Costs 2013-2021'!$K:$K)*N442</f>
        <v>29956.820461319545</v>
      </c>
      <c r="W442" s="73">
        <f>SUMIF('Avoided Costs 2013-2021'!$A:$A,'2013 Actuals'!T442&amp;'2013 Actuals'!S442,'Avoided Costs 2013-2021'!$M:$M)*R442</f>
        <v>0</v>
      </c>
      <c r="X442" s="73">
        <f t="shared" si="218"/>
        <v>72153.028589523121</v>
      </c>
      <c r="Y442" s="83">
        <v>58500</v>
      </c>
      <c r="Z442" s="74">
        <f t="shared" si="219"/>
        <v>51480</v>
      </c>
      <c r="AA442" s="74"/>
      <c r="AB442" s="74"/>
      <c r="AC442" s="74"/>
      <c r="AD442" s="74">
        <f t="shared" si="220"/>
        <v>51480</v>
      </c>
      <c r="AE442" s="74">
        <f t="shared" si="221"/>
        <v>20673.028589523121</v>
      </c>
      <c r="AF442" s="52">
        <f t="shared" si="222"/>
        <v>283213.4448</v>
      </c>
      <c r="AG442" s="52">
        <f t="shared" si="223"/>
        <v>321833.45999999996</v>
      </c>
    </row>
    <row r="443" spans="1:33" s="21" customFormat="1" x14ac:dyDescent="0.2">
      <c r="A443" s="114" t="s">
        <v>987</v>
      </c>
      <c r="B443" s="114"/>
      <c r="C443" s="114"/>
      <c r="D443" s="160">
        <v>1</v>
      </c>
      <c r="E443" s="161"/>
      <c r="F443" s="162">
        <v>0.12</v>
      </c>
      <c r="G443" s="162"/>
      <c r="H443" s="52">
        <v>3632</v>
      </c>
      <c r="I443" s="52">
        <f t="shared" si="226"/>
        <v>3210.6880000000001</v>
      </c>
      <c r="J443" s="52">
        <f t="shared" si="213"/>
        <v>2825.40544</v>
      </c>
      <c r="K443" s="61"/>
      <c r="L443" s="160">
        <v>30810</v>
      </c>
      <c r="M443" s="55">
        <f t="shared" si="214"/>
        <v>30810</v>
      </c>
      <c r="N443" s="55">
        <f t="shared" si="215"/>
        <v>27112.799999999999</v>
      </c>
      <c r="O443" s="95"/>
      <c r="P443" s="160">
        <v>0</v>
      </c>
      <c r="Q443" s="55">
        <f t="shared" si="216"/>
        <v>0</v>
      </c>
      <c r="R443" s="65">
        <f t="shared" si="217"/>
        <v>0</v>
      </c>
      <c r="S443" s="118">
        <v>15</v>
      </c>
      <c r="T443" s="121" t="s">
        <v>201</v>
      </c>
      <c r="U443" s="73">
        <f>SUMIF('Avoided Costs 2013-2021'!$A:$A,'2013 Actuals'!T443&amp;'2013 Actuals'!S443,'Avoided Costs 2013-2021'!$E:$E)*J443</f>
        <v>6314.3928112412086</v>
      </c>
      <c r="V443" s="73">
        <f>SUMIF('Avoided Costs 2013-2021'!$A:$A,'2013 Actuals'!T443&amp;'2013 Actuals'!S443,'Avoided Costs 2013-2021'!$K:$K)*N443</f>
        <v>28384.218667566358</v>
      </c>
      <c r="W443" s="73">
        <f>SUMIF('Avoided Costs 2013-2021'!$A:$A,'2013 Actuals'!T443&amp;'2013 Actuals'!S443,'Avoided Costs 2013-2021'!$M:$M)*R443</f>
        <v>0</v>
      </c>
      <c r="X443" s="73">
        <f t="shared" si="218"/>
        <v>34698.611478807565</v>
      </c>
      <c r="Y443" s="83">
        <v>8650</v>
      </c>
      <c r="Z443" s="74">
        <f t="shared" si="219"/>
        <v>7612</v>
      </c>
      <c r="AA443" s="74"/>
      <c r="AB443" s="74"/>
      <c r="AC443" s="74"/>
      <c r="AD443" s="74">
        <f t="shared" si="220"/>
        <v>7612</v>
      </c>
      <c r="AE443" s="74">
        <f t="shared" si="221"/>
        <v>27086.611478807565</v>
      </c>
      <c r="AF443" s="52">
        <f t="shared" si="222"/>
        <v>42381.081599999998</v>
      </c>
      <c r="AG443" s="52">
        <f t="shared" si="223"/>
        <v>48160.32</v>
      </c>
    </row>
    <row r="444" spans="1:33" s="21" customFormat="1" x14ac:dyDescent="0.2">
      <c r="A444" s="114" t="s">
        <v>988</v>
      </c>
      <c r="B444" s="114"/>
      <c r="C444" s="114"/>
      <c r="D444" s="160">
        <v>1</v>
      </c>
      <c r="E444" s="161"/>
      <c r="F444" s="162">
        <v>0.12</v>
      </c>
      <c r="G444" s="162"/>
      <c r="H444" s="52">
        <v>1210</v>
      </c>
      <c r="I444" s="52">
        <f t="shared" si="226"/>
        <v>1069.6400000000001</v>
      </c>
      <c r="J444" s="52">
        <f t="shared" si="213"/>
        <v>941.28320000000008</v>
      </c>
      <c r="K444" s="61"/>
      <c r="L444" s="160">
        <v>4251</v>
      </c>
      <c r="M444" s="55">
        <f t="shared" si="214"/>
        <v>4251</v>
      </c>
      <c r="N444" s="55">
        <f t="shared" si="215"/>
        <v>3740.88</v>
      </c>
      <c r="O444" s="95"/>
      <c r="P444" s="160">
        <v>0</v>
      </c>
      <c r="Q444" s="55">
        <f t="shared" si="216"/>
        <v>0</v>
      </c>
      <c r="R444" s="65">
        <f t="shared" si="217"/>
        <v>0</v>
      </c>
      <c r="S444" s="118">
        <v>15</v>
      </c>
      <c r="T444" s="121" t="s">
        <v>201</v>
      </c>
      <c r="U444" s="73">
        <f>SUMIF('Avoided Costs 2013-2021'!$A:$A,'2013 Actuals'!T444&amp;'2013 Actuals'!S444,'Avoided Costs 2013-2021'!$E:$E)*J444</f>
        <v>2103.6385742295879</v>
      </c>
      <c r="V444" s="73">
        <f>SUMIF('Avoided Costs 2013-2021'!$A:$A,'2013 Actuals'!T444&amp;'2013 Actuals'!S444,'Avoided Costs 2013-2021'!$K:$K)*N444</f>
        <v>3916.3035883097887</v>
      </c>
      <c r="W444" s="73">
        <f>SUMIF('Avoided Costs 2013-2021'!$A:$A,'2013 Actuals'!T444&amp;'2013 Actuals'!S444,'Avoided Costs 2013-2021'!$M:$M)*R444</f>
        <v>0</v>
      </c>
      <c r="X444" s="73">
        <f t="shared" si="218"/>
        <v>6019.942162539377</v>
      </c>
      <c r="Y444" s="83">
        <v>2289</v>
      </c>
      <c r="Z444" s="74">
        <f t="shared" si="219"/>
        <v>2014.32</v>
      </c>
      <c r="AA444" s="74"/>
      <c r="AB444" s="74"/>
      <c r="AC444" s="74"/>
      <c r="AD444" s="74">
        <f t="shared" si="220"/>
        <v>2014.32</v>
      </c>
      <c r="AE444" s="74">
        <f t="shared" si="221"/>
        <v>4005.6221625393773</v>
      </c>
      <c r="AF444" s="52">
        <f t="shared" si="222"/>
        <v>14119.248000000001</v>
      </c>
      <c r="AG444" s="52">
        <f t="shared" si="223"/>
        <v>16044.600000000002</v>
      </c>
    </row>
    <row r="445" spans="1:33" s="21" customFormat="1" x14ac:dyDescent="0.2">
      <c r="A445" s="114" t="s">
        <v>989</v>
      </c>
      <c r="B445" s="114"/>
      <c r="C445" s="114"/>
      <c r="D445" s="160">
        <v>1</v>
      </c>
      <c r="E445" s="161"/>
      <c r="F445" s="162">
        <v>0.12</v>
      </c>
      <c r="G445" s="162"/>
      <c r="H445" s="52">
        <v>9029</v>
      </c>
      <c r="I445" s="52">
        <f t="shared" si="226"/>
        <v>7981.6360000000004</v>
      </c>
      <c r="J445" s="52">
        <f t="shared" si="213"/>
        <v>7023.83968</v>
      </c>
      <c r="K445" s="61"/>
      <c r="L445" s="160">
        <v>4273</v>
      </c>
      <c r="M445" s="55">
        <f t="shared" si="214"/>
        <v>4273</v>
      </c>
      <c r="N445" s="55">
        <f t="shared" si="215"/>
        <v>3760.2400000000002</v>
      </c>
      <c r="O445" s="95"/>
      <c r="P445" s="160">
        <v>0</v>
      </c>
      <c r="Q445" s="55">
        <f t="shared" si="216"/>
        <v>0</v>
      </c>
      <c r="R445" s="65">
        <f t="shared" si="217"/>
        <v>0</v>
      </c>
      <c r="S445" s="118">
        <v>15</v>
      </c>
      <c r="T445" s="121" t="s">
        <v>201</v>
      </c>
      <c r="U445" s="73">
        <f>SUMIF('Avoided Costs 2013-2021'!$A:$A,'2013 Actuals'!T445&amp;'2013 Actuals'!S445,'Avoided Costs 2013-2021'!$E:$E)*J445</f>
        <v>15697.316270015657</v>
      </c>
      <c r="V445" s="73">
        <f>SUMIF('Avoided Costs 2013-2021'!$A:$A,'2013 Actuals'!T445&amp;'2013 Actuals'!S445,'Avoided Costs 2013-2021'!$K:$K)*N445</f>
        <v>3936.571449740703</v>
      </c>
      <c r="W445" s="73">
        <f>SUMIF('Avoided Costs 2013-2021'!$A:$A,'2013 Actuals'!T445&amp;'2013 Actuals'!S445,'Avoided Costs 2013-2021'!$M:$M)*R445</f>
        <v>0</v>
      </c>
      <c r="X445" s="73">
        <f t="shared" si="218"/>
        <v>19633.88771975636</v>
      </c>
      <c r="Y445" s="83">
        <v>19107</v>
      </c>
      <c r="Z445" s="74">
        <f t="shared" si="219"/>
        <v>16814.16</v>
      </c>
      <c r="AA445" s="74"/>
      <c r="AB445" s="74"/>
      <c r="AC445" s="74"/>
      <c r="AD445" s="74">
        <f t="shared" si="220"/>
        <v>16814.16</v>
      </c>
      <c r="AE445" s="74">
        <f t="shared" si="221"/>
        <v>2819.7277197563599</v>
      </c>
      <c r="AF445" s="52">
        <f t="shared" si="222"/>
        <v>105357.5952</v>
      </c>
      <c r="AG445" s="52">
        <f t="shared" si="223"/>
        <v>119724.54000000001</v>
      </c>
    </row>
    <row r="446" spans="1:33" s="21" customFormat="1" x14ac:dyDescent="0.2">
      <c r="A446" s="114" t="s">
        <v>990</v>
      </c>
      <c r="B446" s="114"/>
      <c r="C446" s="114"/>
      <c r="D446" s="160">
        <v>1</v>
      </c>
      <c r="E446" s="161"/>
      <c r="F446" s="162">
        <v>0.12</v>
      </c>
      <c r="G446" s="162"/>
      <c r="H446" s="52">
        <v>3292</v>
      </c>
      <c r="I446" s="52">
        <f t="shared" si="226"/>
        <v>2910.1280000000002</v>
      </c>
      <c r="J446" s="52">
        <f t="shared" si="213"/>
        <v>2560.91264</v>
      </c>
      <c r="K446" s="61"/>
      <c r="L446" s="160">
        <v>3299</v>
      </c>
      <c r="M446" s="55">
        <f t="shared" si="214"/>
        <v>3299</v>
      </c>
      <c r="N446" s="55">
        <f t="shared" si="215"/>
        <v>2903.12</v>
      </c>
      <c r="O446" s="95"/>
      <c r="P446" s="160">
        <v>0</v>
      </c>
      <c r="Q446" s="55">
        <f t="shared" si="216"/>
        <v>0</v>
      </c>
      <c r="R446" s="65">
        <f t="shared" si="217"/>
        <v>0</v>
      </c>
      <c r="S446" s="118">
        <v>15</v>
      </c>
      <c r="T446" s="121" t="s">
        <v>201</v>
      </c>
      <c r="U446" s="73">
        <f>SUMIF('Avoided Costs 2013-2021'!$A:$A,'2013 Actuals'!T446&amp;'2013 Actuals'!S446,'Avoided Costs 2013-2021'!$E:$E)*J446</f>
        <v>5723.2877573254564</v>
      </c>
      <c r="V446" s="73">
        <f>SUMIF('Avoided Costs 2013-2021'!$A:$A,'2013 Actuals'!T446&amp;'2013 Actuals'!S446,'Avoided Costs 2013-2021'!$K:$K)*N446</f>
        <v>3039.2579482084197</v>
      </c>
      <c r="W446" s="73">
        <f>SUMIF('Avoided Costs 2013-2021'!$A:$A,'2013 Actuals'!T446&amp;'2013 Actuals'!S446,'Avoided Costs 2013-2021'!$M:$M)*R446</f>
        <v>0</v>
      </c>
      <c r="X446" s="73">
        <f t="shared" si="218"/>
        <v>8762.5457055338757</v>
      </c>
      <c r="Y446" s="83">
        <v>21204</v>
      </c>
      <c r="Z446" s="74">
        <f t="shared" si="219"/>
        <v>18659.52</v>
      </c>
      <c r="AA446" s="74"/>
      <c r="AB446" s="74"/>
      <c r="AC446" s="74"/>
      <c r="AD446" s="74">
        <f t="shared" si="220"/>
        <v>18659.52</v>
      </c>
      <c r="AE446" s="74">
        <f t="shared" si="221"/>
        <v>-9896.9742944661248</v>
      </c>
      <c r="AF446" s="52">
        <f t="shared" si="222"/>
        <v>38413.689599999998</v>
      </c>
      <c r="AG446" s="52">
        <f t="shared" si="223"/>
        <v>43651.920000000006</v>
      </c>
    </row>
    <row r="447" spans="1:33" s="21" customFormat="1" x14ac:dyDescent="0.2">
      <c r="A447" s="114" t="s">
        <v>991</v>
      </c>
      <c r="B447" s="114"/>
      <c r="C447" s="114"/>
      <c r="D447" s="160">
        <v>1</v>
      </c>
      <c r="E447" s="161"/>
      <c r="F447" s="162">
        <v>0.12</v>
      </c>
      <c r="G447" s="162"/>
      <c r="H447" s="52">
        <v>3561</v>
      </c>
      <c r="I447" s="52">
        <f t="shared" si="226"/>
        <v>3147.924</v>
      </c>
      <c r="J447" s="52">
        <f t="shared" si="213"/>
        <v>2770.1731199999999</v>
      </c>
      <c r="K447" s="61"/>
      <c r="L447" s="160">
        <v>19282</v>
      </c>
      <c r="M447" s="55">
        <f t="shared" si="214"/>
        <v>19282</v>
      </c>
      <c r="N447" s="55">
        <f t="shared" si="215"/>
        <v>16968.16</v>
      </c>
      <c r="O447" s="95"/>
      <c r="P447" s="160">
        <v>0</v>
      </c>
      <c r="Q447" s="55">
        <f t="shared" si="216"/>
        <v>0</v>
      </c>
      <c r="R447" s="65">
        <f t="shared" si="217"/>
        <v>0</v>
      </c>
      <c r="S447" s="118">
        <v>15</v>
      </c>
      <c r="T447" s="121" t="s">
        <v>201</v>
      </c>
      <c r="U447" s="73">
        <f>SUMIF('Avoided Costs 2013-2021'!$A:$A,'2013 Actuals'!T447&amp;'2013 Actuals'!S447,'Avoided Costs 2013-2021'!$E:$E)*J447</f>
        <v>6190.9561676293897</v>
      </c>
      <c r="V447" s="73">
        <f>SUMIF('Avoided Costs 2013-2021'!$A:$A,'2013 Actuals'!T447&amp;'2013 Actuals'!S447,'Avoided Costs 2013-2021'!$K:$K)*N447</f>
        <v>17763.859277767428</v>
      </c>
      <c r="W447" s="73">
        <f>SUMIF('Avoided Costs 2013-2021'!$A:$A,'2013 Actuals'!T447&amp;'2013 Actuals'!S447,'Avoided Costs 2013-2021'!$M:$M)*R447</f>
        <v>0</v>
      </c>
      <c r="X447" s="73">
        <f t="shared" si="218"/>
        <v>23954.815445396816</v>
      </c>
      <c r="Y447" s="83">
        <v>32449</v>
      </c>
      <c r="Z447" s="74">
        <f t="shared" si="219"/>
        <v>28555.119999999999</v>
      </c>
      <c r="AA447" s="74"/>
      <c r="AB447" s="74"/>
      <c r="AC447" s="74"/>
      <c r="AD447" s="74">
        <f t="shared" si="220"/>
        <v>28555.119999999999</v>
      </c>
      <c r="AE447" s="74">
        <f t="shared" si="221"/>
        <v>-4600.3045546031826</v>
      </c>
      <c r="AF447" s="52">
        <f t="shared" si="222"/>
        <v>41552.596799999999</v>
      </c>
      <c r="AG447" s="52">
        <f t="shared" si="223"/>
        <v>47218.86</v>
      </c>
    </row>
    <row r="448" spans="1:33" s="21" customFormat="1" x14ac:dyDescent="0.2">
      <c r="A448" s="114" t="s">
        <v>992</v>
      </c>
      <c r="B448" s="114"/>
      <c r="C448" s="114"/>
      <c r="D448" s="160">
        <v>1</v>
      </c>
      <c r="E448" s="161"/>
      <c r="F448" s="162">
        <v>0.12</v>
      </c>
      <c r="G448" s="162"/>
      <c r="H448" s="52">
        <v>3897</v>
      </c>
      <c r="I448" s="52">
        <f t="shared" si="226"/>
        <v>3444.9479999999999</v>
      </c>
      <c r="J448" s="52">
        <f t="shared" si="213"/>
        <v>3031.5542399999999</v>
      </c>
      <c r="K448" s="61"/>
      <c r="L448" s="160">
        <v>6875</v>
      </c>
      <c r="M448" s="55">
        <f t="shared" si="214"/>
        <v>6875</v>
      </c>
      <c r="N448" s="55">
        <f t="shared" si="215"/>
        <v>6050</v>
      </c>
      <c r="O448" s="95"/>
      <c r="P448" s="160">
        <v>0</v>
      </c>
      <c r="Q448" s="55">
        <f t="shared" si="216"/>
        <v>0</v>
      </c>
      <c r="R448" s="65">
        <f t="shared" si="217"/>
        <v>0</v>
      </c>
      <c r="S448" s="118">
        <v>15</v>
      </c>
      <c r="T448" s="121" t="s">
        <v>201</v>
      </c>
      <c r="U448" s="73">
        <f>SUMIF('Avoided Costs 2013-2021'!$A:$A,'2013 Actuals'!T448&amp;'2013 Actuals'!S448,'Avoided Costs 2013-2021'!$E:$E)*J448</f>
        <v>6775.1070444402503</v>
      </c>
      <c r="V448" s="73">
        <f>SUMIF('Avoided Costs 2013-2021'!$A:$A,'2013 Actuals'!T448&amp;'2013 Actuals'!S448,'Avoided Costs 2013-2021'!$K:$K)*N448</f>
        <v>6333.70669716062</v>
      </c>
      <c r="W448" s="73">
        <f>SUMIF('Avoided Costs 2013-2021'!$A:$A,'2013 Actuals'!T448&amp;'2013 Actuals'!S448,'Avoided Costs 2013-2021'!$M:$M)*R448</f>
        <v>0</v>
      </c>
      <c r="X448" s="73">
        <f t="shared" si="218"/>
        <v>13108.81374160087</v>
      </c>
      <c r="Y448" s="83">
        <v>7218</v>
      </c>
      <c r="Z448" s="74">
        <f t="shared" si="219"/>
        <v>6351.84</v>
      </c>
      <c r="AA448" s="74"/>
      <c r="AB448" s="74"/>
      <c r="AC448" s="74"/>
      <c r="AD448" s="74">
        <f t="shared" si="220"/>
        <v>6351.84</v>
      </c>
      <c r="AE448" s="74">
        <f t="shared" si="221"/>
        <v>6756.9737416008702</v>
      </c>
      <c r="AF448" s="52">
        <f t="shared" si="222"/>
        <v>45473.313600000001</v>
      </c>
      <c r="AG448" s="52">
        <f t="shared" si="223"/>
        <v>51674.22</v>
      </c>
    </row>
    <row r="449" spans="1:33" s="21" customFormat="1" x14ac:dyDescent="0.2">
      <c r="A449" s="114" t="s">
        <v>993</v>
      </c>
      <c r="B449" s="114"/>
      <c r="C449" s="114"/>
      <c r="D449" s="160">
        <v>1</v>
      </c>
      <c r="E449" s="161"/>
      <c r="F449" s="162">
        <v>0.12</v>
      </c>
      <c r="G449" s="162"/>
      <c r="H449" s="52">
        <v>3647</v>
      </c>
      <c r="I449" s="52">
        <f t="shared" si="226"/>
        <v>3223.9479999999999</v>
      </c>
      <c r="J449" s="52">
        <f t="shared" si="213"/>
        <v>2837.0742399999999</v>
      </c>
      <c r="K449" s="61"/>
      <c r="L449" s="160">
        <v>1913</v>
      </c>
      <c r="M449" s="55">
        <f t="shared" si="214"/>
        <v>1913</v>
      </c>
      <c r="N449" s="55">
        <f t="shared" si="215"/>
        <v>1683.44</v>
      </c>
      <c r="O449" s="95"/>
      <c r="P449" s="160">
        <v>0</v>
      </c>
      <c r="Q449" s="55">
        <f t="shared" si="216"/>
        <v>0</v>
      </c>
      <c r="R449" s="65">
        <f t="shared" si="217"/>
        <v>0</v>
      </c>
      <c r="S449" s="118">
        <v>15</v>
      </c>
      <c r="T449" s="121" t="s">
        <v>201</v>
      </c>
      <c r="U449" s="73">
        <f>SUMIF('Avoided Costs 2013-2021'!$A:$A,'2013 Actuals'!T449&amp;'2013 Actuals'!S449,'Avoided Costs 2013-2021'!$E:$E)*J449</f>
        <v>6340.47097538455</v>
      </c>
      <c r="V449" s="73">
        <f>SUMIF('Avoided Costs 2013-2021'!$A:$A,'2013 Actuals'!T449&amp;'2013 Actuals'!S449,'Avoided Costs 2013-2021'!$K:$K)*N449</f>
        <v>1762.3826780608388</v>
      </c>
      <c r="W449" s="73">
        <f>SUMIF('Avoided Costs 2013-2021'!$A:$A,'2013 Actuals'!T449&amp;'2013 Actuals'!S449,'Avoided Costs 2013-2021'!$M:$M)*R449</f>
        <v>0</v>
      </c>
      <c r="X449" s="73">
        <f t="shared" si="218"/>
        <v>8102.8536534453888</v>
      </c>
      <c r="Y449" s="83">
        <v>29390</v>
      </c>
      <c r="Z449" s="74">
        <f t="shared" si="219"/>
        <v>25863.200000000001</v>
      </c>
      <c r="AA449" s="74"/>
      <c r="AB449" s="74"/>
      <c r="AC449" s="74"/>
      <c r="AD449" s="74">
        <f t="shared" si="220"/>
        <v>25863.200000000001</v>
      </c>
      <c r="AE449" s="74">
        <f t="shared" si="221"/>
        <v>-17760.346346554612</v>
      </c>
      <c r="AF449" s="52">
        <f t="shared" si="222"/>
        <v>42556.113599999997</v>
      </c>
      <c r="AG449" s="52">
        <f t="shared" si="223"/>
        <v>48359.22</v>
      </c>
    </row>
    <row r="450" spans="1:33" s="21" customFormat="1" x14ac:dyDescent="0.2">
      <c r="A450" s="114" t="s">
        <v>994</v>
      </c>
      <c r="B450" s="114"/>
      <c r="C450" s="114"/>
      <c r="D450" s="160">
        <v>1</v>
      </c>
      <c r="E450" s="161"/>
      <c r="F450" s="162">
        <v>0.12</v>
      </c>
      <c r="G450" s="162"/>
      <c r="H450" s="52">
        <v>1764</v>
      </c>
      <c r="I450" s="52">
        <f t="shared" si="226"/>
        <v>1559.376</v>
      </c>
      <c r="J450" s="52">
        <f t="shared" si="213"/>
        <v>1372.2508800000001</v>
      </c>
      <c r="K450" s="61"/>
      <c r="L450" s="160">
        <v>7377</v>
      </c>
      <c r="M450" s="55">
        <f t="shared" si="214"/>
        <v>7377</v>
      </c>
      <c r="N450" s="55">
        <f t="shared" si="215"/>
        <v>6491.76</v>
      </c>
      <c r="O450" s="95"/>
      <c r="P450" s="160">
        <v>0</v>
      </c>
      <c r="Q450" s="55">
        <f t="shared" si="216"/>
        <v>0</v>
      </c>
      <c r="R450" s="65">
        <f t="shared" si="217"/>
        <v>0</v>
      </c>
      <c r="S450" s="118">
        <v>15</v>
      </c>
      <c r="T450" s="121" t="s">
        <v>201</v>
      </c>
      <c r="U450" s="73">
        <f>SUMIF('Avoided Costs 2013-2021'!$A:$A,'2013 Actuals'!T450&amp;'2013 Actuals'!S450,'Avoided Costs 2013-2021'!$E:$E)*J450</f>
        <v>3066.7921032570184</v>
      </c>
      <c r="V450" s="73">
        <f>SUMIF('Avoided Costs 2013-2021'!$A:$A,'2013 Actuals'!T450&amp;'2013 Actuals'!S450,'Avoided Costs 2013-2021'!$K:$K)*N450</f>
        <v>6796.1824443569303</v>
      </c>
      <c r="W450" s="73">
        <f>SUMIF('Avoided Costs 2013-2021'!$A:$A,'2013 Actuals'!T450&amp;'2013 Actuals'!S450,'Avoided Costs 2013-2021'!$M:$M)*R450</f>
        <v>0</v>
      </c>
      <c r="X450" s="73">
        <f t="shared" si="218"/>
        <v>9862.9745476139487</v>
      </c>
      <c r="Y450" s="83">
        <v>4968</v>
      </c>
      <c r="Z450" s="74">
        <f t="shared" si="219"/>
        <v>4371.84</v>
      </c>
      <c r="AA450" s="74"/>
      <c r="AB450" s="74"/>
      <c r="AC450" s="74"/>
      <c r="AD450" s="74">
        <f t="shared" si="220"/>
        <v>4371.84</v>
      </c>
      <c r="AE450" s="74">
        <f t="shared" si="221"/>
        <v>5491.1345476139486</v>
      </c>
      <c r="AF450" s="52">
        <f t="shared" si="222"/>
        <v>20583.763200000001</v>
      </c>
      <c r="AG450" s="52">
        <f t="shared" si="223"/>
        <v>23390.639999999999</v>
      </c>
    </row>
    <row r="451" spans="1:33" s="21" customFormat="1" x14ac:dyDescent="0.2">
      <c r="A451" s="114" t="s">
        <v>995</v>
      </c>
      <c r="B451" s="114"/>
      <c r="C451" s="114"/>
      <c r="D451" s="160">
        <v>1</v>
      </c>
      <c r="E451" s="161"/>
      <c r="F451" s="162">
        <v>0.12</v>
      </c>
      <c r="G451" s="162"/>
      <c r="H451" s="52">
        <v>1803</v>
      </c>
      <c r="I451" s="52">
        <f t="shared" si="226"/>
        <v>1593.8520000000001</v>
      </c>
      <c r="J451" s="52">
        <f t="shared" si="213"/>
        <v>1402.5897600000001</v>
      </c>
      <c r="K451" s="61"/>
      <c r="L451" s="160">
        <v>12227</v>
      </c>
      <c r="M451" s="55">
        <f t="shared" si="214"/>
        <v>12227</v>
      </c>
      <c r="N451" s="55">
        <f t="shared" si="215"/>
        <v>10759.76</v>
      </c>
      <c r="O451" s="95"/>
      <c r="P451" s="160">
        <v>0</v>
      </c>
      <c r="Q451" s="55">
        <f t="shared" si="216"/>
        <v>0</v>
      </c>
      <c r="R451" s="65">
        <f t="shared" si="217"/>
        <v>0</v>
      </c>
      <c r="S451" s="118">
        <v>15</v>
      </c>
      <c r="T451" s="121" t="s">
        <v>201</v>
      </c>
      <c r="U451" s="73">
        <f>SUMIF('Avoided Costs 2013-2021'!$A:$A,'2013 Actuals'!T451&amp;'2013 Actuals'!S451,'Avoided Costs 2013-2021'!$E:$E)*J451</f>
        <v>3134.5953300297078</v>
      </c>
      <c r="V451" s="73">
        <f>SUMIF('Avoided Costs 2013-2021'!$A:$A,'2013 Actuals'!T451&amp;'2013 Actuals'!S451,'Avoided Costs 2013-2021'!$K:$K)*N451</f>
        <v>11264.324623444785</v>
      </c>
      <c r="W451" s="73">
        <f>SUMIF('Avoided Costs 2013-2021'!$A:$A,'2013 Actuals'!T451&amp;'2013 Actuals'!S451,'Avoided Costs 2013-2021'!$M:$M)*R451</f>
        <v>0</v>
      </c>
      <c r="X451" s="73">
        <f t="shared" si="218"/>
        <v>14398.919953474493</v>
      </c>
      <c r="Y451" s="83">
        <v>29960</v>
      </c>
      <c r="Z451" s="74">
        <f t="shared" si="219"/>
        <v>26364.799999999999</v>
      </c>
      <c r="AA451" s="74"/>
      <c r="AB451" s="74"/>
      <c r="AC451" s="74"/>
      <c r="AD451" s="74">
        <f t="shared" si="220"/>
        <v>26364.799999999999</v>
      </c>
      <c r="AE451" s="74">
        <f t="shared" si="221"/>
        <v>-11965.880046525506</v>
      </c>
      <c r="AF451" s="52">
        <f t="shared" si="222"/>
        <v>21038.846400000002</v>
      </c>
      <c r="AG451" s="52">
        <f t="shared" si="223"/>
        <v>23907.780000000002</v>
      </c>
    </row>
    <row r="452" spans="1:33" s="21" customFormat="1" x14ac:dyDescent="0.2">
      <c r="A452" s="114" t="s">
        <v>996</v>
      </c>
      <c r="B452" s="114"/>
      <c r="C452" s="114"/>
      <c r="D452" s="160">
        <v>1</v>
      </c>
      <c r="E452" s="161"/>
      <c r="F452" s="162">
        <v>0.12</v>
      </c>
      <c r="G452" s="162"/>
      <c r="H452" s="52">
        <v>1026</v>
      </c>
      <c r="I452" s="52">
        <f t="shared" si="226"/>
        <v>906.98400000000004</v>
      </c>
      <c r="J452" s="52">
        <f t="shared" si="213"/>
        <v>798.14592000000005</v>
      </c>
      <c r="K452" s="61"/>
      <c r="L452" s="160">
        <v>4838</v>
      </c>
      <c r="M452" s="55">
        <f t="shared" si="214"/>
        <v>4838</v>
      </c>
      <c r="N452" s="55">
        <f t="shared" si="215"/>
        <v>4257.4399999999996</v>
      </c>
      <c r="O452" s="95"/>
      <c r="P452" s="160">
        <v>0</v>
      </c>
      <c r="Q452" s="55">
        <f t="shared" si="216"/>
        <v>0</v>
      </c>
      <c r="R452" s="65">
        <f t="shared" si="217"/>
        <v>0</v>
      </c>
      <c r="S452" s="118">
        <v>15</v>
      </c>
      <c r="T452" s="121" t="s">
        <v>201</v>
      </c>
      <c r="U452" s="73">
        <f>SUMIF('Avoided Costs 2013-2021'!$A:$A,'2013 Actuals'!T452&amp;'2013 Actuals'!S452,'Avoided Costs 2013-2021'!$E:$E)*J452</f>
        <v>1783.7464274045926</v>
      </c>
      <c r="V452" s="73">
        <f>SUMIF('Avoided Costs 2013-2021'!$A:$A,'2013 Actuals'!T452&amp;'2013 Actuals'!S452,'Avoided Costs 2013-2021'!$K:$K)*N452</f>
        <v>4457.0869819437203</v>
      </c>
      <c r="W452" s="73">
        <f>SUMIF('Avoided Costs 2013-2021'!$A:$A,'2013 Actuals'!T452&amp;'2013 Actuals'!S452,'Avoided Costs 2013-2021'!$M:$M)*R452</f>
        <v>0</v>
      </c>
      <c r="X452" s="73">
        <f t="shared" si="218"/>
        <v>6240.8334093483127</v>
      </c>
      <c r="Y452" s="83">
        <v>18449</v>
      </c>
      <c r="Z452" s="74">
        <f t="shared" si="219"/>
        <v>16235.12</v>
      </c>
      <c r="AA452" s="74"/>
      <c r="AB452" s="74"/>
      <c r="AC452" s="74"/>
      <c r="AD452" s="74">
        <f t="shared" si="220"/>
        <v>16235.12</v>
      </c>
      <c r="AE452" s="74">
        <f t="shared" si="221"/>
        <v>-9994.286590651689</v>
      </c>
      <c r="AF452" s="52">
        <f t="shared" si="222"/>
        <v>11972.1888</v>
      </c>
      <c r="AG452" s="52">
        <f t="shared" si="223"/>
        <v>13604.76</v>
      </c>
    </row>
    <row r="453" spans="1:33" s="21" customFormat="1" x14ac:dyDescent="0.2">
      <c r="A453" s="114" t="s">
        <v>997</v>
      </c>
      <c r="B453" s="114"/>
      <c r="C453" s="114"/>
      <c r="D453" s="160">
        <v>1</v>
      </c>
      <c r="E453" s="161"/>
      <c r="F453" s="162">
        <v>0.12</v>
      </c>
      <c r="G453" s="162"/>
      <c r="H453" s="52">
        <v>1552</v>
      </c>
      <c r="I453" s="52">
        <f t="shared" si="226"/>
        <v>1371.9680000000001</v>
      </c>
      <c r="J453" s="52">
        <f t="shared" si="213"/>
        <v>1207.3318400000001</v>
      </c>
      <c r="K453" s="61"/>
      <c r="L453" s="160">
        <v>7112</v>
      </c>
      <c r="M453" s="55">
        <f t="shared" si="214"/>
        <v>7112</v>
      </c>
      <c r="N453" s="55">
        <f t="shared" si="215"/>
        <v>6258.56</v>
      </c>
      <c r="O453" s="95"/>
      <c r="P453" s="160">
        <v>0</v>
      </c>
      <c r="Q453" s="55">
        <f t="shared" si="216"/>
        <v>0</v>
      </c>
      <c r="R453" s="65">
        <f t="shared" si="217"/>
        <v>0</v>
      </c>
      <c r="S453" s="118">
        <v>15</v>
      </c>
      <c r="T453" s="121" t="s">
        <v>201</v>
      </c>
      <c r="U453" s="73">
        <f>SUMIF('Avoided Costs 2013-2021'!$A:$A,'2013 Actuals'!T453&amp;'2013 Actuals'!S453,'Avoided Costs 2013-2021'!$E:$E)*J453</f>
        <v>2698.2207166977851</v>
      </c>
      <c r="V453" s="73">
        <f>SUMIF('Avoided Costs 2013-2021'!$A:$A,'2013 Actuals'!T453&amp;'2013 Actuals'!S453,'Avoided Costs 2013-2021'!$K:$K)*N453</f>
        <v>6552.0468407572853</v>
      </c>
      <c r="W453" s="73">
        <f>SUMIF('Avoided Costs 2013-2021'!$A:$A,'2013 Actuals'!T453&amp;'2013 Actuals'!S453,'Avoided Costs 2013-2021'!$M:$M)*R453</f>
        <v>0</v>
      </c>
      <c r="X453" s="73">
        <f t="shared" si="218"/>
        <v>9250.2675574550703</v>
      </c>
      <c r="Y453" s="83">
        <v>8300</v>
      </c>
      <c r="Z453" s="74">
        <f t="shared" si="219"/>
        <v>7304</v>
      </c>
      <c r="AA453" s="74"/>
      <c r="AB453" s="74"/>
      <c r="AC453" s="74"/>
      <c r="AD453" s="74">
        <f t="shared" si="220"/>
        <v>7304</v>
      </c>
      <c r="AE453" s="74">
        <f t="shared" si="221"/>
        <v>1946.2675574550703</v>
      </c>
      <c r="AF453" s="52">
        <f t="shared" si="222"/>
        <v>18109.977600000002</v>
      </c>
      <c r="AG453" s="52">
        <f t="shared" si="223"/>
        <v>20579.52</v>
      </c>
    </row>
    <row r="454" spans="1:33" s="21" customFormat="1" x14ac:dyDescent="0.2">
      <c r="A454" s="114" t="s">
        <v>998</v>
      </c>
      <c r="B454" s="114"/>
      <c r="C454" s="114"/>
      <c r="D454" s="160">
        <v>1</v>
      </c>
      <c r="E454" s="161"/>
      <c r="F454" s="162">
        <v>0.12</v>
      </c>
      <c r="G454" s="162"/>
      <c r="H454" s="52">
        <v>1684</v>
      </c>
      <c r="I454" s="52">
        <f t="shared" si="226"/>
        <v>1488.6559999999999</v>
      </c>
      <c r="J454" s="52">
        <f t="shared" si="213"/>
        <v>1310.01728</v>
      </c>
      <c r="K454" s="61"/>
      <c r="L454" s="160">
        <v>12017</v>
      </c>
      <c r="M454" s="55">
        <f t="shared" si="214"/>
        <v>12017</v>
      </c>
      <c r="N454" s="55">
        <f t="shared" si="215"/>
        <v>10574.960000000001</v>
      </c>
      <c r="O454" s="95"/>
      <c r="P454" s="160">
        <v>0</v>
      </c>
      <c r="Q454" s="55">
        <f t="shared" si="216"/>
        <v>0</v>
      </c>
      <c r="R454" s="65">
        <f t="shared" si="217"/>
        <v>0</v>
      </c>
      <c r="S454" s="118">
        <v>15</v>
      </c>
      <c r="T454" s="121" t="s">
        <v>201</v>
      </c>
      <c r="U454" s="73">
        <f>SUMIF('Avoided Costs 2013-2021'!$A:$A,'2013 Actuals'!T454&amp;'2013 Actuals'!S454,'Avoided Costs 2013-2021'!$E:$E)*J454</f>
        <v>2927.7085611591947</v>
      </c>
      <c r="V454" s="73">
        <f>SUMIF('Avoided Costs 2013-2021'!$A:$A,'2013 Actuals'!T454&amp;'2013 Actuals'!S454,'Avoided Costs 2013-2021'!$K:$K)*N454</f>
        <v>11070.858673422426</v>
      </c>
      <c r="W454" s="73">
        <f>SUMIF('Avoided Costs 2013-2021'!$A:$A,'2013 Actuals'!T454&amp;'2013 Actuals'!S454,'Avoided Costs 2013-2021'!$M:$M)*R454</f>
        <v>0</v>
      </c>
      <c r="X454" s="73">
        <f t="shared" si="218"/>
        <v>13998.56723458162</v>
      </c>
      <c r="Y454" s="83">
        <v>23500</v>
      </c>
      <c r="Z454" s="74">
        <f t="shared" si="219"/>
        <v>20680</v>
      </c>
      <c r="AA454" s="74"/>
      <c r="AB454" s="74"/>
      <c r="AC454" s="74"/>
      <c r="AD454" s="74">
        <f t="shared" si="220"/>
        <v>20680</v>
      </c>
      <c r="AE454" s="74">
        <f t="shared" si="221"/>
        <v>-6681.4327654183799</v>
      </c>
      <c r="AF454" s="52">
        <f t="shared" si="222"/>
        <v>19650.2592</v>
      </c>
      <c r="AG454" s="52">
        <f t="shared" si="223"/>
        <v>22329.84</v>
      </c>
    </row>
    <row r="455" spans="1:33" s="21" customFormat="1" x14ac:dyDescent="0.2">
      <c r="A455" s="114" t="s">
        <v>999</v>
      </c>
      <c r="B455" s="114"/>
      <c r="C455" s="114"/>
      <c r="D455" s="160">
        <v>1</v>
      </c>
      <c r="E455" s="161"/>
      <c r="F455" s="162">
        <v>0.12</v>
      </c>
      <c r="G455" s="162"/>
      <c r="H455" s="52">
        <v>615</v>
      </c>
      <c r="I455" s="52">
        <f t="shared" si="226"/>
        <v>543.66</v>
      </c>
      <c r="J455" s="52">
        <f t="shared" si="213"/>
        <v>478.42079999999999</v>
      </c>
      <c r="K455" s="61"/>
      <c r="L455" s="160">
        <v>3719</v>
      </c>
      <c r="M455" s="55">
        <f t="shared" si="214"/>
        <v>3719</v>
      </c>
      <c r="N455" s="55">
        <f t="shared" si="215"/>
        <v>3272.72</v>
      </c>
      <c r="O455" s="95"/>
      <c r="P455" s="160">
        <v>0</v>
      </c>
      <c r="Q455" s="55">
        <f t="shared" si="216"/>
        <v>0</v>
      </c>
      <c r="R455" s="65">
        <f t="shared" si="217"/>
        <v>0</v>
      </c>
      <c r="S455" s="118">
        <v>15</v>
      </c>
      <c r="T455" s="121" t="s">
        <v>201</v>
      </c>
      <c r="U455" s="73">
        <f>SUMIF('Avoided Costs 2013-2021'!$A:$A,'2013 Actuals'!T455&amp;'2013 Actuals'!S455,'Avoided Costs 2013-2021'!$E:$E)*J455</f>
        <v>1069.2047298770217</v>
      </c>
      <c r="V455" s="73">
        <f>SUMIF('Avoided Costs 2013-2021'!$A:$A,'2013 Actuals'!T455&amp;'2013 Actuals'!S455,'Avoided Costs 2013-2021'!$K:$K)*N455</f>
        <v>3426.189848253141</v>
      </c>
      <c r="W455" s="73">
        <f>SUMIF('Avoided Costs 2013-2021'!$A:$A,'2013 Actuals'!T455&amp;'2013 Actuals'!S455,'Avoided Costs 2013-2021'!$M:$M)*R455</f>
        <v>0</v>
      </c>
      <c r="X455" s="73">
        <f t="shared" si="218"/>
        <v>4495.3945781301627</v>
      </c>
      <c r="Y455" s="83">
        <v>1800</v>
      </c>
      <c r="Z455" s="74">
        <f t="shared" si="219"/>
        <v>1584</v>
      </c>
      <c r="AA455" s="74"/>
      <c r="AB455" s="74"/>
      <c r="AC455" s="74"/>
      <c r="AD455" s="74">
        <f t="shared" si="220"/>
        <v>1584</v>
      </c>
      <c r="AE455" s="74">
        <f t="shared" si="221"/>
        <v>2911.3945781301627</v>
      </c>
      <c r="AF455" s="52">
        <f t="shared" si="222"/>
        <v>7176.3119999999999</v>
      </c>
      <c r="AG455" s="52">
        <f t="shared" si="223"/>
        <v>8154.9</v>
      </c>
    </row>
    <row r="456" spans="1:33" s="21" customFormat="1" x14ac:dyDescent="0.2">
      <c r="A456" s="114" t="s">
        <v>1000</v>
      </c>
      <c r="B456" s="114"/>
      <c r="C456" s="114"/>
      <c r="D456" s="160">
        <v>1</v>
      </c>
      <c r="E456" s="161"/>
      <c r="F456" s="162">
        <v>0.12</v>
      </c>
      <c r="G456" s="162"/>
      <c r="H456" s="52">
        <v>6301</v>
      </c>
      <c r="I456" s="52">
        <f t="shared" si="226"/>
        <v>5570.0839999999998</v>
      </c>
      <c r="J456" s="52">
        <f t="shared" si="213"/>
        <v>4901.6739200000002</v>
      </c>
      <c r="K456" s="61"/>
      <c r="L456" s="160">
        <v>32949</v>
      </c>
      <c r="M456" s="55">
        <f t="shared" si="214"/>
        <v>32949</v>
      </c>
      <c r="N456" s="55">
        <f t="shared" si="215"/>
        <v>28995.119999999999</v>
      </c>
      <c r="O456" s="95"/>
      <c r="P456" s="160">
        <v>0</v>
      </c>
      <c r="Q456" s="55">
        <f t="shared" si="216"/>
        <v>0</v>
      </c>
      <c r="R456" s="65">
        <f t="shared" si="217"/>
        <v>0</v>
      </c>
      <c r="S456" s="118">
        <v>15</v>
      </c>
      <c r="T456" s="121" t="s">
        <v>201</v>
      </c>
      <c r="U456" s="73">
        <f>SUMIF('Avoided Costs 2013-2021'!$A:$A,'2013 Actuals'!T456&amp;'2013 Actuals'!S456,'Avoided Costs 2013-2021'!$E:$E)*J456</f>
        <v>10954.567484479861</v>
      </c>
      <c r="V456" s="73">
        <f>SUMIF('Avoided Costs 2013-2021'!$A:$A,'2013 Actuals'!T456&amp;'2013 Actuals'!S456,'Avoided Costs 2013-2021'!$K:$K)*N456</f>
        <v>30354.807558508401</v>
      </c>
      <c r="W456" s="73">
        <f>SUMIF('Avoided Costs 2013-2021'!$A:$A,'2013 Actuals'!T456&amp;'2013 Actuals'!S456,'Avoided Costs 2013-2021'!$M:$M)*R456</f>
        <v>0</v>
      </c>
      <c r="X456" s="73">
        <f t="shared" si="218"/>
        <v>41309.375042988264</v>
      </c>
      <c r="Y456" s="83">
        <v>6900</v>
      </c>
      <c r="Z456" s="74">
        <f t="shared" si="219"/>
        <v>6072</v>
      </c>
      <c r="AA456" s="74"/>
      <c r="AB456" s="74"/>
      <c r="AC456" s="74"/>
      <c r="AD456" s="74">
        <f t="shared" si="220"/>
        <v>6072</v>
      </c>
      <c r="AE456" s="74">
        <f t="shared" si="221"/>
        <v>35237.375042988264</v>
      </c>
      <c r="AF456" s="52">
        <f t="shared" si="222"/>
        <v>73525.108800000002</v>
      </c>
      <c r="AG456" s="52">
        <f t="shared" si="223"/>
        <v>83551.259999999995</v>
      </c>
    </row>
    <row r="457" spans="1:33" s="21" customFormat="1" x14ac:dyDescent="0.2">
      <c r="A457" s="114" t="s">
        <v>1001</v>
      </c>
      <c r="B457" s="114"/>
      <c r="C457" s="114"/>
      <c r="D457" s="160">
        <v>1</v>
      </c>
      <c r="E457" s="161"/>
      <c r="F457" s="162">
        <v>0.12</v>
      </c>
      <c r="G457" s="162"/>
      <c r="H457" s="52">
        <v>4425</v>
      </c>
      <c r="I457" s="52">
        <f t="shared" si="226"/>
        <v>3911.7</v>
      </c>
      <c r="J457" s="52">
        <f t="shared" si="213"/>
        <v>3442.2959999999998</v>
      </c>
      <c r="K457" s="61"/>
      <c r="L457" s="160">
        <v>38641</v>
      </c>
      <c r="M457" s="55">
        <f t="shared" si="214"/>
        <v>38641</v>
      </c>
      <c r="N457" s="55">
        <f t="shared" si="215"/>
        <v>34004.080000000002</v>
      </c>
      <c r="O457" s="95"/>
      <c r="P457" s="160">
        <v>0</v>
      </c>
      <c r="Q457" s="55">
        <f t="shared" si="216"/>
        <v>0</v>
      </c>
      <c r="R457" s="65">
        <f t="shared" si="217"/>
        <v>0</v>
      </c>
      <c r="S457" s="118">
        <v>15</v>
      </c>
      <c r="T457" s="121" t="s">
        <v>201</v>
      </c>
      <c r="U457" s="73">
        <f>SUMIF('Avoided Costs 2013-2021'!$A:$A,'2013 Actuals'!T457&amp;'2013 Actuals'!S457,'Avoided Costs 2013-2021'!$E:$E)*J457</f>
        <v>7693.0584222858879</v>
      </c>
      <c r="V457" s="73">
        <f>SUMIF('Avoided Costs 2013-2021'!$A:$A,'2013 Actuals'!T457&amp;'2013 Actuals'!S457,'Avoided Costs 2013-2021'!$K:$K)*N457</f>
        <v>35598.65607054306</v>
      </c>
      <c r="W457" s="73">
        <f>SUMIF('Avoided Costs 2013-2021'!$A:$A,'2013 Actuals'!T457&amp;'2013 Actuals'!S457,'Avoided Costs 2013-2021'!$M:$M)*R457</f>
        <v>0</v>
      </c>
      <c r="X457" s="73">
        <f t="shared" si="218"/>
        <v>43291.714492828949</v>
      </c>
      <c r="Y457" s="83">
        <v>102950</v>
      </c>
      <c r="Z457" s="74">
        <f t="shared" si="219"/>
        <v>90596</v>
      </c>
      <c r="AA457" s="74"/>
      <c r="AB457" s="74"/>
      <c r="AC457" s="74"/>
      <c r="AD457" s="74">
        <f t="shared" si="220"/>
        <v>90596</v>
      </c>
      <c r="AE457" s="74">
        <f t="shared" si="221"/>
        <v>-47304.285507171051</v>
      </c>
      <c r="AF457" s="52">
        <f t="shared" si="222"/>
        <v>51634.439999999995</v>
      </c>
      <c r="AG457" s="52">
        <f t="shared" si="223"/>
        <v>58675.5</v>
      </c>
    </row>
    <row r="458" spans="1:33" s="21" customFormat="1" x14ac:dyDescent="0.2">
      <c r="A458" s="114" t="s">
        <v>1002</v>
      </c>
      <c r="B458" s="114"/>
      <c r="C458" s="114"/>
      <c r="D458" s="160">
        <v>1</v>
      </c>
      <c r="E458" s="161"/>
      <c r="F458" s="162">
        <v>0.12</v>
      </c>
      <c r="G458" s="162"/>
      <c r="H458" s="52">
        <v>5366</v>
      </c>
      <c r="I458" s="52">
        <f t="shared" si="226"/>
        <v>4743.5439999999999</v>
      </c>
      <c r="J458" s="52">
        <f t="shared" si="213"/>
        <v>4174.3187200000002</v>
      </c>
      <c r="K458" s="61"/>
      <c r="L458" s="160">
        <v>47553</v>
      </c>
      <c r="M458" s="55">
        <f t="shared" si="214"/>
        <v>47553</v>
      </c>
      <c r="N458" s="55">
        <f t="shared" si="215"/>
        <v>41846.639999999999</v>
      </c>
      <c r="O458" s="95"/>
      <c r="P458" s="160">
        <v>0</v>
      </c>
      <c r="Q458" s="55">
        <f t="shared" si="216"/>
        <v>0</v>
      </c>
      <c r="R458" s="65">
        <f t="shared" si="217"/>
        <v>0</v>
      </c>
      <c r="S458" s="118">
        <v>15</v>
      </c>
      <c r="T458" s="121" t="s">
        <v>201</v>
      </c>
      <c r="U458" s="73">
        <f>SUMIF('Avoided Costs 2013-2021'!$A:$A,'2013 Actuals'!T458&amp;'2013 Actuals'!S458,'Avoided Costs 2013-2021'!$E:$E)*J458</f>
        <v>9329.0285862115434</v>
      </c>
      <c r="V458" s="73">
        <f>SUMIF('Avoided Costs 2013-2021'!$A:$A,'2013 Actuals'!T458&amp;'2013 Actuals'!S458,'Avoided Costs 2013-2021'!$K:$K)*N458</f>
        <v>43808.982482920575</v>
      </c>
      <c r="W458" s="73">
        <f>SUMIF('Avoided Costs 2013-2021'!$A:$A,'2013 Actuals'!T458&amp;'2013 Actuals'!S458,'Avoided Costs 2013-2021'!$M:$M)*R458</f>
        <v>0</v>
      </c>
      <c r="X458" s="73">
        <f t="shared" si="218"/>
        <v>53138.011069132117</v>
      </c>
      <c r="Y458" s="83">
        <v>12950</v>
      </c>
      <c r="Z458" s="74">
        <f t="shared" si="219"/>
        <v>11396</v>
      </c>
      <c r="AA458" s="74"/>
      <c r="AB458" s="74"/>
      <c r="AC458" s="74"/>
      <c r="AD458" s="74">
        <f t="shared" si="220"/>
        <v>11396</v>
      </c>
      <c r="AE458" s="74">
        <f t="shared" si="221"/>
        <v>41742.011069132117</v>
      </c>
      <c r="AF458" s="52">
        <f t="shared" si="222"/>
        <v>62614.7808</v>
      </c>
      <c r="AG458" s="52">
        <f t="shared" si="223"/>
        <v>71153.16</v>
      </c>
    </row>
    <row r="459" spans="1:33" s="21" customFormat="1" x14ac:dyDescent="0.2">
      <c r="A459" s="114" t="s">
        <v>1003</v>
      </c>
      <c r="B459" s="114"/>
      <c r="C459" s="114"/>
      <c r="D459" s="160">
        <v>1</v>
      </c>
      <c r="E459" s="161"/>
      <c r="F459" s="162">
        <v>0.12</v>
      </c>
      <c r="G459" s="162"/>
      <c r="H459" s="52">
        <v>9275</v>
      </c>
      <c r="I459" s="52">
        <f t="shared" si="226"/>
        <v>8199.1</v>
      </c>
      <c r="J459" s="52">
        <f t="shared" si="213"/>
        <v>7215.2080000000005</v>
      </c>
      <c r="K459" s="61"/>
      <c r="L459" s="160">
        <v>67180</v>
      </c>
      <c r="M459" s="55">
        <f t="shared" si="214"/>
        <v>67180</v>
      </c>
      <c r="N459" s="55">
        <f t="shared" si="215"/>
        <v>59118.400000000001</v>
      </c>
      <c r="O459" s="95"/>
      <c r="P459" s="160">
        <v>0</v>
      </c>
      <c r="Q459" s="55">
        <f t="shared" si="216"/>
        <v>0</v>
      </c>
      <c r="R459" s="65">
        <f t="shared" si="217"/>
        <v>0</v>
      </c>
      <c r="S459" s="118">
        <v>15</v>
      </c>
      <c r="T459" s="121" t="s">
        <v>201</v>
      </c>
      <c r="U459" s="73">
        <f>SUMIF('Avoided Costs 2013-2021'!$A:$A,'2013 Actuals'!T459&amp;'2013 Actuals'!S459,'Avoided Costs 2013-2021'!$E:$E)*J459</f>
        <v>16124.998161966467</v>
      </c>
      <c r="V459" s="73">
        <f>SUMIF('Avoided Costs 2013-2021'!$A:$A,'2013 Actuals'!T459&amp;'2013 Actuals'!S459,'Avoided Costs 2013-2021'!$K:$K)*N459</f>
        <v>61890.678678581884</v>
      </c>
      <c r="W459" s="73">
        <f>SUMIF('Avoided Costs 2013-2021'!$A:$A,'2013 Actuals'!T459&amp;'2013 Actuals'!S459,'Avoided Costs 2013-2021'!$M:$M)*R459</f>
        <v>0</v>
      </c>
      <c r="X459" s="73">
        <f t="shared" si="218"/>
        <v>78015.676840548345</v>
      </c>
      <c r="Y459" s="83">
        <v>41400</v>
      </c>
      <c r="Z459" s="74">
        <f t="shared" si="219"/>
        <v>36432</v>
      </c>
      <c r="AA459" s="74"/>
      <c r="AB459" s="74"/>
      <c r="AC459" s="74"/>
      <c r="AD459" s="74">
        <f t="shared" si="220"/>
        <v>36432</v>
      </c>
      <c r="AE459" s="74">
        <f t="shared" si="221"/>
        <v>41583.676840548345</v>
      </c>
      <c r="AF459" s="52">
        <f t="shared" si="222"/>
        <v>108228.12000000001</v>
      </c>
      <c r="AG459" s="52">
        <f t="shared" si="223"/>
        <v>122986.5</v>
      </c>
    </row>
    <row r="460" spans="1:33" s="21" customFormat="1" x14ac:dyDescent="0.2">
      <c r="A460" s="114" t="s">
        <v>1004</v>
      </c>
      <c r="B460" s="114"/>
      <c r="C460" s="114"/>
      <c r="D460" s="160">
        <v>1</v>
      </c>
      <c r="E460" s="161"/>
      <c r="F460" s="162">
        <v>0.12</v>
      </c>
      <c r="G460" s="162"/>
      <c r="H460" s="52">
        <v>12217</v>
      </c>
      <c r="I460" s="52">
        <f t="shared" si="212"/>
        <v>12217</v>
      </c>
      <c r="J460" s="52">
        <f t="shared" si="213"/>
        <v>10750.960000000001</v>
      </c>
      <c r="K460" s="61"/>
      <c r="L460" s="160">
        <v>0</v>
      </c>
      <c r="M460" s="55">
        <f t="shared" si="214"/>
        <v>0</v>
      </c>
      <c r="N460" s="55">
        <f t="shared" si="215"/>
        <v>0</v>
      </c>
      <c r="O460" s="95"/>
      <c r="P460" s="160">
        <v>0</v>
      </c>
      <c r="Q460" s="55">
        <f t="shared" si="216"/>
        <v>0</v>
      </c>
      <c r="R460" s="65">
        <f t="shared" si="217"/>
        <v>0</v>
      </c>
      <c r="S460" s="118">
        <v>25</v>
      </c>
      <c r="T460" s="121" t="s">
        <v>201</v>
      </c>
      <c r="U460" s="73">
        <f>SUMIF('Avoided Costs 2013-2021'!$A:$A,'2013 Actuals'!T460&amp;'2013 Actuals'!S460,'Avoided Costs 2013-2021'!$E:$E)*J460</f>
        <v>33727.295113958178</v>
      </c>
      <c r="V460" s="73">
        <f>SUMIF('Avoided Costs 2013-2021'!$A:$A,'2013 Actuals'!T460&amp;'2013 Actuals'!S460,'Avoided Costs 2013-2021'!$K:$K)*N460</f>
        <v>0</v>
      </c>
      <c r="W460" s="73">
        <f>SUMIF('Avoided Costs 2013-2021'!$A:$A,'2013 Actuals'!T460&amp;'2013 Actuals'!S460,'Avoided Costs 2013-2021'!$M:$M)*R460</f>
        <v>0</v>
      </c>
      <c r="X460" s="73">
        <f t="shared" si="218"/>
        <v>33727.295113958178</v>
      </c>
      <c r="Y460" s="83">
        <v>8646</v>
      </c>
      <c r="Z460" s="74">
        <f t="shared" si="219"/>
        <v>7608.4800000000005</v>
      </c>
      <c r="AA460" s="74"/>
      <c r="AB460" s="74"/>
      <c r="AC460" s="74"/>
      <c r="AD460" s="74">
        <f t="shared" si="220"/>
        <v>7608.4800000000005</v>
      </c>
      <c r="AE460" s="74">
        <f t="shared" si="221"/>
        <v>26118.815113958179</v>
      </c>
      <c r="AF460" s="52">
        <f t="shared" si="222"/>
        <v>268774</v>
      </c>
      <c r="AG460" s="52">
        <f t="shared" si="223"/>
        <v>305425</v>
      </c>
    </row>
    <row r="461" spans="1:33" s="21" customFormat="1" x14ac:dyDescent="0.2">
      <c r="A461" s="114" t="s">
        <v>1005</v>
      </c>
      <c r="B461" s="114"/>
      <c r="C461" s="114"/>
      <c r="D461" s="160">
        <v>1</v>
      </c>
      <c r="E461" s="161"/>
      <c r="F461" s="162">
        <v>0.12</v>
      </c>
      <c r="G461" s="162"/>
      <c r="H461" s="52">
        <v>49476</v>
      </c>
      <c r="I461" s="52">
        <f t="shared" si="212"/>
        <v>49476</v>
      </c>
      <c r="J461" s="52">
        <f t="shared" si="213"/>
        <v>43538.879999999997</v>
      </c>
      <c r="K461" s="61"/>
      <c r="L461" s="160">
        <v>0</v>
      </c>
      <c r="M461" s="55">
        <f t="shared" si="214"/>
        <v>0</v>
      </c>
      <c r="N461" s="55">
        <f t="shared" si="215"/>
        <v>0</v>
      </c>
      <c r="O461" s="95"/>
      <c r="P461" s="160">
        <v>0</v>
      </c>
      <c r="Q461" s="55">
        <f t="shared" si="216"/>
        <v>0</v>
      </c>
      <c r="R461" s="65">
        <f t="shared" si="217"/>
        <v>0</v>
      </c>
      <c r="S461" s="118">
        <v>25</v>
      </c>
      <c r="T461" s="121" t="s">
        <v>201</v>
      </c>
      <c r="U461" s="73">
        <f>SUMIF('Avoided Costs 2013-2021'!$A:$A,'2013 Actuals'!T461&amp;'2013 Actuals'!S461,'Avoided Costs 2013-2021'!$E:$E)*J461</f>
        <v>136587.67725777152</v>
      </c>
      <c r="V461" s="73">
        <f>SUMIF('Avoided Costs 2013-2021'!$A:$A,'2013 Actuals'!T461&amp;'2013 Actuals'!S461,'Avoided Costs 2013-2021'!$K:$K)*N461</f>
        <v>0</v>
      </c>
      <c r="W461" s="73">
        <f>SUMIF('Avoided Costs 2013-2021'!$A:$A,'2013 Actuals'!T461&amp;'2013 Actuals'!S461,'Avoided Costs 2013-2021'!$M:$M)*R461</f>
        <v>0</v>
      </c>
      <c r="X461" s="73">
        <f t="shared" si="218"/>
        <v>136587.67725777152</v>
      </c>
      <c r="Y461" s="83">
        <v>14470</v>
      </c>
      <c r="Z461" s="74">
        <f t="shared" si="219"/>
        <v>12733.6</v>
      </c>
      <c r="AA461" s="74"/>
      <c r="AB461" s="74"/>
      <c r="AC461" s="74"/>
      <c r="AD461" s="74">
        <f t="shared" si="220"/>
        <v>12733.6</v>
      </c>
      <c r="AE461" s="74">
        <f t="shared" si="221"/>
        <v>123854.07725777151</v>
      </c>
      <c r="AF461" s="52">
        <f t="shared" si="222"/>
        <v>1088472</v>
      </c>
      <c r="AG461" s="52">
        <f t="shared" si="223"/>
        <v>1236900</v>
      </c>
    </row>
    <row r="462" spans="1:33" s="21" customFormat="1" x14ac:dyDescent="0.2">
      <c r="A462" s="114" t="s">
        <v>1006</v>
      </c>
      <c r="B462" s="114"/>
      <c r="C462" s="114"/>
      <c r="D462" s="160">
        <v>1</v>
      </c>
      <c r="E462" s="161"/>
      <c r="F462" s="162">
        <v>0.12</v>
      </c>
      <c r="G462" s="162"/>
      <c r="H462" s="52">
        <v>49476</v>
      </c>
      <c r="I462" s="52">
        <f t="shared" si="212"/>
        <v>49476</v>
      </c>
      <c r="J462" s="52">
        <f t="shared" si="213"/>
        <v>43538.879999999997</v>
      </c>
      <c r="K462" s="61"/>
      <c r="L462" s="160">
        <v>0</v>
      </c>
      <c r="M462" s="55">
        <f t="shared" si="214"/>
        <v>0</v>
      </c>
      <c r="N462" s="55">
        <f t="shared" si="215"/>
        <v>0</v>
      </c>
      <c r="O462" s="95"/>
      <c r="P462" s="160">
        <v>0</v>
      </c>
      <c r="Q462" s="55">
        <f t="shared" si="216"/>
        <v>0</v>
      </c>
      <c r="R462" s="65">
        <f t="shared" si="217"/>
        <v>0</v>
      </c>
      <c r="S462" s="118">
        <v>25</v>
      </c>
      <c r="T462" s="121" t="s">
        <v>201</v>
      </c>
      <c r="U462" s="73">
        <f>SUMIF('Avoided Costs 2013-2021'!$A:$A,'2013 Actuals'!T462&amp;'2013 Actuals'!S462,'Avoided Costs 2013-2021'!$E:$E)*J462</f>
        <v>136587.67725777152</v>
      </c>
      <c r="V462" s="73">
        <f>SUMIF('Avoided Costs 2013-2021'!$A:$A,'2013 Actuals'!T462&amp;'2013 Actuals'!S462,'Avoided Costs 2013-2021'!$K:$K)*N462</f>
        <v>0</v>
      </c>
      <c r="W462" s="73">
        <f>SUMIF('Avoided Costs 2013-2021'!$A:$A,'2013 Actuals'!T462&amp;'2013 Actuals'!S462,'Avoided Costs 2013-2021'!$M:$M)*R462</f>
        <v>0</v>
      </c>
      <c r="X462" s="73">
        <f t="shared" si="218"/>
        <v>136587.67725777152</v>
      </c>
      <c r="Y462" s="83">
        <v>14470</v>
      </c>
      <c r="Z462" s="74">
        <f t="shared" si="219"/>
        <v>12733.6</v>
      </c>
      <c r="AA462" s="74"/>
      <c r="AB462" s="74"/>
      <c r="AC462" s="74"/>
      <c r="AD462" s="74">
        <f t="shared" si="220"/>
        <v>12733.6</v>
      </c>
      <c r="AE462" s="74">
        <f t="shared" si="221"/>
        <v>123854.07725777151</v>
      </c>
      <c r="AF462" s="52">
        <f t="shared" si="222"/>
        <v>1088472</v>
      </c>
      <c r="AG462" s="52">
        <f t="shared" si="223"/>
        <v>1236900</v>
      </c>
    </row>
    <row r="463" spans="1:33" s="21" customFormat="1" x14ac:dyDescent="0.2">
      <c r="A463" s="114" t="s">
        <v>1007</v>
      </c>
      <c r="B463" s="114"/>
      <c r="C463" s="114"/>
      <c r="D463" s="160">
        <v>1</v>
      </c>
      <c r="E463" s="161"/>
      <c r="F463" s="162">
        <v>0.12</v>
      </c>
      <c r="G463" s="162"/>
      <c r="H463" s="52">
        <v>49476</v>
      </c>
      <c r="I463" s="52">
        <f t="shared" si="212"/>
        <v>49476</v>
      </c>
      <c r="J463" s="52">
        <f t="shared" si="213"/>
        <v>43538.879999999997</v>
      </c>
      <c r="K463" s="61"/>
      <c r="L463" s="160">
        <v>0</v>
      </c>
      <c r="M463" s="55">
        <f t="shared" si="214"/>
        <v>0</v>
      </c>
      <c r="N463" s="55">
        <f t="shared" si="215"/>
        <v>0</v>
      </c>
      <c r="O463" s="95"/>
      <c r="P463" s="160">
        <v>0</v>
      </c>
      <c r="Q463" s="55">
        <f t="shared" si="216"/>
        <v>0</v>
      </c>
      <c r="R463" s="65">
        <f t="shared" si="217"/>
        <v>0</v>
      </c>
      <c r="S463" s="118">
        <v>25</v>
      </c>
      <c r="T463" s="121" t="s">
        <v>201</v>
      </c>
      <c r="U463" s="73">
        <f>SUMIF('Avoided Costs 2013-2021'!$A:$A,'2013 Actuals'!T463&amp;'2013 Actuals'!S463,'Avoided Costs 2013-2021'!$E:$E)*J463</f>
        <v>136587.67725777152</v>
      </c>
      <c r="V463" s="73">
        <f>SUMIF('Avoided Costs 2013-2021'!$A:$A,'2013 Actuals'!T463&amp;'2013 Actuals'!S463,'Avoided Costs 2013-2021'!$K:$K)*N463</f>
        <v>0</v>
      </c>
      <c r="W463" s="73">
        <f>SUMIF('Avoided Costs 2013-2021'!$A:$A,'2013 Actuals'!T463&amp;'2013 Actuals'!S463,'Avoided Costs 2013-2021'!$M:$M)*R463</f>
        <v>0</v>
      </c>
      <c r="X463" s="73">
        <f t="shared" si="218"/>
        <v>136587.67725777152</v>
      </c>
      <c r="Y463" s="83">
        <v>14470</v>
      </c>
      <c r="Z463" s="74">
        <f t="shared" si="219"/>
        <v>12733.6</v>
      </c>
      <c r="AA463" s="74"/>
      <c r="AB463" s="74"/>
      <c r="AC463" s="74"/>
      <c r="AD463" s="74">
        <f t="shared" si="220"/>
        <v>12733.6</v>
      </c>
      <c r="AE463" s="74">
        <f t="shared" si="221"/>
        <v>123854.07725777151</v>
      </c>
      <c r="AF463" s="52">
        <f t="shared" si="222"/>
        <v>1088472</v>
      </c>
      <c r="AG463" s="52">
        <f t="shared" si="223"/>
        <v>1236900</v>
      </c>
    </row>
    <row r="464" spans="1:33" s="17" customFormat="1" collapsed="1" x14ac:dyDescent="0.2">
      <c r="A464" s="166" t="s">
        <v>4</v>
      </c>
      <c r="B464" s="166" t="s">
        <v>120</v>
      </c>
      <c r="C464" s="125"/>
      <c r="D464" s="65">
        <f>SUM(D418:D463)</f>
        <v>45</v>
      </c>
      <c r="E464" s="291"/>
      <c r="F464" s="168"/>
      <c r="G464" s="292"/>
      <c r="H464" s="52">
        <v>940617</v>
      </c>
      <c r="I464" s="52">
        <f>SUM(I418:I463)</f>
        <v>903139.83600000001</v>
      </c>
      <c r="J464" s="52">
        <f>SUM(J418:J463)</f>
        <v>794763.05567999976</v>
      </c>
      <c r="K464" s="167"/>
      <c r="L464" s="52">
        <v>336833</v>
      </c>
      <c r="M464" s="52">
        <f>SUM(M418:M463)</f>
        <v>336833</v>
      </c>
      <c r="N464" s="52">
        <f>SUM(N418:N463)</f>
        <v>296413.04000000004</v>
      </c>
      <c r="O464" s="169"/>
      <c r="P464" s="52">
        <v>0</v>
      </c>
      <c r="Q464" s="52">
        <f>SUM(Q418:Q463)</f>
        <v>0</v>
      </c>
      <c r="R464" s="52">
        <f>SUM(R418:R463)</f>
        <v>0</v>
      </c>
      <c r="S464" s="133"/>
      <c r="T464" s="125" t="s">
        <v>215</v>
      </c>
      <c r="U464" s="74">
        <f>SUM(U418:U463)</f>
        <v>2284376.5350984726</v>
      </c>
      <c r="V464" s="74">
        <f>SUM(V418:V463)</f>
        <v>310312.93497086596</v>
      </c>
      <c r="W464" s="74">
        <f>SUM(W418:W463)</f>
        <v>0</v>
      </c>
      <c r="X464" s="74">
        <f>SUM(X418:X463)</f>
        <v>2594689.4700693381</v>
      </c>
      <c r="Y464" s="83"/>
      <c r="Z464" s="74">
        <f t="shared" ref="Z464" si="227">SUM(Z418:Z463)</f>
        <v>681533.16</v>
      </c>
      <c r="AA464" s="74">
        <v>113295.25</v>
      </c>
      <c r="AB464" s="74">
        <v>4850.5</v>
      </c>
      <c r="AC464" s="74">
        <f>AA464+AB464</f>
        <v>118145.75</v>
      </c>
      <c r="AD464" s="74">
        <f t="shared" si="220"/>
        <v>686383.66</v>
      </c>
      <c r="AE464" s="293">
        <f t="shared" si="221"/>
        <v>1908305.810069338</v>
      </c>
      <c r="AF464" s="52">
        <f>SUM(AF418:AF463)</f>
        <v>17929994.103999998</v>
      </c>
      <c r="AG464" s="52">
        <f>SUM(AG418:AG463)</f>
        <v>20374993.300000001</v>
      </c>
    </row>
    <row r="465" spans="1:33" x14ac:dyDescent="0.2">
      <c r="A465" s="150"/>
      <c r="J465" s="44"/>
      <c r="O465" s="92"/>
      <c r="P465" s="44"/>
      <c r="R465" s="44"/>
      <c r="S465" s="4"/>
      <c r="Z465" s="72"/>
      <c r="AA465" s="72"/>
      <c r="AC465" s="72"/>
      <c r="AD465" s="72"/>
      <c r="AE465" s="72"/>
      <c r="AF465" s="79"/>
      <c r="AG465" s="79"/>
    </row>
    <row r="466" spans="1:33" x14ac:dyDescent="0.2">
      <c r="A466" s="150" t="s">
        <v>91</v>
      </c>
      <c r="B466" s="2" t="s">
        <v>44</v>
      </c>
      <c r="J466" s="44"/>
      <c r="O466" s="92"/>
      <c r="P466" s="44"/>
      <c r="R466" s="44"/>
      <c r="S466" s="4"/>
      <c r="Z466" s="72"/>
      <c r="AA466" s="72"/>
      <c r="AC466" s="72"/>
      <c r="AD466" s="72"/>
      <c r="AE466" s="72"/>
      <c r="AF466" s="79"/>
      <c r="AG466" s="79"/>
    </row>
    <row r="467" spans="1:33" s="21" customFormat="1" x14ac:dyDescent="0.2">
      <c r="A467" s="114" t="s">
        <v>200</v>
      </c>
      <c r="B467" s="114"/>
      <c r="C467" s="114"/>
      <c r="D467" s="160">
        <v>1</v>
      </c>
      <c r="E467" s="161"/>
      <c r="F467" s="162">
        <v>0.12</v>
      </c>
      <c r="G467" s="162"/>
      <c r="H467" s="52">
        <v>9643</v>
      </c>
      <c r="I467" s="52">
        <f t="shared" ref="I467:I480" si="228">+$H$39*H467</f>
        <v>8524.4120000000003</v>
      </c>
      <c r="J467" s="52">
        <f t="shared" ref="J467:J480" si="229">I467*(1-F467)</f>
        <v>7501.4825600000004</v>
      </c>
      <c r="K467" s="61"/>
      <c r="L467" s="160">
        <v>0</v>
      </c>
      <c r="M467" s="55">
        <f t="shared" ref="M467:M480" si="230">+$L$39*L467</f>
        <v>0</v>
      </c>
      <c r="N467" s="55">
        <f t="shared" ref="N467:N480" si="231">M467*(1-F467)</f>
        <v>0</v>
      </c>
      <c r="O467" s="95"/>
      <c r="P467" s="160">
        <v>0</v>
      </c>
      <c r="Q467" s="55">
        <f t="shared" ref="Q467:Q480" si="232">+P467*$P$39</f>
        <v>0</v>
      </c>
      <c r="R467" s="65">
        <f t="shared" ref="R467:R480" si="233">Q467*(1-F467)</f>
        <v>0</v>
      </c>
      <c r="S467" s="127">
        <v>5</v>
      </c>
      <c r="T467" s="125" t="s">
        <v>201</v>
      </c>
      <c r="U467" s="73">
        <f>SUMIF('Avoided Costs 2013-2021'!$A:$A,'2013 Actuals'!T467&amp;'2013 Actuals'!S467,'Avoided Costs 2013-2021'!$E:$E)*J467</f>
        <v>5841.4245140844187</v>
      </c>
      <c r="V467" s="73">
        <f>SUMIF('Avoided Costs 2013-2021'!$A:$A,'2013 Actuals'!T467&amp;'2013 Actuals'!S467,'Avoided Costs 2013-2021'!$K:$K)*N467</f>
        <v>0</v>
      </c>
      <c r="W467" s="73">
        <f>SUMIF('Avoided Costs 2013-2021'!$A:$A,'2013 Actuals'!T467&amp;'2013 Actuals'!S467,'Avoided Costs 2013-2021'!$M:$M)*R467</f>
        <v>0</v>
      </c>
      <c r="X467" s="73">
        <f t="shared" ref="X467:X480" si="234">SUM(U467:W467)</f>
        <v>5841.4245140844187</v>
      </c>
      <c r="Y467" s="83">
        <v>3210</v>
      </c>
      <c r="Z467" s="74">
        <f t="shared" ref="Z467:Z480" si="235">Y467*(1-F467)</f>
        <v>2824.8</v>
      </c>
      <c r="AA467" s="74"/>
      <c r="AB467" s="74"/>
      <c r="AC467" s="74"/>
      <c r="AD467" s="74">
        <f t="shared" ref="AD467:AD481" si="236">Z467+AB467</f>
        <v>2824.8</v>
      </c>
      <c r="AE467" s="74">
        <f t="shared" ref="AE467:AE481" si="237">X467-AD467</f>
        <v>3016.6245140844185</v>
      </c>
      <c r="AF467" s="52">
        <f t="shared" ref="AF467:AF480" si="238">J467*S467</f>
        <v>37507.412800000006</v>
      </c>
      <c r="AG467" s="52">
        <f t="shared" ref="AG467:AG480" si="239">(I467*S467)</f>
        <v>42622.06</v>
      </c>
    </row>
    <row r="468" spans="1:33" s="21" customFormat="1" x14ac:dyDescent="0.2">
      <c r="A468" s="114" t="s">
        <v>202</v>
      </c>
      <c r="B468" s="114"/>
      <c r="C468" s="114"/>
      <c r="D468" s="160">
        <v>1</v>
      </c>
      <c r="E468" s="161"/>
      <c r="F468" s="162">
        <v>0.12</v>
      </c>
      <c r="G468" s="162"/>
      <c r="H468" s="52">
        <v>2175</v>
      </c>
      <c r="I468" s="52">
        <f t="shared" si="228"/>
        <v>1922.7</v>
      </c>
      <c r="J468" s="52">
        <f t="shared" si="229"/>
        <v>1691.9760000000001</v>
      </c>
      <c r="K468" s="61"/>
      <c r="L468" s="160">
        <v>39895</v>
      </c>
      <c r="M468" s="55">
        <f t="shared" si="230"/>
        <v>39895</v>
      </c>
      <c r="N468" s="55">
        <f t="shared" si="231"/>
        <v>35107.599999999999</v>
      </c>
      <c r="O468" s="95"/>
      <c r="P468" s="160">
        <v>0</v>
      </c>
      <c r="Q468" s="55">
        <f t="shared" si="232"/>
        <v>0</v>
      </c>
      <c r="R468" s="65">
        <f t="shared" si="233"/>
        <v>0</v>
      </c>
      <c r="S468" s="127">
        <v>15</v>
      </c>
      <c r="T468" s="125" t="s">
        <v>201</v>
      </c>
      <c r="U468" s="73">
        <f>SUMIF('Avoided Costs 2013-2021'!$A:$A,'2013 Actuals'!T468&amp;'2013 Actuals'!S468,'Avoided Costs 2013-2021'!$E:$E)*J468</f>
        <v>3781.3338007845896</v>
      </c>
      <c r="V468" s="73">
        <f>SUMIF('Avoided Costs 2013-2021'!$A:$A,'2013 Actuals'!T468&amp;'2013 Actuals'!S468,'Avoided Costs 2013-2021'!$K:$K)*N468</f>
        <v>36753.924172105151</v>
      </c>
      <c r="W468" s="73">
        <f>SUMIF('Avoided Costs 2013-2021'!$A:$A,'2013 Actuals'!T468&amp;'2013 Actuals'!S468,'Avoided Costs 2013-2021'!$M:$M)*R468</f>
        <v>0</v>
      </c>
      <c r="X468" s="73">
        <f t="shared" si="234"/>
        <v>40535.25797288974</v>
      </c>
      <c r="Y468" s="83">
        <v>2604.12</v>
      </c>
      <c r="Z468" s="74">
        <f t="shared" si="235"/>
        <v>2291.6255999999998</v>
      </c>
      <c r="AA468" s="74"/>
      <c r="AB468" s="74"/>
      <c r="AC468" s="74"/>
      <c r="AD468" s="74">
        <f t="shared" si="236"/>
        <v>2291.6255999999998</v>
      </c>
      <c r="AE468" s="74">
        <f t="shared" si="237"/>
        <v>38243.632372889741</v>
      </c>
      <c r="AF468" s="52">
        <f t="shared" si="238"/>
        <v>25379.640000000003</v>
      </c>
      <c r="AG468" s="52">
        <f t="shared" si="239"/>
        <v>28840.5</v>
      </c>
    </row>
    <row r="469" spans="1:33" s="21" customFormat="1" x14ac:dyDescent="0.2">
      <c r="A469" s="114" t="s">
        <v>203</v>
      </c>
      <c r="B469" s="114"/>
      <c r="C469" s="114"/>
      <c r="D469" s="160">
        <v>1</v>
      </c>
      <c r="E469" s="161"/>
      <c r="F469" s="162">
        <v>0.12</v>
      </c>
      <c r="G469" s="162"/>
      <c r="H469" s="52">
        <v>10807</v>
      </c>
      <c r="I469" s="52">
        <f t="shared" si="228"/>
        <v>9553.3880000000008</v>
      </c>
      <c r="J469" s="52">
        <f t="shared" si="229"/>
        <v>8406.9814400000014</v>
      </c>
      <c r="K469" s="61"/>
      <c r="L469" s="160">
        <v>0</v>
      </c>
      <c r="M469" s="55">
        <f t="shared" si="230"/>
        <v>0</v>
      </c>
      <c r="N469" s="55">
        <f t="shared" si="231"/>
        <v>0</v>
      </c>
      <c r="O469" s="95"/>
      <c r="P469" s="160">
        <v>0</v>
      </c>
      <c r="Q469" s="55">
        <f t="shared" si="232"/>
        <v>0</v>
      </c>
      <c r="R469" s="65">
        <f t="shared" si="233"/>
        <v>0</v>
      </c>
      <c r="S469" s="127">
        <v>25</v>
      </c>
      <c r="T469" s="125" t="s">
        <v>201</v>
      </c>
      <c r="U469" s="73">
        <f>SUMIF('Avoided Costs 2013-2021'!$A:$A,'2013 Actuals'!T469&amp;'2013 Actuals'!S469,'Avoided Costs 2013-2021'!$E:$E)*J469</f>
        <v>26373.90000934327</v>
      </c>
      <c r="V469" s="73">
        <f>SUMIF('Avoided Costs 2013-2021'!$A:$A,'2013 Actuals'!T469&amp;'2013 Actuals'!S469,'Avoided Costs 2013-2021'!$K:$K)*N469</f>
        <v>0</v>
      </c>
      <c r="W469" s="73">
        <f>SUMIF('Avoided Costs 2013-2021'!$A:$A,'2013 Actuals'!T469&amp;'2013 Actuals'!S469,'Avoided Costs 2013-2021'!$M:$M)*R469</f>
        <v>0</v>
      </c>
      <c r="X469" s="73">
        <f t="shared" si="234"/>
        <v>26373.90000934327</v>
      </c>
      <c r="Y469" s="83">
        <v>9790</v>
      </c>
      <c r="Z469" s="74">
        <f t="shared" si="235"/>
        <v>8615.2000000000007</v>
      </c>
      <c r="AA469" s="74"/>
      <c r="AB469" s="74"/>
      <c r="AC469" s="74"/>
      <c r="AD469" s="74">
        <f t="shared" si="236"/>
        <v>8615.2000000000007</v>
      </c>
      <c r="AE469" s="74">
        <f t="shared" si="237"/>
        <v>17758.700009343269</v>
      </c>
      <c r="AF469" s="52">
        <f t="shared" si="238"/>
        <v>210174.53600000002</v>
      </c>
      <c r="AG469" s="52">
        <f t="shared" si="239"/>
        <v>238834.7</v>
      </c>
    </row>
    <row r="470" spans="1:33" s="21" customFormat="1" x14ac:dyDescent="0.2">
      <c r="A470" s="114" t="s">
        <v>204</v>
      </c>
      <c r="B470" s="114"/>
      <c r="C470" s="114"/>
      <c r="D470" s="160">
        <v>1</v>
      </c>
      <c r="E470" s="161"/>
      <c r="F470" s="162">
        <v>0.12</v>
      </c>
      <c r="G470" s="162"/>
      <c r="H470" s="52">
        <v>24283</v>
      </c>
      <c r="I470" s="52">
        <f>H470</f>
        <v>24283</v>
      </c>
      <c r="J470" s="52">
        <f t="shared" si="229"/>
        <v>21369.040000000001</v>
      </c>
      <c r="K470" s="61"/>
      <c r="L470" s="160">
        <v>0</v>
      </c>
      <c r="M470" s="55">
        <f t="shared" si="230"/>
        <v>0</v>
      </c>
      <c r="N470" s="55">
        <f t="shared" si="231"/>
        <v>0</v>
      </c>
      <c r="O470" s="95"/>
      <c r="P470" s="160">
        <v>0</v>
      </c>
      <c r="Q470" s="55">
        <f t="shared" si="232"/>
        <v>0</v>
      </c>
      <c r="R470" s="65">
        <f t="shared" si="233"/>
        <v>0</v>
      </c>
      <c r="S470" s="127">
        <v>25</v>
      </c>
      <c r="T470" s="125" t="s">
        <v>201</v>
      </c>
      <c r="U470" s="73">
        <f>SUMIF('Avoided Costs 2013-2021'!$A:$A,'2013 Actuals'!T470&amp;'2013 Actuals'!S470,'Avoided Costs 2013-2021'!$E:$E)*J470</f>
        <v>67037.726712961143</v>
      </c>
      <c r="V470" s="73">
        <f>SUMIF('Avoided Costs 2013-2021'!$A:$A,'2013 Actuals'!T470&amp;'2013 Actuals'!S470,'Avoided Costs 2013-2021'!$K:$K)*N470</f>
        <v>0</v>
      </c>
      <c r="W470" s="73">
        <f>SUMIF('Avoided Costs 2013-2021'!$A:$A,'2013 Actuals'!T470&amp;'2013 Actuals'!S470,'Avoided Costs 2013-2021'!$M:$M)*R470</f>
        <v>0</v>
      </c>
      <c r="X470" s="73">
        <f t="shared" si="234"/>
        <v>67037.726712961143</v>
      </c>
      <c r="Y470" s="83">
        <v>20600</v>
      </c>
      <c r="Z470" s="74">
        <f t="shared" si="235"/>
        <v>18128</v>
      </c>
      <c r="AA470" s="74"/>
      <c r="AB470" s="74"/>
      <c r="AC470" s="74"/>
      <c r="AD470" s="74">
        <f t="shared" si="236"/>
        <v>18128</v>
      </c>
      <c r="AE470" s="74">
        <f t="shared" si="237"/>
        <v>48909.726712961143</v>
      </c>
      <c r="AF470" s="52">
        <f t="shared" si="238"/>
        <v>534226</v>
      </c>
      <c r="AG470" s="52">
        <f t="shared" si="239"/>
        <v>607075</v>
      </c>
    </row>
    <row r="471" spans="1:33" s="21" customFormat="1" x14ac:dyDescent="0.2">
      <c r="A471" s="114" t="s">
        <v>205</v>
      </c>
      <c r="B471" s="114"/>
      <c r="C471" s="114"/>
      <c r="D471" s="160">
        <v>1</v>
      </c>
      <c r="E471" s="161"/>
      <c r="F471" s="162">
        <v>0.12</v>
      </c>
      <c r="G471" s="162"/>
      <c r="H471" s="52">
        <v>16838</v>
      </c>
      <c r="I471" s="52">
        <f t="shared" si="228"/>
        <v>14884.791999999999</v>
      </c>
      <c r="J471" s="52">
        <f t="shared" si="229"/>
        <v>13098.616959999999</v>
      </c>
      <c r="K471" s="61"/>
      <c r="L471" s="160">
        <v>0</v>
      </c>
      <c r="M471" s="55">
        <f t="shared" si="230"/>
        <v>0</v>
      </c>
      <c r="N471" s="55">
        <f t="shared" si="231"/>
        <v>0</v>
      </c>
      <c r="O471" s="95"/>
      <c r="P471" s="160">
        <v>0</v>
      </c>
      <c r="Q471" s="55">
        <f t="shared" si="232"/>
        <v>0</v>
      </c>
      <c r="R471" s="65">
        <f t="shared" si="233"/>
        <v>0</v>
      </c>
      <c r="S471" s="127">
        <v>25</v>
      </c>
      <c r="T471" s="125" t="s">
        <v>201</v>
      </c>
      <c r="U471" s="73">
        <f>SUMIF('Avoided Costs 2013-2021'!$A:$A,'2013 Actuals'!T471&amp;'2013 Actuals'!S471,'Avoided Costs 2013-2021'!$E:$E)*J471</f>
        <v>41092.22988408641</v>
      </c>
      <c r="V471" s="73">
        <f>SUMIF('Avoided Costs 2013-2021'!$A:$A,'2013 Actuals'!T471&amp;'2013 Actuals'!S471,'Avoided Costs 2013-2021'!$K:$K)*N471</f>
        <v>0</v>
      </c>
      <c r="W471" s="73">
        <f>SUMIF('Avoided Costs 2013-2021'!$A:$A,'2013 Actuals'!T471&amp;'2013 Actuals'!S471,'Avoided Costs 2013-2021'!$M:$M)*R471</f>
        <v>0</v>
      </c>
      <c r="X471" s="73">
        <f t="shared" si="234"/>
        <v>41092.22988408641</v>
      </c>
      <c r="Y471" s="83">
        <v>5562</v>
      </c>
      <c r="Z471" s="74">
        <f t="shared" si="235"/>
        <v>4894.5600000000004</v>
      </c>
      <c r="AA471" s="74"/>
      <c r="AB471" s="74"/>
      <c r="AC471" s="74"/>
      <c r="AD471" s="74">
        <f t="shared" si="236"/>
        <v>4894.5600000000004</v>
      </c>
      <c r="AE471" s="74">
        <f t="shared" si="237"/>
        <v>36197.669884086412</v>
      </c>
      <c r="AF471" s="52">
        <f t="shared" si="238"/>
        <v>327465.424</v>
      </c>
      <c r="AG471" s="52">
        <f t="shared" si="239"/>
        <v>372119.8</v>
      </c>
    </row>
    <row r="472" spans="1:33" s="21" customFormat="1" x14ac:dyDescent="0.2">
      <c r="A472" s="114" t="s">
        <v>206</v>
      </c>
      <c r="B472" s="114"/>
      <c r="C472" s="114"/>
      <c r="D472" s="160">
        <v>1</v>
      </c>
      <c r="E472" s="161"/>
      <c r="F472" s="162">
        <v>0.12</v>
      </c>
      <c r="G472" s="162"/>
      <c r="H472" s="52">
        <v>531963</v>
      </c>
      <c r="I472" s="52">
        <f t="shared" si="228"/>
        <v>470255.29200000002</v>
      </c>
      <c r="J472" s="52">
        <f t="shared" si="229"/>
        <v>413824.65695999999</v>
      </c>
      <c r="K472" s="61"/>
      <c r="L472" s="160">
        <v>618000</v>
      </c>
      <c r="M472" s="55">
        <f t="shared" si="230"/>
        <v>618000</v>
      </c>
      <c r="N472" s="55">
        <f t="shared" si="231"/>
        <v>543840</v>
      </c>
      <c r="O472" s="95"/>
      <c r="P472" s="160">
        <v>0</v>
      </c>
      <c r="Q472" s="55">
        <f t="shared" si="232"/>
        <v>0</v>
      </c>
      <c r="R472" s="65">
        <f t="shared" si="233"/>
        <v>0</v>
      </c>
      <c r="S472" s="127">
        <v>15</v>
      </c>
      <c r="T472" s="125" t="s">
        <v>201</v>
      </c>
      <c r="U472" s="73">
        <f>SUMIF('Avoided Costs 2013-2021'!$A:$A,'2013 Actuals'!T472&amp;'2013 Actuals'!S472,'Avoided Costs 2013-2021'!$E:$E)*J472</f>
        <v>924841.2288123091</v>
      </c>
      <c r="V472" s="73">
        <f>SUMIF('Avoided Costs 2013-2021'!$A:$A,'2013 Actuals'!T472&amp;'2013 Actuals'!S472,'Avoided Costs 2013-2021'!$K:$K)*N472</f>
        <v>569342.65292294743</v>
      </c>
      <c r="W472" s="73">
        <f>SUMIF('Avoided Costs 2013-2021'!$A:$A,'2013 Actuals'!T472&amp;'2013 Actuals'!S472,'Avoided Costs 2013-2021'!$M:$M)*R472</f>
        <v>0</v>
      </c>
      <c r="X472" s="73">
        <f t="shared" si="234"/>
        <v>1494183.8817352564</v>
      </c>
      <c r="Y472" s="83">
        <v>1250000</v>
      </c>
      <c r="Z472" s="74">
        <f t="shared" si="235"/>
        <v>1100000</v>
      </c>
      <c r="AA472" s="74"/>
      <c r="AB472" s="74"/>
      <c r="AC472" s="74"/>
      <c r="AD472" s="74">
        <f t="shared" si="236"/>
        <v>1100000</v>
      </c>
      <c r="AE472" s="74">
        <f t="shared" si="237"/>
        <v>394183.88173525641</v>
      </c>
      <c r="AF472" s="52">
        <f t="shared" si="238"/>
        <v>6207369.8543999996</v>
      </c>
      <c r="AG472" s="52">
        <f t="shared" si="239"/>
        <v>7053829.3799999999</v>
      </c>
    </row>
    <row r="473" spans="1:33" s="21" customFormat="1" x14ac:dyDescent="0.2">
      <c r="A473" s="114" t="s">
        <v>207</v>
      </c>
      <c r="B473" s="114"/>
      <c r="C473" s="114"/>
      <c r="D473" s="160">
        <v>1</v>
      </c>
      <c r="E473" s="161"/>
      <c r="F473" s="162">
        <v>0.12</v>
      </c>
      <c r="G473" s="162"/>
      <c r="H473" s="52">
        <v>5721</v>
      </c>
      <c r="I473" s="52">
        <f t="shared" si="228"/>
        <v>5057.3640000000005</v>
      </c>
      <c r="J473" s="52">
        <f t="shared" si="229"/>
        <v>4450.4803200000006</v>
      </c>
      <c r="K473" s="61"/>
      <c r="L473" s="160">
        <v>0</v>
      </c>
      <c r="M473" s="55">
        <f t="shared" si="230"/>
        <v>0</v>
      </c>
      <c r="N473" s="55">
        <f t="shared" si="231"/>
        <v>0</v>
      </c>
      <c r="O473" s="95"/>
      <c r="P473" s="160">
        <v>0</v>
      </c>
      <c r="Q473" s="55">
        <f t="shared" si="232"/>
        <v>0</v>
      </c>
      <c r="R473" s="65">
        <f t="shared" si="233"/>
        <v>0</v>
      </c>
      <c r="S473" s="127">
        <v>15</v>
      </c>
      <c r="T473" s="125" t="s">
        <v>201</v>
      </c>
      <c r="U473" s="73">
        <f>SUMIF('Avoided Costs 2013-2021'!$A:$A,'2013 Actuals'!T473&amp;'2013 Actuals'!S473,'Avoided Costs 2013-2021'!$E:$E)*J473</f>
        <v>9946.2118042706388</v>
      </c>
      <c r="V473" s="73">
        <f>SUMIF('Avoided Costs 2013-2021'!$A:$A,'2013 Actuals'!T473&amp;'2013 Actuals'!S473,'Avoided Costs 2013-2021'!$K:$K)*N473</f>
        <v>0</v>
      </c>
      <c r="W473" s="73">
        <f>SUMIF('Avoided Costs 2013-2021'!$A:$A,'2013 Actuals'!T473&amp;'2013 Actuals'!S473,'Avoided Costs 2013-2021'!$M:$M)*R473</f>
        <v>0</v>
      </c>
      <c r="X473" s="73">
        <f t="shared" si="234"/>
        <v>9946.2118042706388</v>
      </c>
      <c r="Y473" s="83">
        <v>1200</v>
      </c>
      <c r="Z473" s="74">
        <f t="shared" si="235"/>
        <v>1056</v>
      </c>
      <c r="AA473" s="74"/>
      <c r="AB473" s="74"/>
      <c r="AC473" s="74"/>
      <c r="AD473" s="74">
        <f t="shared" si="236"/>
        <v>1056</v>
      </c>
      <c r="AE473" s="74">
        <f t="shared" si="237"/>
        <v>8890.2118042706388</v>
      </c>
      <c r="AF473" s="52">
        <f t="shared" si="238"/>
        <v>66757.204800000007</v>
      </c>
      <c r="AG473" s="52">
        <f t="shared" si="239"/>
        <v>75860.460000000006</v>
      </c>
    </row>
    <row r="474" spans="1:33" s="21" customFormat="1" x14ac:dyDescent="0.2">
      <c r="A474" s="114" t="s">
        <v>208</v>
      </c>
      <c r="B474" s="114"/>
      <c r="C474" s="114"/>
      <c r="D474" s="160">
        <v>1</v>
      </c>
      <c r="E474" s="161"/>
      <c r="F474" s="162">
        <v>0.12</v>
      </c>
      <c r="G474" s="162"/>
      <c r="H474" s="52">
        <v>1806</v>
      </c>
      <c r="I474" s="52">
        <f t="shared" si="228"/>
        <v>1596.5039999999999</v>
      </c>
      <c r="J474" s="52">
        <f t="shared" si="229"/>
        <v>1404.9235199999998</v>
      </c>
      <c r="K474" s="61"/>
      <c r="L474" s="160">
        <v>0</v>
      </c>
      <c r="M474" s="55">
        <f t="shared" si="230"/>
        <v>0</v>
      </c>
      <c r="N474" s="55">
        <f t="shared" si="231"/>
        <v>0</v>
      </c>
      <c r="O474" s="95"/>
      <c r="P474" s="160">
        <v>0</v>
      </c>
      <c r="Q474" s="55">
        <f t="shared" si="232"/>
        <v>0</v>
      </c>
      <c r="R474" s="65">
        <f t="shared" si="233"/>
        <v>0</v>
      </c>
      <c r="S474" s="127">
        <v>15</v>
      </c>
      <c r="T474" s="125" t="s">
        <v>201</v>
      </c>
      <c r="U474" s="73">
        <f>SUMIF('Avoided Costs 2013-2021'!$A:$A,'2013 Actuals'!T474&amp;'2013 Actuals'!S474,'Avoided Costs 2013-2021'!$E:$E)*J474</f>
        <v>3139.8109628583757</v>
      </c>
      <c r="V474" s="73">
        <f>SUMIF('Avoided Costs 2013-2021'!$A:$A,'2013 Actuals'!T474&amp;'2013 Actuals'!S474,'Avoided Costs 2013-2021'!$K:$K)*N474</f>
        <v>0</v>
      </c>
      <c r="W474" s="73">
        <f>SUMIF('Avoided Costs 2013-2021'!$A:$A,'2013 Actuals'!T474&amp;'2013 Actuals'!S474,'Avoided Costs 2013-2021'!$M:$M)*R474</f>
        <v>0</v>
      </c>
      <c r="X474" s="73">
        <f t="shared" si="234"/>
        <v>3139.8109628583757</v>
      </c>
      <c r="Y474" s="83">
        <v>2000</v>
      </c>
      <c r="Z474" s="74">
        <f t="shared" si="235"/>
        <v>1760</v>
      </c>
      <c r="AA474" s="74"/>
      <c r="AB474" s="74"/>
      <c r="AC474" s="74"/>
      <c r="AD474" s="74">
        <f t="shared" si="236"/>
        <v>1760</v>
      </c>
      <c r="AE474" s="74">
        <f t="shared" si="237"/>
        <v>1379.8109628583757</v>
      </c>
      <c r="AF474" s="52">
        <f t="shared" si="238"/>
        <v>21073.852799999997</v>
      </c>
      <c r="AG474" s="52">
        <f t="shared" si="239"/>
        <v>23947.559999999998</v>
      </c>
    </row>
    <row r="475" spans="1:33" s="21" customFormat="1" x14ac:dyDescent="0.2">
      <c r="A475" s="114" t="s">
        <v>209</v>
      </c>
      <c r="B475" s="114"/>
      <c r="C475" s="114"/>
      <c r="D475" s="160">
        <v>1</v>
      </c>
      <c r="E475" s="161"/>
      <c r="F475" s="162">
        <v>0.12</v>
      </c>
      <c r="G475" s="162"/>
      <c r="H475" s="52">
        <v>69229</v>
      </c>
      <c r="I475" s="52">
        <f t="shared" si="228"/>
        <v>61198.436000000002</v>
      </c>
      <c r="J475" s="52">
        <f t="shared" si="229"/>
        <v>53854.623680000004</v>
      </c>
      <c r="K475" s="61"/>
      <c r="L475" s="160">
        <v>1022793</v>
      </c>
      <c r="M475" s="55">
        <f t="shared" si="230"/>
        <v>1022793</v>
      </c>
      <c r="N475" s="55">
        <f t="shared" si="231"/>
        <v>900057.84</v>
      </c>
      <c r="O475" s="95"/>
      <c r="P475" s="160">
        <v>0</v>
      </c>
      <c r="Q475" s="55">
        <f t="shared" si="232"/>
        <v>0</v>
      </c>
      <c r="R475" s="65">
        <f t="shared" si="233"/>
        <v>0</v>
      </c>
      <c r="S475" s="127">
        <v>15</v>
      </c>
      <c r="T475" s="125" t="s">
        <v>201</v>
      </c>
      <c r="U475" s="73">
        <f>SUMIF('Avoided Costs 2013-2021'!$A:$A,'2013 Actuals'!T475&amp;'2013 Actuals'!S475,'Avoided Costs 2013-2021'!$E:$E)*J475</f>
        <v>120357.68169862821</v>
      </c>
      <c r="V475" s="73">
        <f>SUMIF('Avoided Costs 2013-2021'!$A:$A,'2013 Actuals'!T475&amp;'2013 Actuals'!S475,'Avoided Costs 2013-2021'!$K:$K)*N475</f>
        <v>942264.85438676388</v>
      </c>
      <c r="W475" s="73">
        <f>SUMIF('Avoided Costs 2013-2021'!$A:$A,'2013 Actuals'!T475&amp;'2013 Actuals'!S475,'Avoided Costs 2013-2021'!$M:$M)*R475</f>
        <v>0</v>
      </c>
      <c r="X475" s="73">
        <f t="shared" si="234"/>
        <v>1062622.5360853921</v>
      </c>
      <c r="Y475" s="83">
        <v>338496</v>
      </c>
      <c r="Z475" s="74">
        <f t="shared" si="235"/>
        <v>297876.47999999998</v>
      </c>
      <c r="AA475" s="74"/>
      <c r="AB475" s="74"/>
      <c r="AC475" s="74"/>
      <c r="AD475" s="74">
        <f t="shared" si="236"/>
        <v>297876.47999999998</v>
      </c>
      <c r="AE475" s="74">
        <f t="shared" si="237"/>
        <v>764746.05608539213</v>
      </c>
      <c r="AF475" s="52">
        <f t="shared" si="238"/>
        <v>807819.35520000011</v>
      </c>
      <c r="AG475" s="52">
        <f t="shared" si="239"/>
        <v>917976.54</v>
      </c>
    </row>
    <row r="476" spans="1:33" s="21" customFormat="1" x14ac:dyDescent="0.2">
      <c r="A476" s="114" t="s">
        <v>210</v>
      </c>
      <c r="B476" s="114"/>
      <c r="C476" s="114"/>
      <c r="D476" s="160">
        <v>1</v>
      </c>
      <c r="E476" s="161"/>
      <c r="F476" s="162">
        <v>0.12</v>
      </c>
      <c r="G476" s="162"/>
      <c r="H476" s="52">
        <v>192995</v>
      </c>
      <c r="I476" s="52">
        <f t="shared" si="228"/>
        <v>170607.58</v>
      </c>
      <c r="J476" s="52">
        <f t="shared" si="229"/>
        <v>150134.6704</v>
      </c>
      <c r="K476" s="61"/>
      <c r="L476" s="160">
        <v>40414</v>
      </c>
      <c r="M476" s="55">
        <f t="shared" si="230"/>
        <v>40414</v>
      </c>
      <c r="N476" s="55">
        <f t="shared" si="231"/>
        <v>35564.32</v>
      </c>
      <c r="O476" s="95"/>
      <c r="P476" s="160">
        <v>0</v>
      </c>
      <c r="Q476" s="55">
        <f t="shared" si="232"/>
        <v>0</v>
      </c>
      <c r="R476" s="65">
        <f t="shared" si="233"/>
        <v>0</v>
      </c>
      <c r="S476" s="127">
        <v>15</v>
      </c>
      <c r="T476" s="125" t="s">
        <v>201</v>
      </c>
      <c r="U476" s="73">
        <f>SUMIF('Avoided Costs 2013-2021'!$A:$A,'2013 Actuals'!T476&amp;'2013 Actuals'!S476,'Avoided Costs 2013-2021'!$E:$E)*J476</f>
        <v>335530.35258961923</v>
      </c>
      <c r="V476" s="73">
        <f>SUMIF('Avoided Costs 2013-2021'!$A:$A,'2013 Actuals'!T476&amp;'2013 Actuals'!S476,'Avoided Costs 2013-2021'!$K:$K)*N476</f>
        <v>37232.061448588989</v>
      </c>
      <c r="W476" s="73">
        <f>SUMIF('Avoided Costs 2013-2021'!$A:$A,'2013 Actuals'!T476&amp;'2013 Actuals'!S476,'Avoided Costs 2013-2021'!$M:$M)*R476</f>
        <v>0</v>
      </c>
      <c r="X476" s="73">
        <f t="shared" si="234"/>
        <v>372762.4140382082</v>
      </c>
      <c r="Y476" s="83">
        <v>304000</v>
      </c>
      <c r="Z476" s="74">
        <f t="shared" si="235"/>
        <v>267520</v>
      </c>
      <c r="AA476" s="74"/>
      <c r="AB476" s="74"/>
      <c r="AC476" s="74"/>
      <c r="AD476" s="74">
        <f t="shared" si="236"/>
        <v>267520</v>
      </c>
      <c r="AE476" s="74">
        <f t="shared" si="237"/>
        <v>105242.4140382082</v>
      </c>
      <c r="AF476" s="52">
        <f t="shared" si="238"/>
        <v>2252020.0559999999</v>
      </c>
      <c r="AG476" s="52">
        <f t="shared" si="239"/>
        <v>2559113.6999999997</v>
      </c>
    </row>
    <row r="477" spans="1:33" s="21" customFormat="1" x14ac:dyDescent="0.2">
      <c r="A477" s="114" t="s">
        <v>211</v>
      </c>
      <c r="B477" s="114"/>
      <c r="C477" s="114"/>
      <c r="D477" s="160">
        <v>0</v>
      </c>
      <c r="E477" s="161"/>
      <c r="F477" s="162">
        <v>0.12</v>
      </c>
      <c r="G477" s="162"/>
      <c r="H477" s="52">
        <v>1152</v>
      </c>
      <c r="I477" s="52">
        <f t="shared" si="228"/>
        <v>1018.3680000000001</v>
      </c>
      <c r="J477" s="52">
        <f t="shared" si="229"/>
        <v>896.16384000000005</v>
      </c>
      <c r="K477" s="61"/>
      <c r="L477" s="160">
        <v>0</v>
      </c>
      <c r="M477" s="55">
        <f t="shared" si="230"/>
        <v>0</v>
      </c>
      <c r="N477" s="55">
        <f t="shared" si="231"/>
        <v>0</v>
      </c>
      <c r="O477" s="95"/>
      <c r="P477" s="160">
        <v>0</v>
      </c>
      <c r="Q477" s="55">
        <f t="shared" si="232"/>
        <v>0</v>
      </c>
      <c r="R477" s="65">
        <f t="shared" si="233"/>
        <v>0</v>
      </c>
      <c r="S477" s="127">
        <v>14</v>
      </c>
      <c r="T477" s="125" t="s">
        <v>201</v>
      </c>
      <c r="U477" s="73">
        <f>SUMIF('Avoided Costs 2013-2021'!$A:$A,'2013 Actuals'!T477&amp;'2013 Actuals'!S477,'Avoided Costs 2013-2021'!$E:$E)*J477</f>
        <v>1898.5847756826652</v>
      </c>
      <c r="V477" s="73">
        <f>SUMIF('Avoided Costs 2013-2021'!$A:$A,'2013 Actuals'!T477&amp;'2013 Actuals'!S477,'Avoided Costs 2013-2021'!$K:$K)*N477</f>
        <v>0</v>
      </c>
      <c r="W477" s="73">
        <f>SUMIF('Avoided Costs 2013-2021'!$A:$A,'2013 Actuals'!T477&amp;'2013 Actuals'!S477,'Avoided Costs 2013-2021'!$M:$M)*R477</f>
        <v>0</v>
      </c>
      <c r="X477" s="73">
        <f t="shared" si="234"/>
        <v>1898.5847756826652</v>
      </c>
      <c r="Y477" s="83">
        <v>2491</v>
      </c>
      <c r="Z477" s="74">
        <f t="shared" si="235"/>
        <v>2192.08</v>
      </c>
      <c r="AA477" s="74"/>
      <c r="AB477" s="74"/>
      <c r="AC477" s="74"/>
      <c r="AD477" s="74">
        <f t="shared" si="236"/>
        <v>2192.08</v>
      </c>
      <c r="AE477" s="74">
        <f t="shared" si="237"/>
        <v>-293.49522431733476</v>
      </c>
      <c r="AF477" s="52">
        <f t="shared" si="238"/>
        <v>12546.29376</v>
      </c>
      <c r="AG477" s="52">
        <f t="shared" si="239"/>
        <v>14257.152</v>
      </c>
    </row>
    <row r="478" spans="1:33" s="21" customFormat="1" x14ac:dyDescent="0.2">
      <c r="A478" s="114" t="s">
        <v>212</v>
      </c>
      <c r="B478" s="114"/>
      <c r="C478" s="114"/>
      <c r="D478" s="160">
        <v>1</v>
      </c>
      <c r="E478" s="161"/>
      <c r="F478" s="162">
        <v>0.12</v>
      </c>
      <c r="G478" s="162"/>
      <c r="H478" s="52">
        <v>7436</v>
      </c>
      <c r="I478" s="52">
        <f t="shared" si="228"/>
        <v>6573.424</v>
      </c>
      <c r="J478" s="52">
        <f t="shared" si="229"/>
        <v>5784.61312</v>
      </c>
      <c r="K478" s="61"/>
      <c r="L478" s="160">
        <v>0</v>
      </c>
      <c r="M478" s="55">
        <f t="shared" si="230"/>
        <v>0</v>
      </c>
      <c r="N478" s="55">
        <f t="shared" si="231"/>
        <v>0</v>
      </c>
      <c r="O478" s="95"/>
      <c r="P478" s="160">
        <v>0</v>
      </c>
      <c r="Q478" s="55">
        <f t="shared" si="232"/>
        <v>0</v>
      </c>
      <c r="R478" s="65">
        <f t="shared" si="233"/>
        <v>0</v>
      </c>
      <c r="S478" s="127">
        <v>25</v>
      </c>
      <c r="T478" s="125" t="s">
        <v>201</v>
      </c>
      <c r="U478" s="73">
        <f>SUMIF('Avoided Costs 2013-2021'!$A:$A,'2013 Actuals'!T478&amp;'2013 Actuals'!S478,'Avoided Costs 2013-2021'!$E:$E)*J478</f>
        <v>18147.156516098501</v>
      </c>
      <c r="V478" s="73">
        <f>SUMIF('Avoided Costs 2013-2021'!$A:$A,'2013 Actuals'!T478&amp;'2013 Actuals'!S478,'Avoided Costs 2013-2021'!$K:$K)*N478</f>
        <v>0</v>
      </c>
      <c r="W478" s="73">
        <f>SUMIF('Avoided Costs 2013-2021'!$A:$A,'2013 Actuals'!T478&amp;'2013 Actuals'!S478,'Avoided Costs 2013-2021'!$M:$M)*R478</f>
        <v>0</v>
      </c>
      <c r="X478" s="73">
        <f t="shared" si="234"/>
        <v>18147.156516098501</v>
      </c>
      <c r="Y478" s="83">
        <v>8864</v>
      </c>
      <c r="Z478" s="74">
        <f t="shared" si="235"/>
        <v>7800.32</v>
      </c>
      <c r="AA478" s="74"/>
      <c r="AB478" s="74"/>
      <c r="AC478" s="74"/>
      <c r="AD478" s="74">
        <f t="shared" si="236"/>
        <v>7800.32</v>
      </c>
      <c r="AE478" s="74">
        <f t="shared" si="237"/>
        <v>10346.836516098501</v>
      </c>
      <c r="AF478" s="52">
        <f t="shared" si="238"/>
        <v>144615.32800000001</v>
      </c>
      <c r="AG478" s="52">
        <f t="shared" si="239"/>
        <v>164335.6</v>
      </c>
    </row>
    <row r="479" spans="1:33" s="21" customFormat="1" x14ac:dyDescent="0.2">
      <c r="A479" s="114" t="s">
        <v>213</v>
      </c>
      <c r="B479" s="114"/>
      <c r="C479" s="114"/>
      <c r="D479" s="160">
        <v>0</v>
      </c>
      <c r="E479" s="161"/>
      <c r="F479" s="162">
        <v>0.12</v>
      </c>
      <c r="G479" s="162"/>
      <c r="H479" s="52">
        <v>1529</v>
      </c>
      <c r="I479" s="52">
        <f t="shared" si="228"/>
        <v>1351.636</v>
      </c>
      <c r="J479" s="52">
        <f t="shared" si="229"/>
        <v>1189.43968</v>
      </c>
      <c r="K479" s="61"/>
      <c r="L479" s="160">
        <v>1023</v>
      </c>
      <c r="M479" s="55">
        <f t="shared" si="230"/>
        <v>1023</v>
      </c>
      <c r="N479" s="55">
        <f t="shared" si="231"/>
        <v>900.24</v>
      </c>
      <c r="O479" s="95"/>
      <c r="P479" s="160">
        <v>0</v>
      </c>
      <c r="Q479" s="55">
        <f t="shared" si="232"/>
        <v>0</v>
      </c>
      <c r="R479" s="65">
        <f t="shared" si="233"/>
        <v>0</v>
      </c>
      <c r="S479" s="127">
        <v>15</v>
      </c>
      <c r="T479" s="125" t="s">
        <v>201</v>
      </c>
      <c r="U479" s="73">
        <f>SUMIF('Avoided Costs 2013-2021'!$A:$A,'2013 Actuals'!T479&amp;'2013 Actuals'!S479,'Avoided Costs 2013-2021'!$E:$E)*J479</f>
        <v>2658.2341983446604</v>
      </c>
      <c r="V479" s="73">
        <f>SUMIF('Avoided Costs 2013-2021'!$A:$A,'2013 Actuals'!T479&amp;'2013 Actuals'!S479,'Avoided Costs 2013-2021'!$K:$K)*N479</f>
        <v>942.45555653750034</v>
      </c>
      <c r="W479" s="73">
        <f>SUMIF('Avoided Costs 2013-2021'!$A:$A,'2013 Actuals'!T479&amp;'2013 Actuals'!S479,'Avoided Costs 2013-2021'!$M:$M)*R479</f>
        <v>0</v>
      </c>
      <c r="X479" s="73">
        <f t="shared" si="234"/>
        <v>3600.6897548821607</v>
      </c>
      <c r="Y479" s="83">
        <v>28871</v>
      </c>
      <c r="Z479" s="74">
        <f t="shared" si="235"/>
        <v>25406.48</v>
      </c>
      <c r="AA479" s="74"/>
      <c r="AB479" s="74"/>
      <c r="AC479" s="74"/>
      <c r="AD479" s="74">
        <f t="shared" si="236"/>
        <v>25406.48</v>
      </c>
      <c r="AE479" s="74">
        <f t="shared" si="237"/>
        <v>-21805.790245117838</v>
      </c>
      <c r="AF479" s="52">
        <f t="shared" si="238"/>
        <v>17841.5952</v>
      </c>
      <c r="AG479" s="52">
        <f t="shared" si="239"/>
        <v>20274.54</v>
      </c>
    </row>
    <row r="480" spans="1:33" s="21" customFormat="1" x14ac:dyDescent="0.2">
      <c r="A480" s="116" t="s">
        <v>214</v>
      </c>
      <c r="B480" s="116"/>
      <c r="C480" s="116"/>
      <c r="D480" s="151">
        <v>1</v>
      </c>
      <c r="E480" s="152"/>
      <c r="F480" s="153">
        <v>0.12</v>
      </c>
      <c r="G480" s="153"/>
      <c r="H480" s="52">
        <v>18164</v>
      </c>
      <c r="I480" s="52">
        <f t="shared" si="228"/>
        <v>16056.976000000001</v>
      </c>
      <c r="J480" s="52">
        <f t="shared" si="229"/>
        <v>14130.13888</v>
      </c>
      <c r="K480" s="152"/>
      <c r="L480" s="151">
        <v>26625</v>
      </c>
      <c r="M480" s="55">
        <f t="shared" si="230"/>
        <v>26625</v>
      </c>
      <c r="N480" s="55">
        <f t="shared" si="231"/>
        <v>23430</v>
      </c>
      <c r="O480" s="154"/>
      <c r="P480" s="151">
        <v>0</v>
      </c>
      <c r="Q480" s="55">
        <f t="shared" si="232"/>
        <v>0</v>
      </c>
      <c r="R480" s="65">
        <f t="shared" si="233"/>
        <v>0</v>
      </c>
      <c r="S480" s="127">
        <v>15</v>
      </c>
      <c r="T480" s="125" t="s">
        <v>201</v>
      </c>
      <c r="U480" s="73">
        <f>SUMIF('Avoided Costs 2013-2021'!$A:$A,'2013 Actuals'!T480&amp;'2013 Actuals'!S480,'Avoided Costs 2013-2021'!$E:$E)*J480</f>
        <v>31578.918233310935</v>
      </c>
      <c r="V480" s="73">
        <f>SUMIF('Avoided Costs 2013-2021'!$A:$A,'2013 Actuals'!T480&amp;'2013 Actuals'!S480,'Avoided Costs 2013-2021'!$K:$K)*N480</f>
        <v>24528.718663549309</v>
      </c>
      <c r="W480" s="73">
        <f>SUMIF('Avoided Costs 2013-2021'!$A:$A,'2013 Actuals'!T480&amp;'2013 Actuals'!S480,'Avoided Costs 2013-2021'!$M:$M)*R480</f>
        <v>0</v>
      </c>
      <c r="X480" s="73">
        <f t="shared" si="234"/>
        <v>56107.636896860247</v>
      </c>
      <c r="Y480" s="83">
        <v>9790</v>
      </c>
      <c r="Z480" s="74">
        <f t="shared" si="235"/>
        <v>8615.2000000000007</v>
      </c>
      <c r="AA480" s="74"/>
      <c r="AB480" s="74"/>
      <c r="AC480" s="74"/>
      <c r="AD480" s="74">
        <f t="shared" si="236"/>
        <v>8615.2000000000007</v>
      </c>
      <c r="AE480" s="74">
        <f t="shared" si="237"/>
        <v>47492.43689686025</v>
      </c>
      <c r="AF480" s="52">
        <f t="shared" si="238"/>
        <v>211952.08319999999</v>
      </c>
      <c r="AG480" s="52">
        <f t="shared" si="239"/>
        <v>240854.64</v>
      </c>
    </row>
    <row r="481" spans="1:33" s="17" customFormat="1" collapsed="1" x14ac:dyDescent="0.2">
      <c r="A481" s="166" t="s">
        <v>4</v>
      </c>
      <c r="B481" s="166" t="s">
        <v>97</v>
      </c>
      <c r="C481" s="125"/>
      <c r="D481" s="65">
        <f>SUM(D467:D480)</f>
        <v>12</v>
      </c>
      <c r="E481" s="291"/>
      <c r="F481" s="168"/>
      <c r="G481" s="292"/>
      <c r="H481" s="52">
        <v>893741</v>
      </c>
      <c r="I481" s="52">
        <f>SUM(I467:I480)</f>
        <v>792883.87199999997</v>
      </c>
      <c r="J481" s="52">
        <f>SUM(J467:J480)</f>
        <v>697737.80735999998</v>
      </c>
      <c r="K481" s="167"/>
      <c r="L481" s="52">
        <v>1748750</v>
      </c>
      <c r="M481" s="52">
        <f>SUM(M467:M480)</f>
        <v>1748750</v>
      </c>
      <c r="N481" s="52">
        <f>SUM(N467:N480)</f>
        <v>1538900</v>
      </c>
      <c r="O481" s="169"/>
      <c r="P481" s="52">
        <v>0</v>
      </c>
      <c r="Q481" s="52">
        <f>SUM(Q467:Q480)</f>
        <v>0</v>
      </c>
      <c r="R481" s="52">
        <f>SUM(R467:R480)</f>
        <v>0</v>
      </c>
      <c r="S481" s="127"/>
      <c r="T481" s="125"/>
      <c r="U481" s="74">
        <f>SUM(U467:U480)</f>
        <v>1592224.7945123825</v>
      </c>
      <c r="V481" s="74">
        <f>SUM(V467:V480)</f>
        <v>1611064.6671504921</v>
      </c>
      <c r="W481" s="74">
        <f>SUM(W467:W480)</f>
        <v>0</v>
      </c>
      <c r="X481" s="74">
        <f>SUM(X467:X480)</f>
        <v>3203289.4616628746</v>
      </c>
      <c r="Y481" s="83"/>
      <c r="Z481" s="74">
        <f t="shared" ref="Z481" si="240">SUM(Z467:Z480)</f>
        <v>1748980.7456</v>
      </c>
      <c r="AA481" s="74">
        <v>154359.9</v>
      </c>
      <c r="AB481" s="74">
        <v>15696.38</v>
      </c>
      <c r="AC481" s="74">
        <f>AA481+AB481</f>
        <v>170056.28</v>
      </c>
      <c r="AD481" s="74">
        <f t="shared" si="236"/>
        <v>1764677.1255999999</v>
      </c>
      <c r="AE481" s="293">
        <f t="shared" si="237"/>
        <v>1438612.3360628746</v>
      </c>
      <c r="AF481" s="52">
        <f>SUM(AF467:AF480)</f>
        <v>10876748.636160001</v>
      </c>
      <c r="AG481" s="52">
        <f>SUM(AG467:AG480)</f>
        <v>12359941.631999999</v>
      </c>
    </row>
    <row r="482" spans="1:33" x14ac:dyDescent="0.2">
      <c r="A482" s="150"/>
      <c r="J482" s="44"/>
      <c r="O482" s="92"/>
      <c r="P482" s="44"/>
      <c r="R482" s="44"/>
      <c r="S482" s="4"/>
      <c r="Z482" s="72"/>
      <c r="AA482" s="72"/>
      <c r="AC482" s="72"/>
      <c r="AD482" s="72"/>
      <c r="AE482" s="72"/>
      <c r="AF482" s="79"/>
      <c r="AG482" s="79"/>
    </row>
    <row r="483" spans="1:33" s="17" customFormat="1" x14ac:dyDescent="0.2">
      <c r="A483" s="308"/>
      <c r="B483" s="308"/>
      <c r="C483" s="147"/>
      <c r="D483" s="309"/>
      <c r="E483" s="310"/>
      <c r="F483" s="311"/>
      <c r="G483" s="312"/>
      <c r="H483" s="313"/>
      <c r="I483" s="313"/>
      <c r="J483" s="313"/>
      <c r="K483" s="314"/>
      <c r="L483" s="313"/>
      <c r="M483" s="313"/>
      <c r="N483" s="313"/>
      <c r="O483" s="315"/>
      <c r="P483" s="313"/>
      <c r="Q483" s="313"/>
      <c r="R483" s="313"/>
      <c r="S483" s="316"/>
      <c r="T483" s="147"/>
      <c r="U483" s="317"/>
      <c r="V483" s="317"/>
      <c r="W483" s="317"/>
      <c r="X483" s="317"/>
      <c r="Y483" s="318"/>
      <c r="Z483" s="317"/>
      <c r="AA483" s="317"/>
      <c r="AB483" s="317"/>
      <c r="AC483" s="317"/>
      <c r="AD483" s="317"/>
      <c r="AE483" s="317"/>
      <c r="AF483" s="319"/>
      <c r="AG483" s="319"/>
    </row>
    <row r="484" spans="1:33" x14ac:dyDescent="0.2">
      <c r="A484" s="308" t="s">
        <v>73</v>
      </c>
      <c r="B484" s="283"/>
      <c r="C484" s="147"/>
      <c r="D484" s="284">
        <f>D481+D464+D415+D351+D341+D267+D233+D209+D135+D56+D237</f>
        <v>374</v>
      </c>
      <c r="E484" s="142"/>
      <c r="F484" s="143"/>
      <c r="G484" s="144"/>
      <c r="H484" s="284">
        <f>H481+H464+H415+H351+H341+H267+H233+H209+H135+H56+H237</f>
        <v>17890209</v>
      </c>
      <c r="I484" s="284">
        <f>I481+I464+I415+I351+I341+I267+I233+I209+I135+I56+I237</f>
        <v>15915921.48</v>
      </c>
      <c r="J484" s="284">
        <f>J481+J464+J415+J351+J341+J267+J233+J209+J135+J56+J237</f>
        <v>14006010.902399998</v>
      </c>
      <c r="K484" s="142"/>
      <c r="L484" s="284">
        <f>L481+L464+L415+L351+L341+L267+L233+L209+L135+L56+L237</f>
        <v>8080476</v>
      </c>
      <c r="M484" s="284">
        <f>M481+M464+M415+M351+M341+M267+M233+M209+M135+M56+M237</f>
        <v>8080476</v>
      </c>
      <c r="N484" s="284">
        <f>N481+N464+N415+N351+N341+N267+N233+N209+N135+N56+N237</f>
        <v>7110818.8799999999</v>
      </c>
      <c r="O484" s="145"/>
      <c r="P484" s="284">
        <f>P481+P464+P415+P351+P341+P267+P233+P209+P135+P56+P237</f>
        <v>1600</v>
      </c>
      <c r="Q484" s="284">
        <f>Q481+Q464+Q415+Q351+Q341+Q267+Q233+Q209+Q135+Q56+Q237</f>
        <v>1600</v>
      </c>
      <c r="R484" s="284">
        <f>R481+R464+R415+R351+R341+R267+R233+R209+R135+R56+R237</f>
        <v>1408</v>
      </c>
      <c r="S484" s="146"/>
      <c r="T484" s="147"/>
      <c r="U484" s="285">
        <f>U481+U464+U415+U351+U341+U267+U233+U209+U135+U56+U237</f>
        <v>31625240.639656737</v>
      </c>
      <c r="V484" s="285">
        <f>V481+V464+V415+V351+V341+V267+V233+V209+V135+V56+V237</f>
        <v>7483498.2500737822</v>
      </c>
      <c r="W484" s="285">
        <f>W481+W464+W415+W351+W341+W267+W233+W209+W135+W56+W237</f>
        <v>37637.217392105202</v>
      </c>
      <c r="X484" s="285">
        <f>X481+X464+X415+X351+X341+X267+X233+X209+X135+X56+X237</f>
        <v>39146376.107122622</v>
      </c>
      <c r="Y484" s="148"/>
      <c r="Z484" s="285">
        <f t="shared" ref="Z484" si="241">Z481+Z464+Z415+Z351+Z341+Z267+Z233+Z209+Z135+Z56+Z237</f>
        <v>22119431.435200002</v>
      </c>
      <c r="AA484" s="285">
        <f t="shared" ref="AA484:AG484" si="242">AA481+AA464+AA415+AA351+AA341+AA267+AA233+AA209+AA135+AA56+AA237</f>
        <v>2688205.95</v>
      </c>
      <c r="AB484" s="285">
        <f t="shared" si="242"/>
        <v>393095.62000000005</v>
      </c>
      <c r="AC484" s="285">
        <f t="shared" si="242"/>
        <v>3081301.57</v>
      </c>
      <c r="AD484" s="285">
        <f t="shared" si="242"/>
        <v>22512527.055200003</v>
      </c>
      <c r="AE484" s="286">
        <f t="shared" si="242"/>
        <v>16633849.051922619</v>
      </c>
      <c r="AF484" s="284">
        <f t="shared" si="242"/>
        <v>231068830.17122254</v>
      </c>
      <c r="AG484" s="320">
        <f t="shared" si="242"/>
        <v>262578216.10366201</v>
      </c>
    </row>
    <row r="485" spans="1:33" x14ac:dyDescent="0.2">
      <c r="A485" s="18"/>
      <c r="B485" s="17"/>
      <c r="C485" s="16"/>
      <c r="D485" s="44"/>
      <c r="E485" s="58"/>
      <c r="F485" s="5"/>
      <c r="G485" s="6"/>
      <c r="H485" s="44"/>
      <c r="I485" s="44"/>
      <c r="J485" s="44"/>
      <c r="K485" s="58"/>
      <c r="L485" s="44"/>
      <c r="M485" s="44"/>
      <c r="N485" s="44"/>
      <c r="O485" s="92"/>
      <c r="P485" s="44"/>
      <c r="Q485" s="44"/>
      <c r="R485" s="44"/>
      <c r="S485" s="4"/>
      <c r="T485" s="16"/>
      <c r="U485" s="72"/>
      <c r="V485" s="72"/>
      <c r="W485" s="72"/>
      <c r="X485" s="72"/>
      <c r="Y485" s="84"/>
      <c r="Z485" s="72"/>
      <c r="AA485" s="72"/>
      <c r="AB485" s="72"/>
      <c r="AC485" s="72"/>
      <c r="AD485" s="72"/>
      <c r="AE485" s="72"/>
      <c r="AF485" s="321"/>
      <c r="AG485" s="321"/>
    </row>
    <row r="486" spans="1:33" x14ac:dyDescent="0.2">
      <c r="A486" s="18"/>
      <c r="B486" s="17" t="s">
        <v>1175</v>
      </c>
      <c r="C486" s="16"/>
      <c r="D486" s="44"/>
      <c r="E486" s="58"/>
      <c r="F486" s="5"/>
      <c r="G486" s="6"/>
      <c r="H486" s="44"/>
      <c r="I486" s="44"/>
      <c r="J486" s="44"/>
      <c r="K486" s="58"/>
      <c r="L486" s="44"/>
      <c r="M486" s="44"/>
      <c r="N486" s="44"/>
      <c r="O486" s="92"/>
      <c r="P486" s="44"/>
      <c r="Q486" s="44"/>
      <c r="R486" s="44"/>
      <c r="S486" s="4"/>
      <c r="T486" s="16"/>
      <c r="U486" s="72"/>
      <c r="V486" s="72"/>
      <c r="W486" s="72"/>
      <c r="X486" s="72"/>
      <c r="Y486" s="84"/>
      <c r="Z486" s="72"/>
      <c r="AA486" s="72"/>
      <c r="AB486" s="72"/>
      <c r="AC486" s="72"/>
      <c r="AD486" s="72"/>
      <c r="AE486" s="72"/>
      <c r="AF486" s="321"/>
      <c r="AG486" s="321"/>
    </row>
    <row r="487" spans="1:33" s="21" customFormat="1" x14ac:dyDescent="0.2">
      <c r="A487" s="114" t="s">
        <v>113</v>
      </c>
      <c r="B487" s="114" t="s">
        <v>1176</v>
      </c>
      <c r="C487" s="114"/>
      <c r="D487" s="160">
        <v>192</v>
      </c>
      <c r="E487" s="161">
        <f>H487/D487</f>
        <v>11596.458333333334</v>
      </c>
      <c r="F487" s="162">
        <v>0</v>
      </c>
      <c r="G487" s="162"/>
      <c r="H487" s="52">
        <v>2226520</v>
      </c>
      <c r="I487" s="52">
        <f>H487</f>
        <v>2226520</v>
      </c>
      <c r="J487" s="52">
        <f>I487*(1-F487)</f>
        <v>2226520</v>
      </c>
      <c r="K487" s="61"/>
      <c r="L487" s="160"/>
      <c r="M487" s="55">
        <f>+$L$39*L487</f>
        <v>0</v>
      </c>
      <c r="N487" s="55">
        <f>M487*(1-F487)</f>
        <v>0</v>
      </c>
      <c r="O487" s="95"/>
      <c r="P487" s="160"/>
      <c r="Q487" s="55">
        <f>+P487*$P$39</f>
        <v>0</v>
      </c>
      <c r="R487" s="65">
        <f>Q487*(1-F487)</f>
        <v>0</v>
      </c>
      <c r="S487" s="127">
        <v>5</v>
      </c>
      <c r="T487" s="125" t="s">
        <v>1195</v>
      </c>
      <c r="U487" s="73">
        <f>SUMIF('Avoided Costs 2013-2021'!$A:$A,'2013 Actuals'!T487&amp;'2013 Actuals'!S487,'Avoided Costs 2013-2021'!$E:$E)*J487</f>
        <v>1733797.073454669</v>
      </c>
      <c r="V487" s="73">
        <f>SUMIF('Avoided Costs 2013-2021'!$A:$A,'2013 Actuals'!T487&amp;'2013 Actuals'!S487,'Avoided Costs 2013-2021'!$K:$K)*N487</f>
        <v>0</v>
      </c>
      <c r="W487" s="73">
        <f>SUMIF('Avoided Costs 2013-2021'!$A:$A,'2013 Actuals'!T487&amp;'2013 Actuals'!S487,'Avoided Costs 2013-2021'!$M:$M)*R487</f>
        <v>0</v>
      </c>
      <c r="X487" s="73">
        <f>SUM(U487:W487)</f>
        <v>1733797.073454669</v>
      </c>
      <c r="Y487" s="83">
        <v>728767.84</v>
      </c>
      <c r="Z487" s="74">
        <f>Y487*(1-F487)</f>
        <v>728767.84</v>
      </c>
      <c r="AA487" s="74"/>
      <c r="AB487" s="74"/>
      <c r="AC487" s="74"/>
      <c r="AD487" s="74">
        <f>Z487+AB487</f>
        <v>728767.84</v>
      </c>
      <c r="AE487" s="74">
        <f>X487-AD487</f>
        <v>1005029.233454669</v>
      </c>
      <c r="AF487" s="52">
        <f>J487*S487</f>
        <v>11132600</v>
      </c>
      <c r="AG487" s="52">
        <f>(I487*S487)</f>
        <v>11132600</v>
      </c>
    </row>
    <row r="488" spans="1:33" s="17" customFormat="1" collapsed="1" x14ac:dyDescent="0.2">
      <c r="A488" s="166" t="s">
        <v>4</v>
      </c>
      <c r="B488" s="114" t="s">
        <v>114</v>
      </c>
      <c r="C488" s="125"/>
      <c r="D488" s="65">
        <f>SUM(D487:D487)</f>
        <v>192</v>
      </c>
      <c r="E488" s="291">
        <f>SUM(E487:E487)</f>
        <v>11596.458333333334</v>
      </c>
      <c r="F488" s="168"/>
      <c r="G488" s="292"/>
      <c r="H488" s="52">
        <f>SUM(H487:H487)</f>
        <v>2226520</v>
      </c>
      <c r="I488" s="52">
        <f>I487</f>
        <v>2226520</v>
      </c>
      <c r="J488" s="52">
        <f>I488*(1-F488)</f>
        <v>2226520</v>
      </c>
      <c r="K488" s="167"/>
      <c r="L488" s="52">
        <v>0</v>
      </c>
      <c r="M488" s="52">
        <f>+$L$39*L488</f>
        <v>0</v>
      </c>
      <c r="N488" s="52">
        <f>M488*(1-F488)</f>
        <v>0</v>
      </c>
      <c r="O488" s="169"/>
      <c r="P488" s="52">
        <v>0</v>
      </c>
      <c r="Q488" s="52">
        <f>+P488*$P$39</f>
        <v>0</v>
      </c>
      <c r="R488" s="52">
        <f>Q488*(1-F488)</f>
        <v>0</v>
      </c>
      <c r="S488" s="127"/>
      <c r="T488" s="125" t="s">
        <v>215</v>
      </c>
      <c r="U488" s="74">
        <f>SUM(U487:U487)</f>
        <v>1733797.073454669</v>
      </c>
      <c r="V488" s="74">
        <f>SUMIF('Avoided Costs 2013-2021'!$A:$A,'2013 Actuals'!T488&amp;'2013 Actuals'!S488,'Avoided Costs 2013-2021'!$K:$K)*N488</f>
        <v>0</v>
      </c>
      <c r="W488" s="74">
        <f>SUMIF('Avoided Costs 2013-2021'!$A:$A,'2013 Actuals'!T488&amp;'2013 Actuals'!S488,'Avoided Costs 2013-2021'!$M:$M)*R488</f>
        <v>0</v>
      </c>
      <c r="X488" s="74">
        <f>SUM(U488:W488)</f>
        <v>1733797.073454669</v>
      </c>
      <c r="Y488" s="83">
        <f>SUM(Y487:Y487)</f>
        <v>728767.84</v>
      </c>
      <c r="Z488" s="74">
        <f>Y488*(1-F488)</f>
        <v>728767.84</v>
      </c>
      <c r="AA488" s="74">
        <v>858190</v>
      </c>
      <c r="AB488" s="74">
        <v>738119.19</v>
      </c>
      <c r="AC488" s="74">
        <f>AA488+AB488</f>
        <v>1596309.19</v>
      </c>
      <c r="AD488" s="74">
        <f>Z488+AB488</f>
        <v>1466887.0299999998</v>
      </c>
      <c r="AE488" s="293">
        <f>X488-AD488</f>
        <v>266910.04345466918</v>
      </c>
      <c r="AF488" s="52">
        <f>SUM(AF487:AF487)</f>
        <v>11132600</v>
      </c>
      <c r="AG488" s="52">
        <f>SUM(AG487:AG487)</f>
        <v>11132600</v>
      </c>
    </row>
    <row r="489" spans="1:33" ht="15.75" customHeight="1" x14ac:dyDescent="0.2">
      <c r="A489" s="150"/>
      <c r="D489" s="48" t="s">
        <v>51</v>
      </c>
      <c r="J489" s="48" t="s">
        <v>51</v>
      </c>
      <c r="K489" s="57" t="s">
        <v>51</v>
      </c>
      <c r="AF489" s="79"/>
      <c r="AG489" s="79"/>
    </row>
    <row r="490" spans="1:33" x14ac:dyDescent="0.2">
      <c r="A490" s="308" t="s">
        <v>1194</v>
      </c>
      <c r="B490" s="283"/>
      <c r="C490" s="147"/>
      <c r="D490" s="284">
        <f>D488</f>
        <v>192</v>
      </c>
      <c r="E490" s="142"/>
      <c r="F490" s="143"/>
      <c r="G490" s="144"/>
      <c r="H490" s="284">
        <f>H488</f>
        <v>2226520</v>
      </c>
      <c r="I490" s="284">
        <f>I488</f>
        <v>2226520</v>
      </c>
      <c r="J490" s="284">
        <f>J488</f>
        <v>2226520</v>
      </c>
      <c r="K490" s="142"/>
      <c r="L490" s="284">
        <f>L488</f>
        <v>0</v>
      </c>
      <c r="M490" s="284">
        <f>M488</f>
        <v>0</v>
      </c>
      <c r="N490" s="284">
        <f>N488</f>
        <v>0</v>
      </c>
      <c r="O490" s="145"/>
      <c r="P490" s="284">
        <f>P488</f>
        <v>0</v>
      </c>
      <c r="Q490" s="284">
        <f>Q488</f>
        <v>0</v>
      </c>
      <c r="R490" s="284">
        <f>R488</f>
        <v>0</v>
      </c>
      <c r="S490" s="146"/>
      <c r="T490" s="147"/>
      <c r="U490" s="285">
        <f>U488</f>
        <v>1733797.073454669</v>
      </c>
      <c r="V490" s="285">
        <f>V488</f>
        <v>0</v>
      </c>
      <c r="W490" s="285">
        <f>W488</f>
        <v>0</v>
      </c>
      <c r="X490" s="285">
        <f>X488</f>
        <v>1733797.073454669</v>
      </c>
      <c r="Y490" s="148"/>
      <c r="Z490" s="285">
        <f t="shared" ref="Z490" si="243">Z488</f>
        <v>728767.84</v>
      </c>
      <c r="AA490" s="285">
        <f t="shared" ref="AA490:AG490" si="244">AA488</f>
        <v>858190</v>
      </c>
      <c r="AB490" s="285">
        <f t="shared" si="244"/>
        <v>738119.19</v>
      </c>
      <c r="AC490" s="285">
        <f t="shared" si="244"/>
        <v>1596309.19</v>
      </c>
      <c r="AD490" s="285">
        <f t="shared" si="244"/>
        <v>1466887.0299999998</v>
      </c>
      <c r="AE490" s="286">
        <f t="shared" si="244"/>
        <v>266910.04345466918</v>
      </c>
      <c r="AF490" s="284">
        <f t="shared" si="244"/>
        <v>11132600</v>
      </c>
      <c r="AG490" s="320">
        <f t="shared" si="244"/>
        <v>11132600</v>
      </c>
    </row>
    <row r="491" spans="1:33" ht="15.75" customHeight="1" x14ac:dyDescent="0.2">
      <c r="A491" s="150"/>
      <c r="AF491" s="79"/>
      <c r="AG491" s="79"/>
    </row>
    <row r="492" spans="1:33" s="17" customFormat="1" x14ac:dyDescent="0.2">
      <c r="A492" s="18"/>
      <c r="B492" s="17" t="s">
        <v>26</v>
      </c>
      <c r="C492" s="16"/>
      <c r="D492" s="44"/>
      <c r="E492" s="58" t="s">
        <v>51</v>
      </c>
      <c r="F492" s="5"/>
      <c r="G492" s="6"/>
      <c r="H492" s="44"/>
      <c r="I492" s="44"/>
      <c r="J492" s="44"/>
      <c r="K492" s="58"/>
      <c r="L492" s="44"/>
      <c r="M492" s="44"/>
      <c r="N492" s="44"/>
      <c r="O492" s="92"/>
      <c r="P492" s="44"/>
      <c r="Q492" s="44"/>
      <c r="R492" s="44"/>
      <c r="S492" s="4"/>
      <c r="T492" s="16"/>
      <c r="U492" s="72"/>
      <c r="V492" s="72"/>
      <c r="W492" s="72"/>
      <c r="X492" s="72"/>
      <c r="Y492" s="84"/>
      <c r="Z492" s="72"/>
      <c r="AA492" s="72"/>
      <c r="AB492" s="72"/>
      <c r="AC492" s="72"/>
      <c r="AD492" s="72"/>
      <c r="AE492" s="72"/>
      <c r="AF492" s="79"/>
      <c r="AG492" s="79"/>
    </row>
    <row r="493" spans="1:33" x14ac:dyDescent="0.2">
      <c r="A493" s="150" t="s">
        <v>103</v>
      </c>
      <c r="B493" s="2" t="s">
        <v>42</v>
      </c>
      <c r="H493" s="13"/>
      <c r="L493" s="48">
        <v>0</v>
      </c>
      <c r="O493" s="92"/>
      <c r="P493" s="48">
        <v>0</v>
      </c>
      <c r="R493" s="44"/>
      <c r="S493" s="4"/>
      <c r="Z493" s="72"/>
      <c r="AA493" s="72"/>
      <c r="AC493" s="72"/>
      <c r="AD493" s="72"/>
      <c r="AE493" s="72"/>
      <c r="AF493" s="79"/>
      <c r="AG493" s="79"/>
    </row>
    <row r="494" spans="1:33" s="21" customFormat="1" x14ac:dyDescent="0.2">
      <c r="A494" s="114" t="s">
        <v>408</v>
      </c>
      <c r="B494" s="114"/>
      <c r="C494" s="114"/>
      <c r="D494" s="160">
        <v>0</v>
      </c>
      <c r="E494" s="161"/>
      <c r="F494" s="162">
        <v>0.2</v>
      </c>
      <c r="G494" s="162"/>
      <c r="H494" s="52">
        <v>22886</v>
      </c>
      <c r="I494" s="52">
        <f t="shared" ref="I494:I557" si="245">+$H$39*H494</f>
        <v>20231.224000000002</v>
      </c>
      <c r="J494" s="52">
        <f t="shared" ref="J494:J557" si="246">I494*(1-F494)</f>
        <v>16184.979200000002</v>
      </c>
      <c r="K494" s="61"/>
      <c r="L494" s="160">
        <v>0</v>
      </c>
      <c r="M494" s="55">
        <f t="shared" ref="M494:M557" si="247">+$L$39*L494</f>
        <v>0</v>
      </c>
      <c r="N494" s="55">
        <f t="shared" ref="N494:N557" si="248">M494*(1-F494)</f>
        <v>0</v>
      </c>
      <c r="O494" s="95"/>
      <c r="P494" s="160">
        <v>0</v>
      </c>
      <c r="Q494" s="55">
        <f t="shared" ref="Q494:Q557" si="249">+P494*$P$39</f>
        <v>0</v>
      </c>
      <c r="R494" s="65">
        <f t="shared" ref="R494:R557" si="250">Q494*(1-F494)</f>
        <v>0</v>
      </c>
      <c r="S494" s="118">
        <v>25</v>
      </c>
      <c r="T494" s="121" t="s">
        <v>217</v>
      </c>
      <c r="U494" s="73">
        <f>SUMIF('Avoided Costs 2013-2021'!$A:$A,'2013 Actuals'!T494&amp;'2013 Actuals'!S494,'Avoided Costs 2013-2021'!$E:$E)*J494</f>
        <v>47649.725554788783</v>
      </c>
      <c r="V494" s="73">
        <f>SUMIF('Avoided Costs 2013-2021'!$A:$A,'2013 Actuals'!T494&amp;'2013 Actuals'!S494,'Avoided Costs 2013-2021'!$K:$K)*N494</f>
        <v>0</v>
      </c>
      <c r="W494" s="73">
        <f>SUMIF('Avoided Costs 2013-2021'!$A:$A,'2013 Actuals'!T494&amp;'2013 Actuals'!S494,'Avoided Costs 2013-2021'!$M:$M)*R494</f>
        <v>0</v>
      </c>
      <c r="X494" s="73">
        <f t="shared" ref="X494:X557" si="251">SUM(U494:W494)</f>
        <v>47649.725554788783</v>
      </c>
      <c r="Y494" s="83">
        <v>15710</v>
      </c>
      <c r="Z494" s="74">
        <f t="shared" ref="Z494:Z557" si="252">Y494*(1-F494)</f>
        <v>12568</v>
      </c>
      <c r="AA494" s="74"/>
      <c r="AB494" s="74"/>
      <c r="AC494" s="74"/>
      <c r="AD494" s="74">
        <f t="shared" ref="AD494:AD557" si="253">Z494+AB494</f>
        <v>12568</v>
      </c>
      <c r="AE494" s="74">
        <f t="shared" ref="AE494:AE557" si="254">X494-AD494</f>
        <v>35081.725554788783</v>
      </c>
      <c r="AF494" s="52">
        <f t="shared" ref="AF494:AF557" si="255">J494*S494</f>
        <v>404624.48000000004</v>
      </c>
      <c r="AG494" s="52">
        <f t="shared" ref="AG494:AG557" si="256">(I494*S494)</f>
        <v>505780.60000000003</v>
      </c>
    </row>
    <row r="495" spans="1:33" s="21" customFormat="1" x14ac:dyDescent="0.2">
      <c r="A495" s="114" t="s">
        <v>409</v>
      </c>
      <c r="B495" s="114"/>
      <c r="C495" s="114"/>
      <c r="D495" s="160">
        <v>1</v>
      </c>
      <c r="E495" s="161"/>
      <c r="F495" s="162">
        <v>0.2</v>
      </c>
      <c r="G495" s="162"/>
      <c r="H495" s="52">
        <v>37586</v>
      </c>
      <c r="I495" s="52">
        <f t="shared" si="245"/>
        <v>33226.023999999998</v>
      </c>
      <c r="J495" s="52">
        <f t="shared" si="246"/>
        <v>26580.819199999998</v>
      </c>
      <c r="K495" s="61"/>
      <c r="L495" s="160">
        <v>0</v>
      </c>
      <c r="M495" s="55">
        <f t="shared" si="247"/>
        <v>0</v>
      </c>
      <c r="N495" s="55">
        <f t="shared" si="248"/>
        <v>0</v>
      </c>
      <c r="O495" s="95"/>
      <c r="P495" s="160">
        <v>0</v>
      </c>
      <c r="Q495" s="55">
        <f t="shared" si="249"/>
        <v>0</v>
      </c>
      <c r="R495" s="65">
        <f t="shared" si="250"/>
        <v>0</v>
      </c>
      <c r="S495" s="118">
        <v>25</v>
      </c>
      <c r="T495" s="121" t="s">
        <v>201</v>
      </c>
      <c r="U495" s="73">
        <f>SUMIF('Avoided Costs 2013-2021'!$A:$A,'2013 Actuals'!T495&amp;'2013 Actuals'!S495,'Avoided Costs 2013-2021'!$E:$E)*J495</f>
        <v>83387.821508885303</v>
      </c>
      <c r="V495" s="73">
        <f>SUMIF('Avoided Costs 2013-2021'!$A:$A,'2013 Actuals'!T495&amp;'2013 Actuals'!S495,'Avoided Costs 2013-2021'!$K:$K)*N495</f>
        <v>0</v>
      </c>
      <c r="W495" s="73">
        <f>SUMIF('Avoided Costs 2013-2021'!$A:$A,'2013 Actuals'!T495&amp;'2013 Actuals'!S495,'Avoided Costs 2013-2021'!$M:$M)*R495</f>
        <v>0</v>
      </c>
      <c r="X495" s="73">
        <f t="shared" si="251"/>
        <v>83387.821508885303</v>
      </c>
      <c r="Y495" s="83">
        <v>5436</v>
      </c>
      <c r="Z495" s="74">
        <f t="shared" si="252"/>
        <v>4348.8</v>
      </c>
      <c r="AA495" s="74"/>
      <c r="AB495" s="74"/>
      <c r="AC495" s="74"/>
      <c r="AD495" s="74">
        <f t="shared" si="253"/>
        <v>4348.8</v>
      </c>
      <c r="AE495" s="74">
        <f t="shared" si="254"/>
        <v>79039.0215088853</v>
      </c>
      <c r="AF495" s="52">
        <f t="shared" si="255"/>
        <v>664520.48</v>
      </c>
      <c r="AG495" s="52">
        <f t="shared" si="256"/>
        <v>830650.6</v>
      </c>
    </row>
    <row r="496" spans="1:33" s="21" customFormat="1" x14ac:dyDescent="0.2">
      <c r="A496" s="114" t="s">
        <v>410</v>
      </c>
      <c r="B496" s="114"/>
      <c r="C496" s="114"/>
      <c r="D496" s="160">
        <v>1</v>
      </c>
      <c r="E496" s="161"/>
      <c r="F496" s="162">
        <v>0.2</v>
      </c>
      <c r="G496" s="162"/>
      <c r="H496" s="52">
        <v>28653</v>
      </c>
      <c r="I496" s="52">
        <f t="shared" si="245"/>
        <v>25329.252</v>
      </c>
      <c r="J496" s="52">
        <f t="shared" si="246"/>
        <v>20263.401600000001</v>
      </c>
      <c r="K496" s="61"/>
      <c r="L496" s="160">
        <v>0</v>
      </c>
      <c r="M496" s="55">
        <f t="shared" si="247"/>
        <v>0</v>
      </c>
      <c r="N496" s="55">
        <f t="shared" si="248"/>
        <v>0</v>
      </c>
      <c r="O496" s="95"/>
      <c r="P496" s="160">
        <v>0</v>
      </c>
      <c r="Q496" s="55">
        <f t="shared" si="249"/>
        <v>0</v>
      </c>
      <c r="R496" s="65">
        <f t="shared" si="250"/>
        <v>0</v>
      </c>
      <c r="S496" s="118">
        <v>25</v>
      </c>
      <c r="T496" s="121" t="s">
        <v>201</v>
      </c>
      <c r="U496" s="73">
        <f>SUMIF('Avoided Costs 2013-2021'!$A:$A,'2013 Actuals'!T496&amp;'2013 Actuals'!S496,'Avoided Costs 2013-2021'!$E:$E)*J496</f>
        <v>63569.181335978581</v>
      </c>
      <c r="V496" s="73">
        <f>SUMIF('Avoided Costs 2013-2021'!$A:$A,'2013 Actuals'!T496&amp;'2013 Actuals'!S496,'Avoided Costs 2013-2021'!$K:$K)*N496</f>
        <v>0</v>
      </c>
      <c r="W496" s="73">
        <f>SUMIF('Avoided Costs 2013-2021'!$A:$A,'2013 Actuals'!T496&amp;'2013 Actuals'!S496,'Avoided Costs 2013-2021'!$M:$M)*R496</f>
        <v>0</v>
      </c>
      <c r="X496" s="73">
        <f t="shared" si="251"/>
        <v>63569.181335978581</v>
      </c>
      <c r="Y496" s="83">
        <v>7504</v>
      </c>
      <c r="Z496" s="74">
        <f t="shared" si="252"/>
        <v>6003.2000000000007</v>
      </c>
      <c r="AA496" s="74"/>
      <c r="AB496" s="74"/>
      <c r="AC496" s="74"/>
      <c r="AD496" s="74">
        <f t="shared" si="253"/>
        <v>6003.2000000000007</v>
      </c>
      <c r="AE496" s="74">
        <f t="shared" si="254"/>
        <v>57565.981335978577</v>
      </c>
      <c r="AF496" s="52">
        <f t="shared" si="255"/>
        <v>506585.04000000004</v>
      </c>
      <c r="AG496" s="52">
        <f t="shared" si="256"/>
        <v>633231.30000000005</v>
      </c>
    </row>
    <row r="497" spans="1:33" s="21" customFormat="1" x14ac:dyDescent="0.2">
      <c r="A497" s="114" t="s">
        <v>411</v>
      </c>
      <c r="B497" s="114"/>
      <c r="C497" s="114"/>
      <c r="D497" s="160">
        <v>1</v>
      </c>
      <c r="E497" s="161"/>
      <c r="F497" s="162">
        <v>0.2</v>
      </c>
      <c r="G497" s="162"/>
      <c r="H497" s="52">
        <v>41846</v>
      </c>
      <c r="I497" s="52">
        <f t="shared" si="245"/>
        <v>36991.864000000001</v>
      </c>
      <c r="J497" s="52">
        <f t="shared" si="246"/>
        <v>29593.491200000004</v>
      </c>
      <c r="K497" s="61"/>
      <c r="L497" s="160">
        <v>0</v>
      </c>
      <c r="M497" s="55">
        <f t="shared" si="247"/>
        <v>0</v>
      </c>
      <c r="N497" s="55">
        <f t="shared" si="248"/>
        <v>0</v>
      </c>
      <c r="O497" s="95"/>
      <c r="P497" s="160">
        <v>0</v>
      </c>
      <c r="Q497" s="55">
        <f t="shared" si="249"/>
        <v>0</v>
      </c>
      <c r="R497" s="65">
        <f t="shared" si="250"/>
        <v>0</v>
      </c>
      <c r="S497" s="118">
        <v>25</v>
      </c>
      <c r="T497" s="121" t="s">
        <v>201</v>
      </c>
      <c r="U497" s="73">
        <f>SUMIF('Avoided Costs 2013-2021'!$A:$A,'2013 Actuals'!T497&amp;'2013 Actuals'!S497,'Avoided Costs 2013-2021'!$E:$E)*J497</f>
        <v>92839.003322003278</v>
      </c>
      <c r="V497" s="73">
        <f>SUMIF('Avoided Costs 2013-2021'!$A:$A,'2013 Actuals'!T497&amp;'2013 Actuals'!S497,'Avoided Costs 2013-2021'!$K:$K)*N497</f>
        <v>0</v>
      </c>
      <c r="W497" s="73">
        <f>SUMIF('Avoided Costs 2013-2021'!$A:$A,'2013 Actuals'!T497&amp;'2013 Actuals'!S497,'Avoided Costs 2013-2021'!$M:$M)*R497</f>
        <v>0</v>
      </c>
      <c r="X497" s="73">
        <f t="shared" si="251"/>
        <v>92839.003322003278</v>
      </c>
      <c r="Y497" s="83">
        <v>714</v>
      </c>
      <c r="Z497" s="74">
        <f t="shared" si="252"/>
        <v>571.20000000000005</v>
      </c>
      <c r="AA497" s="74"/>
      <c r="AB497" s="74"/>
      <c r="AC497" s="74"/>
      <c r="AD497" s="74">
        <f t="shared" si="253"/>
        <v>571.20000000000005</v>
      </c>
      <c r="AE497" s="74">
        <f t="shared" si="254"/>
        <v>92267.803322003281</v>
      </c>
      <c r="AF497" s="52">
        <f t="shared" si="255"/>
        <v>739837.28000000014</v>
      </c>
      <c r="AG497" s="52">
        <f t="shared" si="256"/>
        <v>924796.60000000009</v>
      </c>
    </row>
    <row r="498" spans="1:33" s="21" customFormat="1" x14ac:dyDescent="0.2">
      <c r="A498" s="114" t="s">
        <v>412</v>
      </c>
      <c r="B498" s="114"/>
      <c r="C498" s="114"/>
      <c r="D498" s="160">
        <v>0</v>
      </c>
      <c r="E498" s="161"/>
      <c r="F498" s="162">
        <v>0.2</v>
      </c>
      <c r="G498" s="162"/>
      <c r="H498" s="52">
        <v>1431</v>
      </c>
      <c r="I498" s="52">
        <f t="shared" si="245"/>
        <v>1265.0039999999999</v>
      </c>
      <c r="J498" s="52">
        <f t="shared" si="246"/>
        <v>1012.0032</v>
      </c>
      <c r="K498" s="61"/>
      <c r="L498" s="160">
        <v>0</v>
      </c>
      <c r="M498" s="55">
        <f t="shared" si="247"/>
        <v>0</v>
      </c>
      <c r="N498" s="55">
        <f t="shared" si="248"/>
        <v>0</v>
      </c>
      <c r="O498" s="95"/>
      <c r="P498" s="160">
        <v>0</v>
      </c>
      <c r="Q498" s="55">
        <f t="shared" si="249"/>
        <v>0</v>
      </c>
      <c r="R498" s="65">
        <f t="shared" si="250"/>
        <v>0</v>
      </c>
      <c r="S498" s="118">
        <v>25</v>
      </c>
      <c r="T498" s="121" t="s">
        <v>217</v>
      </c>
      <c r="U498" s="73">
        <f>SUMIF('Avoided Costs 2013-2021'!$A:$A,'2013 Actuals'!T498&amp;'2013 Actuals'!S498,'Avoided Costs 2013-2021'!$E:$E)*J498</f>
        <v>2979.4091264922986</v>
      </c>
      <c r="V498" s="73">
        <f>SUMIF('Avoided Costs 2013-2021'!$A:$A,'2013 Actuals'!T498&amp;'2013 Actuals'!S498,'Avoided Costs 2013-2021'!$K:$K)*N498</f>
        <v>0</v>
      </c>
      <c r="W498" s="73">
        <f>SUMIF('Avoided Costs 2013-2021'!$A:$A,'2013 Actuals'!T498&amp;'2013 Actuals'!S498,'Avoided Costs 2013-2021'!$M:$M)*R498</f>
        <v>0</v>
      </c>
      <c r="X498" s="73">
        <f t="shared" si="251"/>
        <v>2979.4091264922986</v>
      </c>
      <c r="Y498" s="83">
        <v>3607</v>
      </c>
      <c r="Z498" s="74">
        <f t="shared" si="252"/>
        <v>2885.6000000000004</v>
      </c>
      <c r="AA498" s="74"/>
      <c r="AB498" s="74"/>
      <c r="AC498" s="74"/>
      <c r="AD498" s="74">
        <f t="shared" si="253"/>
        <v>2885.6000000000004</v>
      </c>
      <c r="AE498" s="74">
        <f t="shared" si="254"/>
        <v>93.809126492298219</v>
      </c>
      <c r="AF498" s="52">
        <f t="shared" si="255"/>
        <v>25300.079999999998</v>
      </c>
      <c r="AG498" s="52">
        <f t="shared" si="256"/>
        <v>31625.1</v>
      </c>
    </row>
    <row r="499" spans="1:33" s="21" customFormat="1" x14ac:dyDescent="0.2">
      <c r="A499" s="114" t="s">
        <v>413</v>
      </c>
      <c r="B499" s="114"/>
      <c r="C499" s="114"/>
      <c r="D499" s="160">
        <v>1</v>
      </c>
      <c r="E499" s="161"/>
      <c r="F499" s="162">
        <v>0.2</v>
      </c>
      <c r="G499" s="162"/>
      <c r="H499" s="52">
        <v>41352</v>
      </c>
      <c r="I499" s="52">
        <f t="shared" si="245"/>
        <v>36555.167999999998</v>
      </c>
      <c r="J499" s="52">
        <f t="shared" si="246"/>
        <v>29244.134399999999</v>
      </c>
      <c r="K499" s="61"/>
      <c r="L499" s="160">
        <v>0</v>
      </c>
      <c r="M499" s="55">
        <f t="shared" si="247"/>
        <v>0</v>
      </c>
      <c r="N499" s="55">
        <f t="shared" si="248"/>
        <v>0</v>
      </c>
      <c r="O499" s="95"/>
      <c r="P499" s="160">
        <v>0</v>
      </c>
      <c r="Q499" s="55">
        <f t="shared" si="249"/>
        <v>0</v>
      </c>
      <c r="R499" s="65">
        <f t="shared" si="250"/>
        <v>0</v>
      </c>
      <c r="S499" s="118">
        <v>25</v>
      </c>
      <c r="T499" s="121" t="s">
        <v>201</v>
      </c>
      <c r="U499" s="73">
        <f>SUMIF('Avoided Costs 2013-2021'!$A:$A,'2013 Actuals'!T499&amp;'2013 Actuals'!S499,'Avoided Costs 2013-2021'!$E:$E)*J499</f>
        <v>91743.021205646393</v>
      </c>
      <c r="V499" s="73">
        <f>SUMIF('Avoided Costs 2013-2021'!$A:$A,'2013 Actuals'!T499&amp;'2013 Actuals'!S499,'Avoided Costs 2013-2021'!$K:$K)*N499</f>
        <v>0</v>
      </c>
      <c r="W499" s="73">
        <f>SUMIF('Avoided Costs 2013-2021'!$A:$A,'2013 Actuals'!T499&amp;'2013 Actuals'!S499,'Avoided Costs 2013-2021'!$M:$M)*R499</f>
        <v>0</v>
      </c>
      <c r="X499" s="73">
        <f t="shared" si="251"/>
        <v>91743.021205646393</v>
      </c>
      <c r="Y499" s="83">
        <v>5622</v>
      </c>
      <c r="Z499" s="74">
        <f t="shared" si="252"/>
        <v>4497.6000000000004</v>
      </c>
      <c r="AA499" s="74"/>
      <c r="AB499" s="74"/>
      <c r="AC499" s="74"/>
      <c r="AD499" s="74">
        <f t="shared" si="253"/>
        <v>4497.6000000000004</v>
      </c>
      <c r="AE499" s="74">
        <f t="shared" si="254"/>
        <v>87245.421205646388</v>
      </c>
      <c r="AF499" s="52">
        <f t="shared" si="255"/>
        <v>731103.36</v>
      </c>
      <c r="AG499" s="52">
        <f t="shared" si="256"/>
        <v>913879.2</v>
      </c>
    </row>
    <row r="500" spans="1:33" s="21" customFormat="1" x14ac:dyDescent="0.2">
      <c r="A500" s="114" t="s">
        <v>414</v>
      </c>
      <c r="B500" s="114"/>
      <c r="C500" s="114"/>
      <c r="D500" s="160">
        <v>1</v>
      </c>
      <c r="E500" s="161"/>
      <c r="F500" s="162">
        <v>0.2</v>
      </c>
      <c r="G500" s="162"/>
      <c r="H500" s="52">
        <v>89115</v>
      </c>
      <c r="I500" s="52">
        <f t="shared" si="245"/>
        <v>78777.66</v>
      </c>
      <c r="J500" s="52">
        <f t="shared" si="246"/>
        <v>63022.128000000004</v>
      </c>
      <c r="K500" s="61"/>
      <c r="L500" s="160">
        <v>0</v>
      </c>
      <c r="M500" s="55">
        <f t="shared" si="247"/>
        <v>0</v>
      </c>
      <c r="N500" s="55">
        <f t="shared" si="248"/>
        <v>0</v>
      </c>
      <c r="O500" s="95"/>
      <c r="P500" s="160">
        <v>0</v>
      </c>
      <c r="Q500" s="55">
        <f t="shared" si="249"/>
        <v>0</v>
      </c>
      <c r="R500" s="65">
        <f t="shared" si="250"/>
        <v>0</v>
      </c>
      <c r="S500" s="118">
        <v>25</v>
      </c>
      <c r="T500" s="121" t="s">
        <v>201</v>
      </c>
      <c r="U500" s="73">
        <f>SUMIF('Avoided Costs 2013-2021'!$A:$A,'2013 Actuals'!T500&amp;'2013 Actuals'!S500,'Avoided Costs 2013-2021'!$E:$E)*J500</f>
        <v>197709.40546385129</v>
      </c>
      <c r="V500" s="73">
        <f>SUMIF('Avoided Costs 2013-2021'!$A:$A,'2013 Actuals'!T500&amp;'2013 Actuals'!S500,'Avoided Costs 2013-2021'!$K:$K)*N500</f>
        <v>0</v>
      </c>
      <c r="W500" s="73">
        <f>SUMIF('Avoided Costs 2013-2021'!$A:$A,'2013 Actuals'!T500&amp;'2013 Actuals'!S500,'Avoided Costs 2013-2021'!$M:$M)*R500</f>
        <v>0</v>
      </c>
      <c r="X500" s="73">
        <f t="shared" si="251"/>
        <v>197709.40546385129</v>
      </c>
      <c r="Y500" s="83">
        <v>49222</v>
      </c>
      <c r="Z500" s="74">
        <f t="shared" si="252"/>
        <v>39377.600000000006</v>
      </c>
      <c r="AA500" s="74"/>
      <c r="AB500" s="74"/>
      <c r="AC500" s="74"/>
      <c r="AD500" s="74">
        <f t="shared" si="253"/>
        <v>39377.600000000006</v>
      </c>
      <c r="AE500" s="74">
        <f t="shared" si="254"/>
        <v>158331.80546385128</v>
      </c>
      <c r="AF500" s="52">
        <f t="shared" si="255"/>
        <v>1575553.2000000002</v>
      </c>
      <c r="AG500" s="52">
        <f t="shared" si="256"/>
        <v>1969441.5</v>
      </c>
    </row>
    <row r="501" spans="1:33" s="21" customFormat="1" x14ac:dyDescent="0.2">
      <c r="A501" s="114" t="s">
        <v>415</v>
      </c>
      <c r="B501" s="114"/>
      <c r="C501" s="114"/>
      <c r="D501" s="160">
        <v>1</v>
      </c>
      <c r="E501" s="161"/>
      <c r="F501" s="162">
        <v>0.2</v>
      </c>
      <c r="G501" s="162"/>
      <c r="H501" s="52">
        <v>16818</v>
      </c>
      <c r="I501" s="52">
        <f t="shared" si="245"/>
        <v>14867.112000000001</v>
      </c>
      <c r="J501" s="52">
        <f t="shared" si="246"/>
        <v>11893.689600000002</v>
      </c>
      <c r="K501" s="61"/>
      <c r="L501" s="160">
        <v>0</v>
      </c>
      <c r="M501" s="55">
        <f t="shared" si="247"/>
        <v>0</v>
      </c>
      <c r="N501" s="55">
        <f t="shared" si="248"/>
        <v>0</v>
      </c>
      <c r="O501" s="95"/>
      <c r="P501" s="160">
        <v>0</v>
      </c>
      <c r="Q501" s="55">
        <f t="shared" si="249"/>
        <v>0</v>
      </c>
      <c r="R501" s="65">
        <f t="shared" si="250"/>
        <v>0</v>
      </c>
      <c r="S501" s="118">
        <v>15</v>
      </c>
      <c r="T501" s="121" t="s">
        <v>201</v>
      </c>
      <c r="U501" s="73">
        <f>SUMIF('Avoided Costs 2013-2021'!$A:$A,'2013 Actuals'!T501&amp;'2013 Actuals'!S501,'Avoided Costs 2013-2021'!$E:$E)*J501</f>
        <v>26580.761488650045</v>
      </c>
      <c r="V501" s="73">
        <f>SUMIF('Avoided Costs 2013-2021'!$A:$A,'2013 Actuals'!T501&amp;'2013 Actuals'!S501,'Avoided Costs 2013-2021'!$K:$K)*N501</f>
        <v>0</v>
      </c>
      <c r="W501" s="73">
        <f>SUMIF('Avoided Costs 2013-2021'!$A:$A,'2013 Actuals'!T501&amp;'2013 Actuals'!S501,'Avoided Costs 2013-2021'!$M:$M)*R501</f>
        <v>0</v>
      </c>
      <c r="X501" s="73">
        <f t="shared" si="251"/>
        <v>26580.761488650045</v>
      </c>
      <c r="Y501" s="83">
        <v>3800</v>
      </c>
      <c r="Z501" s="74">
        <f t="shared" si="252"/>
        <v>3040</v>
      </c>
      <c r="AA501" s="74"/>
      <c r="AB501" s="74"/>
      <c r="AC501" s="74"/>
      <c r="AD501" s="74">
        <f t="shared" si="253"/>
        <v>3040</v>
      </c>
      <c r="AE501" s="74">
        <f t="shared" si="254"/>
        <v>23540.761488650045</v>
      </c>
      <c r="AF501" s="52">
        <f t="shared" si="255"/>
        <v>178405.34400000001</v>
      </c>
      <c r="AG501" s="52">
        <f t="shared" si="256"/>
        <v>223006.68000000002</v>
      </c>
    </row>
    <row r="502" spans="1:33" s="21" customFormat="1" x14ac:dyDescent="0.2">
      <c r="A502" s="114" t="s">
        <v>416</v>
      </c>
      <c r="B502" s="114"/>
      <c r="C502" s="114"/>
      <c r="D502" s="160">
        <v>1</v>
      </c>
      <c r="E502" s="161"/>
      <c r="F502" s="162">
        <v>0.2</v>
      </c>
      <c r="G502" s="162"/>
      <c r="H502" s="52">
        <v>39496</v>
      </c>
      <c r="I502" s="52">
        <f t="shared" si="245"/>
        <v>34914.464</v>
      </c>
      <c r="J502" s="52">
        <f t="shared" si="246"/>
        <v>27931.571200000002</v>
      </c>
      <c r="K502" s="61"/>
      <c r="L502" s="160">
        <v>42541</v>
      </c>
      <c r="M502" s="55">
        <f t="shared" si="247"/>
        <v>42541</v>
      </c>
      <c r="N502" s="55">
        <f t="shared" si="248"/>
        <v>34032.800000000003</v>
      </c>
      <c r="O502" s="95"/>
      <c r="P502" s="160">
        <v>0</v>
      </c>
      <c r="Q502" s="55">
        <f t="shared" si="249"/>
        <v>0</v>
      </c>
      <c r="R502" s="65">
        <f t="shared" si="250"/>
        <v>0</v>
      </c>
      <c r="S502" s="118">
        <v>15</v>
      </c>
      <c r="T502" s="121" t="s">
        <v>201</v>
      </c>
      <c r="U502" s="73">
        <f>SUMIF('Avoided Costs 2013-2021'!$A:$A,'2013 Actuals'!T502&amp;'2013 Actuals'!S502,'Avoided Costs 2013-2021'!$E:$E)*J502</f>
        <v>62423.22248517791</v>
      </c>
      <c r="V502" s="73">
        <f>SUMIF('Avoided Costs 2013-2021'!$A:$A,'2013 Actuals'!T502&amp;'2013 Actuals'!S502,'Avoided Costs 2013-2021'!$K:$K)*N502</f>
        <v>35628.722856715365</v>
      </c>
      <c r="W502" s="73">
        <f>SUMIF('Avoided Costs 2013-2021'!$A:$A,'2013 Actuals'!T502&amp;'2013 Actuals'!S502,'Avoided Costs 2013-2021'!$M:$M)*R502</f>
        <v>0</v>
      </c>
      <c r="X502" s="73">
        <f t="shared" si="251"/>
        <v>98051.945341893268</v>
      </c>
      <c r="Y502" s="83">
        <v>7350</v>
      </c>
      <c r="Z502" s="74">
        <f t="shared" si="252"/>
        <v>5880</v>
      </c>
      <c r="AA502" s="74"/>
      <c r="AB502" s="74"/>
      <c r="AC502" s="74"/>
      <c r="AD502" s="74">
        <f t="shared" si="253"/>
        <v>5880</v>
      </c>
      <c r="AE502" s="74">
        <f t="shared" si="254"/>
        <v>92171.945341893268</v>
      </c>
      <c r="AF502" s="52">
        <f t="shared" si="255"/>
        <v>418973.56800000003</v>
      </c>
      <c r="AG502" s="52">
        <f t="shared" si="256"/>
        <v>523716.96</v>
      </c>
    </row>
    <row r="503" spans="1:33" s="21" customFormat="1" x14ac:dyDescent="0.2">
      <c r="A503" s="114" t="s">
        <v>417</v>
      </c>
      <c r="B503" s="114"/>
      <c r="C503" s="114"/>
      <c r="D503" s="160">
        <v>1</v>
      </c>
      <c r="E503" s="161"/>
      <c r="F503" s="162">
        <v>0.2</v>
      </c>
      <c r="G503" s="162"/>
      <c r="H503" s="52">
        <v>25875</v>
      </c>
      <c r="I503" s="52">
        <f t="shared" si="245"/>
        <v>22873.5</v>
      </c>
      <c r="J503" s="52">
        <f t="shared" si="246"/>
        <v>18298.8</v>
      </c>
      <c r="K503" s="61"/>
      <c r="L503" s="160">
        <v>21271</v>
      </c>
      <c r="M503" s="55">
        <f t="shared" si="247"/>
        <v>21271</v>
      </c>
      <c r="N503" s="55">
        <f t="shared" si="248"/>
        <v>17016.8</v>
      </c>
      <c r="O503" s="95"/>
      <c r="P503" s="160">
        <v>0</v>
      </c>
      <c r="Q503" s="55">
        <f t="shared" si="249"/>
        <v>0</v>
      </c>
      <c r="R503" s="65">
        <f t="shared" si="250"/>
        <v>0</v>
      </c>
      <c r="S503" s="118">
        <v>15</v>
      </c>
      <c r="T503" s="121" t="s">
        <v>201</v>
      </c>
      <c r="U503" s="73">
        <f>SUMIF('Avoided Costs 2013-2021'!$A:$A,'2013 Actuals'!T503&amp;'2013 Actuals'!S503,'Avoided Costs 2013-2021'!$E:$E)*J503</f>
        <v>40895.302861149947</v>
      </c>
      <c r="V503" s="73">
        <f>SUMIF('Avoided Costs 2013-2021'!$A:$A,'2013 Actuals'!T503&amp;'2013 Actuals'!S503,'Avoided Costs 2013-2021'!$K:$K)*N503</f>
        <v>17814.780185825261</v>
      </c>
      <c r="W503" s="73">
        <f>SUMIF('Avoided Costs 2013-2021'!$A:$A,'2013 Actuals'!T503&amp;'2013 Actuals'!S503,'Avoided Costs 2013-2021'!$M:$M)*R503</f>
        <v>0</v>
      </c>
      <c r="X503" s="73">
        <f t="shared" si="251"/>
        <v>58710.083046975211</v>
      </c>
      <c r="Y503" s="83">
        <v>82250</v>
      </c>
      <c r="Z503" s="74">
        <f t="shared" si="252"/>
        <v>65800</v>
      </c>
      <c r="AA503" s="74"/>
      <c r="AB503" s="74"/>
      <c r="AC503" s="74"/>
      <c r="AD503" s="74">
        <f t="shared" si="253"/>
        <v>65800</v>
      </c>
      <c r="AE503" s="74">
        <f t="shared" si="254"/>
        <v>-7089.9169530247891</v>
      </c>
      <c r="AF503" s="52">
        <f t="shared" si="255"/>
        <v>274482</v>
      </c>
      <c r="AG503" s="52">
        <f t="shared" si="256"/>
        <v>343102.5</v>
      </c>
    </row>
    <row r="504" spans="1:33" s="21" customFormat="1" x14ac:dyDescent="0.2">
      <c r="A504" s="114" t="s">
        <v>418</v>
      </c>
      <c r="B504" s="114"/>
      <c r="C504" s="114"/>
      <c r="D504" s="160">
        <v>1</v>
      </c>
      <c r="E504" s="161"/>
      <c r="F504" s="162">
        <v>0.2</v>
      </c>
      <c r="G504" s="162"/>
      <c r="H504" s="52">
        <v>25304</v>
      </c>
      <c r="I504" s="52">
        <f t="shared" si="245"/>
        <v>22368.736000000001</v>
      </c>
      <c r="J504" s="52">
        <f t="shared" si="246"/>
        <v>17894.988800000003</v>
      </c>
      <c r="K504" s="61"/>
      <c r="L504" s="160">
        <v>0</v>
      </c>
      <c r="M504" s="55">
        <f t="shared" si="247"/>
        <v>0</v>
      </c>
      <c r="N504" s="55">
        <f t="shared" si="248"/>
        <v>0</v>
      </c>
      <c r="O504" s="95"/>
      <c r="P504" s="160">
        <v>0</v>
      </c>
      <c r="Q504" s="55">
        <f t="shared" si="249"/>
        <v>0</v>
      </c>
      <c r="R504" s="65">
        <f t="shared" si="250"/>
        <v>0</v>
      </c>
      <c r="S504" s="118">
        <v>25</v>
      </c>
      <c r="T504" s="121" t="s">
        <v>201</v>
      </c>
      <c r="U504" s="73">
        <f>SUMIF('Avoided Costs 2013-2021'!$A:$A,'2013 Actuals'!T504&amp;'2013 Actuals'!S504,'Avoided Costs 2013-2021'!$E:$E)*J504</f>
        <v>56139.132535008626</v>
      </c>
      <c r="V504" s="73">
        <f>SUMIF('Avoided Costs 2013-2021'!$A:$A,'2013 Actuals'!T504&amp;'2013 Actuals'!S504,'Avoided Costs 2013-2021'!$K:$K)*N504</f>
        <v>0</v>
      </c>
      <c r="W504" s="73">
        <f>SUMIF('Avoided Costs 2013-2021'!$A:$A,'2013 Actuals'!T504&amp;'2013 Actuals'!S504,'Avoided Costs 2013-2021'!$M:$M)*R504</f>
        <v>0</v>
      </c>
      <c r="X504" s="73">
        <f t="shared" si="251"/>
        <v>56139.132535008626</v>
      </c>
      <c r="Y504" s="83">
        <v>6893</v>
      </c>
      <c r="Z504" s="74">
        <f t="shared" si="252"/>
        <v>5514.4000000000005</v>
      </c>
      <c r="AA504" s="74"/>
      <c r="AB504" s="74"/>
      <c r="AC504" s="74"/>
      <c r="AD504" s="74">
        <f t="shared" si="253"/>
        <v>5514.4000000000005</v>
      </c>
      <c r="AE504" s="74">
        <f t="shared" si="254"/>
        <v>50624.732535008625</v>
      </c>
      <c r="AF504" s="52">
        <f t="shared" si="255"/>
        <v>447374.72000000009</v>
      </c>
      <c r="AG504" s="52">
        <f t="shared" si="256"/>
        <v>559218.4</v>
      </c>
    </row>
    <row r="505" spans="1:33" s="21" customFormat="1" x14ac:dyDescent="0.2">
      <c r="A505" s="114" t="s">
        <v>419</v>
      </c>
      <c r="B505" s="114"/>
      <c r="C505" s="114"/>
      <c r="D505" s="160">
        <v>0</v>
      </c>
      <c r="E505" s="161"/>
      <c r="F505" s="162">
        <v>0.2</v>
      </c>
      <c r="G505" s="162"/>
      <c r="H505" s="52">
        <v>9697</v>
      </c>
      <c r="I505" s="52">
        <f t="shared" si="245"/>
        <v>8572.1479999999992</v>
      </c>
      <c r="J505" s="52">
        <f t="shared" si="246"/>
        <v>6857.7183999999997</v>
      </c>
      <c r="K505" s="61"/>
      <c r="L505" s="160">
        <v>0</v>
      </c>
      <c r="M505" s="55">
        <f t="shared" si="247"/>
        <v>0</v>
      </c>
      <c r="N505" s="55">
        <f t="shared" si="248"/>
        <v>0</v>
      </c>
      <c r="O505" s="95"/>
      <c r="P505" s="160">
        <v>0</v>
      </c>
      <c r="Q505" s="55">
        <f t="shared" si="249"/>
        <v>0</v>
      </c>
      <c r="R505" s="65">
        <f t="shared" si="250"/>
        <v>0</v>
      </c>
      <c r="S505" s="118">
        <v>15</v>
      </c>
      <c r="T505" s="121" t="s">
        <v>217</v>
      </c>
      <c r="U505" s="73">
        <f>SUMIF('Avoided Costs 2013-2021'!$A:$A,'2013 Actuals'!T505&amp;'2013 Actuals'!S505,'Avoided Costs 2013-2021'!$E:$E)*J505</f>
        <v>14385.928141837489</v>
      </c>
      <c r="V505" s="73">
        <f>SUMIF('Avoided Costs 2013-2021'!$A:$A,'2013 Actuals'!T505&amp;'2013 Actuals'!S505,'Avoided Costs 2013-2021'!$K:$K)*N505</f>
        <v>0</v>
      </c>
      <c r="W505" s="73">
        <f>SUMIF('Avoided Costs 2013-2021'!$A:$A,'2013 Actuals'!T505&amp;'2013 Actuals'!S505,'Avoided Costs 2013-2021'!$M:$M)*R505</f>
        <v>0</v>
      </c>
      <c r="X505" s="73">
        <f t="shared" si="251"/>
        <v>14385.928141837489</v>
      </c>
      <c r="Y505" s="83">
        <v>5000</v>
      </c>
      <c r="Z505" s="74">
        <f t="shared" si="252"/>
        <v>4000</v>
      </c>
      <c r="AA505" s="74"/>
      <c r="AB505" s="74"/>
      <c r="AC505" s="74"/>
      <c r="AD505" s="74">
        <f t="shared" si="253"/>
        <v>4000</v>
      </c>
      <c r="AE505" s="74">
        <f t="shared" si="254"/>
        <v>10385.928141837489</v>
      </c>
      <c r="AF505" s="52">
        <f t="shared" si="255"/>
        <v>102865.776</v>
      </c>
      <c r="AG505" s="52">
        <f t="shared" si="256"/>
        <v>128582.21999999999</v>
      </c>
    </row>
    <row r="506" spans="1:33" s="21" customFormat="1" x14ac:dyDescent="0.2">
      <c r="A506" s="114" t="s">
        <v>420</v>
      </c>
      <c r="B506" s="114"/>
      <c r="C506" s="114"/>
      <c r="D506" s="160">
        <v>0</v>
      </c>
      <c r="E506" s="161"/>
      <c r="F506" s="162">
        <v>0.2</v>
      </c>
      <c r="G506" s="162"/>
      <c r="H506" s="52">
        <v>3000</v>
      </c>
      <c r="I506" s="52">
        <f t="shared" si="245"/>
        <v>2652</v>
      </c>
      <c r="J506" s="52">
        <f t="shared" si="246"/>
        <v>2121.6</v>
      </c>
      <c r="K506" s="61"/>
      <c r="L506" s="160">
        <v>5274</v>
      </c>
      <c r="M506" s="55">
        <f t="shared" si="247"/>
        <v>5274</v>
      </c>
      <c r="N506" s="55">
        <f t="shared" si="248"/>
        <v>4219.2</v>
      </c>
      <c r="O506" s="95"/>
      <c r="P506" s="160">
        <v>0</v>
      </c>
      <c r="Q506" s="55">
        <f t="shared" si="249"/>
        <v>0</v>
      </c>
      <c r="R506" s="65">
        <f t="shared" si="250"/>
        <v>0</v>
      </c>
      <c r="S506" s="118">
        <v>15</v>
      </c>
      <c r="T506" s="121" t="s">
        <v>201</v>
      </c>
      <c r="U506" s="73">
        <f>SUMIF('Avoided Costs 2013-2021'!$A:$A,'2013 Actuals'!T506&amp;'2013 Actuals'!S506,'Avoided Costs 2013-2021'!$E:$E)*J506</f>
        <v>4741.484389698544</v>
      </c>
      <c r="V506" s="73">
        <f>SUMIF('Avoided Costs 2013-2021'!$A:$A,'2013 Actuals'!T506&amp;'2013 Actuals'!S506,'Avoided Costs 2013-2021'!$K:$K)*N506</f>
        <v>4417.0537680429898</v>
      </c>
      <c r="W506" s="73">
        <f>SUMIF('Avoided Costs 2013-2021'!$A:$A,'2013 Actuals'!T506&amp;'2013 Actuals'!S506,'Avoided Costs 2013-2021'!$M:$M)*R506</f>
        <v>0</v>
      </c>
      <c r="X506" s="73">
        <f t="shared" si="251"/>
        <v>9158.5381577415337</v>
      </c>
      <c r="Y506" s="83">
        <v>8000</v>
      </c>
      <c r="Z506" s="74">
        <f t="shared" si="252"/>
        <v>6400</v>
      </c>
      <c r="AA506" s="74"/>
      <c r="AB506" s="74"/>
      <c r="AC506" s="74"/>
      <c r="AD506" s="74">
        <f t="shared" si="253"/>
        <v>6400</v>
      </c>
      <c r="AE506" s="74">
        <f t="shared" si="254"/>
        <v>2758.5381577415337</v>
      </c>
      <c r="AF506" s="52">
        <f t="shared" si="255"/>
        <v>31824</v>
      </c>
      <c r="AG506" s="52">
        <f t="shared" si="256"/>
        <v>39780</v>
      </c>
    </row>
    <row r="507" spans="1:33" s="21" customFormat="1" x14ac:dyDescent="0.2">
      <c r="A507" s="114" t="s">
        <v>421</v>
      </c>
      <c r="B507" s="114"/>
      <c r="C507" s="114"/>
      <c r="D507" s="160">
        <v>1</v>
      </c>
      <c r="E507" s="161"/>
      <c r="F507" s="162">
        <v>0.2</v>
      </c>
      <c r="G507" s="162"/>
      <c r="H507" s="52">
        <v>15241</v>
      </c>
      <c r="I507" s="52">
        <f t="shared" si="245"/>
        <v>13473.044</v>
      </c>
      <c r="J507" s="52">
        <f t="shared" si="246"/>
        <v>10778.4352</v>
      </c>
      <c r="K507" s="61"/>
      <c r="L507" s="160">
        <v>0</v>
      </c>
      <c r="M507" s="55">
        <f t="shared" si="247"/>
        <v>0</v>
      </c>
      <c r="N507" s="55">
        <f t="shared" si="248"/>
        <v>0</v>
      </c>
      <c r="O507" s="95"/>
      <c r="P507" s="160">
        <v>0</v>
      </c>
      <c r="Q507" s="55">
        <f t="shared" si="249"/>
        <v>0</v>
      </c>
      <c r="R507" s="65">
        <f t="shared" si="250"/>
        <v>0</v>
      </c>
      <c r="S507" s="118">
        <v>15</v>
      </c>
      <c r="T507" s="121" t="s">
        <v>201</v>
      </c>
      <c r="U507" s="73">
        <f>SUMIF('Avoided Costs 2013-2021'!$A:$A,'2013 Actuals'!T507&amp;'2013 Actuals'!S507,'Avoided Costs 2013-2021'!$E:$E)*J507</f>
        <v>24088.32119446517</v>
      </c>
      <c r="V507" s="73">
        <f>SUMIF('Avoided Costs 2013-2021'!$A:$A,'2013 Actuals'!T507&amp;'2013 Actuals'!S507,'Avoided Costs 2013-2021'!$K:$K)*N507</f>
        <v>0</v>
      </c>
      <c r="W507" s="73">
        <f>SUMIF('Avoided Costs 2013-2021'!$A:$A,'2013 Actuals'!T507&amp;'2013 Actuals'!S507,'Avoided Costs 2013-2021'!$M:$M)*R507</f>
        <v>0</v>
      </c>
      <c r="X507" s="73">
        <f t="shared" si="251"/>
        <v>24088.32119446517</v>
      </c>
      <c r="Y507" s="83">
        <v>5000</v>
      </c>
      <c r="Z507" s="74">
        <f t="shared" si="252"/>
        <v>4000</v>
      </c>
      <c r="AA507" s="74"/>
      <c r="AB507" s="74"/>
      <c r="AC507" s="74"/>
      <c r="AD507" s="74">
        <f t="shared" si="253"/>
        <v>4000</v>
      </c>
      <c r="AE507" s="74">
        <f t="shared" si="254"/>
        <v>20088.32119446517</v>
      </c>
      <c r="AF507" s="52">
        <f t="shared" si="255"/>
        <v>161676.52799999999</v>
      </c>
      <c r="AG507" s="52">
        <f t="shared" si="256"/>
        <v>202095.66</v>
      </c>
    </row>
    <row r="508" spans="1:33" s="21" customFormat="1" x14ac:dyDescent="0.2">
      <c r="A508" s="114" t="s">
        <v>422</v>
      </c>
      <c r="B508" s="114"/>
      <c r="C508" s="114"/>
      <c r="D508" s="160">
        <v>0</v>
      </c>
      <c r="E508" s="161"/>
      <c r="F508" s="162">
        <v>0.2</v>
      </c>
      <c r="G508" s="162"/>
      <c r="H508" s="52">
        <v>3988</v>
      </c>
      <c r="I508" s="52">
        <f t="shared" si="245"/>
        <v>3525.3919999999998</v>
      </c>
      <c r="J508" s="52">
        <f t="shared" si="246"/>
        <v>2820.3136</v>
      </c>
      <c r="K508" s="61"/>
      <c r="L508" s="160">
        <v>0</v>
      </c>
      <c r="M508" s="55">
        <f t="shared" si="247"/>
        <v>0</v>
      </c>
      <c r="N508" s="55">
        <f t="shared" si="248"/>
        <v>0</v>
      </c>
      <c r="O508" s="95"/>
      <c r="P508" s="160">
        <v>0</v>
      </c>
      <c r="Q508" s="55">
        <f t="shared" si="249"/>
        <v>0</v>
      </c>
      <c r="R508" s="65">
        <f t="shared" si="250"/>
        <v>0</v>
      </c>
      <c r="S508" s="118">
        <v>15</v>
      </c>
      <c r="T508" s="121" t="s">
        <v>201</v>
      </c>
      <c r="U508" s="73">
        <f>SUMIF('Avoided Costs 2013-2021'!$A:$A,'2013 Actuals'!T508&amp;'2013 Actuals'!S508,'Avoided Costs 2013-2021'!$E:$E)*J508</f>
        <v>6303.0132487059318</v>
      </c>
      <c r="V508" s="73">
        <f>SUMIF('Avoided Costs 2013-2021'!$A:$A,'2013 Actuals'!T508&amp;'2013 Actuals'!S508,'Avoided Costs 2013-2021'!$K:$K)*N508</f>
        <v>0</v>
      </c>
      <c r="W508" s="73">
        <f>SUMIF('Avoided Costs 2013-2021'!$A:$A,'2013 Actuals'!T508&amp;'2013 Actuals'!S508,'Avoided Costs 2013-2021'!$M:$M)*R508</f>
        <v>0</v>
      </c>
      <c r="X508" s="73">
        <f t="shared" si="251"/>
        <v>6303.0132487059318</v>
      </c>
      <c r="Y508" s="83">
        <v>10000</v>
      </c>
      <c r="Z508" s="74">
        <f t="shared" si="252"/>
        <v>8000</v>
      </c>
      <c r="AA508" s="74"/>
      <c r="AB508" s="74"/>
      <c r="AC508" s="74"/>
      <c r="AD508" s="74">
        <f t="shared" si="253"/>
        <v>8000</v>
      </c>
      <c r="AE508" s="74">
        <f t="shared" si="254"/>
        <v>-1696.9867512940682</v>
      </c>
      <c r="AF508" s="52">
        <f t="shared" si="255"/>
        <v>42304.703999999998</v>
      </c>
      <c r="AG508" s="52">
        <f t="shared" si="256"/>
        <v>52880.88</v>
      </c>
    </row>
    <row r="509" spans="1:33" s="21" customFormat="1" x14ac:dyDescent="0.2">
      <c r="A509" s="114" t="s">
        <v>423</v>
      </c>
      <c r="B509" s="114"/>
      <c r="C509" s="114"/>
      <c r="D509" s="160">
        <v>0</v>
      </c>
      <c r="E509" s="161"/>
      <c r="F509" s="162">
        <v>0.2</v>
      </c>
      <c r="G509" s="162"/>
      <c r="H509" s="52">
        <v>1771</v>
      </c>
      <c r="I509" s="52">
        <f t="shared" si="245"/>
        <v>1565.5640000000001</v>
      </c>
      <c r="J509" s="52">
        <f t="shared" si="246"/>
        <v>1252.4512000000002</v>
      </c>
      <c r="K509" s="61"/>
      <c r="L509" s="160">
        <v>0</v>
      </c>
      <c r="M509" s="55">
        <f t="shared" si="247"/>
        <v>0</v>
      </c>
      <c r="N509" s="55">
        <f t="shared" si="248"/>
        <v>0</v>
      </c>
      <c r="O509" s="95"/>
      <c r="P509" s="160">
        <v>0</v>
      </c>
      <c r="Q509" s="55">
        <f t="shared" si="249"/>
        <v>0</v>
      </c>
      <c r="R509" s="65">
        <f t="shared" si="250"/>
        <v>0</v>
      </c>
      <c r="S509" s="118">
        <v>15</v>
      </c>
      <c r="T509" s="121" t="s">
        <v>217</v>
      </c>
      <c r="U509" s="73">
        <f>SUMIF('Avoided Costs 2013-2021'!$A:$A,'2013 Actuals'!T509&amp;'2013 Actuals'!S509,'Avoided Costs 2013-2021'!$E:$E)*J509</f>
        <v>2627.3567844894501</v>
      </c>
      <c r="V509" s="73">
        <f>SUMIF('Avoided Costs 2013-2021'!$A:$A,'2013 Actuals'!T509&amp;'2013 Actuals'!S509,'Avoided Costs 2013-2021'!$K:$K)*N509</f>
        <v>0</v>
      </c>
      <c r="W509" s="73">
        <f>SUMIF('Avoided Costs 2013-2021'!$A:$A,'2013 Actuals'!T509&amp;'2013 Actuals'!S509,'Avoided Costs 2013-2021'!$M:$M)*R509</f>
        <v>0</v>
      </c>
      <c r="X509" s="73">
        <f t="shared" si="251"/>
        <v>2627.3567844894501</v>
      </c>
      <c r="Y509" s="83">
        <v>2450</v>
      </c>
      <c r="Z509" s="74">
        <f t="shared" si="252"/>
        <v>1960</v>
      </c>
      <c r="AA509" s="74"/>
      <c r="AB509" s="74"/>
      <c r="AC509" s="74"/>
      <c r="AD509" s="74">
        <f t="shared" si="253"/>
        <v>1960</v>
      </c>
      <c r="AE509" s="74">
        <f t="shared" si="254"/>
        <v>667.35678448945009</v>
      </c>
      <c r="AF509" s="52">
        <f t="shared" si="255"/>
        <v>18786.768000000004</v>
      </c>
      <c r="AG509" s="52">
        <f t="shared" si="256"/>
        <v>23483.460000000003</v>
      </c>
    </row>
    <row r="510" spans="1:33" s="21" customFormat="1" x14ac:dyDescent="0.2">
      <c r="A510" s="114" t="s">
        <v>424</v>
      </c>
      <c r="B510" s="114"/>
      <c r="C510" s="114"/>
      <c r="D510" s="160">
        <v>1</v>
      </c>
      <c r="E510" s="161"/>
      <c r="F510" s="162">
        <v>0.2</v>
      </c>
      <c r="G510" s="162"/>
      <c r="H510" s="52">
        <v>40342</v>
      </c>
      <c r="I510" s="52">
        <f t="shared" si="245"/>
        <v>35662.328000000001</v>
      </c>
      <c r="J510" s="52">
        <f t="shared" si="246"/>
        <v>28529.862400000002</v>
      </c>
      <c r="K510" s="61"/>
      <c r="L510" s="160">
        <v>21855</v>
      </c>
      <c r="M510" s="55">
        <f t="shared" si="247"/>
        <v>21855</v>
      </c>
      <c r="N510" s="55">
        <f t="shared" si="248"/>
        <v>17484</v>
      </c>
      <c r="O510" s="95"/>
      <c r="P510" s="160">
        <v>0</v>
      </c>
      <c r="Q510" s="55">
        <f t="shared" si="249"/>
        <v>0</v>
      </c>
      <c r="R510" s="65">
        <f t="shared" si="250"/>
        <v>0</v>
      </c>
      <c r="S510" s="118">
        <v>15</v>
      </c>
      <c r="T510" s="121" t="s">
        <v>201</v>
      </c>
      <c r="U510" s="73">
        <f>SUMIF('Avoided Costs 2013-2021'!$A:$A,'2013 Actuals'!T510&amp;'2013 Actuals'!S510,'Avoided Costs 2013-2021'!$E:$E)*J510</f>
        <v>63760.3210830729</v>
      </c>
      <c r="V510" s="73">
        <f>SUMIF('Avoided Costs 2013-2021'!$A:$A,'2013 Actuals'!T510&amp;'2013 Actuals'!S510,'Avoided Costs 2013-2021'!$K:$K)*N510</f>
        <v>18303.888907959717</v>
      </c>
      <c r="W510" s="73">
        <f>SUMIF('Avoided Costs 2013-2021'!$A:$A,'2013 Actuals'!T510&amp;'2013 Actuals'!S510,'Avoided Costs 2013-2021'!$M:$M)*R510</f>
        <v>0</v>
      </c>
      <c r="X510" s="73">
        <f t="shared" si="251"/>
        <v>82064.209991032621</v>
      </c>
      <c r="Y510" s="83">
        <v>17000</v>
      </c>
      <c r="Z510" s="74">
        <f t="shared" si="252"/>
        <v>13600</v>
      </c>
      <c r="AA510" s="74"/>
      <c r="AB510" s="74"/>
      <c r="AC510" s="74"/>
      <c r="AD510" s="74">
        <f t="shared" si="253"/>
        <v>13600</v>
      </c>
      <c r="AE510" s="74">
        <f t="shared" si="254"/>
        <v>68464.209991032621</v>
      </c>
      <c r="AF510" s="52">
        <f t="shared" si="255"/>
        <v>427947.93600000005</v>
      </c>
      <c r="AG510" s="52">
        <f t="shared" si="256"/>
        <v>534934.92000000004</v>
      </c>
    </row>
    <row r="511" spans="1:33" s="21" customFormat="1" x14ac:dyDescent="0.2">
      <c r="A511" s="114" t="s">
        <v>425</v>
      </c>
      <c r="B511" s="114"/>
      <c r="C511" s="114"/>
      <c r="D511" s="160">
        <v>1</v>
      </c>
      <c r="E511" s="161"/>
      <c r="F511" s="162">
        <v>0.2</v>
      </c>
      <c r="G511" s="162"/>
      <c r="H511" s="52">
        <v>6506</v>
      </c>
      <c r="I511" s="52">
        <f t="shared" si="245"/>
        <v>5751.3040000000001</v>
      </c>
      <c r="J511" s="52">
        <f t="shared" si="246"/>
        <v>4601.0432000000001</v>
      </c>
      <c r="K511" s="61"/>
      <c r="L511" s="160">
        <v>0</v>
      </c>
      <c r="M511" s="55">
        <f t="shared" si="247"/>
        <v>0</v>
      </c>
      <c r="N511" s="55">
        <f t="shared" si="248"/>
        <v>0</v>
      </c>
      <c r="O511" s="95"/>
      <c r="P511" s="160">
        <v>0</v>
      </c>
      <c r="Q511" s="55">
        <f t="shared" si="249"/>
        <v>0</v>
      </c>
      <c r="R511" s="65">
        <f t="shared" si="250"/>
        <v>0</v>
      </c>
      <c r="S511" s="118">
        <v>25</v>
      </c>
      <c r="T511" s="121" t="s">
        <v>217</v>
      </c>
      <c r="U511" s="73">
        <f>SUMIF('Avoided Costs 2013-2021'!$A:$A,'2013 Actuals'!T511&amp;'2013 Actuals'!S511,'Avoided Costs 2013-2021'!$E:$E)*J511</f>
        <v>13545.79718865052</v>
      </c>
      <c r="V511" s="73">
        <f>SUMIF('Avoided Costs 2013-2021'!$A:$A,'2013 Actuals'!T511&amp;'2013 Actuals'!S511,'Avoided Costs 2013-2021'!$K:$K)*N511</f>
        <v>0</v>
      </c>
      <c r="W511" s="73">
        <f>SUMIF('Avoided Costs 2013-2021'!$A:$A,'2013 Actuals'!T511&amp;'2013 Actuals'!S511,'Avoided Costs 2013-2021'!$M:$M)*R511</f>
        <v>0</v>
      </c>
      <c r="X511" s="73">
        <f t="shared" si="251"/>
        <v>13545.79718865052</v>
      </c>
      <c r="Y511" s="83">
        <v>3856</v>
      </c>
      <c r="Z511" s="74">
        <f t="shared" si="252"/>
        <v>3084.8</v>
      </c>
      <c r="AA511" s="74"/>
      <c r="AB511" s="74"/>
      <c r="AC511" s="74"/>
      <c r="AD511" s="74">
        <f t="shared" si="253"/>
        <v>3084.8</v>
      </c>
      <c r="AE511" s="74">
        <f t="shared" si="254"/>
        <v>10460.997188650519</v>
      </c>
      <c r="AF511" s="52">
        <f t="shared" si="255"/>
        <v>115026.08</v>
      </c>
      <c r="AG511" s="52">
        <f t="shared" si="256"/>
        <v>143782.6</v>
      </c>
    </row>
    <row r="512" spans="1:33" s="21" customFormat="1" x14ac:dyDescent="0.2">
      <c r="A512" s="114" t="s">
        <v>426</v>
      </c>
      <c r="B512" s="114"/>
      <c r="C512" s="114"/>
      <c r="D512" s="160">
        <v>1</v>
      </c>
      <c r="E512" s="161"/>
      <c r="F512" s="162">
        <v>0.2</v>
      </c>
      <c r="G512" s="162"/>
      <c r="H512" s="52">
        <v>47871</v>
      </c>
      <c r="I512" s="52">
        <f t="shared" si="245"/>
        <v>42317.964</v>
      </c>
      <c r="J512" s="52">
        <f t="shared" si="246"/>
        <v>33854.371200000001</v>
      </c>
      <c r="K512" s="61"/>
      <c r="L512" s="160">
        <v>0</v>
      </c>
      <c r="M512" s="55">
        <f t="shared" si="247"/>
        <v>0</v>
      </c>
      <c r="N512" s="55">
        <f t="shared" si="248"/>
        <v>0</v>
      </c>
      <c r="O512" s="95"/>
      <c r="P512" s="160">
        <v>0</v>
      </c>
      <c r="Q512" s="55">
        <f t="shared" si="249"/>
        <v>0</v>
      </c>
      <c r="R512" s="65">
        <f t="shared" si="250"/>
        <v>0</v>
      </c>
      <c r="S512" s="118">
        <v>25</v>
      </c>
      <c r="T512" s="121" t="s">
        <v>201</v>
      </c>
      <c r="U512" s="73">
        <f>SUMIF('Avoided Costs 2013-2021'!$A:$A,'2013 Actuals'!T512&amp;'2013 Actuals'!S512,'Avoided Costs 2013-2021'!$E:$E)*J512</f>
        <v>106205.99168445295</v>
      </c>
      <c r="V512" s="73">
        <f>SUMIF('Avoided Costs 2013-2021'!$A:$A,'2013 Actuals'!T512&amp;'2013 Actuals'!S512,'Avoided Costs 2013-2021'!$K:$K)*N512</f>
        <v>0</v>
      </c>
      <c r="W512" s="73">
        <f>SUMIF('Avoided Costs 2013-2021'!$A:$A,'2013 Actuals'!T512&amp;'2013 Actuals'!S512,'Avoided Costs 2013-2021'!$M:$M)*R512</f>
        <v>0</v>
      </c>
      <c r="X512" s="73">
        <f t="shared" si="251"/>
        <v>106205.99168445295</v>
      </c>
      <c r="Y512" s="83">
        <v>884</v>
      </c>
      <c r="Z512" s="74">
        <f t="shared" si="252"/>
        <v>707.2</v>
      </c>
      <c r="AA512" s="74"/>
      <c r="AB512" s="74"/>
      <c r="AC512" s="74"/>
      <c r="AD512" s="74">
        <f t="shared" si="253"/>
        <v>707.2</v>
      </c>
      <c r="AE512" s="74">
        <f t="shared" si="254"/>
        <v>105498.79168445295</v>
      </c>
      <c r="AF512" s="52">
        <f t="shared" si="255"/>
        <v>846359.28</v>
      </c>
      <c r="AG512" s="52">
        <f t="shared" si="256"/>
        <v>1057949.1000000001</v>
      </c>
    </row>
    <row r="513" spans="1:33" s="21" customFormat="1" x14ac:dyDescent="0.2">
      <c r="A513" s="114" t="s">
        <v>427</v>
      </c>
      <c r="B513" s="114"/>
      <c r="C513" s="114"/>
      <c r="D513" s="160">
        <v>0</v>
      </c>
      <c r="E513" s="161"/>
      <c r="F513" s="162">
        <v>0.2</v>
      </c>
      <c r="G513" s="162"/>
      <c r="H513" s="52">
        <v>3899</v>
      </c>
      <c r="I513" s="52">
        <f t="shared" si="245"/>
        <v>3446.7159999999999</v>
      </c>
      <c r="J513" s="52">
        <f t="shared" si="246"/>
        <v>2757.3728000000001</v>
      </c>
      <c r="K513" s="61"/>
      <c r="L513" s="160">
        <v>0</v>
      </c>
      <c r="M513" s="55">
        <f t="shared" si="247"/>
        <v>0</v>
      </c>
      <c r="N513" s="55">
        <f t="shared" si="248"/>
        <v>0</v>
      </c>
      <c r="O513" s="95"/>
      <c r="P513" s="160">
        <v>0</v>
      </c>
      <c r="Q513" s="55">
        <f t="shared" si="249"/>
        <v>0</v>
      </c>
      <c r="R513" s="65">
        <f t="shared" si="250"/>
        <v>0</v>
      </c>
      <c r="S513" s="118">
        <v>15</v>
      </c>
      <c r="T513" s="121" t="s">
        <v>201</v>
      </c>
      <c r="U513" s="73">
        <f>SUMIF('Avoided Costs 2013-2021'!$A:$A,'2013 Actuals'!T513&amp;'2013 Actuals'!S513,'Avoided Costs 2013-2021'!$E:$E)*J513</f>
        <v>6162.3492118115419</v>
      </c>
      <c r="V513" s="73">
        <f>SUMIF('Avoided Costs 2013-2021'!$A:$A,'2013 Actuals'!T513&amp;'2013 Actuals'!S513,'Avoided Costs 2013-2021'!$K:$K)*N513</f>
        <v>0</v>
      </c>
      <c r="W513" s="73">
        <f>SUMIF('Avoided Costs 2013-2021'!$A:$A,'2013 Actuals'!T513&amp;'2013 Actuals'!S513,'Avoided Costs 2013-2021'!$M:$M)*R513</f>
        <v>0</v>
      </c>
      <c r="X513" s="73">
        <f t="shared" si="251"/>
        <v>6162.3492118115419</v>
      </c>
      <c r="Y513" s="83">
        <v>10000</v>
      </c>
      <c r="Z513" s="74">
        <f t="shared" si="252"/>
        <v>8000</v>
      </c>
      <c r="AA513" s="74"/>
      <c r="AB513" s="74"/>
      <c r="AC513" s="74"/>
      <c r="AD513" s="74">
        <f t="shared" si="253"/>
        <v>8000</v>
      </c>
      <c r="AE513" s="74">
        <f t="shared" si="254"/>
        <v>-1837.6507881884581</v>
      </c>
      <c r="AF513" s="52">
        <f t="shared" si="255"/>
        <v>41360.592000000004</v>
      </c>
      <c r="AG513" s="52">
        <f t="shared" si="256"/>
        <v>51700.74</v>
      </c>
    </row>
    <row r="514" spans="1:33" s="21" customFormat="1" x14ac:dyDescent="0.2">
      <c r="A514" s="114" t="s">
        <v>428</v>
      </c>
      <c r="B514" s="114"/>
      <c r="C514" s="114"/>
      <c r="D514" s="160">
        <v>0</v>
      </c>
      <c r="E514" s="161"/>
      <c r="F514" s="162">
        <v>0.2</v>
      </c>
      <c r="G514" s="162"/>
      <c r="H514" s="52">
        <v>1507</v>
      </c>
      <c r="I514" s="52">
        <f t="shared" si="245"/>
        <v>1332.1880000000001</v>
      </c>
      <c r="J514" s="52">
        <f t="shared" si="246"/>
        <v>1065.7504000000001</v>
      </c>
      <c r="K514" s="61"/>
      <c r="L514" s="160">
        <v>0</v>
      </c>
      <c r="M514" s="55">
        <f t="shared" si="247"/>
        <v>0</v>
      </c>
      <c r="N514" s="55">
        <f t="shared" si="248"/>
        <v>0</v>
      </c>
      <c r="O514" s="95"/>
      <c r="P514" s="160">
        <v>0</v>
      </c>
      <c r="Q514" s="55">
        <f t="shared" si="249"/>
        <v>0</v>
      </c>
      <c r="R514" s="65">
        <f t="shared" si="250"/>
        <v>0</v>
      </c>
      <c r="S514" s="118">
        <v>15</v>
      </c>
      <c r="T514" s="121" t="s">
        <v>217</v>
      </c>
      <c r="U514" s="73">
        <f>SUMIF('Avoided Costs 2013-2021'!$A:$A,'2013 Actuals'!T514&amp;'2013 Actuals'!S514,'Avoided Costs 2013-2021'!$E:$E)*J514</f>
        <v>2235.701114751892</v>
      </c>
      <c r="V514" s="73">
        <f>SUMIF('Avoided Costs 2013-2021'!$A:$A,'2013 Actuals'!T514&amp;'2013 Actuals'!S514,'Avoided Costs 2013-2021'!$K:$K)*N514</f>
        <v>0</v>
      </c>
      <c r="W514" s="73">
        <f>SUMIF('Avoided Costs 2013-2021'!$A:$A,'2013 Actuals'!T514&amp;'2013 Actuals'!S514,'Avoided Costs 2013-2021'!$M:$M)*R514</f>
        <v>0</v>
      </c>
      <c r="X514" s="73">
        <f t="shared" si="251"/>
        <v>2235.701114751892</v>
      </c>
      <c r="Y514" s="83">
        <v>2450</v>
      </c>
      <c r="Z514" s="74">
        <f t="shared" si="252"/>
        <v>1960</v>
      </c>
      <c r="AA514" s="74"/>
      <c r="AB514" s="74"/>
      <c r="AC514" s="74"/>
      <c r="AD514" s="74">
        <f t="shared" si="253"/>
        <v>1960</v>
      </c>
      <c r="AE514" s="74">
        <f t="shared" si="254"/>
        <v>275.70111475189196</v>
      </c>
      <c r="AF514" s="52">
        <f t="shared" si="255"/>
        <v>15986.256000000001</v>
      </c>
      <c r="AG514" s="52">
        <f t="shared" si="256"/>
        <v>19982.82</v>
      </c>
    </row>
    <row r="515" spans="1:33" s="21" customFormat="1" x14ac:dyDescent="0.2">
      <c r="A515" s="114" t="s">
        <v>429</v>
      </c>
      <c r="B515" s="114"/>
      <c r="C515" s="114"/>
      <c r="D515" s="160">
        <v>1</v>
      </c>
      <c r="E515" s="161"/>
      <c r="F515" s="162">
        <v>0.2</v>
      </c>
      <c r="G515" s="162"/>
      <c r="H515" s="52">
        <v>40342</v>
      </c>
      <c r="I515" s="52">
        <f t="shared" si="245"/>
        <v>35662.328000000001</v>
      </c>
      <c r="J515" s="52">
        <f t="shared" si="246"/>
        <v>28529.862400000002</v>
      </c>
      <c r="K515" s="61"/>
      <c r="L515" s="160">
        <v>21855</v>
      </c>
      <c r="M515" s="55">
        <f t="shared" si="247"/>
        <v>21855</v>
      </c>
      <c r="N515" s="55">
        <f t="shared" si="248"/>
        <v>17484</v>
      </c>
      <c r="O515" s="95"/>
      <c r="P515" s="160">
        <v>0</v>
      </c>
      <c r="Q515" s="55">
        <f t="shared" si="249"/>
        <v>0</v>
      </c>
      <c r="R515" s="65">
        <f t="shared" si="250"/>
        <v>0</v>
      </c>
      <c r="S515" s="118">
        <v>15</v>
      </c>
      <c r="T515" s="121" t="s">
        <v>201</v>
      </c>
      <c r="U515" s="73">
        <f>SUMIF('Avoided Costs 2013-2021'!$A:$A,'2013 Actuals'!T515&amp;'2013 Actuals'!S515,'Avoided Costs 2013-2021'!$E:$E)*J515</f>
        <v>63760.3210830729</v>
      </c>
      <c r="V515" s="73">
        <f>SUMIF('Avoided Costs 2013-2021'!$A:$A,'2013 Actuals'!T515&amp;'2013 Actuals'!S515,'Avoided Costs 2013-2021'!$K:$K)*N515</f>
        <v>18303.888907959717</v>
      </c>
      <c r="W515" s="73">
        <f>SUMIF('Avoided Costs 2013-2021'!$A:$A,'2013 Actuals'!T515&amp;'2013 Actuals'!S515,'Avoided Costs 2013-2021'!$M:$M)*R515</f>
        <v>0</v>
      </c>
      <c r="X515" s="73">
        <f t="shared" si="251"/>
        <v>82064.209991032621</v>
      </c>
      <c r="Y515" s="83">
        <v>17000</v>
      </c>
      <c r="Z515" s="74">
        <f t="shared" si="252"/>
        <v>13600</v>
      </c>
      <c r="AA515" s="74"/>
      <c r="AB515" s="74"/>
      <c r="AC515" s="74"/>
      <c r="AD515" s="74">
        <f t="shared" si="253"/>
        <v>13600</v>
      </c>
      <c r="AE515" s="74">
        <f t="shared" si="254"/>
        <v>68464.209991032621</v>
      </c>
      <c r="AF515" s="52">
        <f t="shared" si="255"/>
        <v>427947.93600000005</v>
      </c>
      <c r="AG515" s="52">
        <f t="shared" si="256"/>
        <v>534934.92000000004</v>
      </c>
    </row>
    <row r="516" spans="1:33" s="21" customFormat="1" x14ac:dyDescent="0.2">
      <c r="A516" s="114" t="s">
        <v>430</v>
      </c>
      <c r="B516" s="114"/>
      <c r="C516" s="114"/>
      <c r="D516" s="160">
        <v>1</v>
      </c>
      <c r="E516" s="161"/>
      <c r="F516" s="162">
        <v>0.2</v>
      </c>
      <c r="G516" s="162"/>
      <c r="H516" s="52">
        <v>37614</v>
      </c>
      <c r="I516" s="52">
        <f t="shared" si="245"/>
        <v>33250.775999999998</v>
      </c>
      <c r="J516" s="52">
        <f t="shared" si="246"/>
        <v>26600.620800000001</v>
      </c>
      <c r="K516" s="61"/>
      <c r="L516" s="160">
        <v>28677</v>
      </c>
      <c r="M516" s="55">
        <f t="shared" si="247"/>
        <v>28677</v>
      </c>
      <c r="N516" s="55">
        <f t="shared" si="248"/>
        <v>22941.600000000002</v>
      </c>
      <c r="O516" s="95"/>
      <c r="P516" s="160">
        <v>0</v>
      </c>
      <c r="Q516" s="55">
        <f t="shared" si="249"/>
        <v>0</v>
      </c>
      <c r="R516" s="65">
        <f t="shared" si="250"/>
        <v>0</v>
      </c>
      <c r="S516" s="118">
        <v>15</v>
      </c>
      <c r="T516" s="121" t="s">
        <v>201</v>
      </c>
      <c r="U516" s="73">
        <f>SUMIF('Avoided Costs 2013-2021'!$A:$A,'2013 Actuals'!T516&amp;'2013 Actuals'!S516,'Avoided Costs 2013-2021'!$E:$E)*J516</f>
        <v>59448.731278040352</v>
      </c>
      <c r="V516" s="73">
        <f>SUMIF('Avoided Costs 2013-2021'!$A:$A,'2013 Actuals'!T516&amp;'2013 Actuals'!S516,'Avoided Costs 2013-2021'!$K:$K)*N516</f>
        <v>24017.415795633075</v>
      </c>
      <c r="W516" s="73">
        <f>SUMIF('Avoided Costs 2013-2021'!$A:$A,'2013 Actuals'!T516&amp;'2013 Actuals'!S516,'Avoided Costs 2013-2021'!$M:$M)*R516</f>
        <v>0</v>
      </c>
      <c r="X516" s="73">
        <f t="shared" si="251"/>
        <v>83466.147073673434</v>
      </c>
      <c r="Y516" s="83">
        <v>7500</v>
      </c>
      <c r="Z516" s="74">
        <f t="shared" si="252"/>
        <v>6000</v>
      </c>
      <c r="AA516" s="74"/>
      <c r="AB516" s="74"/>
      <c r="AC516" s="74"/>
      <c r="AD516" s="74">
        <f t="shared" si="253"/>
        <v>6000</v>
      </c>
      <c r="AE516" s="74">
        <f t="shared" si="254"/>
        <v>77466.147073673434</v>
      </c>
      <c r="AF516" s="52">
        <f t="shared" si="255"/>
        <v>399009.31200000003</v>
      </c>
      <c r="AG516" s="52">
        <f t="shared" si="256"/>
        <v>498761.63999999996</v>
      </c>
    </row>
    <row r="517" spans="1:33" s="21" customFormat="1" x14ac:dyDescent="0.2">
      <c r="A517" s="114" t="s">
        <v>431</v>
      </c>
      <c r="B517" s="114"/>
      <c r="C517" s="114"/>
      <c r="D517" s="160">
        <v>1</v>
      </c>
      <c r="E517" s="161"/>
      <c r="F517" s="162">
        <v>0.2</v>
      </c>
      <c r="G517" s="162"/>
      <c r="H517" s="52">
        <v>37614</v>
      </c>
      <c r="I517" s="52">
        <f t="shared" si="245"/>
        <v>33250.775999999998</v>
      </c>
      <c r="J517" s="52">
        <f t="shared" si="246"/>
        <v>26600.620800000001</v>
      </c>
      <c r="K517" s="61"/>
      <c r="L517" s="160">
        <v>28677</v>
      </c>
      <c r="M517" s="55">
        <f t="shared" si="247"/>
        <v>28677</v>
      </c>
      <c r="N517" s="55">
        <f t="shared" si="248"/>
        <v>22941.600000000002</v>
      </c>
      <c r="O517" s="95"/>
      <c r="P517" s="160">
        <v>0</v>
      </c>
      <c r="Q517" s="55">
        <f t="shared" si="249"/>
        <v>0</v>
      </c>
      <c r="R517" s="65">
        <f t="shared" si="250"/>
        <v>0</v>
      </c>
      <c r="S517" s="118">
        <v>15</v>
      </c>
      <c r="T517" s="121" t="s">
        <v>201</v>
      </c>
      <c r="U517" s="73">
        <f>SUMIF('Avoided Costs 2013-2021'!$A:$A,'2013 Actuals'!T517&amp;'2013 Actuals'!S517,'Avoided Costs 2013-2021'!$E:$E)*J517</f>
        <v>59448.731278040352</v>
      </c>
      <c r="V517" s="73">
        <f>SUMIF('Avoided Costs 2013-2021'!$A:$A,'2013 Actuals'!T517&amp;'2013 Actuals'!S517,'Avoided Costs 2013-2021'!$K:$K)*N517</f>
        <v>24017.415795633075</v>
      </c>
      <c r="W517" s="73">
        <f>SUMIF('Avoided Costs 2013-2021'!$A:$A,'2013 Actuals'!T517&amp;'2013 Actuals'!S517,'Avoided Costs 2013-2021'!$M:$M)*R517</f>
        <v>0</v>
      </c>
      <c r="X517" s="73">
        <f t="shared" si="251"/>
        <v>83466.147073673434</v>
      </c>
      <c r="Y517" s="83">
        <v>7500</v>
      </c>
      <c r="Z517" s="74">
        <f t="shared" si="252"/>
        <v>6000</v>
      </c>
      <c r="AA517" s="74"/>
      <c r="AB517" s="74"/>
      <c r="AC517" s="74"/>
      <c r="AD517" s="74">
        <f t="shared" si="253"/>
        <v>6000</v>
      </c>
      <c r="AE517" s="74">
        <f t="shared" si="254"/>
        <v>77466.147073673434</v>
      </c>
      <c r="AF517" s="52">
        <f t="shared" si="255"/>
        <v>399009.31200000003</v>
      </c>
      <c r="AG517" s="52">
        <f t="shared" si="256"/>
        <v>498761.63999999996</v>
      </c>
    </row>
    <row r="518" spans="1:33" s="21" customFormat="1" x14ac:dyDescent="0.2">
      <c r="A518" s="114" t="s">
        <v>432</v>
      </c>
      <c r="B518" s="114"/>
      <c r="C518" s="114"/>
      <c r="D518" s="160">
        <v>1</v>
      </c>
      <c r="E518" s="161"/>
      <c r="F518" s="162">
        <v>0.2</v>
      </c>
      <c r="G518" s="162"/>
      <c r="H518" s="52">
        <v>24971</v>
      </c>
      <c r="I518" s="52">
        <f t="shared" si="245"/>
        <v>22074.364000000001</v>
      </c>
      <c r="J518" s="52">
        <f t="shared" si="246"/>
        <v>17659.4912</v>
      </c>
      <c r="K518" s="61"/>
      <c r="L518" s="160">
        <v>0</v>
      </c>
      <c r="M518" s="55">
        <f t="shared" si="247"/>
        <v>0</v>
      </c>
      <c r="N518" s="55">
        <f t="shared" si="248"/>
        <v>0</v>
      </c>
      <c r="O518" s="95"/>
      <c r="P518" s="160">
        <v>0</v>
      </c>
      <c r="Q518" s="55">
        <f t="shared" si="249"/>
        <v>0</v>
      </c>
      <c r="R518" s="65">
        <f t="shared" si="250"/>
        <v>0</v>
      </c>
      <c r="S518" s="118">
        <v>15</v>
      </c>
      <c r="T518" s="121" t="s">
        <v>201</v>
      </c>
      <c r="U518" s="73">
        <f>SUMIF('Avoided Costs 2013-2021'!$A:$A,'2013 Actuals'!T518&amp;'2013 Actuals'!S518,'Avoided Costs 2013-2021'!$E:$E)*J518</f>
        <v>39466.535565054117</v>
      </c>
      <c r="V518" s="73">
        <f>SUMIF('Avoided Costs 2013-2021'!$A:$A,'2013 Actuals'!T518&amp;'2013 Actuals'!S518,'Avoided Costs 2013-2021'!$K:$K)*N518</f>
        <v>0</v>
      </c>
      <c r="W518" s="73">
        <f>SUMIF('Avoided Costs 2013-2021'!$A:$A,'2013 Actuals'!T518&amp;'2013 Actuals'!S518,'Avoided Costs 2013-2021'!$M:$M)*R518</f>
        <v>0</v>
      </c>
      <c r="X518" s="73">
        <f t="shared" si="251"/>
        <v>39466.535565054117</v>
      </c>
      <c r="Y518" s="83">
        <v>4994</v>
      </c>
      <c r="Z518" s="74">
        <f t="shared" si="252"/>
        <v>3995.2000000000003</v>
      </c>
      <c r="AA518" s="74"/>
      <c r="AB518" s="74"/>
      <c r="AC518" s="74"/>
      <c r="AD518" s="74">
        <f t="shared" si="253"/>
        <v>3995.2000000000003</v>
      </c>
      <c r="AE518" s="74">
        <f t="shared" si="254"/>
        <v>35471.33556505412</v>
      </c>
      <c r="AF518" s="52">
        <f t="shared" si="255"/>
        <v>264892.36800000002</v>
      </c>
      <c r="AG518" s="52">
        <f t="shared" si="256"/>
        <v>331115.46000000002</v>
      </c>
    </row>
    <row r="519" spans="1:33" s="21" customFormat="1" x14ac:dyDescent="0.2">
      <c r="A519" s="114" t="s">
        <v>433</v>
      </c>
      <c r="B519" s="114"/>
      <c r="C519" s="114"/>
      <c r="D519" s="160">
        <v>1</v>
      </c>
      <c r="E519" s="161"/>
      <c r="F519" s="162">
        <v>0.2</v>
      </c>
      <c r="G519" s="162"/>
      <c r="H519" s="52">
        <v>70110</v>
      </c>
      <c r="I519" s="52">
        <f t="shared" si="245"/>
        <v>61977.24</v>
      </c>
      <c r="J519" s="52">
        <f t="shared" si="246"/>
        <v>49581.792000000001</v>
      </c>
      <c r="K519" s="61"/>
      <c r="L519" s="160">
        <v>106566</v>
      </c>
      <c r="M519" s="55">
        <f t="shared" si="247"/>
        <v>106566</v>
      </c>
      <c r="N519" s="55">
        <f t="shared" si="248"/>
        <v>85252.800000000003</v>
      </c>
      <c r="O519" s="95"/>
      <c r="P519" s="160">
        <v>0</v>
      </c>
      <c r="Q519" s="55">
        <f t="shared" si="249"/>
        <v>0</v>
      </c>
      <c r="R519" s="65">
        <f t="shared" si="250"/>
        <v>0</v>
      </c>
      <c r="S519" s="118">
        <v>15</v>
      </c>
      <c r="T519" s="121" t="s">
        <v>201</v>
      </c>
      <c r="U519" s="73">
        <f>SUMIF('Avoided Costs 2013-2021'!$A:$A,'2013 Actuals'!T519&amp;'2013 Actuals'!S519,'Avoided Costs 2013-2021'!$E:$E)*J519</f>
        <v>110808.49018725498</v>
      </c>
      <c r="V519" s="73">
        <f>SUMIF('Avoided Costs 2013-2021'!$A:$A,'2013 Actuals'!T519&amp;'2013 Actuals'!S519,'Avoided Costs 2013-2021'!$K:$K)*N519</f>
        <v>89250.61658044545</v>
      </c>
      <c r="W519" s="73">
        <f>SUMIF('Avoided Costs 2013-2021'!$A:$A,'2013 Actuals'!T519&amp;'2013 Actuals'!S519,'Avoided Costs 2013-2021'!$M:$M)*R519</f>
        <v>0</v>
      </c>
      <c r="X519" s="73">
        <f t="shared" si="251"/>
        <v>200059.10676770043</v>
      </c>
      <c r="Y519" s="83">
        <v>18575</v>
      </c>
      <c r="Z519" s="74">
        <f t="shared" si="252"/>
        <v>14860</v>
      </c>
      <c r="AA519" s="74"/>
      <c r="AB519" s="74"/>
      <c r="AC519" s="74"/>
      <c r="AD519" s="74">
        <f t="shared" si="253"/>
        <v>14860</v>
      </c>
      <c r="AE519" s="74">
        <f t="shared" si="254"/>
        <v>185199.10676770043</v>
      </c>
      <c r="AF519" s="52">
        <f t="shared" si="255"/>
        <v>743726.88</v>
      </c>
      <c r="AG519" s="52">
        <f t="shared" si="256"/>
        <v>929658.6</v>
      </c>
    </row>
    <row r="520" spans="1:33" s="21" customFormat="1" x14ac:dyDescent="0.2">
      <c r="A520" s="114" t="s">
        <v>434</v>
      </c>
      <c r="B520" s="114"/>
      <c r="C520" s="114"/>
      <c r="D520" s="160">
        <v>1</v>
      </c>
      <c r="E520" s="161"/>
      <c r="F520" s="162">
        <v>0.2</v>
      </c>
      <c r="G520" s="162"/>
      <c r="H520" s="52">
        <v>64801</v>
      </c>
      <c r="I520" s="52">
        <f t="shared" si="245"/>
        <v>57284.084000000003</v>
      </c>
      <c r="J520" s="52">
        <f t="shared" si="246"/>
        <v>45827.267200000002</v>
      </c>
      <c r="K520" s="61"/>
      <c r="L520" s="160">
        <v>0</v>
      </c>
      <c r="M520" s="55">
        <f t="shared" si="247"/>
        <v>0</v>
      </c>
      <c r="N520" s="55">
        <f t="shared" si="248"/>
        <v>0</v>
      </c>
      <c r="O520" s="95"/>
      <c r="P520" s="160">
        <v>0</v>
      </c>
      <c r="Q520" s="55">
        <f t="shared" si="249"/>
        <v>0</v>
      </c>
      <c r="R520" s="65">
        <f t="shared" si="250"/>
        <v>0</v>
      </c>
      <c r="S520" s="118">
        <v>25</v>
      </c>
      <c r="T520" s="121" t="s">
        <v>201</v>
      </c>
      <c r="U520" s="73">
        <f>SUMIF('Avoided Costs 2013-2021'!$A:$A,'2013 Actuals'!T520&amp;'2013 Actuals'!S520,'Avoided Costs 2013-2021'!$E:$E)*J520</f>
        <v>143766.67433611656</v>
      </c>
      <c r="V520" s="73">
        <f>SUMIF('Avoided Costs 2013-2021'!$A:$A,'2013 Actuals'!T520&amp;'2013 Actuals'!S520,'Avoided Costs 2013-2021'!$K:$K)*N520</f>
        <v>0</v>
      </c>
      <c r="W520" s="73">
        <f>SUMIF('Avoided Costs 2013-2021'!$A:$A,'2013 Actuals'!T520&amp;'2013 Actuals'!S520,'Avoided Costs 2013-2021'!$M:$M)*R520</f>
        <v>0</v>
      </c>
      <c r="X520" s="73">
        <f t="shared" si="251"/>
        <v>143766.67433611656</v>
      </c>
      <c r="Y520" s="83">
        <v>2065</v>
      </c>
      <c r="Z520" s="74">
        <f t="shared" si="252"/>
        <v>1652</v>
      </c>
      <c r="AA520" s="74"/>
      <c r="AB520" s="74"/>
      <c r="AC520" s="74"/>
      <c r="AD520" s="74">
        <f t="shared" si="253"/>
        <v>1652</v>
      </c>
      <c r="AE520" s="74">
        <f t="shared" si="254"/>
        <v>142114.67433611656</v>
      </c>
      <c r="AF520" s="52">
        <f t="shared" si="255"/>
        <v>1145681.6800000002</v>
      </c>
      <c r="AG520" s="52">
        <f t="shared" si="256"/>
        <v>1432102.1</v>
      </c>
    </row>
    <row r="521" spans="1:33" s="21" customFormat="1" x14ac:dyDescent="0.2">
      <c r="A521" s="114" t="s">
        <v>435</v>
      </c>
      <c r="B521" s="114"/>
      <c r="C521" s="114"/>
      <c r="D521" s="160">
        <v>1</v>
      </c>
      <c r="E521" s="161"/>
      <c r="F521" s="162">
        <v>0.2</v>
      </c>
      <c r="G521" s="162"/>
      <c r="H521" s="52">
        <v>14977</v>
      </c>
      <c r="I521" s="52">
        <f t="shared" si="245"/>
        <v>13239.668</v>
      </c>
      <c r="J521" s="52">
        <f t="shared" si="246"/>
        <v>10591.734400000001</v>
      </c>
      <c r="K521" s="61"/>
      <c r="L521" s="160">
        <v>0</v>
      </c>
      <c r="M521" s="55">
        <f t="shared" si="247"/>
        <v>0</v>
      </c>
      <c r="N521" s="55">
        <f t="shared" si="248"/>
        <v>0</v>
      </c>
      <c r="O521" s="95"/>
      <c r="P521" s="160">
        <v>0</v>
      </c>
      <c r="Q521" s="55">
        <f t="shared" si="249"/>
        <v>0</v>
      </c>
      <c r="R521" s="65">
        <f t="shared" si="250"/>
        <v>0</v>
      </c>
      <c r="S521" s="118">
        <v>25</v>
      </c>
      <c r="T521" s="121" t="s">
        <v>217</v>
      </c>
      <c r="U521" s="73">
        <f>SUMIF('Avoided Costs 2013-2021'!$A:$A,'2013 Actuals'!T521&amp;'2013 Actuals'!S521,'Avoided Costs 2013-2021'!$E:$E)*J521</f>
        <v>31182.816553092354</v>
      </c>
      <c r="V521" s="73">
        <f>SUMIF('Avoided Costs 2013-2021'!$A:$A,'2013 Actuals'!T521&amp;'2013 Actuals'!S521,'Avoided Costs 2013-2021'!$K:$K)*N521</f>
        <v>0</v>
      </c>
      <c r="W521" s="73">
        <f>SUMIF('Avoided Costs 2013-2021'!$A:$A,'2013 Actuals'!T521&amp;'2013 Actuals'!S521,'Avoided Costs 2013-2021'!$M:$M)*R521</f>
        <v>0</v>
      </c>
      <c r="X521" s="73">
        <f t="shared" si="251"/>
        <v>31182.816553092354</v>
      </c>
      <c r="Y521" s="83">
        <v>16172</v>
      </c>
      <c r="Z521" s="74">
        <f t="shared" si="252"/>
        <v>12937.6</v>
      </c>
      <c r="AA521" s="74"/>
      <c r="AB521" s="74"/>
      <c r="AC521" s="74"/>
      <c r="AD521" s="74">
        <f t="shared" si="253"/>
        <v>12937.6</v>
      </c>
      <c r="AE521" s="74">
        <f t="shared" si="254"/>
        <v>18245.216553092352</v>
      </c>
      <c r="AF521" s="52">
        <f t="shared" si="255"/>
        <v>264793.36000000004</v>
      </c>
      <c r="AG521" s="52">
        <f t="shared" si="256"/>
        <v>330991.7</v>
      </c>
    </row>
    <row r="522" spans="1:33" s="21" customFormat="1" x14ac:dyDescent="0.2">
      <c r="A522" s="114" t="s">
        <v>436</v>
      </c>
      <c r="B522" s="114"/>
      <c r="C522" s="114"/>
      <c r="D522" s="160">
        <v>1</v>
      </c>
      <c r="E522" s="161"/>
      <c r="F522" s="162">
        <v>0.2</v>
      </c>
      <c r="G522" s="162"/>
      <c r="H522" s="52">
        <v>4882</v>
      </c>
      <c r="I522" s="52">
        <f t="shared" si="245"/>
        <v>4315.6880000000001</v>
      </c>
      <c r="J522" s="52">
        <f t="shared" si="246"/>
        <v>3452.5504000000001</v>
      </c>
      <c r="K522" s="61"/>
      <c r="L522" s="160">
        <v>0</v>
      </c>
      <c r="M522" s="55">
        <f t="shared" si="247"/>
        <v>0</v>
      </c>
      <c r="N522" s="55">
        <f t="shared" si="248"/>
        <v>0</v>
      </c>
      <c r="O522" s="95"/>
      <c r="P522" s="160">
        <v>0</v>
      </c>
      <c r="Q522" s="55">
        <f t="shared" si="249"/>
        <v>0</v>
      </c>
      <c r="R522" s="65">
        <f t="shared" si="250"/>
        <v>0</v>
      </c>
      <c r="S522" s="118">
        <v>25</v>
      </c>
      <c r="T522" s="121" t="s">
        <v>201</v>
      </c>
      <c r="U522" s="73">
        <f>SUMIF('Avoided Costs 2013-2021'!$A:$A,'2013 Actuals'!T522&amp;'2013 Actuals'!S522,'Avoided Costs 2013-2021'!$E:$E)*J522</f>
        <v>10831.143101324378</v>
      </c>
      <c r="V522" s="73">
        <f>SUMIF('Avoided Costs 2013-2021'!$A:$A,'2013 Actuals'!T522&amp;'2013 Actuals'!S522,'Avoided Costs 2013-2021'!$K:$K)*N522</f>
        <v>0</v>
      </c>
      <c r="W522" s="73">
        <f>SUMIF('Avoided Costs 2013-2021'!$A:$A,'2013 Actuals'!T522&amp;'2013 Actuals'!S522,'Avoided Costs 2013-2021'!$M:$M)*R522</f>
        <v>0</v>
      </c>
      <c r="X522" s="73">
        <f t="shared" si="251"/>
        <v>10831.143101324378</v>
      </c>
      <c r="Y522" s="83">
        <v>6893</v>
      </c>
      <c r="Z522" s="74">
        <f t="shared" si="252"/>
        <v>5514.4000000000005</v>
      </c>
      <c r="AA522" s="74"/>
      <c r="AB522" s="74"/>
      <c r="AC522" s="74"/>
      <c r="AD522" s="74">
        <f t="shared" si="253"/>
        <v>5514.4000000000005</v>
      </c>
      <c r="AE522" s="74">
        <f t="shared" si="254"/>
        <v>5316.7431013243777</v>
      </c>
      <c r="AF522" s="52">
        <f t="shared" si="255"/>
        <v>86313.760000000009</v>
      </c>
      <c r="AG522" s="52">
        <f t="shared" si="256"/>
        <v>107892.2</v>
      </c>
    </row>
    <row r="523" spans="1:33" s="21" customFormat="1" x14ac:dyDescent="0.2">
      <c r="A523" s="114" t="s">
        <v>437</v>
      </c>
      <c r="B523" s="114"/>
      <c r="C523" s="114"/>
      <c r="D523" s="160">
        <v>1</v>
      </c>
      <c r="E523" s="161"/>
      <c r="F523" s="162">
        <v>0.2</v>
      </c>
      <c r="G523" s="162"/>
      <c r="H523" s="52">
        <v>207221</v>
      </c>
      <c r="I523" s="52">
        <f t="shared" si="245"/>
        <v>183183.364</v>
      </c>
      <c r="J523" s="52">
        <f t="shared" si="246"/>
        <v>146546.6912</v>
      </c>
      <c r="K523" s="61"/>
      <c r="L523" s="160">
        <v>0</v>
      </c>
      <c r="M523" s="55">
        <f t="shared" si="247"/>
        <v>0</v>
      </c>
      <c r="N523" s="55">
        <f t="shared" si="248"/>
        <v>0</v>
      </c>
      <c r="O523" s="95"/>
      <c r="P523" s="160">
        <v>0</v>
      </c>
      <c r="Q523" s="55">
        <f t="shared" si="249"/>
        <v>0</v>
      </c>
      <c r="R523" s="65">
        <f t="shared" si="250"/>
        <v>0</v>
      </c>
      <c r="S523" s="118">
        <v>25</v>
      </c>
      <c r="T523" s="121" t="s">
        <v>201</v>
      </c>
      <c r="U523" s="73">
        <f>SUMIF('Avoided Costs 2013-2021'!$A:$A,'2013 Actuals'!T523&amp;'2013 Actuals'!S523,'Avoided Costs 2013-2021'!$E:$E)*J523</f>
        <v>459737.8747643464</v>
      </c>
      <c r="V523" s="73">
        <f>SUMIF('Avoided Costs 2013-2021'!$A:$A,'2013 Actuals'!T523&amp;'2013 Actuals'!S523,'Avoided Costs 2013-2021'!$K:$K)*N523</f>
        <v>0</v>
      </c>
      <c r="W523" s="73">
        <f>SUMIF('Avoided Costs 2013-2021'!$A:$A,'2013 Actuals'!T523&amp;'2013 Actuals'!S523,'Avoided Costs 2013-2021'!$M:$M)*R523</f>
        <v>0</v>
      </c>
      <c r="X523" s="73">
        <f t="shared" si="251"/>
        <v>459737.8747643464</v>
      </c>
      <c r="Y523" s="83">
        <v>30654</v>
      </c>
      <c r="Z523" s="74">
        <f t="shared" si="252"/>
        <v>24523.200000000001</v>
      </c>
      <c r="AA523" s="74"/>
      <c r="AB523" s="74"/>
      <c r="AC523" s="74"/>
      <c r="AD523" s="74">
        <f t="shared" si="253"/>
        <v>24523.200000000001</v>
      </c>
      <c r="AE523" s="74">
        <f t="shared" si="254"/>
        <v>435214.67476434639</v>
      </c>
      <c r="AF523" s="52">
        <f t="shared" si="255"/>
        <v>3663667.2800000003</v>
      </c>
      <c r="AG523" s="52">
        <f t="shared" si="256"/>
        <v>4579584.0999999996</v>
      </c>
    </row>
    <row r="524" spans="1:33" s="21" customFormat="1" x14ac:dyDescent="0.2">
      <c r="A524" s="114" t="s">
        <v>438</v>
      </c>
      <c r="B524" s="114"/>
      <c r="C524" s="114"/>
      <c r="D524" s="160">
        <v>1</v>
      </c>
      <c r="E524" s="161"/>
      <c r="F524" s="162">
        <v>0.2</v>
      </c>
      <c r="G524" s="162"/>
      <c r="H524" s="52">
        <v>261471</v>
      </c>
      <c r="I524" s="52">
        <f t="shared" si="245"/>
        <v>231140.364</v>
      </c>
      <c r="J524" s="52">
        <f t="shared" si="246"/>
        <v>184912.29120000001</v>
      </c>
      <c r="K524" s="61"/>
      <c r="L524" s="160">
        <v>0</v>
      </c>
      <c r="M524" s="55">
        <f t="shared" si="247"/>
        <v>0</v>
      </c>
      <c r="N524" s="55">
        <f t="shared" si="248"/>
        <v>0</v>
      </c>
      <c r="O524" s="95"/>
      <c r="P524" s="160">
        <v>0</v>
      </c>
      <c r="Q524" s="55">
        <f t="shared" si="249"/>
        <v>0</v>
      </c>
      <c r="R524" s="65">
        <f t="shared" si="250"/>
        <v>0</v>
      </c>
      <c r="S524" s="118">
        <v>25</v>
      </c>
      <c r="T524" s="121" t="s">
        <v>201</v>
      </c>
      <c r="U524" s="73">
        <f>SUMIF('Avoided Costs 2013-2021'!$A:$A,'2013 Actuals'!T524&amp;'2013 Actuals'!S524,'Avoided Costs 2013-2021'!$E:$E)*J524</f>
        <v>580096.23470839544</v>
      </c>
      <c r="V524" s="73">
        <f>SUMIF('Avoided Costs 2013-2021'!$A:$A,'2013 Actuals'!T524&amp;'2013 Actuals'!S524,'Avoided Costs 2013-2021'!$K:$K)*N524</f>
        <v>0</v>
      </c>
      <c r="W524" s="73">
        <f>SUMIF('Avoided Costs 2013-2021'!$A:$A,'2013 Actuals'!T524&amp;'2013 Actuals'!S524,'Avoided Costs 2013-2021'!$M:$M)*R524</f>
        <v>0</v>
      </c>
      <c r="X524" s="73">
        <f t="shared" si="251"/>
        <v>580096.23470839544</v>
      </c>
      <c r="Y524" s="83">
        <v>33346</v>
      </c>
      <c r="Z524" s="74">
        <f t="shared" si="252"/>
        <v>26676.800000000003</v>
      </c>
      <c r="AA524" s="74"/>
      <c r="AB524" s="74"/>
      <c r="AC524" s="74"/>
      <c r="AD524" s="74">
        <f t="shared" si="253"/>
        <v>26676.800000000003</v>
      </c>
      <c r="AE524" s="74">
        <f t="shared" si="254"/>
        <v>553419.43470839539</v>
      </c>
      <c r="AF524" s="52">
        <f t="shared" si="255"/>
        <v>4622807.28</v>
      </c>
      <c r="AG524" s="52">
        <f t="shared" si="256"/>
        <v>5778509.0999999996</v>
      </c>
    </row>
    <row r="525" spans="1:33" s="21" customFormat="1" x14ac:dyDescent="0.2">
      <c r="A525" s="114" t="s">
        <v>439</v>
      </c>
      <c r="B525" s="114"/>
      <c r="C525" s="114"/>
      <c r="D525" s="160">
        <v>1</v>
      </c>
      <c r="E525" s="161"/>
      <c r="F525" s="162">
        <v>0.2</v>
      </c>
      <c r="G525" s="162"/>
      <c r="H525" s="52">
        <v>7261</v>
      </c>
      <c r="I525" s="52">
        <f t="shared" si="245"/>
        <v>6418.7240000000002</v>
      </c>
      <c r="J525" s="52">
        <f t="shared" si="246"/>
        <v>5134.9792000000007</v>
      </c>
      <c r="K525" s="61"/>
      <c r="L525" s="160">
        <v>0</v>
      </c>
      <c r="M525" s="55">
        <f t="shared" si="247"/>
        <v>0</v>
      </c>
      <c r="N525" s="55">
        <f t="shared" si="248"/>
        <v>0</v>
      </c>
      <c r="O525" s="95"/>
      <c r="P525" s="160">
        <v>0</v>
      </c>
      <c r="Q525" s="55">
        <f t="shared" si="249"/>
        <v>0</v>
      </c>
      <c r="R525" s="65">
        <f t="shared" si="250"/>
        <v>0</v>
      </c>
      <c r="S525" s="118">
        <v>25</v>
      </c>
      <c r="T525" s="121" t="s">
        <v>217</v>
      </c>
      <c r="U525" s="73">
        <f>SUMIF('Avoided Costs 2013-2021'!$A:$A,'2013 Actuals'!T525&amp;'2013 Actuals'!S525,'Avoided Costs 2013-2021'!$E:$E)*J525</f>
        <v>15117.742604794257</v>
      </c>
      <c r="V525" s="73">
        <f>SUMIF('Avoided Costs 2013-2021'!$A:$A,'2013 Actuals'!T525&amp;'2013 Actuals'!S525,'Avoided Costs 2013-2021'!$K:$K)*N525</f>
        <v>0</v>
      </c>
      <c r="W525" s="73">
        <f>SUMIF('Avoided Costs 2013-2021'!$A:$A,'2013 Actuals'!T525&amp;'2013 Actuals'!S525,'Avoided Costs 2013-2021'!$M:$M)*R525</f>
        <v>0</v>
      </c>
      <c r="X525" s="73">
        <f t="shared" si="251"/>
        <v>15117.742604794257</v>
      </c>
      <c r="Y525" s="83">
        <v>7440</v>
      </c>
      <c r="Z525" s="74">
        <f t="shared" si="252"/>
        <v>5952</v>
      </c>
      <c r="AA525" s="74"/>
      <c r="AB525" s="74"/>
      <c r="AC525" s="74"/>
      <c r="AD525" s="74">
        <f t="shared" si="253"/>
        <v>5952</v>
      </c>
      <c r="AE525" s="74">
        <f t="shared" si="254"/>
        <v>9165.7426047942572</v>
      </c>
      <c r="AF525" s="52">
        <f t="shared" si="255"/>
        <v>128374.48000000001</v>
      </c>
      <c r="AG525" s="52">
        <f t="shared" si="256"/>
        <v>160468.1</v>
      </c>
    </row>
    <row r="526" spans="1:33" s="21" customFormat="1" x14ac:dyDescent="0.2">
      <c r="A526" s="114" t="s">
        <v>440</v>
      </c>
      <c r="B526" s="114"/>
      <c r="C526" s="114"/>
      <c r="D526" s="160">
        <v>1</v>
      </c>
      <c r="E526" s="161"/>
      <c r="F526" s="162">
        <v>0.2</v>
      </c>
      <c r="G526" s="162"/>
      <c r="H526" s="52">
        <v>20373</v>
      </c>
      <c r="I526" s="52">
        <f t="shared" si="245"/>
        <v>18009.732</v>
      </c>
      <c r="J526" s="52">
        <f t="shared" si="246"/>
        <v>14407.785600000001</v>
      </c>
      <c r="K526" s="61"/>
      <c r="L526" s="160">
        <v>0</v>
      </c>
      <c r="M526" s="55">
        <f t="shared" si="247"/>
        <v>0</v>
      </c>
      <c r="N526" s="55">
        <f t="shared" si="248"/>
        <v>0</v>
      </c>
      <c r="O526" s="95"/>
      <c r="P526" s="160">
        <v>0</v>
      </c>
      <c r="Q526" s="55">
        <f t="shared" si="249"/>
        <v>0</v>
      </c>
      <c r="R526" s="65">
        <f t="shared" si="250"/>
        <v>0</v>
      </c>
      <c r="S526" s="118">
        <v>15</v>
      </c>
      <c r="T526" s="121" t="s">
        <v>201</v>
      </c>
      <c r="U526" s="73">
        <f>SUMIF('Avoided Costs 2013-2021'!$A:$A,'2013 Actuals'!T526&amp;'2013 Actuals'!S526,'Avoided Costs 2013-2021'!$E:$E)*J526</f>
        <v>32199.420490442819</v>
      </c>
      <c r="V526" s="73">
        <f>SUMIF('Avoided Costs 2013-2021'!$A:$A,'2013 Actuals'!T526&amp;'2013 Actuals'!S526,'Avoided Costs 2013-2021'!$K:$K)*N526</f>
        <v>0</v>
      </c>
      <c r="W526" s="73">
        <f>SUMIF('Avoided Costs 2013-2021'!$A:$A,'2013 Actuals'!T526&amp;'2013 Actuals'!S526,'Avoided Costs 2013-2021'!$M:$M)*R526</f>
        <v>0</v>
      </c>
      <c r="X526" s="73">
        <f t="shared" si="251"/>
        <v>32199.420490442819</v>
      </c>
      <c r="Y526" s="83">
        <v>5965</v>
      </c>
      <c r="Z526" s="74">
        <f t="shared" si="252"/>
        <v>4772</v>
      </c>
      <c r="AA526" s="74"/>
      <c r="AB526" s="74"/>
      <c r="AC526" s="74"/>
      <c r="AD526" s="74">
        <f t="shared" si="253"/>
        <v>4772</v>
      </c>
      <c r="AE526" s="74">
        <f t="shared" si="254"/>
        <v>27427.420490442819</v>
      </c>
      <c r="AF526" s="52">
        <f t="shared" si="255"/>
        <v>216116.78400000001</v>
      </c>
      <c r="AG526" s="52">
        <f t="shared" si="256"/>
        <v>270145.98</v>
      </c>
    </row>
    <row r="527" spans="1:33" s="21" customFormat="1" x14ac:dyDescent="0.2">
      <c r="A527" s="114" t="s">
        <v>441</v>
      </c>
      <c r="B527" s="114"/>
      <c r="C527" s="114"/>
      <c r="D527" s="160">
        <v>1</v>
      </c>
      <c r="E527" s="161"/>
      <c r="F527" s="162">
        <v>0.2</v>
      </c>
      <c r="G527" s="162"/>
      <c r="H527" s="52">
        <v>32295</v>
      </c>
      <c r="I527" s="52">
        <f t="shared" si="245"/>
        <v>28548.78</v>
      </c>
      <c r="J527" s="52">
        <f t="shared" si="246"/>
        <v>22839.024000000001</v>
      </c>
      <c r="K527" s="61"/>
      <c r="L527" s="160">
        <v>0</v>
      </c>
      <c r="M527" s="55">
        <f t="shared" si="247"/>
        <v>0</v>
      </c>
      <c r="N527" s="55">
        <f t="shared" si="248"/>
        <v>0</v>
      </c>
      <c r="O527" s="95"/>
      <c r="P527" s="160">
        <v>0</v>
      </c>
      <c r="Q527" s="55">
        <f t="shared" si="249"/>
        <v>0</v>
      </c>
      <c r="R527" s="65">
        <f t="shared" si="250"/>
        <v>0</v>
      </c>
      <c r="S527" s="118">
        <v>15</v>
      </c>
      <c r="T527" s="121" t="s">
        <v>201</v>
      </c>
      <c r="U527" s="73">
        <f>SUMIF('Avoided Costs 2013-2021'!$A:$A,'2013 Actuals'!T527&amp;'2013 Actuals'!S527,'Avoided Costs 2013-2021'!$E:$E)*J527</f>
        <v>51042.079455104831</v>
      </c>
      <c r="V527" s="73">
        <f>SUMIF('Avoided Costs 2013-2021'!$A:$A,'2013 Actuals'!T527&amp;'2013 Actuals'!S527,'Avoided Costs 2013-2021'!$K:$K)*N527</f>
        <v>0</v>
      </c>
      <c r="W527" s="73">
        <f>SUMIF('Avoided Costs 2013-2021'!$A:$A,'2013 Actuals'!T527&amp;'2013 Actuals'!S527,'Avoided Costs 2013-2021'!$M:$M)*R527</f>
        <v>0</v>
      </c>
      <c r="X527" s="73">
        <f t="shared" si="251"/>
        <v>51042.079455104831</v>
      </c>
      <c r="Y527" s="83">
        <v>30884</v>
      </c>
      <c r="Z527" s="74">
        <f t="shared" si="252"/>
        <v>24707.200000000001</v>
      </c>
      <c r="AA527" s="74"/>
      <c r="AB527" s="74"/>
      <c r="AC527" s="74"/>
      <c r="AD527" s="74">
        <f t="shared" si="253"/>
        <v>24707.200000000001</v>
      </c>
      <c r="AE527" s="74">
        <f t="shared" si="254"/>
        <v>26334.87945510483</v>
      </c>
      <c r="AF527" s="52">
        <f t="shared" si="255"/>
        <v>342585.36000000004</v>
      </c>
      <c r="AG527" s="52">
        <f t="shared" si="256"/>
        <v>428231.69999999995</v>
      </c>
    </row>
    <row r="528" spans="1:33" s="21" customFormat="1" x14ac:dyDescent="0.2">
      <c r="A528" s="114" t="s">
        <v>442</v>
      </c>
      <c r="B528" s="114"/>
      <c r="C528" s="114"/>
      <c r="D528" s="160">
        <v>1</v>
      </c>
      <c r="E528" s="161"/>
      <c r="F528" s="162">
        <v>0.2</v>
      </c>
      <c r="G528" s="162"/>
      <c r="H528" s="52">
        <v>51750</v>
      </c>
      <c r="I528" s="52">
        <f t="shared" si="245"/>
        <v>45747</v>
      </c>
      <c r="J528" s="52">
        <f t="shared" si="246"/>
        <v>36597.599999999999</v>
      </c>
      <c r="K528" s="61"/>
      <c r="L528" s="160">
        <v>65224</v>
      </c>
      <c r="M528" s="55">
        <f t="shared" si="247"/>
        <v>65224</v>
      </c>
      <c r="N528" s="55">
        <f t="shared" si="248"/>
        <v>52179.200000000004</v>
      </c>
      <c r="O528" s="95"/>
      <c r="P528" s="160">
        <v>0</v>
      </c>
      <c r="Q528" s="55">
        <f t="shared" si="249"/>
        <v>0</v>
      </c>
      <c r="R528" s="65">
        <f t="shared" si="250"/>
        <v>0</v>
      </c>
      <c r="S528" s="118">
        <v>15</v>
      </c>
      <c r="T528" s="121" t="s">
        <v>201</v>
      </c>
      <c r="U528" s="73">
        <f>SUMIF('Avoided Costs 2013-2021'!$A:$A,'2013 Actuals'!T528&amp;'2013 Actuals'!S528,'Avoided Costs 2013-2021'!$E:$E)*J528</f>
        <v>81790.605722299893</v>
      </c>
      <c r="V528" s="73">
        <f>SUMIF('Avoided Costs 2013-2021'!$A:$A,'2013 Actuals'!T528&amp;'2013 Actuals'!S528,'Avoided Costs 2013-2021'!$K:$K)*N528</f>
        <v>54626.074130989</v>
      </c>
      <c r="W528" s="73">
        <f>SUMIF('Avoided Costs 2013-2021'!$A:$A,'2013 Actuals'!T528&amp;'2013 Actuals'!S528,'Avoided Costs 2013-2021'!$M:$M)*R528</f>
        <v>0</v>
      </c>
      <c r="X528" s="73">
        <f t="shared" si="251"/>
        <v>136416.67985328889</v>
      </c>
      <c r="Y528" s="83">
        <v>10750</v>
      </c>
      <c r="Z528" s="74">
        <f t="shared" si="252"/>
        <v>8600</v>
      </c>
      <c r="AA528" s="74"/>
      <c r="AB528" s="74"/>
      <c r="AC528" s="74"/>
      <c r="AD528" s="74">
        <f t="shared" si="253"/>
        <v>8600</v>
      </c>
      <c r="AE528" s="74">
        <f t="shared" si="254"/>
        <v>127816.67985328889</v>
      </c>
      <c r="AF528" s="52">
        <f t="shared" si="255"/>
        <v>548964</v>
      </c>
      <c r="AG528" s="52">
        <f t="shared" si="256"/>
        <v>686205</v>
      </c>
    </row>
    <row r="529" spans="1:33" s="21" customFormat="1" x14ac:dyDescent="0.2">
      <c r="A529" s="114" t="s">
        <v>443</v>
      </c>
      <c r="B529" s="114"/>
      <c r="C529" s="114"/>
      <c r="D529" s="160">
        <v>0</v>
      </c>
      <c r="E529" s="161"/>
      <c r="F529" s="162">
        <v>0.2</v>
      </c>
      <c r="G529" s="162"/>
      <c r="H529" s="52">
        <v>12467</v>
      </c>
      <c r="I529" s="52">
        <f t="shared" si="245"/>
        <v>11020.828</v>
      </c>
      <c r="J529" s="52">
        <f t="shared" si="246"/>
        <v>8816.6623999999993</v>
      </c>
      <c r="K529" s="61"/>
      <c r="L529" s="160">
        <v>0</v>
      </c>
      <c r="M529" s="55">
        <f t="shared" si="247"/>
        <v>0</v>
      </c>
      <c r="N529" s="55">
        <f t="shared" si="248"/>
        <v>0</v>
      </c>
      <c r="O529" s="95"/>
      <c r="P529" s="160">
        <v>0</v>
      </c>
      <c r="Q529" s="55">
        <f t="shared" si="249"/>
        <v>0</v>
      </c>
      <c r="R529" s="65">
        <f t="shared" si="250"/>
        <v>0</v>
      </c>
      <c r="S529" s="118">
        <v>25</v>
      </c>
      <c r="T529" s="121" t="s">
        <v>217</v>
      </c>
      <c r="U529" s="73">
        <f>SUMIF('Avoided Costs 2013-2021'!$A:$A,'2013 Actuals'!T529&amp;'2013 Actuals'!S529,'Avoided Costs 2013-2021'!$E:$E)*J529</f>
        <v>25956.878812005227</v>
      </c>
      <c r="V529" s="73">
        <f>SUMIF('Avoided Costs 2013-2021'!$A:$A,'2013 Actuals'!T529&amp;'2013 Actuals'!S529,'Avoided Costs 2013-2021'!$K:$K)*N529</f>
        <v>0</v>
      </c>
      <c r="W529" s="73">
        <f>SUMIF('Avoided Costs 2013-2021'!$A:$A,'2013 Actuals'!T529&amp;'2013 Actuals'!S529,'Avoided Costs 2013-2021'!$M:$M)*R529</f>
        <v>0</v>
      </c>
      <c r="X529" s="73">
        <f t="shared" si="251"/>
        <v>25956.878812005227</v>
      </c>
      <c r="Y529" s="83">
        <v>5194</v>
      </c>
      <c r="Z529" s="74">
        <f t="shared" si="252"/>
        <v>4155.2</v>
      </c>
      <c r="AA529" s="74"/>
      <c r="AB529" s="74"/>
      <c r="AC529" s="74"/>
      <c r="AD529" s="74">
        <f t="shared" si="253"/>
        <v>4155.2</v>
      </c>
      <c r="AE529" s="74">
        <f t="shared" si="254"/>
        <v>21801.678812005226</v>
      </c>
      <c r="AF529" s="52">
        <f t="shared" si="255"/>
        <v>220416.55999999997</v>
      </c>
      <c r="AG529" s="52">
        <f t="shared" si="256"/>
        <v>275520.7</v>
      </c>
    </row>
    <row r="530" spans="1:33" s="21" customFormat="1" x14ac:dyDescent="0.2">
      <c r="A530" s="114" t="s">
        <v>444</v>
      </c>
      <c r="B530" s="114"/>
      <c r="C530" s="114"/>
      <c r="D530" s="160">
        <v>1</v>
      </c>
      <c r="E530" s="161"/>
      <c r="F530" s="162">
        <v>0.2</v>
      </c>
      <c r="G530" s="162"/>
      <c r="H530" s="52">
        <v>89351</v>
      </c>
      <c r="I530" s="52">
        <f t="shared" si="245"/>
        <v>78986.284</v>
      </c>
      <c r="J530" s="52">
        <f t="shared" si="246"/>
        <v>63189.027200000004</v>
      </c>
      <c r="K530" s="61"/>
      <c r="L530" s="160">
        <v>0</v>
      </c>
      <c r="M530" s="55">
        <f t="shared" si="247"/>
        <v>0</v>
      </c>
      <c r="N530" s="55">
        <f t="shared" si="248"/>
        <v>0</v>
      </c>
      <c r="O530" s="95"/>
      <c r="P530" s="160">
        <v>0</v>
      </c>
      <c r="Q530" s="55">
        <f t="shared" si="249"/>
        <v>0</v>
      </c>
      <c r="R530" s="65">
        <f t="shared" si="250"/>
        <v>0</v>
      </c>
      <c r="S530" s="118">
        <v>25</v>
      </c>
      <c r="T530" s="121" t="s">
        <v>201</v>
      </c>
      <c r="U530" s="73">
        <f>SUMIF('Avoided Costs 2013-2021'!$A:$A,'2013 Actuals'!T530&amp;'2013 Actuals'!S530,'Avoided Costs 2013-2021'!$E:$E)*J530</f>
        <v>198232.9920619489</v>
      </c>
      <c r="V530" s="73">
        <f>SUMIF('Avoided Costs 2013-2021'!$A:$A,'2013 Actuals'!T530&amp;'2013 Actuals'!S530,'Avoided Costs 2013-2021'!$K:$K)*N530</f>
        <v>0</v>
      </c>
      <c r="W530" s="73">
        <f>SUMIF('Avoided Costs 2013-2021'!$A:$A,'2013 Actuals'!T530&amp;'2013 Actuals'!S530,'Avoided Costs 2013-2021'!$M:$M)*R530</f>
        <v>0</v>
      </c>
      <c r="X530" s="73">
        <f t="shared" si="251"/>
        <v>198232.9920619489</v>
      </c>
      <c r="Y530" s="83">
        <v>45288</v>
      </c>
      <c r="Z530" s="74">
        <f t="shared" si="252"/>
        <v>36230.400000000001</v>
      </c>
      <c r="AA530" s="74"/>
      <c r="AB530" s="74"/>
      <c r="AC530" s="74"/>
      <c r="AD530" s="74">
        <f t="shared" si="253"/>
        <v>36230.400000000001</v>
      </c>
      <c r="AE530" s="74">
        <f t="shared" si="254"/>
        <v>162002.5920619489</v>
      </c>
      <c r="AF530" s="52">
        <f t="shared" si="255"/>
        <v>1579725.6800000002</v>
      </c>
      <c r="AG530" s="52">
        <f t="shared" si="256"/>
        <v>1974657.1</v>
      </c>
    </row>
    <row r="531" spans="1:33" s="21" customFormat="1" x14ac:dyDescent="0.2">
      <c r="A531" s="114" t="s">
        <v>445</v>
      </c>
      <c r="B531" s="114"/>
      <c r="C531" s="114"/>
      <c r="D531" s="160">
        <v>1</v>
      </c>
      <c r="E531" s="161"/>
      <c r="F531" s="162">
        <v>0.2</v>
      </c>
      <c r="G531" s="162"/>
      <c r="H531" s="52">
        <v>10769</v>
      </c>
      <c r="I531" s="52">
        <f t="shared" si="245"/>
        <v>9519.7960000000003</v>
      </c>
      <c r="J531" s="52">
        <f t="shared" si="246"/>
        <v>7615.8368000000009</v>
      </c>
      <c r="K531" s="61"/>
      <c r="L531" s="160">
        <v>0</v>
      </c>
      <c r="M531" s="55">
        <f t="shared" si="247"/>
        <v>0</v>
      </c>
      <c r="N531" s="55">
        <f t="shared" si="248"/>
        <v>0</v>
      </c>
      <c r="O531" s="95"/>
      <c r="P531" s="160">
        <v>0</v>
      </c>
      <c r="Q531" s="55">
        <f t="shared" si="249"/>
        <v>0</v>
      </c>
      <c r="R531" s="65">
        <f t="shared" si="250"/>
        <v>0</v>
      </c>
      <c r="S531" s="118">
        <v>15</v>
      </c>
      <c r="T531" s="121" t="s">
        <v>201</v>
      </c>
      <c r="U531" s="73">
        <f>SUMIF('Avoided Costs 2013-2021'!$A:$A,'2013 Actuals'!T531&amp;'2013 Actuals'!S531,'Avoided Costs 2013-2021'!$E:$E)*J531</f>
        <v>17020.34846422121</v>
      </c>
      <c r="V531" s="73">
        <f>SUMIF('Avoided Costs 2013-2021'!$A:$A,'2013 Actuals'!T531&amp;'2013 Actuals'!S531,'Avoided Costs 2013-2021'!$K:$K)*N531</f>
        <v>0</v>
      </c>
      <c r="W531" s="73">
        <f>SUMIF('Avoided Costs 2013-2021'!$A:$A,'2013 Actuals'!T531&amp;'2013 Actuals'!S531,'Avoided Costs 2013-2021'!$M:$M)*R531</f>
        <v>0</v>
      </c>
      <c r="X531" s="73">
        <f t="shared" si="251"/>
        <v>17020.34846422121</v>
      </c>
      <c r="Y531" s="83">
        <v>6204</v>
      </c>
      <c r="Z531" s="74">
        <f t="shared" si="252"/>
        <v>4963.2000000000007</v>
      </c>
      <c r="AA531" s="74"/>
      <c r="AB531" s="74"/>
      <c r="AC531" s="74"/>
      <c r="AD531" s="74">
        <f t="shared" si="253"/>
        <v>4963.2000000000007</v>
      </c>
      <c r="AE531" s="74">
        <f t="shared" si="254"/>
        <v>12057.148464221209</v>
      </c>
      <c r="AF531" s="52">
        <f t="shared" si="255"/>
        <v>114237.55200000001</v>
      </c>
      <c r="AG531" s="52">
        <f t="shared" si="256"/>
        <v>142796.94</v>
      </c>
    </row>
    <row r="532" spans="1:33" s="21" customFormat="1" x14ac:dyDescent="0.2">
      <c r="A532" s="114" t="s">
        <v>446</v>
      </c>
      <c r="B532" s="114"/>
      <c r="C532" s="114"/>
      <c r="D532" s="160">
        <v>1</v>
      </c>
      <c r="E532" s="161"/>
      <c r="F532" s="162">
        <v>0.2</v>
      </c>
      <c r="G532" s="162"/>
      <c r="H532" s="52">
        <v>10978</v>
      </c>
      <c r="I532" s="52">
        <f t="shared" si="245"/>
        <v>9704.5519999999997</v>
      </c>
      <c r="J532" s="52">
        <f t="shared" si="246"/>
        <v>7763.6415999999999</v>
      </c>
      <c r="K532" s="61"/>
      <c r="L532" s="160">
        <v>0</v>
      </c>
      <c r="M532" s="55">
        <f t="shared" si="247"/>
        <v>0</v>
      </c>
      <c r="N532" s="55">
        <f t="shared" si="248"/>
        <v>0</v>
      </c>
      <c r="O532" s="95"/>
      <c r="P532" s="160">
        <v>0</v>
      </c>
      <c r="Q532" s="55">
        <f t="shared" si="249"/>
        <v>0</v>
      </c>
      <c r="R532" s="65">
        <f t="shared" si="250"/>
        <v>0</v>
      </c>
      <c r="S532" s="118">
        <v>15</v>
      </c>
      <c r="T532" s="121" t="s">
        <v>201</v>
      </c>
      <c r="U532" s="73">
        <f>SUMIF('Avoided Costs 2013-2021'!$A:$A,'2013 Actuals'!T532&amp;'2013 Actuals'!S532,'Avoided Costs 2013-2021'!$E:$E)*J532</f>
        <v>17350.671876703542</v>
      </c>
      <c r="V532" s="73">
        <f>SUMIF('Avoided Costs 2013-2021'!$A:$A,'2013 Actuals'!T532&amp;'2013 Actuals'!S532,'Avoided Costs 2013-2021'!$K:$K)*N532</f>
        <v>0</v>
      </c>
      <c r="W532" s="73">
        <f>SUMIF('Avoided Costs 2013-2021'!$A:$A,'2013 Actuals'!T532&amp;'2013 Actuals'!S532,'Avoided Costs 2013-2021'!$M:$M)*R532</f>
        <v>0</v>
      </c>
      <c r="X532" s="73">
        <f t="shared" si="251"/>
        <v>17350.671876703542</v>
      </c>
      <c r="Y532" s="83">
        <v>6204</v>
      </c>
      <c r="Z532" s="74">
        <f t="shared" si="252"/>
        <v>4963.2000000000007</v>
      </c>
      <c r="AA532" s="74"/>
      <c r="AB532" s="74"/>
      <c r="AC532" s="74"/>
      <c r="AD532" s="74">
        <f t="shared" si="253"/>
        <v>4963.2000000000007</v>
      </c>
      <c r="AE532" s="74">
        <f t="shared" si="254"/>
        <v>12387.471876703541</v>
      </c>
      <c r="AF532" s="52">
        <f t="shared" si="255"/>
        <v>116454.624</v>
      </c>
      <c r="AG532" s="52">
        <f t="shared" si="256"/>
        <v>145568.28</v>
      </c>
    </row>
    <row r="533" spans="1:33" s="21" customFormat="1" x14ac:dyDescent="0.2">
      <c r="A533" s="114" t="s">
        <v>447</v>
      </c>
      <c r="B533" s="114"/>
      <c r="C533" s="114"/>
      <c r="D533" s="160">
        <v>1</v>
      </c>
      <c r="E533" s="161"/>
      <c r="F533" s="162">
        <v>0.2</v>
      </c>
      <c r="G533" s="162"/>
      <c r="H533" s="52">
        <v>13784</v>
      </c>
      <c r="I533" s="52">
        <f t="shared" si="245"/>
        <v>12185.056</v>
      </c>
      <c r="J533" s="52">
        <f t="shared" si="246"/>
        <v>9748.0448000000015</v>
      </c>
      <c r="K533" s="61"/>
      <c r="L533" s="160">
        <v>0</v>
      </c>
      <c r="M533" s="55">
        <f t="shared" si="247"/>
        <v>0</v>
      </c>
      <c r="N533" s="55">
        <f t="shared" si="248"/>
        <v>0</v>
      </c>
      <c r="O533" s="95"/>
      <c r="P533" s="160">
        <v>0</v>
      </c>
      <c r="Q533" s="55">
        <f t="shared" si="249"/>
        <v>0</v>
      </c>
      <c r="R533" s="65">
        <f t="shared" si="250"/>
        <v>0</v>
      </c>
      <c r="S533" s="118">
        <v>15</v>
      </c>
      <c r="T533" s="121" t="s">
        <v>201</v>
      </c>
      <c r="U533" s="73">
        <f>SUMIF('Avoided Costs 2013-2021'!$A:$A,'2013 Actuals'!T533&amp;'2013 Actuals'!S533,'Avoided Costs 2013-2021'!$E:$E)*J533</f>
        <v>21785.54027586825</v>
      </c>
      <c r="V533" s="73">
        <f>SUMIF('Avoided Costs 2013-2021'!$A:$A,'2013 Actuals'!T533&amp;'2013 Actuals'!S533,'Avoided Costs 2013-2021'!$K:$K)*N533</f>
        <v>0</v>
      </c>
      <c r="W533" s="73">
        <f>SUMIF('Avoided Costs 2013-2021'!$A:$A,'2013 Actuals'!T533&amp;'2013 Actuals'!S533,'Avoided Costs 2013-2021'!$M:$M)*R533</f>
        <v>0</v>
      </c>
      <c r="X533" s="73">
        <f t="shared" si="251"/>
        <v>21785.54027586825</v>
      </c>
      <c r="Y533" s="83">
        <v>5965</v>
      </c>
      <c r="Z533" s="74">
        <f t="shared" si="252"/>
        <v>4772</v>
      </c>
      <c r="AA533" s="74"/>
      <c r="AB533" s="74"/>
      <c r="AC533" s="74"/>
      <c r="AD533" s="74">
        <f t="shared" si="253"/>
        <v>4772</v>
      </c>
      <c r="AE533" s="74">
        <f t="shared" si="254"/>
        <v>17013.54027586825</v>
      </c>
      <c r="AF533" s="52">
        <f t="shared" si="255"/>
        <v>146220.67200000002</v>
      </c>
      <c r="AG533" s="52">
        <f t="shared" si="256"/>
        <v>182775.84</v>
      </c>
    </row>
    <row r="534" spans="1:33" s="21" customFormat="1" x14ac:dyDescent="0.2">
      <c r="A534" s="114" t="s">
        <v>448</v>
      </c>
      <c r="B534" s="114"/>
      <c r="C534" s="114"/>
      <c r="D534" s="160">
        <v>1</v>
      </c>
      <c r="E534" s="161"/>
      <c r="F534" s="162">
        <v>0.2</v>
      </c>
      <c r="G534" s="162"/>
      <c r="H534" s="52">
        <v>34093</v>
      </c>
      <c r="I534" s="52">
        <f t="shared" si="245"/>
        <v>30138.212</v>
      </c>
      <c r="J534" s="52">
        <f t="shared" si="246"/>
        <v>24110.569600000003</v>
      </c>
      <c r="K534" s="61"/>
      <c r="L534" s="160">
        <v>0</v>
      </c>
      <c r="M534" s="55">
        <f t="shared" si="247"/>
        <v>0</v>
      </c>
      <c r="N534" s="55">
        <f t="shared" si="248"/>
        <v>0</v>
      </c>
      <c r="O534" s="95"/>
      <c r="P534" s="160">
        <v>0</v>
      </c>
      <c r="Q534" s="55">
        <f t="shared" si="249"/>
        <v>0</v>
      </c>
      <c r="R534" s="65">
        <f t="shared" si="250"/>
        <v>0</v>
      </c>
      <c r="S534" s="118">
        <v>25</v>
      </c>
      <c r="T534" s="121" t="s">
        <v>201</v>
      </c>
      <c r="U534" s="73">
        <f>SUMIF('Avoided Costs 2013-2021'!$A:$A,'2013 Actuals'!T534&amp;'2013 Actuals'!S534,'Avoided Costs 2013-2021'!$E:$E)*J534</f>
        <v>75638.296139584607</v>
      </c>
      <c r="V534" s="73">
        <f>SUMIF('Avoided Costs 2013-2021'!$A:$A,'2013 Actuals'!T534&amp;'2013 Actuals'!S534,'Avoided Costs 2013-2021'!$K:$K)*N534</f>
        <v>0</v>
      </c>
      <c r="W534" s="73">
        <f>SUMIF('Avoided Costs 2013-2021'!$A:$A,'2013 Actuals'!T534&amp;'2013 Actuals'!S534,'Avoided Costs 2013-2021'!$M:$M)*R534</f>
        <v>0</v>
      </c>
      <c r="X534" s="73">
        <f t="shared" si="251"/>
        <v>75638.296139584607</v>
      </c>
      <c r="Y534" s="83">
        <v>15381</v>
      </c>
      <c r="Z534" s="74">
        <f t="shared" si="252"/>
        <v>12304.800000000001</v>
      </c>
      <c r="AA534" s="74"/>
      <c r="AB534" s="74"/>
      <c r="AC534" s="74"/>
      <c r="AD534" s="74">
        <f t="shared" si="253"/>
        <v>12304.800000000001</v>
      </c>
      <c r="AE534" s="74">
        <f t="shared" si="254"/>
        <v>63333.496139584604</v>
      </c>
      <c r="AF534" s="52">
        <f t="shared" si="255"/>
        <v>602764.24000000011</v>
      </c>
      <c r="AG534" s="52">
        <f t="shared" si="256"/>
        <v>753455.3</v>
      </c>
    </row>
    <row r="535" spans="1:33" s="21" customFormat="1" x14ac:dyDescent="0.2">
      <c r="A535" s="114" t="s">
        <v>449</v>
      </c>
      <c r="B535" s="114"/>
      <c r="C535" s="114"/>
      <c r="D535" s="160">
        <v>1</v>
      </c>
      <c r="E535" s="161"/>
      <c r="F535" s="162">
        <v>0.2</v>
      </c>
      <c r="G535" s="162"/>
      <c r="H535" s="52">
        <v>2267</v>
      </c>
      <c r="I535" s="52">
        <f t="shared" si="245"/>
        <v>2004.028</v>
      </c>
      <c r="J535" s="52">
        <f t="shared" si="246"/>
        <v>1603.2224000000001</v>
      </c>
      <c r="K535" s="61"/>
      <c r="L535" s="160">
        <v>0</v>
      </c>
      <c r="M535" s="55">
        <f t="shared" si="247"/>
        <v>0</v>
      </c>
      <c r="N535" s="55">
        <f t="shared" si="248"/>
        <v>0</v>
      </c>
      <c r="O535" s="95"/>
      <c r="P535" s="160">
        <v>0</v>
      </c>
      <c r="Q535" s="55">
        <f t="shared" si="249"/>
        <v>0</v>
      </c>
      <c r="R535" s="65">
        <f t="shared" si="250"/>
        <v>0</v>
      </c>
      <c r="S535" s="118">
        <v>25</v>
      </c>
      <c r="T535" s="121" t="s">
        <v>201</v>
      </c>
      <c r="U535" s="73">
        <f>SUMIF('Avoided Costs 2013-2021'!$A:$A,'2013 Actuals'!T535&amp;'2013 Actuals'!S535,'Avoided Costs 2013-2021'!$E:$E)*J535</f>
        <v>5029.5373639292029</v>
      </c>
      <c r="V535" s="73">
        <f>SUMIF('Avoided Costs 2013-2021'!$A:$A,'2013 Actuals'!T535&amp;'2013 Actuals'!S535,'Avoided Costs 2013-2021'!$K:$K)*N535</f>
        <v>0</v>
      </c>
      <c r="W535" s="73">
        <f>SUMIF('Avoided Costs 2013-2021'!$A:$A,'2013 Actuals'!T535&amp;'2013 Actuals'!S535,'Avoided Costs 2013-2021'!$M:$M)*R535</f>
        <v>0</v>
      </c>
      <c r="X535" s="73">
        <f t="shared" si="251"/>
        <v>5029.5373639292029</v>
      </c>
      <c r="Y535" s="83">
        <v>2386</v>
      </c>
      <c r="Z535" s="74">
        <f t="shared" si="252"/>
        <v>1908.8000000000002</v>
      </c>
      <c r="AA535" s="74"/>
      <c r="AB535" s="74"/>
      <c r="AC535" s="74"/>
      <c r="AD535" s="74">
        <f t="shared" si="253"/>
        <v>1908.8000000000002</v>
      </c>
      <c r="AE535" s="74">
        <f t="shared" si="254"/>
        <v>3120.7373639292027</v>
      </c>
      <c r="AF535" s="52">
        <f t="shared" si="255"/>
        <v>40080.560000000005</v>
      </c>
      <c r="AG535" s="52">
        <f t="shared" si="256"/>
        <v>50100.7</v>
      </c>
    </row>
    <row r="536" spans="1:33" s="21" customFormat="1" x14ac:dyDescent="0.2">
      <c r="A536" s="114" t="s">
        <v>450</v>
      </c>
      <c r="B536" s="114"/>
      <c r="C536" s="114"/>
      <c r="D536" s="160">
        <v>0</v>
      </c>
      <c r="E536" s="161"/>
      <c r="F536" s="162">
        <v>0.2</v>
      </c>
      <c r="G536" s="162"/>
      <c r="H536" s="52">
        <v>18685</v>
      </c>
      <c r="I536" s="52">
        <f t="shared" si="245"/>
        <v>16517.54</v>
      </c>
      <c r="J536" s="52">
        <f t="shared" si="246"/>
        <v>13214.032000000001</v>
      </c>
      <c r="K536" s="61"/>
      <c r="L536" s="160">
        <v>0</v>
      </c>
      <c r="M536" s="55">
        <f t="shared" si="247"/>
        <v>0</v>
      </c>
      <c r="N536" s="55">
        <f t="shared" si="248"/>
        <v>0</v>
      </c>
      <c r="O536" s="95"/>
      <c r="P536" s="160">
        <v>0</v>
      </c>
      <c r="Q536" s="55">
        <f t="shared" si="249"/>
        <v>0</v>
      </c>
      <c r="R536" s="65">
        <f t="shared" si="250"/>
        <v>0</v>
      </c>
      <c r="S536" s="118">
        <v>15</v>
      </c>
      <c r="T536" s="121" t="s">
        <v>201</v>
      </c>
      <c r="U536" s="73">
        <f>SUMIF('Avoided Costs 2013-2021'!$A:$A,'2013 Actuals'!T536&amp;'2013 Actuals'!S536,'Avoided Costs 2013-2021'!$E:$E)*J536</f>
        <v>29531.545273839103</v>
      </c>
      <c r="V536" s="73">
        <f>SUMIF('Avoided Costs 2013-2021'!$A:$A,'2013 Actuals'!T536&amp;'2013 Actuals'!S536,'Avoided Costs 2013-2021'!$K:$K)*N536</f>
        <v>0</v>
      </c>
      <c r="W536" s="73">
        <f>SUMIF('Avoided Costs 2013-2021'!$A:$A,'2013 Actuals'!T536&amp;'2013 Actuals'!S536,'Avoided Costs 2013-2021'!$M:$M)*R536</f>
        <v>0</v>
      </c>
      <c r="X536" s="73">
        <f t="shared" si="251"/>
        <v>29531.545273839103</v>
      </c>
      <c r="Y536" s="83">
        <v>31928</v>
      </c>
      <c r="Z536" s="74">
        <f t="shared" si="252"/>
        <v>25542.400000000001</v>
      </c>
      <c r="AA536" s="74"/>
      <c r="AB536" s="74"/>
      <c r="AC536" s="74"/>
      <c r="AD536" s="74">
        <f t="shared" si="253"/>
        <v>25542.400000000001</v>
      </c>
      <c r="AE536" s="74">
        <f t="shared" si="254"/>
        <v>3989.1452738391017</v>
      </c>
      <c r="AF536" s="52">
        <f t="shared" si="255"/>
        <v>198210.48</v>
      </c>
      <c r="AG536" s="52">
        <f t="shared" si="256"/>
        <v>247763.1</v>
      </c>
    </row>
    <row r="537" spans="1:33" s="21" customFormat="1" x14ac:dyDescent="0.2">
      <c r="A537" s="114" t="s">
        <v>451</v>
      </c>
      <c r="B537" s="114"/>
      <c r="C537" s="114"/>
      <c r="D537" s="160">
        <v>1</v>
      </c>
      <c r="E537" s="161"/>
      <c r="F537" s="162">
        <v>0.2</v>
      </c>
      <c r="G537" s="162"/>
      <c r="H537" s="52">
        <v>114751</v>
      </c>
      <c r="I537" s="52">
        <f t="shared" si="245"/>
        <v>101439.88400000001</v>
      </c>
      <c r="J537" s="52">
        <f t="shared" si="246"/>
        <v>81151.907200000016</v>
      </c>
      <c r="K537" s="61"/>
      <c r="L537" s="160">
        <v>0</v>
      </c>
      <c r="M537" s="55">
        <f t="shared" si="247"/>
        <v>0</v>
      </c>
      <c r="N537" s="55">
        <f t="shared" si="248"/>
        <v>0</v>
      </c>
      <c r="O537" s="95"/>
      <c r="P537" s="160">
        <v>0</v>
      </c>
      <c r="Q537" s="55">
        <f t="shared" si="249"/>
        <v>0</v>
      </c>
      <c r="R537" s="65">
        <f t="shared" si="250"/>
        <v>0</v>
      </c>
      <c r="S537" s="118">
        <v>25</v>
      </c>
      <c r="T537" s="121" t="s">
        <v>201</v>
      </c>
      <c r="U537" s="73">
        <f>SUMIF('Avoided Costs 2013-2021'!$A:$A,'2013 Actuals'!T537&amp;'2013 Actuals'!S537,'Avoided Costs 2013-2021'!$E:$E)*J537</f>
        <v>254585.10897584472</v>
      </c>
      <c r="V537" s="73">
        <f>SUMIF('Avoided Costs 2013-2021'!$A:$A,'2013 Actuals'!T537&amp;'2013 Actuals'!S537,'Avoided Costs 2013-2021'!$K:$K)*N537</f>
        <v>0</v>
      </c>
      <c r="W537" s="73">
        <f>SUMIF('Avoided Costs 2013-2021'!$A:$A,'2013 Actuals'!T537&amp;'2013 Actuals'!S537,'Avoided Costs 2013-2021'!$M:$M)*R537</f>
        <v>0</v>
      </c>
      <c r="X537" s="73">
        <f t="shared" si="251"/>
        <v>254585.10897584472</v>
      </c>
      <c r="Y537" s="83">
        <v>25145</v>
      </c>
      <c r="Z537" s="74">
        <f t="shared" si="252"/>
        <v>20116</v>
      </c>
      <c r="AA537" s="74"/>
      <c r="AB537" s="74"/>
      <c r="AC537" s="74"/>
      <c r="AD537" s="74">
        <f t="shared" si="253"/>
        <v>20116</v>
      </c>
      <c r="AE537" s="74">
        <f t="shared" si="254"/>
        <v>234469.10897584472</v>
      </c>
      <c r="AF537" s="52">
        <f t="shared" si="255"/>
        <v>2028797.6800000004</v>
      </c>
      <c r="AG537" s="52">
        <f t="shared" si="256"/>
        <v>2535997.1</v>
      </c>
    </row>
    <row r="538" spans="1:33" s="21" customFormat="1" x14ac:dyDescent="0.2">
      <c r="A538" s="114" t="s">
        <v>452</v>
      </c>
      <c r="B538" s="114"/>
      <c r="C538" s="114"/>
      <c r="D538" s="160">
        <v>0</v>
      </c>
      <c r="E538" s="161"/>
      <c r="F538" s="162">
        <v>0.2</v>
      </c>
      <c r="G538" s="162"/>
      <c r="H538" s="52">
        <v>6915</v>
      </c>
      <c r="I538" s="52">
        <f t="shared" si="245"/>
        <v>6112.86</v>
      </c>
      <c r="J538" s="52">
        <f t="shared" si="246"/>
        <v>4890.2879999999996</v>
      </c>
      <c r="K538" s="61"/>
      <c r="L538" s="160">
        <v>0</v>
      </c>
      <c r="M538" s="55">
        <f t="shared" si="247"/>
        <v>0</v>
      </c>
      <c r="N538" s="55">
        <f t="shared" si="248"/>
        <v>0</v>
      </c>
      <c r="O538" s="95"/>
      <c r="P538" s="160">
        <v>0</v>
      </c>
      <c r="Q538" s="55">
        <f t="shared" si="249"/>
        <v>0</v>
      </c>
      <c r="R538" s="65">
        <f t="shared" si="250"/>
        <v>0</v>
      </c>
      <c r="S538" s="118">
        <v>25</v>
      </c>
      <c r="T538" s="121" t="s">
        <v>217</v>
      </c>
      <c r="U538" s="73">
        <f>SUMIF('Avoided Costs 2013-2021'!$A:$A,'2013 Actuals'!T538&amp;'2013 Actuals'!S538,'Avoided Costs 2013-2021'!$E:$E)*J538</f>
        <v>14397.354374349576</v>
      </c>
      <c r="V538" s="73">
        <f>SUMIF('Avoided Costs 2013-2021'!$A:$A,'2013 Actuals'!T538&amp;'2013 Actuals'!S538,'Avoided Costs 2013-2021'!$K:$K)*N538</f>
        <v>0</v>
      </c>
      <c r="W538" s="73">
        <f>SUMIF('Avoided Costs 2013-2021'!$A:$A,'2013 Actuals'!T538&amp;'2013 Actuals'!S538,'Avoided Costs 2013-2021'!$M:$M)*R538</f>
        <v>0</v>
      </c>
      <c r="X538" s="73">
        <f t="shared" si="251"/>
        <v>14397.354374349576</v>
      </c>
      <c r="Y538" s="83">
        <v>25432</v>
      </c>
      <c r="Z538" s="74">
        <f t="shared" si="252"/>
        <v>20345.600000000002</v>
      </c>
      <c r="AA538" s="74"/>
      <c r="AB538" s="74"/>
      <c r="AC538" s="74"/>
      <c r="AD538" s="74">
        <f t="shared" si="253"/>
        <v>20345.600000000002</v>
      </c>
      <c r="AE538" s="74">
        <f t="shared" si="254"/>
        <v>-5948.2456256504265</v>
      </c>
      <c r="AF538" s="52">
        <f t="shared" si="255"/>
        <v>122257.19999999998</v>
      </c>
      <c r="AG538" s="52">
        <f t="shared" si="256"/>
        <v>152821.5</v>
      </c>
    </row>
    <row r="539" spans="1:33" s="21" customFormat="1" x14ac:dyDescent="0.2">
      <c r="A539" s="114" t="s">
        <v>453</v>
      </c>
      <c r="B539" s="114"/>
      <c r="C539" s="114"/>
      <c r="D539" s="160">
        <v>1</v>
      </c>
      <c r="E539" s="161"/>
      <c r="F539" s="162">
        <v>0.2</v>
      </c>
      <c r="G539" s="162"/>
      <c r="H539" s="52">
        <v>32861</v>
      </c>
      <c r="I539" s="52">
        <f t="shared" si="245"/>
        <v>29049.124</v>
      </c>
      <c r="J539" s="52">
        <f t="shared" si="246"/>
        <v>23239.299200000001</v>
      </c>
      <c r="K539" s="61"/>
      <c r="L539" s="160">
        <v>0</v>
      </c>
      <c r="M539" s="55">
        <f t="shared" si="247"/>
        <v>0</v>
      </c>
      <c r="N539" s="55">
        <f t="shared" si="248"/>
        <v>0</v>
      </c>
      <c r="O539" s="95"/>
      <c r="P539" s="160">
        <v>0</v>
      </c>
      <c r="Q539" s="55">
        <f t="shared" si="249"/>
        <v>0</v>
      </c>
      <c r="R539" s="65">
        <f t="shared" si="250"/>
        <v>0</v>
      </c>
      <c r="S539" s="118">
        <v>25</v>
      </c>
      <c r="T539" s="121" t="s">
        <v>201</v>
      </c>
      <c r="U539" s="73">
        <f>SUMIF('Avoided Costs 2013-2021'!$A:$A,'2013 Actuals'!T539&amp;'2013 Actuals'!S539,'Avoided Costs 2013-2021'!$E:$E)*J539</f>
        <v>72904.99661053266</v>
      </c>
      <c r="V539" s="73">
        <f>SUMIF('Avoided Costs 2013-2021'!$A:$A,'2013 Actuals'!T539&amp;'2013 Actuals'!S539,'Avoided Costs 2013-2021'!$K:$K)*N539</f>
        <v>0</v>
      </c>
      <c r="W539" s="73">
        <f>SUMIF('Avoided Costs 2013-2021'!$A:$A,'2013 Actuals'!T539&amp;'2013 Actuals'!S539,'Avoided Costs 2013-2021'!$M:$M)*R539</f>
        <v>0</v>
      </c>
      <c r="X539" s="73">
        <f t="shared" si="251"/>
        <v>72904.99661053266</v>
      </c>
      <c r="Y539" s="83">
        <v>65452</v>
      </c>
      <c r="Z539" s="74">
        <f t="shared" si="252"/>
        <v>52361.600000000006</v>
      </c>
      <c r="AA539" s="74"/>
      <c r="AB539" s="74"/>
      <c r="AC539" s="74"/>
      <c r="AD539" s="74">
        <f t="shared" si="253"/>
        <v>52361.600000000006</v>
      </c>
      <c r="AE539" s="74">
        <f t="shared" si="254"/>
        <v>20543.396610532654</v>
      </c>
      <c r="AF539" s="52">
        <f t="shared" si="255"/>
        <v>580982.48</v>
      </c>
      <c r="AG539" s="52">
        <f t="shared" si="256"/>
        <v>726228.1</v>
      </c>
    </row>
    <row r="540" spans="1:33" s="21" customFormat="1" x14ac:dyDescent="0.2">
      <c r="A540" s="114" t="s">
        <v>454</v>
      </c>
      <c r="B540" s="114"/>
      <c r="C540" s="114"/>
      <c r="D540" s="160">
        <v>1</v>
      </c>
      <c r="E540" s="161"/>
      <c r="F540" s="162">
        <v>0.2</v>
      </c>
      <c r="G540" s="162"/>
      <c r="H540" s="52">
        <v>7452</v>
      </c>
      <c r="I540" s="52">
        <f t="shared" si="245"/>
        <v>6587.5680000000002</v>
      </c>
      <c r="J540" s="52">
        <f t="shared" si="246"/>
        <v>5270.0544000000009</v>
      </c>
      <c r="K540" s="61"/>
      <c r="L540" s="160">
        <v>0</v>
      </c>
      <c r="M540" s="55">
        <f t="shared" si="247"/>
        <v>0</v>
      </c>
      <c r="N540" s="55">
        <f t="shared" si="248"/>
        <v>0</v>
      </c>
      <c r="O540" s="95"/>
      <c r="P540" s="160">
        <v>0</v>
      </c>
      <c r="Q540" s="55">
        <f t="shared" si="249"/>
        <v>0</v>
      </c>
      <c r="R540" s="65">
        <f t="shared" si="250"/>
        <v>0</v>
      </c>
      <c r="S540" s="118">
        <v>25</v>
      </c>
      <c r="T540" s="121" t="s">
        <v>217</v>
      </c>
      <c r="U540" s="73">
        <f>SUMIF('Avoided Costs 2013-2021'!$A:$A,'2013 Actuals'!T540&amp;'2013 Actuals'!S540,'Avoided Costs 2013-2021'!$E:$E)*J540</f>
        <v>15515.413564374991</v>
      </c>
      <c r="V540" s="73">
        <f>SUMIF('Avoided Costs 2013-2021'!$A:$A,'2013 Actuals'!T540&amp;'2013 Actuals'!S540,'Avoided Costs 2013-2021'!$K:$K)*N540</f>
        <v>0</v>
      </c>
      <c r="W540" s="73">
        <f>SUMIF('Avoided Costs 2013-2021'!$A:$A,'2013 Actuals'!T540&amp;'2013 Actuals'!S540,'Avoided Costs 2013-2021'!$M:$M)*R540</f>
        <v>0</v>
      </c>
      <c r="X540" s="73">
        <f t="shared" si="251"/>
        <v>15515.413564374991</v>
      </c>
      <c r="Y540" s="83">
        <v>10535</v>
      </c>
      <c r="Z540" s="74">
        <f t="shared" si="252"/>
        <v>8428</v>
      </c>
      <c r="AA540" s="74"/>
      <c r="AB540" s="74"/>
      <c r="AC540" s="74"/>
      <c r="AD540" s="74">
        <f t="shared" si="253"/>
        <v>8428</v>
      </c>
      <c r="AE540" s="74">
        <f t="shared" si="254"/>
        <v>7087.4135643749905</v>
      </c>
      <c r="AF540" s="52">
        <f t="shared" si="255"/>
        <v>131751.36000000002</v>
      </c>
      <c r="AG540" s="52">
        <f t="shared" si="256"/>
        <v>164689.20000000001</v>
      </c>
    </row>
    <row r="541" spans="1:33" s="21" customFormat="1" x14ac:dyDescent="0.2">
      <c r="A541" s="114" t="s">
        <v>455</v>
      </c>
      <c r="B541" s="114"/>
      <c r="C541" s="114"/>
      <c r="D541" s="160">
        <v>1</v>
      </c>
      <c r="E541" s="161"/>
      <c r="F541" s="162">
        <v>0.2</v>
      </c>
      <c r="G541" s="162"/>
      <c r="H541" s="52">
        <v>10861</v>
      </c>
      <c r="I541" s="52">
        <f>H541</f>
        <v>10861</v>
      </c>
      <c r="J541" s="52">
        <f t="shared" si="246"/>
        <v>8688.8000000000011</v>
      </c>
      <c r="K541" s="61"/>
      <c r="L541" s="160">
        <v>0</v>
      </c>
      <c r="M541" s="55">
        <f t="shared" si="247"/>
        <v>0</v>
      </c>
      <c r="N541" s="55">
        <f t="shared" si="248"/>
        <v>0</v>
      </c>
      <c r="O541" s="95"/>
      <c r="P541" s="160">
        <v>0</v>
      </c>
      <c r="Q541" s="55">
        <f t="shared" si="249"/>
        <v>0</v>
      </c>
      <c r="R541" s="65">
        <f t="shared" si="250"/>
        <v>0</v>
      </c>
      <c r="S541" s="118">
        <v>25</v>
      </c>
      <c r="T541" s="121" t="s">
        <v>201</v>
      </c>
      <c r="U541" s="73">
        <f>SUMIF('Avoided Costs 2013-2021'!$A:$A,'2013 Actuals'!T541&amp;'2013 Actuals'!S541,'Avoided Costs 2013-2021'!$E:$E)*J541</f>
        <v>27258.005032681715</v>
      </c>
      <c r="V541" s="73">
        <f>SUMIF('Avoided Costs 2013-2021'!$A:$A,'2013 Actuals'!T541&amp;'2013 Actuals'!S541,'Avoided Costs 2013-2021'!$K:$K)*N541</f>
        <v>0</v>
      </c>
      <c r="W541" s="73">
        <f>SUMIF('Avoided Costs 2013-2021'!$A:$A,'2013 Actuals'!T541&amp;'2013 Actuals'!S541,'Avoided Costs 2013-2021'!$M:$M)*R541</f>
        <v>0</v>
      </c>
      <c r="X541" s="73">
        <f t="shared" si="251"/>
        <v>27258.005032681715</v>
      </c>
      <c r="Y541" s="83">
        <v>20600</v>
      </c>
      <c r="Z541" s="74">
        <f t="shared" si="252"/>
        <v>16480</v>
      </c>
      <c r="AA541" s="74"/>
      <c r="AB541" s="74"/>
      <c r="AC541" s="74"/>
      <c r="AD541" s="74">
        <f t="shared" si="253"/>
        <v>16480</v>
      </c>
      <c r="AE541" s="74">
        <f t="shared" si="254"/>
        <v>10778.005032681715</v>
      </c>
      <c r="AF541" s="52">
        <f t="shared" si="255"/>
        <v>217220.00000000003</v>
      </c>
      <c r="AG541" s="52">
        <f t="shared" si="256"/>
        <v>271525</v>
      </c>
    </row>
    <row r="542" spans="1:33" s="21" customFormat="1" x14ac:dyDescent="0.2">
      <c r="A542" s="114" t="s">
        <v>456</v>
      </c>
      <c r="B542" s="114"/>
      <c r="C542" s="114"/>
      <c r="D542" s="160">
        <v>1</v>
      </c>
      <c r="E542" s="161"/>
      <c r="F542" s="162">
        <v>0.2</v>
      </c>
      <c r="G542" s="162"/>
      <c r="H542" s="52">
        <v>64829</v>
      </c>
      <c r="I542" s="52">
        <f t="shared" si="245"/>
        <v>57308.836000000003</v>
      </c>
      <c r="J542" s="52">
        <f t="shared" si="246"/>
        <v>45847.068800000008</v>
      </c>
      <c r="K542" s="61"/>
      <c r="L542" s="160">
        <v>116988</v>
      </c>
      <c r="M542" s="55">
        <f t="shared" si="247"/>
        <v>116988</v>
      </c>
      <c r="N542" s="55">
        <f t="shared" si="248"/>
        <v>93590.400000000009</v>
      </c>
      <c r="O542" s="95"/>
      <c r="P542" s="160">
        <v>0</v>
      </c>
      <c r="Q542" s="55">
        <f t="shared" si="249"/>
        <v>0</v>
      </c>
      <c r="R542" s="65">
        <f t="shared" si="250"/>
        <v>0</v>
      </c>
      <c r="S542" s="118">
        <v>15</v>
      </c>
      <c r="T542" s="121" t="s">
        <v>201</v>
      </c>
      <c r="U542" s="73">
        <f>SUMIF('Avoided Costs 2013-2021'!$A:$A,'2013 Actuals'!T542&amp;'2013 Actuals'!S542,'Avoided Costs 2013-2021'!$E:$E)*J542</f>
        <v>102461.897166589</v>
      </c>
      <c r="V542" s="73">
        <f>SUMIF('Avoided Costs 2013-2021'!$A:$A,'2013 Actuals'!T542&amp;'2013 Actuals'!S542,'Avoided Costs 2013-2021'!$K:$K)*N542</f>
        <v>97979.197234701045</v>
      </c>
      <c r="W542" s="73">
        <f>SUMIF('Avoided Costs 2013-2021'!$A:$A,'2013 Actuals'!T542&amp;'2013 Actuals'!S542,'Avoided Costs 2013-2021'!$M:$M)*R542</f>
        <v>0</v>
      </c>
      <c r="X542" s="73">
        <f t="shared" si="251"/>
        <v>200441.09440129006</v>
      </c>
      <c r="Y542" s="83">
        <v>41157</v>
      </c>
      <c r="Z542" s="74">
        <f t="shared" si="252"/>
        <v>32925.599999999999</v>
      </c>
      <c r="AA542" s="74"/>
      <c r="AB542" s="74"/>
      <c r="AC542" s="74"/>
      <c r="AD542" s="74">
        <f t="shared" si="253"/>
        <v>32925.599999999999</v>
      </c>
      <c r="AE542" s="74">
        <f t="shared" si="254"/>
        <v>167515.49440129005</v>
      </c>
      <c r="AF542" s="52">
        <f t="shared" si="255"/>
        <v>687706.03200000012</v>
      </c>
      <c r="AG542" s="52">
        <f t="shared" si="256"/>
        <v>859632.54</v>
      </c>
    </row>
    <row r="543" spans="1:33" s="21" customFormat="1" x14ac:dyDescent="0.2">
      <c r="A543" s="114" t="s">
        <v>457</v>
      </c>
      <c r="B543" s="114"/>
      <c r="C543" s="114"/>
      <c r="D543" s="160">
        <v>0</v>
      </c>
      <c r="E543" s="161"/>
      <c r="F543" s="162">
        <v>0.2</v>
      </c>
      <c r="G543" s="162"/>
      <c r="H543" s="52">
        <v>31061</v>
      </c>
      <c r="I543" s="52">
        <f t="shared" si="245"/>
        <v>27457.923999999999</v>
      </c>
      <c r="J543" s="52">
        <f t="shared" si="246"/>
        <v>21966.339200000002</v>
      </c>
      <c r="K543" s="61"/>
      <c r="L543" s="160">
        <v>0</v>
      </c>
      <c r="M543" s="55">
        <f t="shared" si="247"/>
        <v>0</v>
      </c>
      <c r="N543" s="55">
        <f t="shared" si="248"/>
        <v>0</v>
      </c>
      <c r="O543" s="95"/>
      <c r="P543" s="160">
        <v>0</v>
      </c>
      <c r="Q543" s="55">
        <f t="shared" si="249"/>
        <v>0</v>
      </c>
      <c r="R543" s="65">
        <f t="shared" si="250"/>
        <v>0</v>
      </c>
      <c r="S543" s="118">
        <v>15</v>
      </c>
      <c r="T543" s="121" t="s">
        <v>201</v>
      </c>
      <c r="U543" s="73">
        <f>SUMIF('Avoided Costs 2013-2021'!$A:$A,'2013 Actuals'!T543&amp;'2013 Actuals'!S543,'Avoided Costs 2013-2021'!$E:$E)*J543</f>
        <v>49091.74887614217</v>
      </c>
      <c r="V543" s="73">
        <f>SUMIF('Avoided Costs 2013-2021'!$A:$A,'2013 Actuals'!T543&amp;'2013 Actuals'!S543,'Avoided Costs 2013-2021'!$K:$K)*N543</f>
        <v>0</v>
      </c>
      <c r="W543" s="73">
        <f>SUMIF('Avoided Costs 2013-2021'!$A:$A,'2013 Actuals'!T543&amp;'2013 Actuals'!S543,'Avoided Costs 2013-2021'!$M:$M)*R543</f>
        <v>0</v>
      </c>
      <c r="X543" s="73">
        <f t="shared" si="251"/>
        <v>49091.74887614217</v>
      </c>
      <c r="Y543" s="83">
        <v>26691</v>
      </c>
      <c r="Z543" s="74">
        <f t="shared" si="252"/>
        <v>21352.800000000003</v>
      </c>
      <c r="AA543" s="74"/>
      <c r="AB543" s="74"/>
      <c r="AC543" s="74"/>
      <c r="AD543" s="74">
        <f t="shared" si="253"/>
        <v>21352.800000000003</v>
      </c>
      <c r="AE543" s="74">
        <f t="shared" si="254"/>
        <v>27738.948876142167</v>
      </c>
      <c r="AF543" s="52">
        <f t="shared" si="255"/>
        <v>329495.08800000005</v>
      </c>
      <c r="AG543" s="52">
        <f t="shared" si="256"/>
        <v>411868.86</v>
      </c>
    </row>
    <row r="544" spans="1:33" s="21" customFormat="1" x14ac:dyDescent="0.2">
      <c r="A544" s="114" t="s">
        <v>458</v>
      </c>
      <c r="B544" s="114"/>
      <c r="C544" s="114"/>
      <c r="D544" s="160">
        <v>0</v>
      </c>
      <c r="E544" s="161"/>
      <c r="F544" s="162">
        <v>0.2</v>
      </c>
      <c r="G544" s="162"/>
      <c r="H544" s="52">
        <v>3109</v>
      </c>
      <c r="I544" s="52">
        <f t="shared" si="245"/>
        <v>2748.3560000000002</v>
      </c>
      <c r="J544" s="52">
        <f t="shared" si="246"/>
        <v>2198.6848000000005</v>
      </c>
      <c r="K544" s="61"/>
      <c r="L544" s="160">
        <v>0</v>
      </c>
      <c r="M544" s="55">
        <f t="shared" si="247"/>
        <v>0</v>
      </c>
      <c r="N544" s="55">
        <f t="shared" si="248"/>
        <v>0</v>
      </c>
      <c r="O544" s="95"/>
      <c r="P544" s="160">
        <v>0</v>
      </c>
      <c r="Q544" s="55">
        <f t="shared" si="249"/>
        <v>0</v>
      </c>
      <c r="R544" s="65">
        <f t="shared" si="250"/>
        <v>0</v>
      </c>
      <c r="S544" s="118">
        <v>15</v>
      </c>
      <c r="T544" s="121" t="s">
        <v>217</v>
      </c>
      <c r="U544" s="73">
        <f>SUMIF('Avoided Costs 2013-2021'!$A:$A,'2013 Actuals'!T544&amp;'2013 Actuals'!S544,'Avoided Costs 2013-2021'!$E:$E)*J544</f>
        <v>4612.3389288411636</v>
      </c>
      <c r="V544" s="73">
        <f>SUMIF('Avoided Costs 2013-2021'!$A:$A,'2013 Actuals'!T544&amp;'2013 Actuals'!S544,'Avoided Costs 2013-2021'!$K:$K)*N544</f>
        <v>0</v>
      </c>
      <c r="W544" s="73">
        <f>SUMIF('Avoided Costs 2013-2021'!$A:$A,'2013 Actuals'!T544&amp;'2013 Actuals'!S544,'Avoided Costs 2013-2021'!$M:$M)*R544</f>
        <v>0</v>
      </c>
      <c r="X544" s="73">
        <f t="shared" si="251"/>
        <v>4612.3389288411636</v>
      </c>
      <c r="Y544" s="83">
        <v>7031</v>
      </c>
      <c r="Z544" s="74">
        <f t="shared" si="252"/>
        <v>5624.8</v>
      </c>
      <c r="AA544" s="74"/>
      <c r="AB544" s="74"/>
      <c r="AC544" s="74"/>
      <c r="AD544" s="74">
        <f t="shared" si="253"/>
        <v>5624.8</v>
      </c>
      <c r="AE544" s="74">
        <f t="shared" si="254"/>
        <v>-1012.4610711588366</v>
      </c>
      <c r="AF544" s="52">
        <f t="shared" si="255"/>
        <v>32980.272000000004</v>
      </c>
      <c r="AG544" s="52">
        <f t="shared" si="256"/>
        <v>41225.340000000004</v>
      </c>
    </row>
    <row r="545" spans="1:33" s="21" customFormat="1" x14ac:dyDescent="0.2">
      <c r="A545" s="114" t="s">
        <v>459</v>
      </c>
      <c r="B545" s="114"/>
      <c r="C545" s="114"/>
      <c r="D545" s="160">
        <v>1</v>
      </c>
      <c r="E545" s="161"/>
      <c r="F545" s="162">
        <v>0.2</v>
      </c>
      <c r="G545" s="162"/>
      <c r="H545" s="52">
        <v>125797</v>
      </c>
      <c r="I545" s="52">
        <f t="shared" si="245"/>
        <v>111204.548</v>
      </c>
      <c r="J545" s="52">
        <f t="shared" si="246"/>
        <v>88963.638399999996</v>
      </c>
      <c r="K545" s="61"/>
      <c r="L545" s="160">
        <v>148297</v>
      </c>
      <c r="M545" s="55">
        <f t="shared" si="247"/>
        <v>148297</v>
      </c>
      <c r="N545" s="55">
        <f t="shared" si="248"/>
        <v>118637.6</v>
      </c>
      <c r="O545" s="95"/>
      <c r="P545" s="160">
        <v>0</v>
      </c>
      <c r="Q545" s="55">
        <f t="shared" si="249"/>
        <v>0</v>
      </c>
      <c r="R545" s="65">
        <f t="shared" si="250"/>
        <v>0</v>
      </c>
      <c r="S545" s="118">
        <v>15</v>
      </c>
      <c r="T545" s="121" t="s">
        <v>201</v>
      </c>
      <c r="U545" s="73">
        <f>SUMIF('Avoided Costs 2013-2021'!$A:$A,'2013 Actuals'!T545&amp;'2013 Actuals'!S545,'Avoided Costs 2013-2021'!$E:$E)*J545</f>
        <v>198821.50392363593</v>
      </c>
      <c r="V545" s="73">
        <f>SUMIF('Avoided Costs 2013-2021'!$A:$A,'2013 Actuals'!T545&amp;'2013 Actuals'!S545,'Avoided Costs 2013-2021'!$K:$K)*N545</f>
        <v>124200.9523396798</v>
      </c>
      <c r="W545" s="73">
        <f>SUMIF('Avoided Costs 2013-2021'!$A:$A,'2013 Actuals'!T545&amp;'2013 Actuals'!S545,'Avoided Costs 2013-2021'!$M:$M)*R545</f>
        <v>0</v>
      </c>
      <c r="X545" s="73">
        <f t="shared" si="251"/>
        <v>323022.45626331575</v>
      </c>
      <c r="Y545" s="83">
        <v>7496</v>
      </c>
      <c r="Z545" s="74">
        <f t="shared" si="252"/>
        <v>5996.8</v>
      </c>
      <c r="AA545" s="74"/>
      <c r="AB545" s="74"/>
      <c r="AC545" s="74"/>
      <c r="AD545" s="74">
        <f t="shared" si="253"/>
        <v>5996.8</v>
      </c>
      <c r="AE545" s="74">
        <f t="shared" si="254"/>
        <v>317025.65626331576</v>
      </c>
      <c r="AF545" s="52">
        <f t="shared" si="255"/>
        <v>1334454.5759999999</v>
      </c>
      <c r="AG545" s="52">
        <f t="shared" si="256"/>
        <v>1668068.22</v>
      </c>
    </row>
    <row r="546" spans="1:33" s="21" customFormat="1" x14ac:dyDescent="0.2">
      <c r="A546" s="114" t="s">
        <v>460</v>
      </c>
      <c r="B546" s="114"/>
      <c r="C546" s="114"/>
      <c r="D546" s="160">
        <v>1</v>
      </c>
      <c r="E546" s="161"/>
      <c r="F546" s="162">
        <v>0.2</v>
      </c>
      <c r="G546" s="162"/>
      <c r="H546" s="52">
        <v>15682</v>
      </c>
      <c r="I546" s="52">
        <f t="shared" si="245"/>
        <v>13862.888000000001</v>
      </c>
      <c r="J546" s="52">
        <f t="shared" si="246"/>
        <v>11090.310400000002</v>
      </c>
      <c r="K546" s="61"/>
      <c r="L546" s="160">
        <v>17054</v>
      </c>
      <c r="M546" s="55">
        <f t="shared" si="247"/>
        <v>17054</v>
      </c>
      <c r="N546" s="55">
        <f t="shared" si="248"/>
        <v>13643.2</v>
      </c>
      <c r="O546" s="95"/>
      <c r="P546" s="160">
        <v>0</v>
      </c>
      <c r="Q546" s="55">
        <f t="shared" si="249"/>
        <v>0</v>
      </c>
      <c r="R546" s="65">
        <f t="shared" si="250"/>
        <v>0</v>
      </c>
      <c r="S546" s="118">
        <v>15</v>
      </c>
      <c r="T546" s="121" t="s">
        <v>201</v>
      </c>
      <c r="U546" s="73">
        <f>SUMIF('Avoided Costs 2013-2021'!$A:$A,'2013 Actuals'!T546&amp;'2013 Actuals'!S546,'Avoided Costs 2013-2021'!$E:$E)*J546</f>
        <v>24785.319399750864</v>
      </c>
      <c r="V546" s="73">
        <f>SUMIF('Avoided Costs 2013-2021'!$A:$A,'2013 Actuals'!T546&amp;'2013 Actuals'!S546,'Avoided Costs 2013-2021'!$K:$K)*N546</f>
        <v>14282.979704248228</v>
      </c>
      <c r="W546" s="73">
        <f>SUMIF('Avoided Costs 2013-2021'!$A:$A,'2013 Actuals'!T546&amp;'2013 Actuals'!S546,'Avoided Costs 2013-2021'!$M:$M)*R546</f>
        <v>0</v>
      </c>
      <c r="X546" s="73">
        <f t="shared" si="251"/>
        <v>39068.299103999088</v>
      </c>
      <c r="Y546" s="83">
        <v>5500</v>
      </c>
      <c r="Z546" s="74">
        <f t="shared" si="252"/>
        <v>4400</v>
      </c>
      <c r="AA546" s="74"/>
      <c r="AB546" s="74"/>
      <c r="AC546" s="74"/>
      <c r="AD546" s="74">
        <f t="shared" si="253"/>
        <v>4400</v>
      </c>
      <c r="AE546" s="74">
        <f t="shared" si="254"/>
        <v>34668.299103999088</v>
      </c>
      <c r="AF546" s="52">
        <f t="shared" si="255"/>
        <v>166354.65600000002</v>
      </c>
      <c r="AG546" s="52">
        <f t="shared" si="256"/>
        <v>207943.32</v>
      </c>
    </row>
    <row r="547" spans="1:33" s="21" customFormat="1" x14ac:dyDescent="0.2">
      <c r="A547" s="114" t="s">
        <v>461</v>
      </c>
      <c r="B547" s="114"/>
      <c r="C547" s="114"/>
      <c r="D547" s="160">
        <v>1</v>
      </c>
      <c r="E547" s="161"/>
      <c r="F547" s="162">
        <v>0.2</v>
      </c>
      <c r="G547" s="162"/>
      <c r="H547" s="52">
        <v>22670</v>
      </c>
      <c r="I547" s="52">
        <f t="shared" si="245"/>
        <v>20040.28</v>
      </c>
      <c r="J547" s="52">
        <f t="shared" si="246"/>
        <v>16032.224</v>
      </c>
      <c r="K547" s="61"/>
      <c r="L547" s="160">
        <v>32060</v>
      </c>
      <c r="M547" s="55">
        <f t="shared" si="247"/>
        <v>32060</v>
      </c>
      <c r="N547" s="55">
        <f t="shared" si="248"/>
        <v>25648</v>
      </c>
      <c r="O547" s="95"/>
      <c r="P547" s="160">
        <v>0</v>
      </c>
      <c r="Q547" s="55">
        <f t="shared" si="249"/>
        <v>0</v>
      </c>
      <c r="R547" s="65">
        <f t="shared" si="250"/>
        <v>0</v>
      </c>
      <c r="S547" s="118">
        <v>15</v>
      </c>
      <c r="T547" s="121" t="s">
        <v>201</v>
      </c>
      <c r="U547" s="73">
        <f>SUMIF('Avoided Costs 2013-2021'!$A:$A,'2013 Actuals'!T547&amp;'2013 Actuals'!S547,'Avoided Costs 2013-2021'!$E:$E)*J547</f>
        <v>35829.817038155335</v>
      </c>
      <c r="V547" s="73">
        <f>SUMIF('Avoided Costs 2013-2021'!$A:$A,'2013 Actuals'!T547&amp;'2013 Actuals'!S547,'Avoided Costs 2013-2021'!$K:$K)*N547</f>
        <v>26850.728821285222</v>
      </c>
      <c r="W547" s="73">
        <f>SUMIF('Avoided Costs 2013-2021'!$A:$A,'2013 Actuals'!T547&amp;'2013 Actuals'!S547,'Avoided Costs 2013-2021'!$M:$M)*R547</f>
        <v>0</v>
      </c>
      <c r="X547" s="73">
        <f t="shared" si="251"/>
        <v>62680.545859440557</v>
      </c>
      <c r="Y547" s="83">
        <v>8050</v>
      </c>
      <c r="Z547" s="74">
        <f t="shared" si="252"/>
        <v>6440</v>
      </c>
      <c r="AA547" s="74"/>
      <c r="AB547" s="74"/>
      <c r="AC547" s="74"/>
      <c r="AD547" s="74">
        <f t="shared" si="253"/>
        <v>6440</v>
      </c>
      <c r="AE547" s="74">
        <f t="shared" si="254"/>
        <v>56240.545859440557</v>
      </c>
      <c r="AF547" s="52">
        <f t="shared" si="255"/>
        <v>240483.36000000002</v>
      </c>
      <c r="AG547" s="52">
        <f t="shared" si="256"/>
        <v>300604.19999999995</v>
      </c>
    </row>
    <row r="548" spans="1:33" s="21" customFormat="1" x14ac:dyDescent="0.2">
      <c r="A548" s="114" t="s">
        <v>462</v>
      </c>
      <c r="B548" s="114"/>
      <c r="C548" s="114"/>
      <c r="D548" s="160">
        <v>1</v>
      </c>
      <c r="E548" s="161"/>
      <c r="F548" s="162">
        <v>0.2</v>
      </c>
      <c r="G548" s="162"/>
      <c r="H548" s="52">
        <v>56902</v>
      </c>
      <c r="I548" s="52">
        <f t="shared" si="245"/>
        <v>50301.368000000002</v>
      </c>
      <c r="J548" s="52">
        <f t="shared" si="246"/>
        <v>40241.094400000002</v>
      </c>
      <c r="K548" s="61"/>
      <c r="L548" s="160">
        <v>0</v>
      </c>
      <c r="M548" s="55">
        <f t="shared" si="247"/>
        <v>0</v>
      </c>
      <c r="N548" s="55">
        <f t="shared" si="248"/>
        <v>0</v>
      </c>
      <c r="O548" s="95"/>
      <c r="P548" s="160">
        <v>0</v>
      </c>
      <c r="Q548" s="55">
        <f t="shared" si="249"/>
        <v>0</v>
      </c>
      <c r="R548" s="65">
        <f t="shared" si="250"/>
        <v>0</v>
      </c>
      <c r="S548" s="118">
        <v>25</v>
      </c>
      <c r="T548" s="121" t="s">
        <v>201</v>
      </c>
      <c r="U548" s="73">
        <f>SUMIF('Avoided Costs 2013-2021'!$A:$A,'2013 Actuals'!T548&amp;'2013 Actuals'!S548,'Avoided Costs 2013-2021'!$E:$E)*J548</f>
        <v>126242.053410807</v>
      </c>
      <c r="V548" s="73">
        <f>SUMIF('Avoided Costs 2013-2021'!$A:$A,'2013 Actuals'!T548&amp;'2013 Actuals'!S548,'Avoided Costs 2013-2021'!$K:$K)*N548</f>
        <v>0</v>
      </c>
      <c r="W548" s="73">
        <f>SUMIF('Avoided Costs 2013-2021'!$A:$A,'2013 Actuals'!T548&amp;'2013 Actuals'!S548,'Avoided Costs 2013-2021'!$M:$M)*R548</f>
        <v>0</v>
      </c>
      <c r="X548" s="73">
        <f t="shared" si="251"/>
        <v>126242.053410807</v>
      </c>
      <c r="Y548" s="83">
        <v>16176</v>
      </c>
      <c r="Z548" s="74">
        <f t="shared" si="252"/>
        <v>12940.800000000001</v>
      </c>
      <c r="AA548" s="74"/>
      <c r="AB548" s="74"/>
      <c r="AC548" s="74"/>
      <c r="AD548" s="74">
        <f t="shared" si="253"/>
        <v>12940.800000000001</v>
      </c>
      <c r="AE548" s="74">
        <f t="shared" si="254"/>
        <v>113301.253410807</v>
      </c>
      <c r="AF548" s="52">
        <f t="shared" si="255"/>
        <v>1006027.3600000001</v>
      </c>
      <c r="AG548" s="52">
        <f t="shared" si="256"/>
        <v>1257534.2</v>
      </c>
    </row>
    <row r="549" spans="1:33" s="21" customFormat="1" x14ac:dyDescent="0.2">
      <c r="A549" s="114" t="s">
        <v>463</v>
      </c>
      <c r="B549" s="114"/>
      <c r="C549" s="114"/>
      <c r="D549" s="160">
        <v>1</v>
      </c>
      <c r="E549" s="161"/>
      <c r="F549" s="162">
        <v>0.2</v>
      </c>
      <c r="G549" s="162"/>
      <c r="H549" s="52">
        <v>6570</v>
      </c>
      <c r="I549" s="52">
        <f t="shared" si="245"/>
        <v>5807.88</v>
      </c>
      <c r="J549" s="52">
        <f t="shared" si="246"/>
        <v>4646.3040000000001</v>
      </c>
      <c r="K549" s="61"/>
      <c r="L549" s="160">
        <v>0</v>
      </c>
      <c r="M549" s="55">
        <f t="shared" si="247"/>
        <v>0</v>
      </c>
      <c r="N549" s="55">
        <f t="shared" si="248"/>
        <v>0</v>
      </c>
      <c r="O549" s="95"/>
      <c r="P549" s="160">
        <v>0</v>
      </c>
      <c r="Q549" s="55">
        <f t="shared" si="249"/>
        <v>0</v>
      </c>
      <c r="R549" s="65">
        <f t="shared" si="250"/>
        <v>0</v>
      </c>
      <c r="S549" s="118">
        <v>25</v>
      </c>
      <c r="T549" s="121" t="s">
        <v>201</v>
      </c>
      <c r="U549" s="73">
        <f>SUMIF('Avoided Costs 2013-2021'!$A:$A,'2013 Actuals'!T549&amp;'2013 Actuals'!S549,'Avoided Costs 2013-2021'!$E:$E)*J549</f>
        <v>14576.118430090366</v>
      </c>
      <c r="V549" s="73">
        <f>SUMIF('Avoided Costs 2013-2021'!$A:$A,'2013 Actuals'!T549&amp;'2013 Actuals'!S549,'Avoided Costs 2013-2021'!$K:$K)*N549</f>
        <v>0</v>
      </c>
      <c r="W549" s="73">
        <f>SUMIF('Avoided Costs 2013-2021'!$A:$A,'2013 Actuals'!T549&amp;'2013 Actuals'!S549,'Avoided Costs 2013-2021'!$M:$M)*R549</f>
        <v>0</v>
      </c>
      <c r="X549" s="73">
        <f t="shared" si="251"/>
        <v>14576.118430090366</v>
      </c>
      <c r="Y549" s="83">
        <v>11619</v>
      </c>
      <c r="Z549" s="74">
        <f t="shared" si="252"/>
        <v>9295.2000000000007</v>
      </c>
      <c r="AA549" s="74"/>
      <c r="AB549" s="74"/>
      <c r="AC549" s="74"/>
      <c r="AD549" s="74">
        <f t="shared" si="253"/>
        <v>9295.2000000000007</v>
      </c>
      <c r="AE549" s="74">
        <f t="shared" si="254"/>
        <v>5280.9184300903653</v>
      </c>
      <c r="AF549" s="52">
        <f t="shared" si="255"/>
        <v>116157.6</v>
      </c>
      <c r="AG549" s="52">
        <f t="shared" si="256"/>
        <v>145197</v>
      </c>
    </row>
    <row r="550" spans="1:33" s="21" customFormat="1" x14ac:dyDescent="0.2">
      <c r="A550" s="114" t="s">
        <v>464</v>
      </c>
      <c r="B550" s="114"/>
      <c r="C550" s="114"/>
      <c r="D550" s="160">
        <v>1</v>
      </c>
      <c r="E550" s="161"/>
      <c r="F550" s="162">
        <v>0.2</v>
      </c>
      <c r="G550" s="162"/>
      <c r="H550" s="52">
        <v>117028</v>
      </c>
      <c r="I550" s="52">
        <f t="shared" si="245"/>
        <v>103452.75200000001</v>
      </c>
      <c r="J550" s="52">
        <f t="shared" si="246"/>
        <v>82762.201600000015</v>
      </c>
      <c r="K550" s="61"/>
      <c r="L550" s="160">
        <v>0</v>
      </c>
      <c r="M550" s="55">
        <f t="shared" si="247"/>
        <v>0</v>
      </c>
      <c r="N550" s="55">
        <f t="shared" si="248"/>
        <v>0</v>
      </c>
      <c r="O550" s="95"/>
      <c r="P550" s="160">
        <v>0</v>
      </c>
      <c r="Q550" s="55">
        <f t="shared" si="249"/>
        <v>0</v>
      </c>
      <c r="R550" s="65">
        <f t="shared" si="250"/>
        <v>0</v>
      </c>
      <c r="S550" s="118">
        <v>25</v>
      </c>
      <c r="T550" s="121" t="s">
        <v>201</v>
      </c>
      <c r="U550" s="73">
        <f>SUMIF('Avoided Costs 2013-2021'!$A:$A,'2013 Actuals'!T550&amp;'2013 Actuals'!S550,'Avoided Costs 2013-2021'!$E:$E)*J550</f>
        <v>259636.83221257466</v>
      </c>
      <c r="V550" s="73">
        <f>SUMIF('Avoided Costs 2013-2021'!$A:$A,'2013 Actuals'!T550&amp;'2013 Actuals'!S550,'Avoided Costs 2013-2021'!$K:$K)*N550</f>
        <v>0</v>
      </c>
      <c r="W550" s="73">
        <f>SUMIF('Avoided Costs 2013-2021'!$A:$A,'2013 Actuals'!T550&amp;'2013 Actuals'!S550,'Avoided Costs 2013-2021'!$M:$M)*R550</f>
        <v>0</v>
      </c>
      <c r="X550" s="73">
        <f t="shared" si="251"/>
        <v>259636.83221257466</v>
      </c>
      <c r="Y550" s="83">
        <v>8902</v>
      </c>
      <c r="Z550" s="74">
        <f t="shared" si="252"/>
        <v>7121.6</v>
      </c>
      <c r="AA550" s="74"/>
      <c r="AB550" s="74"/>
      <c r="AC550" s="74"/>
      <c r="AD550" s="74">
        <f t="shared" si="253"/>
        <v>7121.6</v>
      </c>
      <c r="AE550" s="74">
        <f t="shared" si="254"/>
        <v>252515.23221257466</v>
      </c>
      <c r="AF550" s="52">
        <f t="shared" si="255"/>
        <v>2069055.0400000003</v>
      </c>
      <c r="AG550" s="52">
        <f t="shared" si="256"/>
        <v>2586318.8000000003</v>
      </c>
    </row>
    <row r="551" spans="1:33" s="21" customFormat="1" x14ac:dyDescent="0.2">
      <c r="A551" s="114" t="s">
        <v>465</v>
      </c>
      <c r="B551" s="114"/>
      <c r="C551" s="114"/>
      <c r="D551" s="160">
        <v>1</v>
      </c>
      <c r="E551" s="161"/>
      <c r="F551" s="162">
        <v>0.2</v>
      </c>
      <c r="G551" s="162"/>
      <c r="H551" s="52">
        <v>14872</v>
      </c>
      <c r="I551" s="52">
        <f t="shared" si="245"/>
        <v>13146.848</v>
      </c>
      <c r="J551" s="52">
        <f t="shared" si="246"/>
        <v>10517.4784</v>
      </c>
      <c r="K551" s="61"/>
      <c r="L551" s="160">
        <v>0</v>
      </c>
      <c r="M551" s="55">
        <f t="shared" si="247"/>
        <v>0</v>
      </c>
      <c r="N551" s="55">
        <f t="shared" si="248"/>
        <v>0</v>
      </c>
      <c r="O551" s="95"/>
      <c r="P551" s="160">
        <v>0</v>
      </c>
      <c r="Q551" s="55">
        <f t="shared" si="249"/>
        <v>0</v>
      </c>
      <c r="R551" s="65">
        <f t="shared" si="250"/>
        <v>0</v>
      </c>
      <c r="S551" s="118">
        <v>25</v>
      </c>
      <c r="T551" s="121" t="s">
        <v>201</v>
      </c>
      <c r="U551" s="73">
        <f>SUMIF('Avoided Costs 2013-2021'!$A:$A,'2013 Actuals'!T551&amp;'2013 Actuals'!S551,'Avoided Costs 2013-2021'!$E:$E)*J551</f>
        <v>32994.830029270001</v>
      </c>
      <c r="V551" s="73">
        <f>SUMIF('Avoided Costs 2013-2021'!$A:$A,'2013 Actuals'!T551&amp;'2013 Actuals'!S551,'Avoided Costs 2013-2021'!$K:$K)*N551</f>
        <v>0</v>
      </c>
      <c r="W551" s="73">
        <f>SUMIF('Avoided Costs 2013-2021'!$A:$A,'2013 Actuals'!T551&amp;'2013 Actuals'!S551,'Avoided Costs 2013-2021'!$M:$M)*R551</f>
        <v>0</v>
      </c>
      <c r="X551" s="73">
        <f t="shared" si="251"/>
        <v>32994.830029270001</v>
      </c>
      <c r="Y551" s="83">
        <v>817</v>
      </c>
      <c r="Z551" s="74">
        <f t="shared" si="252"/>
        <v>653.6</v>
      </c>
      <c r="AA551" s="74"/>
      <c r="AB551" s="74"/>
      <c r="AC551" s="74"/>
      <c r="AD551" s="74">
        <f t="shared" si="253"/>
        <v>653.6</v>
      </c>
      <c r="AE551" s="74">
        <f t="shared" si="254"/>
        <v>32341.230029270002</v>
      </c>
      <c r="AF551" s="52">
        <f t="shared" si="255"/>
        <v>262936.96000000002</v>
      </c>
      <c r="AG551" s="52">
        <f t="shared" si="256"/>
        <v>328671.2</v>
      </c>
    </row>
    <row r="552" spans="1:33" s="21" customFormat="1" x14ac:dyDescent="0.2">
      <c r="A552" s="114" t="s">
        <v>466</v>
      </c>
      <c r="B552" s="114"/>
      <c r="C552" s="114"/>
      <c r="D552" s="160">
        <v>1</v>
      </c>
      <c r="E552" s="161"/>
      <c r="F552" s="162">
        <v>0.2</v>
      </c>
      <c r="G552" s="162"/>
      <c r="H552" s="52">
        <v>39915</v>
      </c>
      <c r="I552" s="52">
        <f t="shared" si="245"/>
        <v>35284.86</v>
      </c>
      <c r="J552" s="52">
        <f t="shared" si="246"/>
        <v>28227.888000000003</v>
      </c>
      <c r="K552" s="61"/>
      <c r="L552" s="160">
        <v>0</v>
      </c>
      <c r="M552" s="55">
        <f t="shared" si="247"/>
        <v>0</v>
      </c>
      <c r="N552" s="55">
        <f t="shared" si="248"/>
        <v>0</v>
      </c>
      <c r="O552" s="95"/>
      <c r="P552" s="160">
        <v>0</v>
      </c>
      <c r="Q552" s="55">
        <f t="shared" si="249"/>
        <v>0</v>
      </c>
      <c r="R552" s="65">
        <f t="shared" si="250"/>
        <v>0</v>
      </c>
      <c r="S552" s="118">
        <v>25</v>
      </c>
      <c r="T552" s="121" t="s">
        <v>201</v>
      </c>
      <c r="U552" s="73">
        <f>SUMIF('Avoided Costs 2013-2021'!$A:$A,'2013 Actuals'!T552&amp;'2013 Actuals'!S552,'Avoided Costs 2013-2021'!$E:$E)*J552</f>
        <v>88554.91128417915</v>
      </c>
      <c r="V552" s="73">
        <f>SUMIF('Avoided Costs 2013-2021'!$A:$A,'2013 Actuals'!T552&amp;'2013 Actuals'!S552,'Avoided Costs 2013-2021'!$K:$K)*N552</f>
        <v>0</v>
      </c>
      <c r="W552" s="73">
        <f>SUMIF('Avoided Costs 2013-2021'!$A:$A,'2013 Actuals'!T552&amp;'2013 Actuals'!S552,'Avoided Costs 2013-2021'!$M:$M)*R552</f>
        <v>0</v>
      </c>
      <c r="X552" s="73">
        <f t="shared" si="251"/>
        <v>88554.91128417915</v>
      </c>
      <c r="Y552" s="83">
        <v>4519</v>
      </c>
      <c r="Z552" s="74">
        <f t="shared" si="252"/>
        <v>3615.2000000000003</v>
      </c>
      <c r="AA552" s="74"/>
      <c r="AB552" s="74"/>
      <c r="AC552" s="74"/>
      <c r="AD552" s="74">
        <f t="shared" si="253"/>
        <v>3615.2000000000003</v>
      </c>
      <c r="AE552" s="74">
        <f t="shared" si="254"/>
        <v>84939.711284179153</v>
      </c>
      <c r="AF552" s="52">
        <f t="shared" si="255"/>
        <v>705697.20000000007</v>
      </c>
      <c r="AG552" s="52">
        <f t="shared" si="256"/>
        <v>882121.5</v>
      </c>
    </row>
    <row r="553" spans="1:33" s="21" customFormat="1" x14ac:dyDescent="0.2">
      <c r="A553" s="114" t="s">
        <v>467</v>
      </c>
      <c r="B553" s="114"/>
      <c r="C553" s="114"/>
      <c r="D553" s="160">
        <v>1</v>
      </c>
      <c r="E553" s="161"/>
      <c r="F553" s="162">
        <v>0.2</v>
      </c>
      <c r="G553" s="162"/>
      <c r="H553" s="52">
        <v>31062</v>
      </c>
      <c r="I553" s="52">
        <f t="shared" si="245"/>
        <v>27458.808000000001</v>
      </c>
      <c r="J553" s="52">
        <f t="shared" si="246"/>
        <v>21967.046400000003</v>
      </c>
      <c r="K553" s="61"/>
      <c r="L553" s="160">
        <v>0</v>
      </c>
      <c r="M553" s="55">
        <f t="shared" si="247"/>
        <v>0</v>
      </c>
      <c r="N553" s="55">
        <f t="shared" si="248"/>
        <v>0</v>
      </c>
      <c r="O553" s="95"/>
      <c r="P553" s="160">
        <v>0</v>
      </c>
      <c r="Q553" s="55">
        <f t="shared" si="249"/>
        <v>0</v>
      </c>
      <c r="R553" s="65">
        <f t="shared" si="250"/>
        <v>0</v>
      </c>
      <c r="S553" s="118">
        <v>25</v>
      </c>
      <c r="T553" s="121" t="s">
        <v>217</v>
      </c>
      <c r="U553" s="73">
        <f>SUMIF('Avoided Costs 2013-2021'!$A:$A,'2013 Actuals'!T553&amp;'2013 Actuals'!S553,'Avoided Costs 2013-2021'!$E:$E)*J553</f>
        <v>64672.541081134725</v>
      </c>
      <c r="V553" s="73">
        <f>SUMIF('Avoided Costs 2013-2021'!$A:$A,'2013 Actuals'!T553&amp;'2013 Actuals'!S553,'Avoided Costs 2013-2021'!$K:$K)*N553</f>
        <v>0</v>
      </c>
      <c r="W553" s="73">
        <f>SUMIF('Avoided Costs 2013-2021'!$A:$A,'2013 Actuals'!T553&amp;'2013 Actuals'!S553,'Avoided Costs 2013-2021'!$M:$M)*R553</f>
        <v>0</v>
      </c>
      <c r="X553" s="73">
        <f t="shared" si="251"/>
        <v>64672.541081134725</v>
      </c>
      <c r="Y553" s="83">
        <v>5622</v>
      </c>
      <c r="Z553" s="74">
        <f t="shared" si="252"/>
        <v>4497.6000000000004</v>
      </c>
      <c r="AA553" s="74"/>
      <c r="AB553" s="74"/>
      <c r="AC553" s="74"/>
      <c r="AD553" s="74">
        <f t="shared" si="253"/>
        <v>4497.6000000000004</v>
      </c>
      <c r="AE553" s="74">
        <f t="shared" si="254"/>
        <v>60174.941081134726</v>
      </c>
      <c r="AF553" s="52">
        <f t="shared" si="255"/>
        <v>549176.16</v>
      </c>
      <c r="AG553" s="52">
        <f t="shared" si="256"/>
        <v>686470.20000000007</v>
      </c>
    </row>
    <row r="554" spans="1:33" s="21" customFormat="1" x14ac:dyDescent="0.2">
      <c r="A554" s="114" t="s">
        <v>468</v>
      </c>
      <c r="B554" s="114"/>
      <c r="C554" s="114"/>
      <c r="D554" s="160">
        <v>0</v>
      </c>
      <c r="E554" s="161"/>
      <c r="F554" s="162">
        <v>0.2</v>
      </c>
      <c r="G554" s="162"/>
      <c r="H554" s="52">
        <v>19667</v>
      </c>
      <c r="I554" s="52">
        <f t="shared" si="245"/>
        <v>17385.628000000001</v>
      </c>
      <c r="J554" s="52">
        <f t="shared" si="246"/>
        <v>13908.502400000001</v>
      </c>
      <c r="K554" s="61"/>
      <c r="L554" s="160">
        <v>0</v>
      </c>
      <c r="M554" s="55">
        <f t="shared" si="247"/>
        <v>0</v>
      </c>
      <c r="N554" s="55">
        <f t="shared" si="248"/>
        <v>0</v>
      </c>
      <c r="O554" s="95"/>
      <c r="P554" s="160">
        <v>0</v>
      </c>
      <c r="Q554" s="55">
        <f t="shared" si="249"/>
        <v>0</v>
      </c>
      <c r="R554" s="65">
        <f t="shared" si="250"/>
        <v>0</v>
      </c>
      <c r="S554" s="118">
        <v>25</v>
      </c>
      <c r="T554" s="121" t="s">
        <v>217</v>
      </c>
      <c r="U554" s="73">
        <f>SUMIF('Avoided Costs 2013-2021'!$A:$A,'2013 Actuals'!T554&amp;'2013 Actuals'!S554,'Avoided Costs 2013-2021'!$E:$E)*J554</f>
        <v>40947.616555362707</v>
      </c>
      <c r="V554" s="73">
        <f>SUMIF('Avoided Costs 2013-2021'!$A:$A,'2013 Actuals'!T554&amp;'2013 Actuals'!S554,'Avoided Costs 2013-2021'!$K:$K)*N554</f>
        <v>0</v>
      </c>
      <c r="W554" s="73">
        <f>SUMIF('Avoided Costs 2013-2021'!$A:$A,'2013 Actuals'!T554&amp;'2013 Actuals'!S554,'Avoided Costs 2013-2021'!$M:$M)*R554</f>
        <v>0</v>
      </c>
      <c r="X554" s="73">
        <f t="shared" si="251"/>
        <v>40947.616555362707</v>
      </c>
      <c r="Y554" s="83">
        <v>36038</v>
      </c>
      <c r="Z554" s="74">
        <f t="shared" si="252"/>
        <v>28830.400000000001</v>
      </c>
      <c r="AA554" s="74"/>
      <c r="AB554" s="74"/>
      <c r="AC554" s="74"/>
      <c r="AD554" s="74">
        <f t="shared" si="253"/>
        <v>28830.400000000001</v>
      </c>
      <c r="AE554" s="74">
        <f t="shared" si="254"/>
        <v>12117.216555362706</v>
      </c>
      <c r="AF554" s="52">
        <f t="shared" si="255"/>
        <v>347712.56000000006</v>
      </c>
      <c r="AG554" s="52">
        <f t="shared" si="256"/>
        <v>434640.7</v>
      </c>
    </row>
    <row r="555" spans="1:33" s="21" customFormat="1" x14ac:dyDescent="0.2">
      <c r="A555" s="116" t="s">
        <v>469</v>
      </c>
      <c r="B555" s="116"/>
      <c r="C555" s="116"/>
      <c r="D555" s="151">
        <v>1</v>
      </c>
      <c r="E555" s="152"/>
      <c r="F555" s="153">
        <v>0.2</v>
      </c>
      <c r="G555" s="153"/>
      <c r="H555" s="52">
        <v>27863</v>
      </c>
      <c r="I555" s="52">
        <f t="shared" si="245"/>
        <v>24630.892</v>
      </c>
      <c r="J555" s="52">
        <f t="shared" si="246"/>
        <v>19704.713600000003</v>
      </c>
      <c r="K555" s="152"/>
      <c r="L555" s="151">
        <v>0</v>
      </c>
      <c r="M555" s="55">
        <f t="shared" si="247"/>
        <v>0</v>
      </c>
      <c r="N555" s="55">
        <f t="shared" si="248"/>
        <v>0</v>
      </c>
      <c r="O555" s="154"/>
      <c r="P555" s="151">
        <v>0</v>
      </c>
      <c r="Q555" s="55">
        <f t="shared" si="249"/>
        <v>0</v>
      </c>
      <c r="R555" s="65">
        <f t="shared" si="250"/>
        <v>0</v>
      </c>
      <c r="S555" s="129">
        <v>25</v>
      </c>
      <c r="T555" s="123" t="s">
        <v>201</v>
      </c>
      <c r="U555" s="73">
        <f>SUMIF('Avoided Costs 2013-2021'!$A:$A,'2013 Actuals'!T555&amp;'2013 Actuals'!S555,'Avoided Costs 2013-2021'!$E:$E)*J555</f>
        <v>61816.497384719623</v>
      </c>
      <c r="V555" s="73">
        <f>SUMIF('Avoided Costs 2013-2021'!$A:$A,'2013 Actuals'!T555&amp;'2013 Actuals'!S555,'Avoided Costs 2013-2021'!$K:$K)*N555</f>
        <v>0</v>
      </c>
      <c r="W555" s="73">
        <f>SUMIF('Avoided Costs 2013-2021'!$A:$A,'2013 Actuals'!T555&amp;'2013 Actuals'!S555,'Avoided Costs 2013-2021'!$M:$M)*R555</f>
        <v>0</v>
      </c>
      <c r="X555" s="73">
        <f t="shared" si="251"/>
        <v>61816.497384719623</v>
      </c>
      <c r="Y555" s="83">
        <v>37326</v>
      </c>
      <c r="Z555" s="74">
        <f t="shared" si="252"/>
        <v>29860.800000000003</v>
      </c>
      <c r="AA555" s="74"/>
      <c r="AB555" s="74"/>
      <c r="AC555" s="74"/>
      <c r="AD555" s="74">
        <f t="shared" si="253"/>
        <v>29860.800000000003</v>
      </c>
      <c r="AE555" s="74">
        <f t="shared" si="254"/>
        <v>31955.69738471962</v>
      </c>
      <c r="AF555" s="52">
        <f t="shared" si="255"/>
        <v>492617.84000000008</v>
      </c>
      <c r="AG555" s="52">
        <f t="shared" si="256"/>
        <v>615772.30000000005</v>
      </c>
    </row>
    <row r="556" spans="1:33" s="21" customFormat="1" x14ac:dyDescent="0.2">
      <c r="A556" s="116" t="s">
        <v>470</v>
      </c>
      <c r="B556" s="116"/>
      <c r="C556" s="116"/>
      <c r="D556" s="151">
        <v>0</v>
      </c>
      <c r="E556" s="152"/>
      <c r="F556" s="153">
        <v>0.2</v>
      </c>
      <c r="G556" s="153"/>
      <c r="H556" s="52">
        <v>18279</v>
      </c>
      <c r="I556" s="52">
        <f t="shared" si="245"/>
        <v>16158.636</v>
      </c>
      <c r="J556" s="52">
        <f t="shared" si="246"/>
        <v>12926.908800000001</v>
      </c>
      <c r="K556" s="152"/>
      <c r="L556" s="151">
        <v>0</v>
      </c>
      <c r="M556" s="55">
        <f t="shared" si="247"/>
        <v>0</v>
      </c>
      <c r="N556" s="55">
        <f t="shared" si="248"/>
        <v>0</v>
      </c>
      <c r="O556" s="154"/>
      <c r="P556" s="151">
        <v>0</v>
      </c>
      <c r="Q556" s="55">
        <f t="shared" si="249"/>
        <v>0</v>
      </c>
      <c r="R556" s="65">
        <f t="shared" si="250"/>
        <v>0</v>
      </c>
      <c r="S556" s="129">
        <v>25</v>
      </c>
      <c r="T556" s="123" t="s">
        <v>217</v>
      </c>
      <c r="U556" s="73">
        <f>SUMIF('Avoided Costs 2013-2021'!$A:$A,'2013 Actuals'!T556&amp;'2013 Actuals'!S556,'Avoided Costs 2013-2021'!$E:$E)*J556</f>
        <v>38057.735445948798</v>
      </c>
      <c r="V556" s="73">
        <f>SUMIF('Avoided Costs 2013-2021'!$A:$A,'2013 Actuals'!T556&amp;'2013 Actuals'!S556,'Avoided Costs 2013-2021'!$K:$K)*N556</f>
        <v>0</v>
      </c>
      <c r="W556" s="73">
        <f>SUMIF('Avoided Costs 2013-2021'!$A:$A,'2013 Actuals'!T556&amp;'2013 Actuals'!S556,'Avoided Costs 2013-2021'!$M:$M)*R556</f>
        <v>0</v>
      </c>
      <c r="X556" s="73">
        <f t="shared" si="251"/>
        <v>38057.735445948798</v>
      </c>
      <c r="Y556" s="83">
        <v>31888</v>
      </c>
      <c r="Z556" s="74">
        <f t="shared" si="252"/>
        <v>25510.400000000001</v>
      </c>
      <c r="AA556" s="74"/>
      <c r="AB556" s="74"/>
      <c r="AC556" s="74"/>
      <c r="AD556" s="74">
        <f t="shared" si="253"/>
        <v>25510.400000000001</v>
      </c>
      <c r="AE556" s="74">
        <f t="shared" si="254"/>
        <v>12547.335445948796</v>
      </c>
      <c r="AF556" s="52">
        <f t="shared" si="255"/>
        <v>323172.72000000003</v>
      </c>
      <c r="AG556" s="52">
        <f t="shared" si="256"/>
        <v>403965.9</v>
      </c>
    </row>
    <row r="557" spans="1:33" s="21" customFormat="1" x14ac:dyDescent="0.2">
      <c r="A557" s="116" t="s">
        <v>471</v>
      </c>
      <c r="B557" s="116"/>
      <c r="C557" s="116"/>
      <c r="D557" s="151">
        <v>1</v>
      </c>
      <c r="E557" s="152"/>
      <c r="F557" s="153">
        <v>0.2</v>
      </c>
      <c r="G557" s="153"/>
      <c r="H557" s="52">
        <v>39002</v>
      </c>
      <c r="I557" s="52">
        <f t="shared" si="245"/>
        <v>34477.768000000004</v>
      </c>
      <c r="J557" s="52">
        <f t="shared" si="246"/>
        <v>27582.214400000004</v>
      </c>
      <c r="K557" s="152"/>
      <c r="L557" s="151">
        <v>0</v>
      </c>
      <c r="M557" s="55">
        <f t="shared" si="247"/>
        <v>0</v>
      </c>
      <c r="N557" s="55">
        <f t="shared" si="248"/>
        <v>0</v>
      </c>
      <c r="O557" s="154"/>
      <c r="P557" s="151">
        <v>0</v>
      </c>
      <c r="Q557" s="55">
        <f t="shared" si="249"/>
        <v>0</v>
      </c>
      <c r="R557" s="65">
        <f t="shared" si="250"/>
        <v>0</v>
      </c>
      <c r="S557" s="129">
        <v>25</v>
      </c>
      <c r="T557" s="123" t="s">
        <v>201</v>
      </c>
      <c r="U557" s="73">
        <f>SUMIF('Avoided Costs 2013-2021'!$A:$A,'2013 Actuals'!T557&amp;'2013 Actuals'!S557,'Avoided Costs 2013-2021'!$E:$E)*J557</f>
        <v>86529.341097471013</v>
      </c>
      <c r="V557" s="73">
        <f>SUMIF('Avoided Costs 2013-2021'!$A:$A,'2013 Actuals'!T557&amp;'2013 Actuals'!S557,'Avoided Costs 2013-2021'!$K:$K)*N557</f>
        <v>0</v>
      </c>
      <c r="W557" s="73">
        <f>SUMIF('Avoided Costs 2013-2021'!$A:$A,'2013 Actuals'!T557&amp;'2013 Actuals'!S557,'Avoided Costs 2013-2021'!$M:$M)*R557</f>
        <v>0</v>
      </c>
      <c r="X557" s="73">
        <f t="shared" si="251"/>
        <v>86529.341097471013</v>
      </c>
      <c r="Y557" s="83">
        <v>36374</v>
      </c>
      <c r="Z557" s="74">
        <f t="shared" si="252"/>
        <v>29099.200000000001</v>
      </c>
      <c r="AA557" s="74"/>
      <c r="AB557" s="74"/>
      <c r="AC557" s="74"/>
      <c r="AD557" s="74">
        <f t="shared" si="253"/>
        <v>29099.200000000001</v>
      </c>
      <c r="AE557" s="74">
        <f t="shared" si="254"/>
        <v>57430.141097471016</v>
      </c>
      <c r="AF557" s="52">
        <f t="shared" si="255"/>
        <v>689555.3600000001</v>
      </c>
      <c r="AG557" s="52">
        <f t="shared" si="256"/>
        <v>861944.20000000007</v>
      </c>
    </row>
    <row r="558" spans="1:33" s="21" customFormat="1" x14ac:dyDescent="0.2">
      <c r="A558" s="114" t="s">
        <v>472</v>
      </c>
      <c r="B558" s="114"/>
      <c r="C558" s="114"/>
      <c r="D558" s="160">
        <v>0</v>
      </c>
      <c r="E558" s="161"/>
      <c r="F558" s="162">
        <v>0.2</v>
      </c>
      <c r="G558" s="162"/>
      <c r="H558" s="52">
        <v>21814</v>
      </c>
      <c r="I558" s="52">
        <f t="shared" ref="I558:I621" si="257">+$H$39*H558</f>
        <v>19283.576000000001</v>
      </c>
      <c r="J558" s="52">
        <f t="shared" ref="J558:J621" si="258">I558*(1-F558)</f>
        <v>15426.860800000002</v>
      </c>
      <c r="K558" s="61"/>
      <c r="L558" s="160">
        <v>0</v>
      </c>
      <c r="M558" s="55">
        <f t="shared" ref="M558:M621" si="259">+$L$39*L558</f>
        <v>0</v>
      </c>
      <c r="N558" s="55">
        <f t="shared" ref="N558:N621" si="260">M558*(1-F558)</f>
        <v>0</v>
      </c>
      <c r="O558" s="95"/>
      <c r="P558" s="160">
        <v>0</v>
      </c>
      <c r="Q558" s="55">
        <f t="shared" ref="Q558:Q621" si="261">+P558*$P$39</f>
        <v>0</v>
      </c>
      <c r="R558" s="65">
        <f t="shared" ref="R558:R621" si="262">Q558*(1-F558)</f>
        <v>0</v>
      </c>
      <c r="S558" s="118">
        <v>25</v>
      </c>
      <c r="T558" s="121" t="s">
        <v>217</v>
      </c>
      <c r="U558" s="73">
        <f>SUMIF('Avoided Costs 2013-2021'!$A:$A,'2013 Actuals'!T558&amp;'2013 Actuals'!S558,'Avoided Costs 2013-2021'!$E:$E)*J558</f>
        <v>45417.77126855556</v>
      </c>
      <c r="V558" s="73">
        <f>SUMIF('Avoided Costs 2013-2021'!$A:$A,'2013 Actuals'!T558&amp;'2013 Actuals'!S558,'Avoided Costs 2013-2021'!$K:$K)*N558</f>
        <v>0</v>
      </c>
      <c r="W558" s="73">
        <f>SUMIF('Avoided Costs 2013-2021'!$A:$A,'2013 Actuals'!T558&amp;'2013 Actuals'!S558,'Avoided Costs 2013-2021'!$M:$M)*R558</f>
        <v>0</v>
      </c>
      <c r="X558" s="73">
        <f t="shared" ref="X558:X621" si="263">SUM(U558:W558)</f>
        <v>45417.77126855556</v>
      </c>
      <c r="Y558" s="83">
        <v>26184</v>
      </c>
      <c r="Z558" s="74">
        <f t="shared" ref="Z558:Z621" si="264">Y558*(1-F558)</f>
        <v>20947.2</v>
      </c>
      <c r="AA558" s="74"/>
      <c r="AB558" s="74"/>
      <c r="AC558" s="74"/>
      <c r="AD558" s="74">
        <f t="shared" ref="AD558:AD621" si="265">Z558+AB558</f>
        <v>20947.2</v>
      </c>
      <c r="AE558" s="74">
        <f t="shared" ref="AE558:AE621" si="266">X558-AD558</f>
        <v>24470.571268555559</v>
      </c>
      <c r="AF558" s="52">
        <f t="shared" ref="AF558:AF621" si="267">J558*S558</f>
        <v>385671.52000000008</v>
      </c>
      <c r="AG558" s="52">
        <f t="shared" ref="AG558:AG621" si="268">(I558*S558)</f>
        <v>482089.4</v>
      </c>
    </row>
    <row r="559" spans="1:33" s="21" customFormat="1" x14ac:dyDescent="0.2">
      <c r="A559" s="116" t="s">
        <v>473</v>
      </c>
      <c r="B559" s="116"/>
      <c r="C559" s="116"/>
      <c r="D559" s="151">
        <v>1</v>
      </c>
      <c r="E559" s="152"/>
      <c r="F559" s="153">
        <v>0.2</v>
      </c>
      <c r="G559" s="153"/>
      <c r="H559" s="52">
        <v>53560</v>
      </c>
      <c r="I559" s="52">
        <f t="shared" si="257"/>
        <v>47347.040000000001</v>
      </c>
      <c r="J559" s="52">
        <f t="shared" si="258"/>
        <v>37877.632000000005</v>
      </c>
      <c r="K559" s="152"/>
      <c r="L559" s="151">
        <v>0</v>
      </c>
      <c r="M559" s="55">
        <f t="shared" si="259"/>
        <v>0</v>
      </c>
      <c r="N559" s="55">
        <f t="shared" si="260"/>
        <v>0</v>
      </c>
      <c r="O559" s="154"/>
      <c r="P559" s="151">
        <v>0</v>
      </c>
      <c r="Q559" s="55">
        <f t="shared" si="261"/>
        <v>0</v>
      </c>
      <c r="R559" s="65">
        <f t="shared" si="262"/>
        <v>0</v>
      </c>
      <c r="S559" s="129">
        <v>25</v>
      </c>
      <c r="T559" s="123" t="s">
        <v>201</v>
      </c>
      <c r="U559" s="73">
        <f>SUMIF('Avoided Costs 2013-2021'!$A:$A,'2013 Actuals'!T559&amp;'2013 Actuals'!S559,'Avoided Costs 2013-2021'!$E:$E)*J559</f>
        <v>118827.53472079757</v>
      </c>
      <c r="V559" s="73">
        <f>SUMIF('Avoided Costs 2013-2021'!$A:$A,'2013 Actuals'!T559&amp;'2013 Actuals'!S559,'Avoided Costs 2013-2021'!$K:$K)*N559</f>
        <v>0</v>
      </c>
      <c r="W559" s="73">
        <f>SUMIF('Avoided Costs 2013-2021'!$A:$A,'2013 Actuals'!T559&amp;'2013 Actuals'!S559,'Avoided Costs 2013-2021'!$M:$M)*R559</f>
        <v>0</v>
      </c>
      <c r="X559" s="73">
        <f t="shared" si="263"/>
        <v>118827.53472079757</v>
      </c>
      <c r="Y559" s="83">
        <v>34225</v>
      </c>
      <c r="Z559" s="74">
        <f t="shared" si="264"/>
        <v>27380</v>
      </c>
      <c r="AA559" s="74"/>
      <c r="AB559" s="74"/>
      <c r="AC559" s="74"/>
      <c r="AD559" s="74">
        <f t="shared" si="265"/>
        <v>27380</v>
      </c>
      <c r="AE559" s="74">
        <f t="shared" si="266"/>
        <v>91447.534720797572</v>
      </c>
      <c r="AF559" s="52">
        <f t="shared" si="267"/>
        <v>946940.80000000016</v>
      </c>
      <c r="AG559" s="52">
        <f t="shared" si="268"/>
        <v>1183676</v>
      </c>
    </row>
    <row r="560" spans="1:33" s="21" customFormat="1" x14ac:dyDescent="0.2">
      <c r="A560" s="114" t="s">
        <v>474</v>
      </c>
      <c r="B560" s="114"/>
      <c r="C560" s="114"/>
      <c r="D560" s="160">
        <v>0</v>
      </c>
      <c r="E560" s="161"/>
      <c r="F560" s="162">
        <v>0.2</v>
      </c>
      <c r="G560" s="162"/>
      <c r="H560" s="52">
        <v>12947</v>
      </c>
      <c r="I560" s="52">
        <f t="shared" si="257"/>
        <v>11445.147999999999</v>
      </c>
      <c r="J560" s="52">
        <f t="shared" si="258"/>
        <v>9156.1183999999994</v>
      </c>
      <c r="K560" s="61"/>
      <c r="L560" s="160">
        <v>0</v>
      </c>
      <c r="M560" s="55">
        <f t="shared" si="259"/>
        <v>0</v>
      </c>
      <c r="N560" s="55">
        <f t="shared" si="260"/>
        <v>0</v>
      </c>
      <c r="O560" s="95"/>
      <c r="P560" s="160">
        <v>0</v>
      </c>
      <c r="Q560" s="55">
        <f t="shared" si="261"/>
        <v>0</v>
      </c>
      <c r="R560" s="65">
        <f t="shared" si="262"/>
        <v>0</v>
      </c>
      <c r="S560" s="118">
        <v>25</v>
      </c>
      <c r="T560" s="121" t="s">
        <v>217</v>
      </c>
      <c r="U560" s="73">
        <f>SUMIF('Avoided Costs 2013-2021'!$A:$A,'2013 Actuals'!T560&amp;'2013 Actuals'!S560,'Avoided Costs 2013-2021'!$E:$E)*J560</f>
        <v>26956.261328229059</v>
      </c>
      <c r="V560" s="73">
        <f>SUMIF('Avoided Costs 2013-2021'!$A:$A,'2013 Actuals'!T560&amp;'2013 Actuals'!S560,'Avoided Costs 2013-2021'!$K:$K)*N560</f>
        <v>0</v>
      </c>
      <c r="W560" s="73">
        <f>SUMIF('Avoided Costs 2013-2021'!$A:$A,'2013 Actuals'!T560&amp;'2013 Actuals'!S560,'Avoided Costs 2013-2021'!$M:$M)*R560</f>
        <v>0</v>
      </c>
      <c r="X560" s="73">
        <f t="shared" si="263"/>
        <v>26956.261328229059</v>
      </c>
      <c r="Y560" s="83">
        <v>32162</v>
      </c>
      <c r="Z560" s="74">
        <f t="shared" si="264"/>
        <v>25729.600000000002</v>
      </c>
      <c r="AA560" s="74"/>
      <c r="AB560" s="74"/>
      <c r="AC560" s="74"/>
      <c r="AD560" s="74">
        <f t="shared" si="265"/>
        <v>25729.600000000002</v>
      </c>
      <c r="AE560" s="74">
        <f t="shared" si="266"/>
        <v>1226.6613282290564</v>
      </c>
      <c r="AF560" s="52">
        <f t="shared" si="267"/>
        <v>228902.96</v>
      </c>
      <c r="AG560" s="52">
        <f t="shared" si="268"/>
        <v>286128.69999999995</v>
      </c>
    </row>
    <row r="561" spans="1:33" s="21" customFormat="1" x14ac:dyDescent="0.2">
      <c r="A561" s="114" t="s">
        <v>475</v>
      </c>
      <c r="B561" s="114"/>
      <c r="C561" s="114"/>
      <c r="D561" s="160">
        <v>1</v>
      </c>
      <c r="E561" s="161"/>
      <c r="F561" s="162">
        <v>0.2</v>
      </c>
      <c r="G561" s="162"/>
      <c r="H561" s="52">
        <v>28813</v>
      </c>
      <c r="I561" s="52">
        <f t="shared" si="257"/>
        <v>25470.691999999999</v>
      </c>
      <c r="J561" s="52">
        <f t="shared" si="258"/>
        <v>20376.553599999999</v>
      </c>
      <c r="K561" s="61"/>
      <c r="L561" s="160">
        <v>0</v>
      </c>
      <c r="M561" s="55">
        <f t="shared" si="259"/>
        <v>0</v>
      </c>
      <c r="N561" s="55">
        <f t="shared" si="260"/>
        <v>0</v>
      </c>
      <c r="O561" s="95"/>
      <c r="P561" s="160">
        <v>0</v>
      </c>
      <c r="Q561" s="55">
        <f t="shared" si="261"/>
        <v>0</v>
      </c>
      <c r="R561" s="65">
        <f t="shared" si="262"/>
        <v>0</v>
      </c>
      <c r="S561" s="118">
        <v>25</v>
      </c>
      <c r="T561" s="121" t="s">
        <v>201</v>
      </c>
      <c r="U561" s="73">
        <f>SUMIF('Avoided Costs 2013-2021'!$A:$A,'2013 Actuals'!T561&amp;'2013 Actuals'!S561,'Avoided Costs 2013-2021'!$E:$E)*J561</f>
        <v>63924.155300790517</v>
      </c>
      <c r="V561" s="73">
        <f>SUMIF('Avoided Costs 2013-2021'!$A:$A,'2013 Actuals'!T561&amp;'2013 Actuals'!S561,'Avoided Costs 2013-2021'!$K:$K)*N561</f>
        <v>0</v>
      </c>
      <c r="W561" s="73">
        <f>SUMIF('Avoided Costs 2013-2021'!$A:$A,'2013 Actuals'!T561&amp;'2013 Actuals'!S561,'Avoided Costs 2013-2021'!$M:$M)*R561</f>
        <v>0</v>
      </c>
      <c r="X561" s="73">
        <f t="shared" si="263"/>
        <v>63924.155300790517</v>
      </c>
      <c r="Y561" s="83">
        <v>37326</v>
      </c>
      <c r="Z561" s="74">
        <f t="shared" si="264"/>
        <v>29860.800000000003</v>
      </c>
      <c r="AA561" s="74"/>
      <c r="AB561" s="74"/>
      <c r="AC561" s="74"/>
      <c r="AD561" s="74">
        <f t="shared" si="265"/>
        <v>29860.800000000003</v>
      </c>
      <c r="AE561" s="74">
        <f t="shared" si="266"/>
        <v>34063.355300790514</v>
      </c>
      <c r="AF561" s="52">
        <f t="shared" si="267"/>
        <v>509413.83999999997</v>
      </c>
      <c r="AG561" s="52">
        <f t="shared" si="268"/>
        <v>636767.29999999993</v>
      </c>
    </row>
    <row r="562" spans="1:33" s="21" customFormat="1" x14ac:dyDescent="0.2">
      <c r="A562" s="116" t="s">
        <v>476</v>
      </c>
      <c r="B562" s="116"/>
      <c r="C562" s="116"/>
      <c r="D562" s="151">
        <v>0</v>
      </c>
      <c r="E562" s="152"/>
      <c r="F562" s="153">
        <v>0.2</v>
      </c>
      <c r="G562" s="153"/>
      <c r="H562" s="52">
        <v>22381</v>
      </c>
      <c r="I562" s="52">
        <f t="shared" si="257"/>
        <v>19784.804</v>
      </c>
      <c r="J562" s="52">
        <f t="shared" si="258"/>
        <v>15827.843200000001</v>
      </c>
      <c r="K562" s="152"/>
      <c r="L562" s="151">
        <v>0</v>
      </c>
      <c r="M562" s="55">
        <f t="shared" si="259"/>
        <v>0</v>
      </c>
      <c r="N562" s="55">
        <f t="shared" si="260"/>
        <v>0</v>
      </c>
      <c r="O562" s="154"/>
      <c r="P562" s="151">
        <v>0</v>
      </c>
      <c r="Q562" s="55">
        <f t="shared" si="261"/>
        <v>0</v>
      </c>
      <c r="R562" s="65">
        <f t="shared" si="262"/>
        <v>0</v>
      </c>
      <c r="S562" s="129">
        <v>25</v>
      </c>
      <c r="T562" s="123" t="s">
        <v>217</v>
      </c>
      <c r="U562" s="73">
        <f>SUMIF('Avoided Costs 2013-2021'!$A:$A,'2013 Actuals'!T562&amp;'2013 Actuals'!S562,'Avoided Costs 2013-2021'!$E:$E)*J562</f>
        <v>46598.291865844956</v>
      </c>
      <c r="V562" s="73">
        <f>SUMIF('Avoided Costs 2013-2021'!$A:$A,'2013 Actuals'!T562&amp;'2013 Actuals'!S562,'Avoided Costs 2013-2021'!$K:$K)*N562</f>
        <v>0</v>
      </c>
      <c r="W562" s="73">
        <f>SUMIF('Avoided Costs 2013-2021'!$A:$A,'2013 Actuals'!T562&amp;'2013 Actuals'!S562,'Avoided Costs 2013-2021'!$M:$M)*R562</f>
        <v>0</v>
      </c>
      <c r="X562" s="73">
        <f t="shared" si="263"/>
        <v>46598.291865844956</v>
      </c>
      <c r="Y562" s="83">
        <v>32162</v>
      </c>
      <c r="Z562" s="74">
        <f t="shared" si="264"/>
        <v>25729.600000000002</v>
      </c>
      <c r="AA562" s="74"/>
      <c r="AB562" s="74"/>
      <c r="AC562" s="74"/>
      <c r="AD562" s="74">
        <f t="shared" si="265"/>
        <v>25729.600000000002</v>
      </c>
      <c r="AE562" s="74">
        <f t="shared" si="266"/>
        <v>20868.691865844954</v>
      </c>
      <c r="AF562" s="52">
        <f t="shared" si="267"/>
        <v>395696.08</v>
      </c>
      <c r="AG562" s="52">
        <f t="shared" si="268"/>
        <v>494620.1</v>
      </c>
    </row>
    <row r="563" spans="1:33" s="21" customFormat="1" x14ac:dyDescent="0.2">
      <c r="A563" s="116" t="s">
        <v>477</v>
      </c>
      <c r="B563" s="116"/>
      <c r="C563" s="116"/>
      <c r="D563" s="151">
        <v>1</v>
      </c>
      <c r="E563" s="152"/>
      <c r="F563" s="153">
        <v>0.2</v>
      </c>
      <c r="G563" s="153"/>
      <c r="H563" s="52">
        <v>40253</v>
      </c>
      <c r="I563" s="52">
        <f t="shared" si="257"/>
        <v>35583.652000000002</v>
      </c>
      <c r="J563" s="52">
        <f t="shared" si="258"/>
        <v>28466.921600000001</v>
      </c>
      <c r="K563" s="152"/>
      <c r="L563" s="151">
        <v>0</v>
      </c>
      <c r="M563" s="55">
        <f t="shared" si="259"/>
        <v>0</v>
      </c>
      <c r="N563" s="55">
        <f t="shared" si="260"/>
        <v>0</v>
      </c>
      <c r="O563" s="154"/>
      <c r="P563" s="151">
        <v>0</v>
      </c>
      <c r="Q563" s="55">
        <f t="shared" si="261"/>
        <v>0</v>
      </c>
      <c r="R563" s="65">
        <f t="shared" si="262"/>
        <v>0</v>
      </c>
      <c r="S563" s="129">
        <v>25</v>
      </c>
      <c r="T563" s="123" t="s">
        <v>201</v>
      </c>
      <c r="U563" s="73">
        <f>SUMIF('Avoided Costs 2013-2021'!$A:$A,'2013 Actuals'!T563&amp;'2013 Actuals'!S563,'Avoided Costs 2013-2021'!$E:$E)*J563</f>
        <v>89304.793784844369</v>
      </c>
      <c r="V563" s="73">
        <f>SUMIF('Avoided Costs 2013-2021'!$A:$A,'2013 Actuals'!T563&amp;'2013 Actuals'!S563,'Avoided Costs 2013-2021'!$K:$K)*N563</f>
        <v>0</v>
      </c>
      <c r="W563" s="73">
        <f>SUMIF('Avoided Costs 2013-2021'!$A:$A,'2013 Actuals'!T563&amp;'2013 Actuals'!S563,'Avoided Costs 2013-2021'!$M:$M)*R563</f>
        <v>0</v>
      </c>
      <c r="X563" s="73">
        <f t="shared" si="263"/>
        <v>89304.793784844369</v>
      </c>
      <c r="Y563" s="83">
        <v>36374</v>
      </c>
      <c r="Z563" s="74">
        <f t="shared" si="264"/>
        <v>29099.200000000001</v>
      </c>
      <c r="AA563" s="74"/>
      <c r="AB563" s="74"/>
      <c r="AC563" s="74"/>
      <c r="AD563" s="74">
        <f t="shared" si="265"/>
        <v>29099.200000000001</v>
      </c>
      <c r="AE563" s="74">
        <f t="shared" si="266"/>
        <v>60205.593784844372</v>
      </c>
      <c r="AF563" s="52">
        <f t="shared" si="267"/>
        <v>711673.04</v>
      </c>
      <c r="AG563" s="52">
        <f t="shared" si="268"/>
        <v>889591.3</v>
      </c>
    </row>
    <row r="564" spans="1:33" s="21" customFormat="1" x14ac:dyDescent="0.2">
      <c r="A564" s="116" t="s">
        <v>478</v>
      </c>
      <c r="B564" s="116"/>
      <c r="C564" s="116"/>
      <c r="D564" s="151">
        <v>1</v>
      </c>
      <c r="E564" s="152"/>
      <c r="F564" s="153">
        <v>0.2</v>
      </c>
      <c r="G564" s="153"/>
      <c r="H564" s="52">
        <v>4155</v>
      </c>
      <c r="I564" s="52">
        <f t="shared" si="257"/>
        <v>3673.02</v>
      </c>
      <c r="J564" s="52">
        <f t="shared" si="258"/>
        <v>2938.4160000000002</v>
      </c>
      <c r="K564" s="152"/>
      <c r="L564" s="151">
        <v>0</v>
      </c>
      <c r="M564" s="55">
        <f t="shared" si="259"/>
        <v>0</v>
      </c>
      <c r="N564" s="55">
        <f t="shared" si="260"/>
        <v>0</v>
      </c>
      <c r="O564" s="154"/>
      <c r="P564" s="151">
        <v>0</v>
      </c>
      <c r="Q564" s="55">
        <f t="shared" si="261"/>
        <v>0</v>
      </c>
      <c r="R564" s="65">
        <f t="shared" si="262"/>
        <v>0</v>
      </c>
      <c r="S564" s="129">
        <v>15</v>
      </c>
      <c r="T564" s="123" t="s">
        <v>201</v>
      </c>
      <c r="U564" s="73">
        <f>SUMIF('Avoided Costs 2013-2021'!$A:$A,'2013 Actuals'!T564&amp;'2013 Actuals'!S564,'Avoided Costs 2013-2021'!$E:$E)*J564</f>
        <v>6566.9558797324844</v>
      </c>
      <c r="V564" s="73">
        <f>SUMIF('Avoided Costs 2013-2021'!$A:$A,'2013 Actuals'!T564&amp;'2013 Actuals'!S564,'Avoided Costs 2013-2021'!$K:$K)*N564</f>
        <v>0</v>
      </c>
      <c r="W564" s="73">
        <f>SUMIF('Avoided Costs 2013-2021'!$A:$A,'2013 Actuals'!T564&amp;'2013 Actuals'!S564,'Avoided Costs 2013-2021'!$M:$M)*R564</f>
        <v>0</v>
      </c>
      <c r="X564" s="73">
        <f t="shared" si="263"/>
        <v>6566.9558797324844</v>
      </c>
      <c r="Y564" s="83">
        <v>3695</v>
      </c>
      <c r="Z564" s="74">
        <f t="shared" si="264"/>
        <v>2956</v>
      </c>
      <c r="AA564" s="74"/>
      <c r="AB564" s="74"/>
      <c r="AC564" s="74"/>
      <c r="AD564" s="74">
        <f t="shared" si="265"/>
        <v>2956</v>
      </c>
      <c r="AE564" s="74">
        <f t="shared" si="266"/>
        <v>3610.9558797324844</v>
      </c>
      <c r="AF564" s="52">
        <f t="shared" si="267"/>
        <v>44076.240000000005</v>
      </c>
      <c r="AG564" s="52">
        <f t="shared" si="268"/>
        <v>55095.3</v>
      </c>
    </row>
    <row r="565" spans="1:33" s="21" customFormat="1" x14ac:dyDescent="0.2">
      <c r="A565" s="116" t="s">
        <v>479</v>
      </c>
      <c r="B565" s="116"/>
      <c r="C565" s="116"/>
      <c r="D565" s="151">
        <v>1</v>
      </c>
      <c r="E565" s="152"/>
      <c r="F565" s="153">
        <v>0.2</v>
      </c>
      <c r="G565" s="153"/>
      <c r="H565" s="52">
        <v>21347</v>
      </c>
      <c r="I565" s="52">
        <f t="shared" si="257"/>
        <v>18870.748</v>
      </c>
      <c r="J565" s="52">
        <f t="shared" si="258"/>
        <v>15096.598400000001</v>
      </c>
      <c r="K565" s="152"/>
      <c r="L565" s="151">
        <v>25787</v>
      </c>
      <c r="M565" s="55">
        <f t="shared" si="259"/>
        <v>25787</v>
      </c>
      <c r="N565" s="55">
        <f t="shared" si="260"/>
        <v>20629.600000000002</v>
      </c>
      <c r="O565" s="154"/>
      <c r="P565" s="151">
        <v>0</v>
      </c>
      <c r="Q565" s="55">
        <f t="shared" si="261"/>
        <v>0</v>
      </c>
      <c r="R565" s="65">
        <f t="shared" si="262"/>
        <v>0</v>
      </c>
      <c r="S565" s="129">
        <v>15</v>
      </c>
      <c r="T565" s="123" t="s">
        <v>201</v>
      </c>
      <c r="U565" s="73">
        <f>SUMIF('Avoided Costs 2013-2021'!$A:$A,'2013 Actuals'!T565&amp;'2013 Actuals'!S565,'Avoided Costs 2013-2021'!$E:$E)*J565</f>
        <v>33738.822422298275</v>
      </c>
      <c r="V565" s="73">
        <f>SUMIF('Avoided Costs 2013-2021'!$A:$A,'2013 Actuals'!T565&amp;'2013 Actuals'!S565,'Avoided Costs 2013-2021'!$K:$K)*N565</f>
        <v>21596.997633015661</v>
      </c>
      <c r="W565" s="73">
        <f>SUMIF('Avoided Costs 2013-2021'!$A:$A,'2013 Actuals'!T565&amp;'2013 Actuals'!S565,'Avoided Costs 2013-2021'!$M:$M)*R565</f>
        <v>0</v>
      </c>
      <c r="X565" s="73">
        <f t="shared" si="263"/>
        <v>55335.820055313932</v>
      </c>
      <c r="Y565" s="83">
        <v>62675</v>
      </c>
      <c r="Z565" s="74">
        <f t="shared" si="264"/>
        <v>50140</v>
      </c>
      <c r="AA565" s="74"/>
      <c r="AB565" s="74"/>
      <c r="AC565" s="74"/>
      <c r="AD565" s="74">
        <f t="shared" si="265"/>
        <v>50140</v>
      </c>
      <c r="AE565" s="74">
        <f t="shared" si="266"/>
        <v>5195.8200553139322</v>
      </c>
      <c r="AF565" s="52">
        <f t="shared" si="267"/>
        <v>226448.97600000002</v>
      </c>
      <c r="AG565" s="52">
        <f t="shared" si="268"/>
        <v>283061.21999999997</v>
      </c>
    </row>
    <row r="566" spans="1:33" s="21" customFormat="1" x14ac:dyDescent="0.2">
      <c r="A566" s="114" t="s">
        <v>480</v>
      </c>
      <c r="B566" s="114"/>
      <c r="C566" s="114"/>
      <c r="D566" s="160">
        <v>1</v>
      </c>
      <c r="E566" s="161"/>
      <c r="F566" s="162">
        <v>0.2</v>
      </c>
      <c r="G566" s="162"/>
      <c r="H566" s="52">
        <v>3496</v>
      </c>
      <c r="I566" s="52">
        <f>H566</f>
        <v>3496</v>
      </c>
      <c r="J566" s="52">
        <f t="shared" si="258"/>
        <v>2796.8</v>
      </c>
      <c r="K566" s="61"/>
      <c r="L566" s="160">
        <v>0</v>
      </c>
      <c r="M566" s="55">
        <f t="shared" si="259"/>
        <v>0</v>
      </c>
      <c r="N566" s="55">
        <f t="shared" si="260"/>
        <v>0</v>
      </c>
      <c r="O566" s="95"/>
      <c r="P566" s="160">
        <v>0</v>
      </c>
      <c r="Q566" s="55">
        <f t="shared" si="261"/>
        <v>0</v>
      </c>
      <c r="R566" s="65">
        <f t="shared" si="262"/>
        <v>0</v>
      </c>
      <c r="S566" s="118">
        <v>25</v>
      </c>
      <c r="T566" s="121" t="s">
        <v>201</v>
      </c>
      <c r="U566" s="73">
        <f>SUMIF('Avoided Costs 2013-2021'!$A:$A,'2013 Actuals'!T566&amp;'2013 Actuals'!S566,'Avoided Costs 2013-2021'!$E:$E)*J566</f>
        <v>8773.9605555892886</v>
      </c>
      <c r="V566" s="73">
        <f>SUMIF('Avoided Costs 2013-2021'!$A:$A,'2013 Actuals'!T566&amp;'2013 Actuals'!S566,'Avoided Costs 2013-2021'!$K:$K)*N566</f>
        <v>0</v>
      </c>
      <c r="W566" s="73">
        <f>SUMIF('Avoided Costs 2013-2021'!$A:$A,'2013 Actuals'!T566&amp;'2013 Actuals'!S566,'Avoided Costs 2013-2021'!$M:$M)*R566</f>
        <v>0</v>
      </c>
      <c r="X566" s="73">
        <f t="shared" si="263"/>
        <v>8773.9605555892886</v>
      </c>
      <c r="Y566" s="83">
        <v>4500</v>
      </c>
      <c r="Z566" s="74">
        <f t="shared" si="264"/>
        <v>3600</v>
      </c>
      <c r="AA566" s="74"/>
      <c r="AB566" s="74"/>
      <c r="AC566" s="74"/>
      <c r="AD566" s="74">
        <f t="shared" si="265"/>
        <v>3600</v>
      </c>
      <c r="AE566" s="74">
        <f t="shared" si="266"/>
        <v>5173.9605555892886</v>
      </c>
      <c r="AF566" s="52">
        <f t="shared" si="267"/>
        <v>69920</v>
      </c>
      <c r="AG566" s="52">
        <f t="shared" si="268"/>
        <v>87400</v>
      </c>
    </row>
    <row r="567" spans="1:33" s="21" customFormat="1" x14ac:dyDescent="0.2">
      <c r="A567" s="114" t="s">
        <v>481</v>
      </c>
      <c r="B567" s="114"/>
      <c r="C567" s="114"/>
      <c r="D567" s="160">
        <v>1</v>
      </c>
      <c r="E567" s="161"/>
      <c r="F567" s="162">
        <v>0.2</v>
      </c>
      <c r="G567" s="162"/>
      <c r="H567" s="52">
        <v>2814</v>
      </c>
      <c r="I567" s="52">
        <f t="shared" si="257"/>
        <v>2487.576</v>
      </c>
      <c r="J567" s="52">
        <f t="shared" si="258"/>
        <v>1990.0608000000002</v>
      </c>
      <c r="K567" s="61"/>
      <c r="L567" s="160">
        <v>0</v>
      </c>
      <c r="M567" s="55">
        <f t="shared" si="259"/>
        <v>0</v>
      </c>
      <c r="N567" s="55">
        <f t="shared" si="260"/>
        <v>0</v>
      </c>
      <c r="O567" s="95"/>
      <c r="P567" s="160">
        <v>0</v>
      </c>
      <c r="Q567" s="55">
        <f t="shared" si="261"/>
        <v>0</v>
      </c>
      <c r="R567" s="65">
        <f t="shared" si="262"/>
        <v>0</v>
      </c>
      <c r="S567" s="118">
        <v>15</v>
      </c>
      <c r="T567" s="121" t="s">
        <v>217</v>
      </c>
      <c r="U567" s="73">
        <f>SUMIF('Avoided Costs 2013-2021'!$A:$A,'2013 Actuals'!T567&amp;'2013 Actuals'!S567,'Avoided Costs 2013-2021'!$E:$E)*J567</f>
        <v>4174.6933887935129</v>
      </c>
      <c r="V567" s="73">
        <f>SUMIF('Avoided Costs 2013-2021'!$A:$A,'2013 Actuals'!T567&amp;'2013 Actuals'!S567,'Avoided Costs 2013-2021'!$K:$K)*N567</f>
        <v>0</v>
      </c>
      <c r="W567" s="73">
        <f>SUMIF('Avoided Costs 2013-2021'!$A:$A,'2013 Actuals'!T567&amp;'2013 Actuals'!S567,'Avoided Costs 2013-2021'!$M:$M)*R567</f>
        <v>0</v>
      </c>
      <c r="X567" s="73">
        <f t="shared" si="263"/>
        <v>4174.6933887935129</v>
      </c>
      <c r="Y567" s="83">
        <v>2814</v>
      </c>
      <c r="Z567" s="74">
        <f t="shared" si="264"/>
        <v>2251.2000000000003</v>
      </c>
      <c r="AA567" s="74"/>
      <c r="AB567" s="74"/>
      <c r="AC567" s="74"/>
      <c r="AD567" s="74">
        <f t="shared" si="265"/>
        <v>2251.2000000000003</v>
      </c>
      <c r="AE567" s="74">
        <f t="shared" si="266"/>
        <v>1923.4933887935126</v>
      </c>
      <c r="AF567" s="52">
        <f t="shared" si="267"/>
        <v>29850.912000000004</v>
      </c>
      <c r="AG567" s="52">
        <f t="shared" si="268"/>
        <v>37313.64</v>
      </c>
    </row>
    <row r="568" spans="1:33" s="21" customFormat="1" x14ac:dyDescent="0.2">
      <c r="A568" s="114" t="s">
        <v>482</v>
      </c>
      <c r="B568" s="114"/>
      <c r="C568" s="114"/>
      <c r="D568" s="160">
        <v>1</v>
      </c>
      <c r="E568" s="161"/>
      <c r="F568" s="162">
        <v>0.2</v>
      </c>
      <c r="G568" s="162"/>
      <c r="H568" s="52">
        <v>14281</v>
      </c>
      <c r="I568" s="52">
        <f t="shared" si="257"/>
        <v>12624.404</v>
      </c>
      <c r="J568" s="52">
        <f t="shared" si="258"/>
        <v>10099.523200000001</v>
      </c>
      <c r="K568" s="61"/>
      <c r="L568" s="160">
        <v>0</v>
      </c>
      <c r="M568" s="55">
        <f t="shared" si="259"/>
        <v>0</v>
      </c>
      <c r="N568" s="55">
        <f t="shared" si="260"/>
        <v>0</v>
      </c>
      <c r="O568" s="95"/>
      <c r="P568" s="160">
        <v>0</v>
      </c>
      <c r="Q568" s="55">
        <f t="shared" si="261"/>
        <v>0</v>
      </c>
      <c r="R568" s="65">
        <f t="shared" si="262"/>
        <v>0</v>
      </c>
      <c r="S568" s="118">
        <v>25</v>
      </c>
      <c r="T568" s="121" t="s">
        <v>217</v>
      </c>
      <c r="U568" s="73">
        <f>SUMIF('Avoided Costs 2013-2021'!$A:$A,'2013 Actuals'!T568&amp;'2013 Actuals'!S568,'Avoided Costs 2013-2021'!$E:$E)*J568</f>
        <v>29733.711904567797</v>
      </c>
      <c r="V568" s="73">
        <f>SUMIF('Avoided Costs 2013-2021'!$A:$A,'2013 Actuals'!T568&amp;'2013 Actuals'!S568,'Avoided Costs 2013-2021'!$K:$K)*N568</f>
        <v>0</v>
      </c>
      <c r="W568" s="73">
        <f>SUMIF('Avoided Costs 2013-2021'!$A:$A,'2013 Actuals'!T568&amp;'2013 Actuals'!S568,'Avoided Costs 2013-2021'!$M:$M)*R568</f>
        <v>0</v>
      </c>
      <c r="X568" s="73">
        <f t="shared" si="263"/>
        <v>29733.711904567797</v>
      </c>
      <c r="Y568" s="83">
        <v>7786</v>
      </c>
      <c r="Z568" s="74">
        <f t="shared" si="264"/>
        <v>6228.8</v>
      </c>
      <c r="AA568" s="74"/>
      <c r="AB568" s="74"/>
      <c r="AC568" s="74"/>
      <c r="AD568" s="74">
        <f t="shared" si="265"/>
        <v>6228.8</v>
      </c>
      <c r="AE568" s="74">
        <f t="shared" si="266"/>
        <v>23504.911904567798</v>
      </c>
      <c r="AF568" s="52">
        <f t="shared" si="267"/>
        <v>252488.08000000005</v>
      </c>
      <c r="AG568" s="52">
        <f t="shared" si="268"/>
        <v>315610.10000000003</v>
      </c>
    </row>
    <row r="569" spans="1:33" s="21" customFormat="1" x14ac:dyDescent="0.2">
      <c r="A569" s="114" t="s">
        <v>483</v>
      </c>
      <c r="B569" s="114"/>
      <c r="C569" s="114"/>
      <c r="D569" s="160">
        <v>0</v>
      </c>
      <c r="E569" s="161"/>
      <c r="F569" s="162">
        <v>0.2</v>
      </c>
      <c r="G569" s="162"/>
      <c r="H569" s="52">
        <v>2517</v>
      </c>
      <c r="I569" s="52">
        <f t="shared" si="257"/>
        <v>2225.0280000000002</v>
      </c>
      <c r="J569" s="52">
        <f t="shared" si="258"/>
        <v>1780.0224000000003</v>
      </c>
      <c r="K569" s="61"/>
      <c r="L569" s="160">
        <v>0</v>
      </c>
      <c r="M569" s="55">
        <f t="shared" si="259"/>
        <v>0</v>
      </c>
      <c r="N569" s="55">
        <f t="shared" si="260"/>
        <v>0</v>
      </c>
      <c r="O569" s="95"/>
      <c r="P569" s="160">
        <v>0</v>
      </c>
      <c r="Q569" s="55">
        <f t="shared" si="261"/>
        <v>0</v>
      </c>
      <c r="R569" s="65">
        <f t="shared" si="262"/>
        <v>0</v>
      </c>
      <c r="S569" s="118">
        <v>25</v>
      </c>
      <c r="T569" s="121" t="s">
        <v>217</v>
      </c>
      <c r="U569" s="73">
        <f>SUMIF('Avoided Costs 2013-2021'!$A:$A,'2013 Actuals'!T569&amp;'2013 Actuals'!S569,'Avoided Costs 2013-2021'!$E:$E)*J569</f>
        <v>5240.5120694487186</v>
      </c>
      <c r="V569" s="73">
        <f>SUMIF('Avoided Costs 2013-2021'!$A:$A,'2013 Actuals'!T569&amp;'2013 Actuals'!S569,'Avoided Costs 2013-2021'!$K:$K)*N569</f>
        <v>0</v>
      </c>
      <c r="W569" s="73">
        <f>SUMIF('Avoided Costs 2013-2021'!$A:$A,'2013 Actuals'!T569&amp;'2013 Actuals'!S569,'Avoided Costs 2013-2021'!$M:$M)*R569</f>
        <v>0</v>
      </c>
      <c r="X569" s="73">
        <f t="shared" si="263"/>
        <v>5240.5120694487186</v>
      </c>
      <c r="Y569" s="83">
        <v>6096</v>
      </c>
      <c r="Z569" s="74">
        <f t="shared" si="264"/>
        <v>4876.8</v>
      </c>
      <c r="AA569" s="74"/>
      <c r="AB569" s="74"/>
      <c r="AC569" s="74"/>
      <c r="AD569" s="74">
        <f t="shared" si="265"/>
        <v>4876.8</v>
      </c>
      <c r="AE569" s="74">
        <f t="shared" si="266"/>
        <v>363.71206944871847</v>
      </c>
      <c r="AF569" s="52">
        <f t="shared" si="267"/>
        <v>44500.560000000005</v>
      </c>
      <c r="AG569" s="52">
        <f t="shared" si="268"/>
        <v>55625.700000000004</v>
      </c>
    </row>
    <row r="570" spans="1:33" s="21" customFormat="1" x14ac:dyDescent="0.2">
      <c r="A570" s="114" t="s">
        <v>484</v>
      </c>
      <c r="B570" s="114"/>
      <c r="C570" s="114"/>
      <c r="D570" s="160">
        <v>1</v>
      </c>
      <c r="E570" s="161"/>
      <c r="F570" s="162">
        <v>0.2</v>
      </c>
      <c r="G570" s="162"/>
      <c r="H570" s="52">
        <v>13128</v>
      </c>
      <c r="I570" s="52">
        <f t="shared" si="257"/>
        <v>11605.152</v>
      </c>
      <c r="J570" s="52">
        <f t="shared" si="258"/>
        <v>9284.1216000000004</v>
      </c>
      <c r="K570" s="61"/>
      <c r="L570" s="160">
        <v>0</v>
      </c>
      <c r="M570" s="55">
        <f t="shared" si="259"/>
        <v>0</v>
      </c>
      <c r="N570" s="55">
        <f t="shared" si="260"/>
        <v>0</v>
      </c>
      <c r="O570" s="95"/>
      <c r="P570" s="160">
        <v>0</v>
      </c>
      <c r="Q570" s="55">
        <f t="shared" si="261"/>
        <v>0</v>
      </c>
      <c r="R570" s="65">
        <f t="shared" si="262"/>
        <v>0</v>
      </c>
      <c r="S570" s="118">
        <v>25</v>
      </c>
      <c r="T570" s="121" t="s">
        <v>201</v>
      </c>
      <c r="U570" s="73">
        <f>SUMIF('Avoided Costs 2013-2021'!$A:$A,'2013 Actuals'!T570&amp;'2013 Actuals'!S570,'Avoided Costs 2013-2021'!$E:$E)*J570</f>
        <v>29125.613812819836</v>
      </c>
      <c r="V570" s="73">
        <f>SUMIF('Avoided Costs 2013-2021'!$A:$A,'2013 Actuals'!T570&amp;'2013 Actuals'!S570,'Avoided Costs 2013-2021'!$K:$K)*N570</f>
        <v>0</v>
      </c>
      <c r="W570" s="73">
        <f>SUMIF('Avoided Costs 2013-2021'!$A:$A,'2013 Actuals'!T570&amp;'2013 Actuals'!S570,'Avoided Costs 2013-2021'!$M:$M)*R570</f>
        <v>0</v>
      </c>
      <c r="X570" s="73">
        <f t="shared" si="263"/>
        <v>29125.613812819836</v>
      </c>
      <c r="Y570" s="83">
        <v>6732</v>
      </c>
      <c r="Z570" s="74">
        <f t="shared" si="264"/>
        <v>5385.6</v>
      </c>
      <c r="AA570" s="74"/>
      <c r="AB570" s="74"/>
      <c r="AC570" s="74"/>
      <c r="AD570" s="74">
        <f t="shared" si="265"/>
        <v>5385.6</v>
      </c>
      <c r="AE570" s="74">
        <f t="shared" si="266"/>
        <v>23740.013812819838</v>
      </c>
      <c r="AF570" s="52">
        <f t="shared" si="267"/>
        <v>232103.04000000001</v>
      </c>
      <c r="AG570" s="52">
        <f t="shared" si="268"/>
        <v>290128.8</v>
      </c>
    </row>
    <row r="571" spans="1:33" s="21" customFormat="1" x14ac:dyDescent="0.2">
      <c r="A571" s="114" t="s">
        <v>485</v>
      </c>
      <c r="B571" s="114"/>
      <c r="C571" s="114"/>
      <c r="D571" s="160">
        <v>1</v>
      </c>
      <c r="E571" s="161"/>
      <c r="F571" s="162">
        <v>0.2</v>
      </c>
      <c r="G571" s="162"/>
      <c r="H571" s="52">
        <v>1861</v>
      </c>
      <c r="I571" s="52">
        <f>H571</f>
        <v>1861</v>
      </c>
      <c r="J571" s="52">
        <f t="shared" si="258"/>
        <v>1488.8000000000002</v>
      </c>
      <c r="K571" s="61"/>
      <c r="L571" s="160">
        <v>0</v>
      </c>
      <c r="M571" s="55">
        <f t="shared" si="259"/>
        <v>0</v>
      </c>
      <c r="N571" s="55">
        <f t="shared" si="260"/>
        <v>0</v>
      </c>
      <c r="O571" s="95"/>
      <c r="P571" s="160">
        <v>0</v>
      </c>
      <c r="Q571" s="55">
        <f t="shared" si="261"/>
        <v>0</v>
      </c>
      <c r="R571" s="65">
        <f t="shared" si="262"/>
        <v>0</v>
      </c>
      <c r="S571" s="118">
        <v>25</v>
      </c>
      <c r="T571" s="121" t="s">
        <v>217</v>
      </c>
      <c r="U571" s="73">
        <f>SUMIF('Avoided Costs 2013-2021'!$A:$A,'2013 Actuals'!T571&amp;'2013 Actuals'!S571,'Avoided Costs 2013-2021'!$E:$E)*J571</f>
        <v>4383.1326892264124</v>
      </c>
      <c r="V571" s="73">
        <f>SUMIF('Avoided Costs 2013-2021'!$A:$A,'2013 Actuals'!T571&amp;'2013 Actuals'!S571,'Avoided Costs 2013-2021'!$K:$K)*N571</f>
        <v>0</v>
      </c>
      <c r="W571" s="73">
        <f>SUMIF('Avoided Costs 2013-2021'!$A:$A,'2013 Actuals'!T571&amp;'2013 Actuals'!S571,'Avoided Costs 2013-2021'!$M:$M)*R571</f>
        <v>0</v>
      </c>
      <c r="X571" s="73">
        <f t="shared" si="263"/>
        <v>4383.1326892264124</v>
      </c>
      <c r="Y571" s="83">
        <v>4500</v>
      </c>
      <c r="Z571" s="74">
        <f t="shared" si="264"/>
        <v>3600</v>
      </c>
      <c r="AA571" s="74"/>
      <c r="AB571" s="74"/>
      <c r="AC571" s="74"/>
      <c r="AD571" s="74">
        <f t="shared" si="265"/>
        <v>3600</v>
      </c>
      <c r="AE571" s="74">
        <f t="shared" si="266"/>
        <v>783.13268922641237</v>
      </c>
      <c r="AF571" s="52">
        <f t="shared" si="267"/>
        <v>37220.000000000007</v>
      </c>
      <c r="AG571" s="52">
        <f t="shared" si="268"/>
        <v>46525</v>
      </c>
    </row>
    <row r="572" spans="1:33" s="21" customFormat="1" x14ac:dyDescent="0.2">
      <c r="A572" s="114" t="s">
        <v>486</v>
      </c>
      <c r="B572" s="114"/>
      <c r="C572" s="114"/>
      <c r="D572" s="160">
        <v>1</v>
      </c>
      <c r="E572" s="161"/>
      <c r="F572" s="162">
        <v>0.2</v>
      </c>
      <c r="G572" s="162"/>
      <c r="H572" s="52">
        <v>38891</v>
      </c>
      <c r="I572" s="52">
        <f t="shared" si="257"/>
        <v>34379.644</v>
      </c>
      <c r="J572" s="52">
        <f t="shared" si="258"/>
        <v>27503.715200000002</v>
      </c>
      <c r="K572" s="61"/>
      <c r="L572" s="160">
        <v>0</v>
      </c>
      <c r="M572" s="55">
        <f t="shared" si="259"/>
        <v>0</v>
      </c>
      <c r="N572" s="55">
        <f t="shared" si="260"/>
        <v>0</v>
      </c>
      <c r="O572" s="95"/>
      <c r="P572" s="160">
        <v>0</v>
      </c>
      <c r="Q572" s="55">
        <f t="shared" si="261"/>
        <v>0</v>
      </c>
      <c r="R572" s="65">
        <f t="shared" si="262"/>
        <v>0</v>
      </c>
      <c r="S572" s="118">
        <v>25</v>
      </c>
      <c r="T572" s="121" t="s">
        <v>201</v>
      </c>
      <c r="U572" s="73">
        <f>SUMIF('Avoided Costs 2013-2021'!$A:$A,'2013 Actuals'!T572&amp;'2013 Actuals'!S572,'Avoided Costs 2013-2021'!$E:$E)*J572</f>
        <v>86283.077909382715</v>
      </c>
      <c r="V572" s="73">
        <f>SUMIF('Avoided Costs 2013-2021'!$A:$A,'2013 Actuals'!T572&amp;'2013 Actuals'!S572,'Avoided Costs 2013-2021'!$K:$K)*N572</f>
        <v>0</v>
      </c>
      <c r="W572" s="73">
        <f>SUMIF('Avoided Costs 2013-2021'!$A:$A,'2013 Actuals'!T572&amp;'2013 Actuals'!S572,'Avoided Costs 2013-2021'!$M:$M)*R572</f>
        <v>0</v>
      </c>
      <c r="X572" s="73">
        <f t="shared" si="263"/>
        <v>86283.077909382715</v>
      </c>
      <c r="Y572" s="83">
        <v>7161</v>
      </c>
      <c r="Z572" s="74">
        <f t="shared" si="264"/>
        <v>5728.8</v>
      </c>
      <c r="AA572" s="74"/>
      <c r="AB572" s="74"/>
      <c r="AC572" s="74"/>
      <c r="AD572" s="74">
        <f t="shared" si="265"/>
        <v>5728.8</v>
      </c>
      <c r="AE572" s="74">
        <f t="shared" si="266"/>
        <v>80554.277909382712</v>
      </c>
      <c r="AF572" s="52">
        <f t="shared" si="267"/>
        <v>687592.88</v>
      </c>
      <c r="AG572" s="52">
        <f t="shared" si="268"/>
        <v>859491.1</v>
      </c>
    </row>
    <row r="573" spans="1:33" s="21" customFormat="1" x14ac:dyDescent="0.2">
      <c r="A573" s="114" t="s">
        <v>487</v>
      </c>
      <c r="B573" s="114"/>
      <c r="C573" s="114"/>
      <c r="D573" s="160">
        <v>0</v>
      </c>
      <c r="E573" s="161"/>
      <c r="F573" s="162">
        <v>0.2</v>
      </c>
      <c r="G573" s="162"/>
      <c r="H573" s="52">
        <v>25934</v>
      </c>
      <c r="I573" s="52">
        <f t="shared" si="257"/>
        <v>22925.655999999999</v>
      </c>
      <c r="J573" s="52">
        <f t="shared" si="258"/>
        <v>18340.524799999999</v>
      </c>
      <c r="K573" s="61"/>
      <c r="L573" s="160">
        <v>0</v>
      </c>
      <c r="M573" s="55">
        <f t="shared" si="259"/>
        <v>0</v>
      </c>
      <c r="N573" s="55">
        <f t="shared" si="260"/>
        <v>0</v>
      </c>
      <c r="O573" s="95"/>
      <c r="P573" s="160">
        <v>0</v>
      </c>
      <c r="Q573" s="55">
        <f t="shared" si="261"/>
        <v>0</v>
      </c>
      <c r="R573" s="65">
        <f t="shared" si="262"/>
        <v>0</v>
      </c>
      <c r="S573" s="118">
        <v>25</v>
      </c>
      <c r="T573" s="121" t="s">
        <v>217</v>
      </c>
      <c r="U573" s="73">
        <f>SUMIF('Avoided Costs 2013-2021'!$A:$A,'2013 Actuals'!T573&amp;'2013 Actuals'!S573,'Avoided Costs 2013-2021'!$E:$E)*J573</f>
        <v>53995.804532810107</v>
      </c>
      <c r="V573" s="73">
        <f>SUMIF('Avoided Costs 2013-2021'!$A:$A,'2013 Actuals'!T573&amp;'2013 Actuals'!S573,'Avoided Costs 2013-2021'!$K:$K)*N573</f>
        <v>0</v>
      </c>
      <c r="W573" s="73">
        <f>SUMIF('Avoided Costs 2013-2021'!$A:$A,'2013 Actuals'!T573&amp;'2013 Actuals'!S573,'Avoided Costs 2013-2021'!$M:$M)*R573</f>
        <v>0</v>
      </c>
      <c r="X573" s="73">
        <f t="shared" si="263"/>
        <v>53995.804532810107</v>
      </c>
      <c r="Y573" s="83">
        <v>5609</v>
      </c>
      <c r="Z573" s="74">
        <f t="shared" si="264"/>
        <v>4487.2</v>
      </c>
      <c r="AA573" s="74"/>
      <c r="AB573" s="74"/>
      <c r="AC573" s="74"/>
      <c r="AD573" s="74">
        <f t="shared" si="265"/>
        <v>4487.2</v>
      </c>
      <c r="AE573" s="74">
        <f t="shared" si="266"/>
        <v>49508.60453281011</v>
      </c>
      <c r="AF573" s="52">
        <f t="shared" si="267"/>
        <v>458513.12</v>
      </c>
      <c r="AG573" s="52">
        <f t="shared" si="268"/>
        <v>573141.4</v>
      </c>
    </row>
    <row r="574" spans="1:33" s="21" customFormat="1" x14ac:dyDescent="0.2">
      <c r="A574" s="114" t="s">
        <v>488</v>
      </c>
      <c r="B574" s="114"/>
      <c r="C574" s="114"/>
      <c r="D574" s="160">
        <v>1</v>
      </c>
      <c r="E574" s="161"/>
      <c r="F574" s="162">
        <v>0.2</v>
      </c>
      <c r="G574" s="162"/>
      <c r="H574" s="52">
        <v>100696</v>
      </c>
      <c r="I574" s="52">
        <f t="shared" si="257"/>
        <v>89015.263999999996</v>
      </c>
      <c r="J574" s="52">
        <f t="shared" si="258"/>
        <v>71212.211200000005</v>
      </c>
      <c r="K574" s="61"/>
      <c r="L574" s="160">
        <v>0</v>
      </c>
      <c r="M574" s="55">
        <f t="shared" si="259"/>
        <v>0</v>
      </c>
      <c r="N574" s="55">
        <f t="shared" si="260"/>
        <v>0</v>
      </c>
      <c r="O574" s="95"/>
      <c r="P574" s="160">
        <v>0</v>
      </c>
      <c r="Q574" s="55">
        <f t="shared" si="261"/>
        <v>0</v>
      </c>
      <c r="R574" s="65">
        <f t="shared" si="262"/>
        <v>0</v>
      </c>
      <c r="S574" s="118">
        <v>25</v>
      </c>
      <c r="T574" s="121" t="s">
        <v>201</v>
      </c>
      <c r="U574" s="73">
        <f>SUMIF('Avoided Costs 2013-2021'!$A:$A,'2013 Actuals'!T574&amp;'2013 Actuals'!S574,'Avoided Costs 2013-2021'!$E:$E)*J574</f>
        <v>223402.86475439568</v>
      </c>
      <c r="V574" s="73">
        <f>SUMIF('Avoided Costs 2013-2021'!$A:$A,'2013 Actuals'!T574&amp;'2013 Actuals'!S574,'Avoided Costs 2013-2021'!$K:$K)*N574</f>
        <v>0</v>
      </c>
      <c r="W574" s="73">
        <f>SUMIF('Avoided Costs 2013-2021'!$A:$A,'2013 Actuals'!T574&amp;'2013 Actuals'!S574,'Avoided Costs 2013-2021'!$M:$M)*R574</f>
        <v>0</v>
      </c>
      <c r="X574" s="73">
        <f t="shared" si="263"/>
        <v>223402.86475439568</v>
      </c>
      <c r="Y574" s="83">
        <v>2705</v>
      </c>
      <c r="Z574" s="74">
        <f t="shared" si="264"/>
        <v>2164</v>
      </c>
      <c r="AA574" s="74"/>
      <c r="AB574" s="74"/>
      <c r="AC574" s="74"/>
      <c r="AD574" s="74">
        <f t="shared" si="265"/>
        <v>2164</v>
      </c>
      <c r="AE574" s="74">
        <f t="shared" si="266"/>
        <v>221238.86475439568</v>
      </c>
      <c r="AF574" s="52">
        <f t="shared" si="267"/>
        <v>1780305.28</v>
      </c>
      <c r="AG574" s="52">
        <f t="shared" si="268"/>
        <v>2225381.6</v>
      </c>
    </row>
    <row r="575" spans="1:33" s="21" customFormat="1" x14ac:dyDescent="0.2">
      <c r="A575" s="114" t="s">
        <v>489</v>
      </c>
      <c r="B575" s="114"/>
      <c r="C575" s="114"/>
      <c r="D575" s="160">
        <v>0</v>
      </c>
      <c r="E575" s="161"/>
      <c r="F575" s="162">
        <v>0.2</v>
      </c>
      <c r="G575" s="162"/>
      <c r="H575" s="52">
        <v>6582</v>
      </c>
      <c r="I575" s="52">
        <f t="shared" si="257"/>
        <v>5818.4880000000003</v>
      </c>
      <c r="J575" s="52">
        <f t="shared" si="258"/>
        <v>4654.7904000000008</v>
      </c>
      <c r="K575" s="61"/>
      <c r="L575" s="160">
        <v>0</v>
      </c>
      <c r="M575" s="55">
        <f t="shared" si="259"/>
        <v>0</v>
      </c>
      <c r="N575" s="55">
        <f t="shared" si="260"/>
        <v>0</v>
      </c>
      <c r="O575" s="95"/>
      <c r="P575" s="160">
        <v>0</v>
      </c>
      <c r="Q575" s="55">
        <f t="shared" si="261"/>
        <v>0</v>
      </c>
      <c r="R575" s="65">
        <f t="shared" si="262"/>
        <v>0</v>
      </c>
      <c r="S575" s="118">
        <v>25</v>
      </c>
      <c r="T575" s="121" t="s">
        <v>217</v>
      </c>
      <c r="U575" s="73">
        <f>SUMIF('Avoided Costs 2013-2021'!$A:$A,'2013 Actuals'!T575&amp;'2013 Actuals'!S575,'Avoided Costs 2013-2021'!$E:$E)*J575</f>
        <v>13704.032753719295</v>
      </c>
      <c r="V575" s="73">
        <f>SUMIF('Avoided Costs 2013-2021'!$A:$A,'2013 Actuals'!T575&amp;'2013 Actuals'!S575,'Avoided Costs 2013-2021'!$K:$K)*N575</f>
        <v>0</v>
      </c>
      <c r="W575" s="73">
        <f>SUMIF('Avoided Costs 2013-2021'!$A:$A,'2013 Actuals'!T575&amp;'2013 Actuals'!S575,'Avoided Costs 2013-2021'!$M:$M)*R575</f>
        <v>0</v>
      </c>
      <c r="X575" s="73">
        <f t="shared" si="263"/>
        <v>13704.032753719295</v>
      </c>
      <c r="Y575" s="83">
        <v>7689</v>
      </c>
      <c r="Z575" s="74">
        <f t="shared" si="264"/>
        <v>6151.2000000000007</v>
      </c>
      <c r="AA575" s="74"/>
      <c r="AB575" s="74"/>
      <c r="AC575" s="74"/>
      <c r="AD575" s="74">
        <f t="shared" si="265"/>
        <v>6151.2000000000007</v>
      </c>
      <c r="AE575" s="74">
        <f t="shared" si="266"/>
        <v>7552.8327537192945</v>
      </c>
      <c r="AF575" s="52">
        <f t="shared" si="267"/>
        <v>116369.76000000002</v>
      </c>
      <c r="AG575" s="52">
        <f t="shared" si="268"/>
        <v>145462.20000000001</v>
      </c>
    </row>
    <row r="576" spans="1:33" s="21" customFormat="1" x14ac:dyDescent="0.2">
      <c r="A576" s="114" t="s">
        <v>490</v>
      </c>
      <c r="B576" s="114"/>
      <c r="C576" s="114"/>
      <c r="D576" s="160">
        <v>1</v>
      </c>
      <c r="E576" s="161"/>
      <c r="F576" s="162">
        <v>0.2</v>
      </c>
      <c r="G576" s="162"/>
      <c r="H576" s="52">
        <v>28295</v>
      </c>
      <c r="I576" s="52">
        <f t="shared" si="257"/>
        <v>25012.78</v>
      </c>
      <c r="J576" s="52">
        <f t="shared" si="258"/>
        <v>20010.224000000002</v>
      </c>
      <c r="K576" s="61"/>
      <c r="L576" s="160">
        <v>0</v>
      </c>
      <c r="M576" s="55">
        <f t="shared" si="259"/>
        <v>0</v>
      </c>
      <c r="N576" s="55">
        <f t="shared" si="260"/>
        <v>0</v>
      </c>
      <c r="O576" s="95"/>
      <c r="P576" s="160">
        <v>0</v>
      </c>
      <c r="Q576" s="55">
        <f t="shared" si="261"/>
        <v>0</v>
      </c>
      <c r="R576" s="65">
        <f t="shared" si="262"/>
        <v>0</v>
      </c>
      <c r="S576" s="118">
        <v>25</v>
      </c>
      <c r="T576" s="121" t="s">
        <v>201</v>
      </c>
      <c r="U576" s="73">
        <f>SUMIF('Avoided Costs 2013-2021'!$A:$A,'2013 Actuals'!T576&amp;'2013 Actuals'!S576,'Avoided Costs 2013-2021'!$E:$E)*J576</f>
        <v>62774.927089711862</v>
      </c>
      <c r="V576" s="73">
        <f>SUMIF('Avoided Costs 2013-2021'!$A:$A,'2013 Actuals'!T576&amp;'2013 Actuals'!S576,'Avoided Costs 2013-2021'!$K:$K)*N576</f>
        <v>0</v>
      </c>
      <c r="W576" s="73">
        <f>SUMIF('Avoided Costs 2013-2021'!$A:$A,'2013 Actuals'!T576&amp;'2013 Actuals'!S576,'Avoided Costs 2013-2021'!$M:$M)*R576</f>
        <v>0</v>
      </c>
      <c r="X576" s="73">
        <f t="shared" si="263"/>
        <v>62774.927089711862</v>
      </c>
      <c r="Y576" s="83">
        <v>8064</v>
      </c>
      <c r="Z576" s="74">
        <f t="shared" si="264"/>
        <v>6451.2000000000007</v>
      </c>
      <c r="AA576" s="74"/>
      <c r="AB576" s="74"/>
      <c r="AC576" s="74"/>
      <c r="AD576" s="74">
        <f t="shared" si="265"/>
        <v>6451.2000000000007</v>
      </c>
      <c r="AE576" s="74">
        <f t="shared" si="266"/>
        <v>56323.727089711858</v>
      </c>
      <c r="AF576" s="52">
        <f t="shared" si="267"/>
        <v>500255.60000000003</v>
      </c>
      <c r="AG576" s="52">
        <f t="shared" si="268"/>
        <v>625319.5</v>
      </c>
    </row>
    <row r="577" spans="1:33" s="21" customFormat="1" x14ac:dyDescent="0.2">
      <c r="A577" s="114" t="s">
        <v>491</v>
      </c>
      <c r="B577" s="114"/>
      <c r="C577" s="114"/>
      <c r="D577" s="160">
        <v>0</v>
      </c>
      <c r="E577" s="161"/>
      <c r="F577" s="162">
        <v>0.2</v>
      </c>
      <c r="G577" s="162"/>
      <c r="H577" s="52">
        <v>1506</v>
      </c>
      <c r="I577" s="52">
        <f t="shared" si="257"/>
        <v>1331.3040000000001</v>
      </c>
      <c r="J577" s="52">
        <f t="shared" si="258"/>
        <v>1065.0432000000001</v>
      </c>
      <c r="K577" s="61"/>
      <c r="L577" s="160">
        <v>0</v>
      </c>
      <c r="M577" s="55">
        <f t="shared" si="259"/>
        <v>0</v>
      </c>
      <c r="N577" s="55">
        <f t="shared" si="260"/>
        <v>0</v>
      </c>
      <c r="O577" s="95"/>
      <c r="P577" s="160">
        <v>0</v>
      </c>
      <c r="Q577" s="55">
        <f t="shared" si="261"/>
        <v>0</v>
      </c>
      <c r="R577" s="65">
        <f t="shared" si="262"/>
        <v>0</v>
      </c>
      <c r="S577" s="118">
        <v>15</v>
      </c>
      <c r="T577" s="121" t="s">
        <v>217</v>
      </c>
      <c r="U577" s="73">
        <f>SUMIF('Avoided Costs 2013-2021'!$A:$A,'2013 Actuals'!T577&amp;'2013 Actuals'!S577,'Avoided Costs 2013-2021'!$E:$E)*J577</f>
        <v>2234.2175705483405</v>
      </c>
      <c r="V577" s="73">
        <f>SUMIF('Avoided Costs 2013-2021'!$A:$A,'2013 Actuals'!T577&amp;'2013 Actuals'!S577,'Avoided Costs 2013-2021'!$K:$K)*N577</f>
        <v>0</v>
      </c>
      <c r="W577" s="73">
        <f>SUMIF('Avoided Costs 2013-2021'!$A:$A,'2013 Actuals'!T577&amp;'2013 Actuals'!S577,'Avoided Costs 2013-2021'!$M:$M)*R577</f>
        <v>0</v>
      </c>
      <c r="X577" s="73">
        <f t="shared" si="263"/>
        <v>2234.2175705483405</v>
      </c>
      <c r="Y577" s="83">
        <v>3000</v>
      </c>
      <c r="Z577" s="74">
        <f t="shared" si="264"/>
        <v>2400</v>
      </c>
      <c r="AA577" s="74"/>
      <c r="AB577" s="74"/>
      <c r="AC577" s="74"/>
      <c r="AD577" s="74">
        <f t="shared" si="265"/>
        <v>2400</v>
      </c>
      <c r="AE577" s="74">
        <f t="shared" si="266"/>
        <v>-165.78242945165948</v>
      </c>
      <c r="AF577" s="52">
        <f t="shared" si="267"/>
        <v>15975.648000000001</v>
      </c>
      <c r="AG577" s="52">
        <f t="shared" si="268"/>
        <v>19969.560000000001</v>
      </c>
    </row>
    <row r="578" spans="1:33" s="21" customFormat="1" x14ac:dyDescent="0.2">
      <c r="A578" s="114" t="s">
        <v>492</v>
      </c>
      <c r="B578" s="114"/>
      <c r="C578" s="114"/>
      <c r="D578" s="160">
        <v>1</v>
      </c>
      <c r="E578" s="161"/>
      <c r="F578" s="162">
        <v>0.2</v>
      </c>
      <c r="G578" s="162"/>
      <c r="H578" s="52">
        <v>38295</v>
      </c>
      <c r="I578" s="52">
        <f t="shared" si="257"/>
        <v>33852.78</v>
      </c>
      <c r="J578" s="52">
        <f t="shared" si="258"/>
        <v>27082.224000000002</v>
      </c>
      <c r="K578" s="61"/>
      <c r="L578" s="160">
        <v>0</v>
      </c>
      <c r="M578" s="55">
        <f t="shared" si="259"/>
        <v>0</v>
      </c>
      <c r="N578" s="55">
        <f t="shared" si="260"/>
        <v>0</v>
      </c>
      <c r="O578" s="95"/>
      <c r="P578" s="160">
        <v>0</v>
      </c>
      <c r="Q578" s="55">
        <f t="shared" si="261"/>
        <v>0</v>
      </c>
      <c r="R578" s="65">
        <f t="shared" si="262"/>
        <v>0</v>
      </c>
      <c r="S578" s="118">
        <v>25</v>
      </c>
      <c r="T578" s="121" t="s">
        <v>201</v>
      </c>
      <c r="U578" s="73">
        <f>SUMIF('Avoided Costs 2013-2021'!$A:$A,'2013 Actuals'!T578&amp;'2013 Actuals'!S578,'Avoided Costs 2013-2021'!$E:$E)*J578</f>
        <v>84960.799890458235</v>
      </c>
      <c r="V578" s="73">
        <f>SUMIF('Avoided Costs 2013-2021'!$A:$A,'2013 Actuals'!T578&amp;'2013 Actuals'!S578,'Avoided Costs 2013-2021'!$K:$K)*N578</f>
        <v>0</v>
      </c>
      <c r="W578" s="73">
        <f>SUMIF('Avoided Costs 2013-2021'!$A:$A,'2013 Actuals'!T578&amp;'2013 Actuals'!S578,'Avoided Costs 2013-2021'!$M:$M)*R578</f>
        <v>0</v>
      </c>
      <c r="X578" s="73">
        <f t="shared" si="263"/>
        <v>84960.799890458235</v>
      </c>
      <c r="Y578" s="83">
        <v>6479</v>
      </c>
      <c r="Z578" s="74">
        <f t="shared" si="264"/>
        <v>5183.2000000000007</v>
      </c>
      <c r="AA578" s="74"/>
      <c r="AB578" s="74"/>
      <c r="AC578" s="74"/>
      <c r="AD578" s="74">
        <f t="shared" si="265"/>
        <v>5183.2000000000007</v>
      </c>
      <c r="AE578" s="74">
        <f t="shared" si="266"/>
        <v>79777.599890458237</v>
      </c>
      <c r="AF578" s="52">
        <f t="shared" si="267"/>
        <v>677055.60000000009</v>
      </c>
      <c r="AG578" s="52">
        <f t="shared" si="268"/>
        <v>846319.5</v>
      </c>
    </row>
    <row r="579" spans="1:33" s="21" customFormat="1" x14ac:dyDescent="0.2">
      <c r="A579" s="114" t="s">
        <v>493</v>
      </c>
      <c r="B579" s="114"/>
      <c r="C579" s="114"/>
      <c r="D579" s="160">
        <v>0</v>
      </c>
      <c r="E579" s="161"/>
      <c r="F579" s="162">
        <v>0.2</v>
      </c>
      <c r="G579" s="162"/>
      <c r="H579" s="52">
        <v>16931</v>
      </c>
      <c r="I579" s="52">
        <f t="shared" si="257"/>
        <v>14967.004000000001</v>
      </c>
      <c r="J579" s="52">
        <f t="shared" si="258"/>
        <v>11973.603200000001</v>
      </c>
      <c r="K579" s="61"/>
      <c r="L579" s="160">
        <v>0</v>
      </c>
      <c r="M579" s="55">
        <f t="shared" si="259"/>
        <v>0</v>
      </c>
      <c r="N579" s="55">
        <f t="shared" si="260"/>
        <v>0</v>
      </c>
      <c r="O579" s="95"/>
      <c r="P579" s="160">
        <v>0</v>
      </c>
      <c r="Q579" s="55">
        <f t="shared" si="261"/>
        <v>0</v>
      </c>
      <c r="R579" s="65">
        <f t="shared" si="262"/>
        <v>0</v>
      </c>
      <c r="S579" s="118">
        <v>25</v>
      </c>
      <c r="T579" s="121" t="s">
        <v>217</v>
      </c>
      <c r="U579" s="73">
        <f>SUMIF('Avoided Costs 2013-2021'!$A:$A,'2013 Actuals'!T579&amp;'2013 Actuals'!S579,'Avoided Costs 2013-2021'!$E:$E)*J579</f>
        <v>35251.136212886871</v>
      </c>
      <c r="V579" s="73">
        <f>SUMIF('Avoided Costs 2013-2021'!$A:$A,'2013 Actuals'!T579&amp;'2013 Actuals'!S579,'Avoided Costs 2013-2021'!$K:$K)*N579</f>
        <v>0</v>
      </c>
      <c r="W579" s="73">
        <f>SUMIF('Avoided Costs 2013-2021'!$A:$A,'2013 Actuals'!T579&amp;'2013 Actuals'!S579,'Avoided Costs 2013-2021'!$M:$M)*R579</f>
        <v>0</v>
      </c>
      <c r="X579" s="73">
        <f t="shared" si="263"/>
        <v>35251.136212886871</v>
      </c>
      <c r="Y579" s="83">
        <v>4243</v>
      </c>
      <c r="Z579" s="74">
        <f t="shared" si="264"/>
        <v>3394.4</v>
      </c>
      <c r="AA579" s="74"/>
      <c r="AB579" s="74"/>
      <c r="AC579" s="74"/>
      <c r="AD579" s="74">
        <f t="shared" si="265"/>
        <v>3394.4</v>
      </c>
      <c r="AE579" s="74">
        <f t="shared" si="266"/>
        <v>31856.73621288687</v>
      </c>
      <c r="AF579" s="52">
        <f t="shared" si="267"/>
        <v>299340.08</v>
      </c>
      <c r="AG579" s="52">
        <f t="shared" si="268"/>
        <v>374175.10000000003</v>
      </c>
    </row>
    <row r="580" spans="1:33" s="21" customFormat="1" x14ac:dyDescent="0.2">
      <c r="A580" s="114" t="s">
        <v>494</v>
      </c>
      <c r="B580" s="114"/>
      <c r="C580" s="114"/>
      <c r="D580" s="160">
        <v>1</v>
      </c>
      <c r="E580" s="161"/>
      <c r="F580" s="162">
        <v>0.2</v>
      </c>
      <c r="G580" s="162"/>
      <c r="H580" s="52">
        <v>44330</v>
      </c>
      <c r="I580" s="52">
        <f t="shared" si="257"/>
        <v>39187.72</v>
      </c>
      <c r="J580" s="52">
        <f t="shared" si="258"/>
        <v>31350.176000000003</v>
      </c>
      <c r="K580" s="61"/>
      <c r="L580" s="160">
        <v>0</v>
      </c>
      <c r="M580" s="55">
        <f t="shared" si="259"/>
        <v>0</v>
      </c>
      <c r="N580" s="55">
        <f t="shared" si="260"/>
        <v>0</v>
      </c>
      <c r="O580" s="95"/>
      <c r="P580" s="160">
        <v>0</v>
      </c>
      <c r="Q580" s="55">
        <f t="shared" si="261"/>
        <v>0</v>
      </c>
      <c r="R580" s="65">
        <f t="shared" si="262"/>
        <v>0</v>
      </c>
      <c r="S580" s="118">
        <v>25</v>
      </c>
      <c r="T580" s="121" t="s">
        <v>201</v>
      </c>
      <c r="U580" s="73">
        <f>SUMIF('Avoided Costs 2013-2021'!$A:$A,'2013 Actuals'!T580&amp;'2013 Actuals'!S580,'Avoided Costs 2013-2021'!$E:$E)*J580</f>
        <v>98349.974125708672</v>
      </c>
      <c r="V580" s="73">
        <f>SUMIF('Avoided Costs 2013-2021'!$A:$A,'2013 Actuals'!T580&amp;'2013 Actuals'!S580,'Avoided Costs 2013-2021'!$K:$K)*N580</f>
        <v>0</v>
      </c>
      <c r="W580" s="73">
        <f>SUMIF('Avoided Costs 2013-2021'!$A:$A,'2013 Actuals'!T580&amp;'2013 Actuals'!S580,'Avoided Costs 2013-2021'!$M:$M)*R580</f>
        <v>0</v>
      </c>
      <c r="X580" s="73">
        <f t="shared" si="263"/>
        <v>98349.974125708672</v>
      </c>
      <c r="Y580" s="83">
        <v>20437</v>
      </c>
      <c r="Z580" s="74">
        <f t="shared" si="264"/>
        <v>16349.6</v>
      </c>
      <c r="AA580" s="74"/>
      <c r="AB580" s="74"/>
      <c r="AC580" s="74"/>
      <c r="AD580" s="74">
        <f t="shared" si="265"/>
        <v>16349.6</v>
      </c>
      <c r="AE580" s="74">
        <f t="shared" si="266"/>
        <v>82000.374125708666</v>
      </c>
      <c r="AF580" s="52">
        <f t="shared" si="267"/>
        <v>783754.4</v>
      </c>
      <c r="AG580" s="52">
        <f t="shared" si="268"/>
        <v>979693</v>
      </c>
    </row>
    <row r="581" spans="1:33" s="21" customFormat="1" x14ac:dyDescent="0.2">
      <c r="A581" s="114" t="s">
        <v>495</v>
      </c>
      <c r="B581" s="114"/>
      <c r="C581" s="114"/>
      <c r="D581" s="160">
        <v>0</v>
      </c>
      <c r="E581" s="161"/>
      <c r="F581" s="162">
        <v>0.2</v>
      </c>
      <c r="G581" s="162"/>
      <c r="H581" s="52">
        <v>17143</v>
      </c>
      <c r="I581" s="52">
        <f t="shared" si="257"/>
        <v>15154.412</v>
      </c>
      <c r="J581" s="52">
        <f t="shared" si="258"/>
        <v>12123.529600000002</v>
      </c>
      <c r="K581" s="61"/>
      <c r="L581" s="160">
        <v>0</v>
      </c>
      <c r="M581" s="55">
        <f t="shared" si="259"/>
        <v>0</v>
      </c>
      <c r="N581" s="55">
        <f t="shared" si="260"/>
        <v>0</v>
      </c>
      <c r="O581" s="95"/>
      <c r="P581" s="160">
        <v>0</v>
      </c>
      <c r="Q581" s="55">
        <f t="shared" si="261"/>
        <v>0</v>
      </c>
      <c r="R581" s="65">
        <f t="shared" si="262"/>
        <v>0</v>
      </c>
      <c r="S581" s="118">
        <v>25</v>
      </c>
      <c r="T581" s="121" t="s">
        <v>217</v>
      </c>
      <c r="U581" s="73">
        <f>SUMIF('Avoided Costs 2013-2021'!$A:$A,'2013 Actuals'!T581&amp;'2013 Actuals'!S581,'Avoided Costs 2013-2021'!$E:$E)*J581</f>
        <v>35692.530157552399</v>
      </c>
      <c r="V581" s="73">
        <f>SUMIF('Avoided Costs 2013-2021'!$A:$A,'2013 Actuals'!T581&amp;'2013 Actuals'!S581,'Avoided Costs 2013-2021'!$K:$K)*N581</f>
        <v>0</v>
      </c>
      <c r="W581" s="73">
        <f>SUMIF('Avoided Costs 2013-2021'!$A:$A,'2013 Actuals'!T581&amp;'2013 Actuals'!S581,'Avoided Costs 2013-2021'!$M:$M)*R581</f>
        <v>0</v>
      </c>
      <c r="X581" s="73">
        <f t="shared" si="263"/>
        <v>35692.530157552399</v>
      </c>
      <c r="Y581" s="83">
        <v>12586</v>
      </c>
      <c r="Z581" s="74">
        <f t="shared" si="264"/>
        <v>10068.800000000001</v>
      </c>
      <c r="AA581" s="74"/>
      <c r="AB581" s="74"/>
      <c r="AC581" s="74"/>
      <c r="AD581" s="74">
        <f t="shared" si="265"/>
        <v>10068.800000000001</v>
      </c>
      <c r="AE581" s="74">
        <f t="shared" si="266"/>
        <v>25623.730157552396</v>
      </c>
      <c r="AF581" s="52">
        <f t="shared" si="267"/>
        <v>303088.24000000005</v>
      </c>
      <c r="AG581" s="52">
        <f t="shared" si="268"/>
        <v>378860.3</v>
      </c>
    </row>
    <row r="582" spans="1:33" s="21" customFormat="1" x14ac:dyDescent="0.2">
      <c r="A582" s="114" t="s">
        <v>496</v>
      </c>
      <c r="B582" s="114"/>
      <c r="C582" s="114"/>
      <c r="D582" s="160">
        <v>1</v>
      </c>
      <c r="E582" s="161"/>
      <c r="F582" s="162">
        <v>0.2</v>
      </c>
      <c r="G582" s="162"/>
      <c r="H582" s="52">
        <v>68672</v>
      </c>
      <c r="I582" s="52">
        <f t="shared" si="257"/>
        <v>60706.048000000003</v>
      </c>
      <c r="J582" s="52">
        <f t="shared" si="258"/>
        <v>48564.838400000008</v>
      </c>
      <c r="K582" s="61"/>
      <c r="L582" s="160">
        <v>0</v>
      </c>
      <c r="M582" s="55">
        <f t="shared" si="259"/>
        <v>0</v>
      </c>
      <c r="N582" s="55">
        <f t="shared" si="260"/>
        <v>0</v>
      </c>
      <c r="O582" s="95"/>
      <c r="P582" s="160">
        <v>0</v>
      </c>
      <c r="Q582" s="55">
        <f t="shared" si="261"/>
        <v>0</v>
      </c>
      <c r="R582" s="65">
        <f t="shared" si="262"/>
        <v>0</v>
      </c>
      <c r="S582" s="118">
        <v>25</v>
      </c>
      <c r="T582" s="121" t="s">
        <v>201</v>
      </c>
      <c r="U582" s="73">
        <f>SUMIF('Avoided Costs 2013-2021'!$A:$A,'2013 Actuals'!T582&amp;'2013 Actuals'!S582,'Avoided Costs 2013-2021'!$E:$E)*J582</f>
        <v>152354.8256972855</v>
      </c>
      <c r="V582" s="73">
        <f>SUMIF('Avoided Costs 2013-2021'!$A:$A,'2013 Actuals'!T582&amp;'2013 Actuals'!S582,'Avoided Costs 2013-2021'!$K:$K)*N582</f>
        <v>0</v>
      </c>
      <c r="W582" s="73">
        <f>SUMIF('Avoided Costs 2013-2021'!$A:$A,'2013 Actuals'!T582&amp;'2013 Actuals'!S582,'Avoided Costs 2013-2021'!$M:$M)*R582</f>
        <v>0</v>
      </c>
      <c r="X582" s="73">
        <f t="shared" si="263"/>
        <v>152354.8256972855</v>
      </c>
      <c r="Y582" s="83">
        <v>42733</v>
      </c>
      <c r="Z582" s="74">
        <f t="shared" si="264"/>
        <v>34186.400000000001</v>
      </c>
      <c r="AA582" s="74"/>
      <c r="AB582" s="74"/>
      <c r="AC582" s="74"/>
      <c r="AD582" s="74">
        <f t="shared" si="265"/>
        <v>34186.400000000001</v>
      </c>
      <c r="AE582" s="74">
        <f t="shared" si="266"/>
        <v>118168.42569728551</v>
      </c>
      <c r="AF582" s="52">
        <f t="shared" si="267"/>
        <v>1214120.9600000002</v>
      </c>
      <c r="AG582" s="52">
        <f t="shared" si="268"/>
        <v>1517651.2</v>
      </c>
    </row>
    <row r="583" spans="1:33" s="21" customFormat="1" x14ac:dyDescent="0.2">
      <c r="A583" s="114" t="s">
        <v>497</v>
      </c>
      <c r="B583" s="114"/>
      <c r="C583" s="114"/>
      <c r="D583" s="160">
        <v>0</v>
      </c>
      <c r="E583" s="161"/>
      <c r="F583" s="162">
        <v>0.2</v>
      </c>
      <c r="G583" s="162"/>
      <c r="H583" s="52">
        <v>18779</v>
      </c>
      <c r="I583" s="52">
        <f t="shared" si="257"/>
        <v>16600.635999999999</v>
      </c>
      <c r="J583" s="52">
        <f t="shared" si="258"/>
        <v>13280.5088</v>
      </c>
      <c r="K583" s="61"/>
      <c r="L583" s="160">
        <v>0</v>
      </c>
      <c r="M583" s="55">
        <f t="shared" si="259"/>
        <v>0</v>
      </c>
      <c r="N583" s="55">
        <f t="shared" si="260"/>
        <v>0</v>
      </c>
      <c r="O583" s="95"/>
      <c r="P583" s="160">
        <v>0</v>
      </c>
      <c r="Q583" s="55">
        <f t="shared" si="261"/>
        <v>0</v>
      </c>
      <c r="R583" s="65">
        <f t="shared" si="262"/>
        <v>0</v>
      </c>
      <c r="S583" s="118">
        <v>25</v>
      </c>
      <c r="T583" s="121" t="s">
        <v>217</v>
      </c>
      <c r="U583" s="73">
        <f>SUMIF('Avoided Costs 2013-2021'!$A:$A,'2013 Actuals'!T583&amp;'2013 Actuals'!S583,'Avoided Costs 2013-2021'!$E:$E)*J583</f>
        <v>39098.758900348614</v>
      </c>
      <c r="V583" s="73">
        <f>SUMIF('Avoided Costs 2013-2021'!$A:$A,'2013 Actuals'!T583&amp;'2013 Actuals'!S583,'Avoided Costs 2013-2021'!$K:$K)*N583</f>
        <v>0</v>
      </c>
      <c r="W583" s="73">
        <f>SUMIF('Avoided Costs 2013-2021'!$A:$A,'2013 Actuals'!T583&amp;'2013 Actuals'!S583,'Avoided Costs 2013-2021'!$M:$M)*R583</f>
        <v>0</v>
      </c>
      <c r="X583" s="73">
        <f t="shared" si="263"/>
        <v>39098.758900348614</v>
      </c>
      <c r="Y583" s="83">
        <v>12586</v>
      </c>
      <c r="Z583" s="74">
        <f t="shared" si="264"/>
        <v>10068.800000000001</v>
      </c>
      <c r="AA583" s="74"/>
      <c r="AB583" s="74"/>
      <c r="AC583" s="74"/>
      <c r="AD583" s="74">
        <f t="shared" si="265"/>
        <v>10068.800000000001</v>
      </c>
      <c r="AE583" s="74">
        <f t="shared" si="266"/>
        <v>29029.958900348611</v>
      </c>
      <c r="AF583" s="52">
        <f t="shared" si="267"/>
        <v>332012.71999999997</v>
      </c>
      <c r="AG583" s="52">
        <f t="shared" si="268"/>
        <v>415015.89999999997</v>
      </c>
    </row>
    <row r="584" spans="1:33" s="21" customFormat="1" x14ac:dyDescent="0.2">
      <c r="A584" s="114" t="s">
        <v>498</v>
      </c>
      <c r="B584" s="114"/>
      <c r="C584" s="114"/>
      <c r="D584" s="160">
        <v>1</v>
      </c>
      <c r="E584" s="161"/>
      <c r="F584" s="162">
        <v>0.2</v>
      </c>
      <c r="G584" s="162"/>
      <c r="H584" s="52">
        <v>61486</v>
      </c>
      <c r="I584" s="52">
        <f t="shared" si="257"/>
        <v>54353.624000000003</v>
      </c>
      <c r="J584" s="52">
        <f t="shared" si="258"/>
        <v>43482.899200000007</v>
      </c>
      <c r="K584" s="61"/>
      <c r="L584" s="160">
        <v>0</v>
      </c>
      <c r="M584" s="55">
        <f t="shared" si="259"/>
        <v>0</v>
      </c>
      <c r="N584" s="55">
        <f t="shared" si="260"/>
        <v>0</v>
      </c>
      <c r="O584" s="95"/>
      <c r="P584" s="160">
        <v>0</v>
      </c>
      <c r="Q584" s="55">
        <f t="shared" si="261"/>
        <v>0</v>
      </c>
      <c r="R584" s="65">
        <f t="shared" si="262"/>
        <v>0</v>
      </c>
      <c r="S584" s="118">
        <v>25</v>
      </c>
      <c r="T584" s="121" t="s">
        <v>201</v>
      </c>
      <c r="U584" s="73">
        <f>SUMIF('Avoided Costs 2013-2021'!$A:$A,'2013 Actuals'!T584&amp;'2013 Actuals'!S584,'Avoided Costs 2013-2021'!$E:$E)*J584</f>
        <v>136412.05750266917</v>
      </c>
      <c r="V584" s="73">
        <f>SUMIF('Avoided Costs 2013-2021'!$A:$A,'2013 Actuals'!T584&amp;'2013 Actuals'!S584,'Avoided Costs 2013-2021'!$K:$K)*N584</f>
        <v>0</v>
      </c>
      <c r="W584" s="73">
        <f>SUMIF('Avoided Costs 2013-2021'!$A:$A,'2013 Actuals'!T584&amp;'2013 Actuals'!S584,'Avoided Costs 2013-2021'!$M:$M)*R584</f>
        <v>0</v>
      </c>
      <c r="X584" s="73">
        <f t="shared" si="263"/>
        <v>136412.05750266917</v>
      </c>
      <c r="Y584" s="83">
        <v>1443</v>
      </c>
      <c r="Z584" s="74">
        <f t="shared" si="264"/>
        <v>1154.4000000000001</v>
      </c>
      <c r="AA584" s="74"/>
      <c r="AB584" s="74"/>
      <c r="AC584" s="74"/>
      <c r="AD584" s="74">
        <f t="shared" si="265"/>
        <v>1154.4000000000001</v>
      </c>
      <c r="AE584" s="74">
        <f t="shared" si="266"/>
        <v>135257.65750266917</v>
      </c>
      <c r="AF584" s="52">
        <f t="shared" si="267"/>
        <v>1087072.4800000002</v>
      </c>
      <c r="AG584" s="52">
        <f t="shared" si="268"/>
        <v>1358840.6</v>
      </c>
    </row>
    <row r="585" spans="1:33" s="21" customFormat="1" x14ac:dyDescent="0.2">
      <c r="A585" s="114" t="s">
        <v>499</v>
      </c>
      <c r="B585" s="114"/>
      <c r="C585" s="114"/>
      <c r="D585" s="160">
        <v>0</v>
      </c>
      <c r="E585" s="161"/>
      <c r="F585" s="162">
        <v>0.2</v>
      </c>
      <c r="G585" s="162"/>
      <c r="H585" s="52">
        <v>16533</v>
      </c>
      <c r="I585" s="52">
        <f t="shared" si="257"/>
        <v>14615.172</v>
      </c>
      <c r="J585" s="52">
        <f t="shared" si="258"/>
        <v>11692.137600000002</v>
      </c>
      <c r="K585" s="61"/>
      <c r="L585" s="160">
        <v>0</v>
      </c>
      <c r="M585" s="55">
        <f t="shared" si="259"/>
        <v>0</v>
      </c>
      <c r="N585" s="55">
        <f t="shared" si="260"/>
        <v>0</v>
      </c>
      <c r="O585" s="95"/>
      <c r="P585" s="160">
        <v>0</v>
      </c>
      <c r="Q585" s="55">
        <f t="shared" si="261"/>
        <v>0</v>
      </c>
      <c r="R585" s="65">
        <f t="shared" si="262"/>
        <v>0</v>
      </c>
      <c r="S585" s="118">
        <v>25</v>
      </c>
      <c r="T585" s="121" t="s">
        <v>217</v>
      </c>
      <c r="U585" s="73">
        <f>SUMIF('Avoided Costs 2013-2021'!$A:$A,'2013 Actuals'!T585&amp;'2013 Actuals'!S585,'Avoided Costs 2013-2021'!$E:$E)*J585</f>
        <v>34422.481543184607</v>
      </c>
      <c r="V585" s="73">
        <f>SUMIF('Avoided Costs 2013-2021'!$A:$A,'2013 Actuals'!T585&amp;'2013 Actuals'!S585,'Avoided Costs 2013-2021'!$K:$K)*N585</f>
        <v>0</v>
      </c>
      <c r="W585" s="73">
        <f>SUMIF('Avoided Costs 2013-2021'!$A:$A,'2013 Actuals'!T585&amp;'2013 Actuals'!S585,'Avoided Costs 2013-2021'!$M:$M)*R585</f>
        <v>0</v>
      </c>
      <c r="X585" s="73">
        <f t="shared" si="263"/>
        <v>34422.481543184607</v>
      </c>
      <c r="Y585" s="83">
        <v>12744</v>
      </c>
      <c r="Z585" s="74">
        <f t="shared" si="264"/>
        <v>10195.200000000001</v>
      </c>
      <c r="AA585" s="74"/>
      <c r="AB585" s="74"/>
      <c r="AC585" s="74"/>
      <c r="AD585" s="74">
        <f t="shared" si="265"/>
        <v>10195.200000000001</v>
      </c>
      <c r="AE585" s="74">
        <f t="shared" si="266"/>
        <v>24227.281543184607</v>
      </c>
      <c r="AF585" s="52">
        <f t="shared" si="267"/>
        <v>292303.44000000006</v>
      </c>
      <c r="AG585" s="52">
        <f t="shared" si="268"/>
        <v>365379.3</v>
      </c>
    </row>
    <row r="586" spans="1:33" s="21" customFormat="1" x14ac:dyDescent="0.2">
      <c r="A586" s="114" t="s">
        <v>500</v>
      </c>
      <c r="B586" s="114"/>
      <c r="C586" s="114"/>
      <c r="D586" s="160">
        <v>1</v>
      </c>
      <c r="E586" s="161"/>
      <c r="F586" s="162">
        <v>0.2</v>
      </c>
      <c r="G586" s="162"/>
      <c r="H586" s="52">
        <v>43173</v>
      </c>
      <c r="I586" s="52">
        <f t="shared" si="257"/>
        <v>38164.932000000001</v>
      </c>
      <c r="J586" s="52">
        <f t="shared" si="258"/>
        <v>30531.945600000003</v>
      </c>
      <c r="K586" s="61"/>
      <c r="L586" s="160">
        <v>0</v>
      </c>
      <c r="M586" s="55">
        <f t="shared" si="259"/>
        <v>0</v>
      </c>
      <c r="N586" s="55">
        <f t="shared" si="260"/>
        <v>0</v>
      </c>
      <c r="O586" s="95"/>
      <c r="P586" s="160">
        <v>0</v>
      </c>
      <c r="Q586" s="55">
        <f t="shared" si="261"/>
        <v>0</v>
      </c>
      <c r="R586" s="65">
        <f t="shared" si="262"/>
        <v>0</v>
      </c>
      <c r="S586" s="118">
        <v>25</v>
      </c>
      <c r="T586" s="121" t="s">
        <v>201</v>
      </c>
      <c r="U586" s="73">
        <f>SUMIF('Avoided Costs 2013-2021'!$A:$A,'2013 Actuals'!T586&amp;'2013 Actuals'!S586,'Avoided Costs 2013-2021'!$E:$E)*J586</f>
        <v>95783.068642662314</v>
      </c>
      <c r="V586" s="73">
        <f>SUMIF('Avoided Costs 2013-2021'!$A:$A,'2013 Actuals'!T586&amp;'2013 Actuals'!S586,'Avoided Costs 2013-2021'!$K:$K)*N586</f>
        <v>0</v>
      </c>
      <c r="W586" s="73">
        <f>SUMIF('Avoided Costs 2013-2021'!$A:$A,'2013 Actuals'!T586&amp;'2013 Actuals'!S586,'Avoided Costs 2013-2021'!$M:$M)*R586</f>
        <v>0</v>
      </c>
      <c r="X586" s="73">
        <f t="shared" si="263"/>
        <v>95783.068642662314</v>
      </c>
      <c r="Y586" s="83">
        <v>7052</v>
      </c>
      <c r="Z586" s="74">
        <f t="shared" si="264"/>
        <v>5641.6</v>
      </c>
      <c r="AA586" s="74"/>
      <c r="AB586" s="74"/>
      <c r="AC586" s="74"/>
      <c r="AD586" s="74">
        <f t="shared" si="265"/>
        <v>5641.6</v>
      </c>
      <c r="AE586" s="74">
        <f t="shared" si="266"/>
        <v>90141.468642662308</v>
      </c>
      <c r="AF586" s="52">
        <f t="shared" si="267"/>
        <v>763298.64</v>
      </c>
      <c r="AG586" s="52">
        <f t="shared" si="268"/>
        <v>954123.3</v>
      </c>
    </row>
    <row r="587" spans="1:33" s="21" customFormat="1" x14ac:dyDescent="0.2">
      <c r="A587" s="114" t="s">
        <v>501</v>
      </c>
      <c r="B587" s="114"/>
      <c r="C587" s="114"/>
      <c r="D587" s="160">
        <v>0</v>
      </c>
      <c r="E587" s="161"/>
      <c r="F587" s="162">
        <v>0.2</v>
      </c>
      <c r="G587" s="162"/>
      <c r="H587" s="52">
        <v>13286</v>
      </c>
      <c r="I587" s="52">
        <f t="shared" si="257"/>
        <v>11744.824000000001</v>
      </c>
      <c r="J587" s="52">
        <f t="shared" si="258"/>
        <v>9395.8592000000008</v>
      </c>
      <c r="K587" s="61"/>
      <c r="L587" s="160">
        <v>0</v>
      </c>
      <c r="M587" s="55">
        <f t="shared" si="259"/>
        <v>0</v>
      </c>
      <c r="N587" s="55">
        <f t="shared" si="260"/>
        <v>0</v>
      </c>
      <c r="O587" s="95"/>
      <c r="P587" s="160">
        <v>0</v>
      </c>
      <c r="Q587" s="55">
        <f t="shared" si="261"/>
        <v>0</v>
      </c>
      <c r="R587" s="65">
        <f t="shared" si="262"/>
        <v>0</v>
      </c>
      <c r="S587" s="118">
        <v>25</v>
      </c>
      <c r="T587" s="121" t="s">
        <v>217</v>
      </c>
      <c r="U587" s="73">
        <f>SUMIF('Avoided Costs 2013-2021'!$A:$A,'2013 Actuals'!T587&amp;'2013 Actuals'!S587,'Avoided Costs 2013-2021'!$E:$E)*J587</f>
        <v>27662.075230312144</v>
      </c>
      <c r="V587" s="73">
        <f>SUMIF('Avoided Costs 2013-2021'!$A:$A,'2013 Actuals'!T587&amp;'2013 Actuals'!S587,'Avoided Costs 2013-2021'!$K:$K)*N587</f>
        <v>0</v>
      </c>
      <c r="W587" s="73">
        <f>SUMIF('Avoided Costs 2013-2021'!$A:$A,'2013 Actuals'!T587&amp;'2013 Actuals'!S587,'Avoided Costs 2013-2021'!$M:$M)*R587</f>
        <v>0</v>
      </c>
      <c r="X587" s="73">
        <f t="shared" si="263"/>
        <v>27662.075230312144</v>
      </c>
      <c r="Y587" s="83">
        <v>8506</v>
      </c>
      <c r="Z587" s="74">
        <f t="shared" si="264"/>
        <v>6804.8</v>
      </c>
      <c r="AA587" s="74"/>
      <c r="AB587" s="74"/>
      <c r="AC587" s="74"/>
      <c r="AD587" s="74">
        <f t="shared" si="265"/>
        <v>6804.8</v>
      </c>
      <c r="AE587" s="74">
        <f t="shared" si="266"/>
        <v>20857.275230312145</v>
      </c>
      <c r="AF587" s="52">
        <f t="shared" si="267"/>
        <v>234896.48</v>
      </c>
      <c r="AG587" s="52">
        <f t="shared" si="268"/>
        <v>293620.60000000003</v>
      </c>
    </row>
    <row r="588" spans="1:33" s="21" customFormat="1" x14ac:dyDescent="0.2">
      <c r="A588" s="114" t="s">
        <v>502</v>
      </c>
      <c r="B588" s="114"/>
      <c r="C588" s="114"/>
      <c r="D588" s="160">
        <v>1</v>
      </c>
      <c r="E588" s="161"/>
      <c r="F588" s="162">
        <v>0.2</v>
      </c>
      <c r="G588" s="162"/>
      <c r="H588" s="52">
        <v>42111</v>
      </c>
      <c r="I588" s="52">
        <f t="shared" si="257"/>
        <v>37226.124000000003</v>
      </c>
      <c r="J588" s="52">
        <f t="shared" si="258"/>
        <v>29780.899200000003</v>
      </c>
      <c r="K588" s="61"/>
      <c r="L588" s="160">
        <v>0</v>
      </c>
      <c r="M588" s="55">
        <f t="shared" si="259"/>
        <v>0</v>
      </c>
      <c r="N588" s="55">
        <f t="shared" si="260"/>
        <v>0</v>
      </c>
      <c r="O588" s="95"/>
      <c r="P588" s="160">
        <v>0</v>
      </c>
      <c r="Q588" s="55">
        <f t="shared" si="261"/>
        <v>0</v>
      </c>
      <c r="R588" s="65">
        <f t="shared" si="262"/>
        <v>0</v>
      </c>
      <c r="S588" s="118">
        <v>25</v>
      </c>
      <c r="T588" s="121" t="s">
        <v>201</v>
      </c>
      <c r="U588" s="73">
        <f>SUMIF('Avoided Costs 2013-2021'!$A:$A,'2013 Actuals'!T588&amp;'2013 Actuals'!S588,'Avoided Costs 2013-2021'!$E:$E)*J588</f>
        <v>93426.928951223061</v>
      </c>
      <c r="V588" s="73">
        <f>SUMIF('Avoided Costs 2013-2021'!$A:$A,'2013 Actuals'!T588&amp;'2013 Actuals'!S588,'Avoided Costs 2013-2021'!$K:$K)*N588</f>
        <v>0</v>
      </c>
      <c r="W588" s="73">
        <f>SUMIF('Avoided Costs 2013-2021'!$A:$A,'2013 Actuals'!T588&amp;'2013 Actuals'!S588,'Avoided Costs 2013-2021'!$M:$M)*R588</f>
        <v>0</v>
      </c>
      <c r="X588" s="73">
        <f t="shared" si="263"/>
        <v>93426.928951223061</v>
      </c>
      <c r="Y588" s="83">
        <v>7052</v>
      </c>
      <c r="Z588" s="74">
        <f t="shared" si="264"/>
        <v>5641.6</v>
      </c>
      <c r="AA588" s="74"/>
      <c r="AB588" s="74"/>
      <c r="AC588" s="74"/>
      <c r="AD588" s="74">
        <f t="shared" si="265"/>
        <v>5641.6</v>
      </c>
      <c r="AE588" s="74">
        <f t="shared" si="266"/>
        <v>87785.328951223055</v>
      </c>
      <c r="AF588" s="52">
        <f t="shared" si="267"/>
        <v>744522.4800000001</v>
      </c>
      <c r="AG588" s="52">
        <f t="shared" si="268"/>
        <v>930653.10000000009</v>
      </c>
    </row>
    <row r="589" spans="1:33" s="21" customFormat="1" x14ac:dyDescent="0.2">
      <c r="A589" s="114" t="s">
        <v>503</v>
      </c>
      <c r="B589" s="114"/>
      <c r="C589" s="114"/>
      <c r="D589" s="160">
        <v>1</v>
      </c>
      <c r="E589" s="161"/>
      <c r="F589" s="162">
        <v>0.2</v>
      </c>
      <c r="G589" s="162"/>
      <c r="H589" s="52">
        <v>82163</v>
      </c>
      <c r="I589" s="52">
        <f t="shared" si="257"/>
        <v>72632.092000000004</v>
      </c>
      <c r="J589" s="52">
        <f t="shared" si="258"/>
        <v>58105.673600000009</v>
      </c>
      <c r="K589" s="61"/>
      <c r="L589" s="160">
        <v>0</v>
      </c>
      <c r="M589" s="55">
        <f t="shared" si="259"/>
        <v>0</v>
      </c>
      <c r="N589" s="55">
        <f t="shared" si="260"/>
        <v>0</v>
      </c>
      <c r="O589" s="95"/>
      <c r="P589" s="160">
        <v>0</v>
      </c>
      <c r="Q589" s="55">
        <f t="shared" si="261"/>
        <v>0</v>
      </c>
      <c r="R589" s="65">
        <f t="shared" si="262"/>
        <v>0</v>
      </c>
      <c r="S589" s="118">
        <v>25</v>
      </c>
      <c r="T589" s="121" t="s">
        <v>201</v>
      </c>
      <c r="U589" s="73">
        <f>SUMIF('Avoided Costs 2013-2021'!$A:$A,'2013 Actuals'!T589&amp;'2013 Actuals'!S589,'Avoided Costs 2013-2021'!$E:$E)*J589</f>
        <v>182285.78669277244</v>
      </c>
      <c r="V589" s="73">
        <f>SUMIF('Avoided Costs 2013-2021'!$A:$A,'2013 Actuals'!T589&amp;'2013 Actuals'!S589,'Avoided Costs 2013-2021'!$K:$K)*N589</f>
        <v>0</v>
      </c>
      <c r="W589" s="73">
        <f>SUMIF('Avoided Costs 2013-2021'!$A:$A,'2013 Actuals'!T589&amp;'2013 Actuals'!S589,'Avoided Costs 2013-2021'!$M:$M)*R589</f>
        <v>0</v>
      </c>
      <c r="X589" s="73">
        <f t="shared" si="263"/>
        <v>182285.78669277244</v>
      </c>
      <c r="Y589" s="83">
        <v>36274</v>
      </c>
      <c r="Z589" s="74">
        <f t="shared" si="264"/>
        <v>29019.200000000001</v>
      </c>
      <c r="AA589" s="74"/>
      <c r="AB589" s="74"/>
      <c r="AC589" s="74"/>
      <c r="AD589" s="74">
        <f t="shared" si="265"/>
        <v>29019.200000000001</v>
      </c>
      <c r="AE589" s="74">
        <f t="shared" si="266"/>
        <v>153266.58669277243</v>
      </c>
      <c r="AF589" s="52">
        <f t="shared" si="267"/>
        <v>1452641.8400000003</v>
      </c>
      <c r="AG589" s="52">
        <f t="shared" si="268"/>
        <v>1815802.3</v>
      </c>
    </row>
    <row r="590" spans="1:33" s="21" customFormat="1" x14ac:dyDescent="0.2">
      <c r="A590" s="114" t="s">
        <v>504</v>
      </c>
      <c r="B590" s="114"/>
      <c r="C590" s="114"/>
      <c r="D590" s="160">
        <v>1</v>
      </c>
      <c r="E590" s="161"/>
      <c r="F590" s="162">
        <v>0.2</v>
      </c>
      <c r="G590" s="162"/>
      <c r="H590" s="52">
        <v>7475</v>
      </c>
      <c r="I590" s="52">
        <f>H590</f>
        <v>7475</v>
      </c>
      <c r="J590" s="52">
        <f t="shared" si="258"/>
        <v>5980</v>
      </c>
      <c r="K590" s="61"/>
      <c r="L590" s="160">
        <v>0</v>
      </c>
      <c r="M590" s="55">
        <f t="shared" si="259"/>
        <v>0</v>
      </c>
      <c r="N590" s="55">
        <f t="shared" si="260"/>
        <v>0</v>
      </c>
      <c r="O590" s="95"/>
      <c r="P590" s="160">
        <v>0</v>
      </c>
      <c r="Q590" s="55">
        <f t="shared" si="261"/>
        <v>0</v>
      </c>
      <c r="R590" s="65">
        <f t="shared" si="262"/>
        <v>0</v>
      </c>
      <c r="S590" s="118">
        <v>25</v>
      </c>
      <c r="T590" s="121" t="s">
        <v>217</v>
      </c>
      <c r="U590" s="73">
        <f>SUMIF('Avoided Costs 2013-2021'!$A:$A,'2013 Actuals'!T590&amp;'2013 Actuals'!S590,'Avoided Costs 2013-2021'!$E:$E)*J590</f>
        <v>17605.543714114683</v>
      </c>
      <c r="V590" s="73">
        <f>SUMIF('Avoided Costs 2013-2021'!$A:$A,'2013 Actuals'!T590&amp;'2013 Actuals'!S590,'Avoided Costs 2013-2021'!$K:$K)*N590</f>
        <v>0</v>
      </c>
      <c r="W590" s="73">
        <f>SUMIF('Avoided Costs 2013-2021'!$A:$A,'2013 Actuals'!T590&amp;'2013 Actuals'!S590,'Avoided Costs 2013-2021'!$M:$M)*R590</f>
        <v>0</v>
      </c>
      <c r="X590" s="73">
        <f t="shared" si="263"/>
        <v>17605.543714114683</v>
      </c>
      <c r="Y590" s="83">
        <v>7400</v>
      </c>
      <c r="Z590" s="74">
        <f t="shared" si="264"/>
        <v>5920</v>
      </c>
      <c r="AA590" s="74"/>
      <c r="AB590" s="74"/>
      <c r="AC590" s="74"/>
      <c r="AD590" s="74">
        <f t="shared" si="265"/>
        <v>5920</v>
      </c>
      <c r="AE590" s="74">
        <f t="shared" si="266"/>
        <v>11685.543714114683</v>
      </c>
      <c r="AF590" s="52">
        <f t="shared" si="267"/>
        <v>149500</v>
      </c>
      <c r="AG590" s="52">
        <f t="shared" si="268"/>
        <v>186875</v>
      </c>
    </row>
    <row r="591" spans="1:33" s="21" customFormat="1" x14ac:dyDescent="0.2">
      <c r="A591" s="114" t="s">
        <v>505</v>
      </c>
      <c r="B591" s="114"/>
      <c r="C591" s="114"/>
      <c r="D591" s="160">
        <v>1</v>
      </c>
      <c r="E591" s="161"/>
      <c r="F591" s="162">
        <v>0.2</v>
      </c>
      <c r="G591" s="162"/>
      <c r="H591" s="52">
        <v>2663</v>
      </c>
      <c r="I591" s="52">
        <f t="shared" si="257"/>
        <v>2354.0920000000001</v>
      </c>
      <c r="J591" s="52">
        <f t="shared" si="258"/>
        <v>1883.2736000000002</v>
      </c>
      <c r="K591" s="61"/>
      <c r="L591" s="160">
        <v>0</v>
      </c>
      <c r="M591" s="55">
        <f t="shared" si="259"/>
        <v>0</v>
      </c>
      <c r="N591" s="55">
        <f t="shared" si="260"/>
        <v>0</v>
      </c>
      <c r="O591" s="95"/>
      <c r="P591" s="160">
        <v>0</v>
      </c>
      <c r="Q591" s="55">
        <f t="shared" si="261"/>
        <v>0</v>
      </c>
      <c r="R591" s="65">
        <f t="shared" si="262"/>
        <v>0</v>
      </c>
      <c r="S591" s="118">
        <v>15</v>
      </c>
      <c r="T591" s="121" t="s">
        <v>201</v>
      </c>
      <c r="U591" s="73">
        <f>SUMIF('Avoided Costs 2013-2021'!$A:$A,'2013 Actuals'!T591&amp;'2013 Actuals'!S591,'Avoided Costs 2013-2021'!$E:$E)*J591</f>
        <v>4208.857643255742</v>
      </c>
      <c r="V591" s="73">
        <f>SUMIF('Avoided Costs 2013-2021'!$A:$A,'2013 Actuals'!T591&amp;'2013 Actuals'!S591,'Avoided Costs 2013-2021'!$K:$K)*N591</f>
        <v>0</v>
      </c>
      <c r="W591" s="73">
        <f>SUMIF('Avoided Costs 2013-2021'!$A:$A,'2013 Actuals'!T591&amp;'2013 Actuals'!S591,'Avoided Costs 2013-2021'!$M:$M)*R591</f>
        <v>0</v>
      </c>
      <c r="X591" s="73">
        <f t="shared" si="263"/>
        <v>4208.857643255742</v>
      </c>
      <c r="Y591" s="83">
        <v>3150</v>
      </c>
      <c r="Z591" s="74">
        <f t="shared" si="264"/>
        <v>2520</v>
      </c>
      <c r="AA591" s="74"/>
      <c r="AB591" s="74"/>
      <c r="AC591" s="74"/>
      <c r="AD591" s="74">
        <f t="shared" si="265"/>
        <v>2520</v>
      </c>
      <c r="AE591" s="74">
        <f t="shared" si="266"/>
        <v>1688.857643255742</v>
      </c>
      <c r="AF591" s="52">
        <f t="shared" si="267"/>
        <v>28249.104000000003</v>
      </c>
      <c r="AG591" s="52">
        <f t="shared" si="268"/>
        <v>35311.380000000005</v>
      </c>
    </row>
    <row r="592" spans="1:33" s="21" customFormat="1" x14ac:dyDescent="0.2">
      <c r="A592" s="114" t="s">
        <v>506</v>
      </c>
      <c r="B592" s="114"/>
      <c r="C592" s="114"/>
      <c r="D592" s="160">
        <v>1</v>
      </c>
      <c r="E592" s="161"/>
      <c r="F592" s="162">
        <v>0.2</v>
      </c>
      <c r="G592" s="162"/>
      <c r="H592" s="52">
        <v>10363</v>
      </c>
      <c r="I592" s="52">
        <f t="shared" si="257"/>
        <v>9160.8919999999998</v>
      </c>
      <c r="J592" s="52">
        <f t="shared" si="258"/>
        <v>7328.7136</v>
      </c>
      <c r="K592" s="61"/>
      <c r="L592" s="160">
        <v>0</v>
      </c>
      <c r="M592" s="55">
        <f t="shared" si="259"/>
        <v>0</v>
      </c>
      <c r="N592" s="55">
        <f t="shared" si="260"/>
        <v>0</v>
      </c>
      <c r="O592" s="95"/>
      <c r="P592" s="160">
        <v>0</v>
      </c>
      <c r="Q592" s="55">
        <f t="shared" si="261"/>
        <v>0</v>
      </c>
      <c r="R592" s="65">
        <f t="shared" si="262"/>
        <v>0</v>
      </c>
      <c r="S592" s="118">
        <v>25</v>
      </c>
      <c r="T592" s="121" t="s">
        <v>201</v>
      </c>
      <c r="U592" s="73">
        <f>SUMIF('Avoided Costs 2013-2021'!$A:$A,'2013 Actuals'!T592&amp;'2013 Actuals'!S592,'Avoided Costs 2013-2021'!$E:$E)*J592</f>
        <v>22991.219983413463</v>
      </c>
      <c r="V592" s="73">
        <f>SUMIF('Avoided Costs 2013-2021'!$A:$A,'2013 Actuals'!T592&amp;'2013 Actuals'!S592,'Avoided Costs 2013-2021'!$K:$K)*N592</f>
        <v>0</v>
      </c>
      <c r="W592" s="73">
        <f>SUMIF('Avoided Costs 2013-2021'!$A:$A,'2013 Actuals'!T592&amp;'2013 Actuals'!S592,'Avoided Costs 2013-2021'!$M:$M)*R592</f>
        <v>0</v>
      </c>
      <c r="X592" s="73">
        <f t="shared" si="263"/>
        <v>22991.219983413463</v>
      </c>
      <c r="Y592" s="83">
        <v>5549</v>
      </c>
      <c r="Z592" s="74">
        <f t="shared" si="264"/>
        <v>4439.2</v>
      </c>
      <c r="AA592" s="74"/>
      <c r="AB592" s="74"/>
      <c r="AC592" s="74"/>
      <c r="AD592" s="74">
        <f t="shared" si="265"/>
        <v>4439.2</v>
      </c>
      <c r="AE592" s="74">
        <f t="shared" si="266"/>
        <v>18552.019983413462</v>
      </c>
      <c r="AF592" s="52">
        <f t="shared" si="267"/>
        <v>183217.84</v>
      </c>
      <c r="AG592" s="52">
        <f t="shared" si="268"/>
        <v>229022.3</v>
      </c>
    </row>
    <row r="593" spans="1:33" s="21" customFormat="1" x14ac:dyDescent="0.2">
      <c r="A593" s="114" t="s">
        <v>507</v>
      </c>
      <c r="B593" s="114"/>
      <c r="C593" s="114"/>
      <c r="D593" s="160">
        <v>0</v>
      </c>
      <c r="E593" s="161"/>
      <c r="F593" s="162">
        <v>0.2</v>
      </c>
      <c r="G593" s="162"/>
      <c r="H593" s="52">
        <v>18077</v>
      </c>
      <c r="I593" s="52">
        <f t="shared" si="257"/>
        <v>15980.067999999999</v>
      </c>
      <c r="J593" s="52">
        <f t="shared" si="258"/>
        <v>12784.054400000001</v>
      </c>
      <c r="K593" s="61"/>
      <c r="L593" s="160">
        <v>0</v>
      </c>
      <c r="M593" s="55">
        <f t="shared" si="259"/>
        <v>0</v>
      </c>
      <c r="N593" s="55">
        <f t="shared" si="260"/>
        <v>0</v>
      </c>
      <c r="O593" s="95"/>
      <c r="P593" s="160">
        <v>0</v>
      </c>
      <c r="Q593" s="55">
        <f t="shared" si="261"/>
        <v>0</v>
      </c>
      <c r="R593" s="65">
        <f t="shared" si="262"/>
        <v>0</v>
      </c>
      <c r="S593" s="118">
        <v>15</v>
      </c>
      <c r="T593" s="121" t="s">
        <v>217</v>
      </c>
      <c r="U593" s="73">
        <f>SUMIF('Avoided Costs 2013-2021'!$A:$A,'2013 Actuals'!T593&amp;'2013 Actuals'!S593,'Avoided Costs 2013-2021'!$E:$E)*J593</f>
        <v>26818.028567597845</v>
      </c>
      <c r="V593" s="73">
        <f>SUMIF('Avoided Costs 2013-2021'!$A:$A,'2013 Actuals'!T593&amp;'2013 Actuals'!S593,'Avoided Costs 2013-2021'!$K:$K)*N593</f>
        <v>0</v>
      </c>
      <c r="W593" s="73">
        <f>SUMIF('Avoided Costs 2013-2021'!$A:$A,'2013 Actuals'!T593&amp;'2013 Actuals'!S593,'Avoided Costs 2013-2021'!$M:$M)*R593</f>
        <v>0</v>
      </c>
      <c r="X593" s="73">
        <f t="shared" si="263"/>
        <v>26818.028567597845</v>
      </c>
      <c r="Y593" s="83">
        <v>13000</v>
      </c>
      <c r="Z593" s="74">
        <f t="shared" si="264"/>
        <v>10400</v>
      </c>
      <c r="AA593" s="74"/>
      <c r="AB593" s="74"/>
      <c r="AC593" s="74"/>
      <c r="AD593" s="74">
        <f t="shared" si="265"/>
        <v>10400</v>
      </c>
      <c r="AE593" s="74">
        <f t="shared" si="266"/>
        <v>16418.028567597845</v>
      </c>
      <c r="AF593" s="52">
        <f t="shared" si="267"/>
        <v>191760.81600000002</v>
      </c>
      <c r="AG593" s="52">
        <f t="shared" si="268"/>
        <v>239701.02</v>
      </c>
    </row>
    <row r="594" spans="1:33" s="21" customFormat="1" x14ac:dyDescent="0.2">
      <c r="A594" s="114" t="s">
        <v>508</v>
      </c>
      <c r="B594" s="114"/>
      <c r="C594" s="114"/>
      <c r="D594" s="160">
        <v>1</v>
      </c>
      <c r="E594" s="161"/>
      <c r="F594" s="162">
        <v>0.2</v>
      </c>
      <c r="G594" s="162"/>
      <c r="H594" s="52">
        <v>66208</v>
      </c>
      <c r="I594" s="52">
        <f t="shared" si="257"/>
        <v>58527.872000000003</v>
      </c>
      <c r="J594" s="52">
        <f t="shared" si="258"/>
        <v>46822.297600000005</v>
      </c>
      <c r="K594" s="61"/>
      <c r="L594" s="160">
        <v>0</v>
      </c>
      <c r="M594" s="55">
        <f t="shared" si="259"/>
        <v>0</v>
      </c>
      <c r="N594" s="55">
        <f t="shared" si="260"/>
        <v>0</v>
      </c>
      <c r="O594" s="95"/>
      <c r="P594" s="160">
        <v>0</v>
      </c>
      <c r="Q594" s="55">
        <f t="shared" si="261"/>
        <v>0</v>
      </c>
      <c r="R594" s="65">
        <f t="shared" si="262"/>
        <v>0</v>
      </c>
      <c r="S594" s="118">
        <v>25</v>
      </c>
      <c r="T594" s="121" t="s">
        <v>201</v>
      </c>
      <c r="U594" s="73">
        <f>SUMIF('Avoided Costs 2013-2021'!$A:$A,'2013 Actuals'!T594&amp;'2013 Actuals'!S594,'Avoided Costs 2013-2021'!$E:$E)*J594</f>
        <v>146888.22663918158</v>
      </c>
      <c r="V594" s="73">
        <f>SUMIF('Avoided Costs 2013-2021'!$A:$A,'2013 Actuals'!T594&amp;'2013 Actuals'!S594,'Avoided Costs 2013-2021'!$K:$K)*N594</f>
        <v>0</v>
      </c>
      <c r="W594" s="73">
        <f>SUMIF('Avoided Costs 2013-2021'!$A:$A,'2013 Actuals'!T594&amp;'2013 Actuals'!S594,'Avoided Costs 2013-2021'!$M:$M)*R594</f>
        <v>0</v>
      </c>
      <c r="X594" s="73">
        <f t="shared" si="263"/>
        <v>146888.22663918158</v>
      </c>
      <c r="Y594" s="83">
        <v>7630</v>
      </c>
      <c r="Z594" s="74">
        <f t="shared" si="264"/>
        <v>6104</v>
      </c>
      <c r="AA594" s="74"/>
      <c r="AB594" s="74"/>
      <c r="AC594" s="74"/>
      <c r="AD594" s="74">
        <f t="shared" si="265"/>
        <v>6104</v>
      </c>
      <c r="AE594" s="74">
        <f t="shared" si="266"/>
        <v>140784.22663918158</v>
      </c>
      <c r="AF594" s="52">
        <f t="shared" si="267"/>
        <v>1170557.4400000002</v>
      </c>
      <c r="AG594" s="52">
        <f t="shared" si="268"/>
        <v>1463196.8</v>
      </c>
    </row>
    <row r="595" spans="1:33" s="21" customFormat="1" x14ac:dyDescent="0.2">
      <c r="A595" s="114" t="s">
        <v>509</v>
      </c>
      <c r="B595" s="114"/>
      <c r="C595" s="114"/>
      <c r="D595" s="160">
        <v>1</v>
      </c>
      <c r="E595" s="161"/>
      <c r="F595" s="162">
        <v>0.2</v>
      </c>
      <c r="G595" s="162"/>
      <c r="H595" s="52">
        <v>21061</v>
      </c>
      <c r="I595" s="52">
        <f t="shared" si="257"/>
        <v>18617.923999999999</v>
      </c>
      <c r="J595" s="52">
        <f t="shared" si="258"/>
        <v>14894.3392</v>
      </c>
      <c r="K595" s="61"/>
      <c r="L595" s="160">
        <v>3267</v>
      </c>
      <c r="M595" s="55">
        <f t="shared" si="259"/>
        <v>3267</v>
      </c>
      <c r="N595" s="55">
        <f t="shared" si="260"/>
        <v>2613.6000000000004</v>
      </c>
      <c r="O595" s="95"/>
      <c r="P595" s="160">
        <v>0</v>
      </c>
      <c r="Q595" s="55">
        <f t="shared" si="261"/>
        <v>0</v>
      </c>
      <c r="R595" s="65">
        <f t="shared" si="262"/>
        <v>0</v>
      </c>
      <c r="S595" s="118">
        <v>15</v>
      </c>
      <c r="T595" s="121" t="s">
        <v>201</v>
      </c>
      <c r="U595" s="73">
        <f>SUMIF('Avoided Costs 2013-2021'!$A:$A,'2013 Actuals'!T595&amp;'2013 Actuals'!S595,'Avoided Costs 2013-2021'!$E:$E)*J595</f>
        <v>33286.80091048035</v>
      </c>
      <c r="V595" s="73">
        <f>SUMIF('Avoided Costs 2013-2021'!$A:$A,'2013 Actuals'!T595&amp;'2013 Actuals'!S595,'Avoided Costs 2013-2021'!$K:$K)*N595</f>
        <v>2736.1612931733885</v>
      </c>
      <c r="W595" s="73">
        <f>SUMIF('Avoided Costs 2013-2021'!$A:$A,'2013 Actuals'!T595&amp;'2013 Actuals'!S595,'Avoided Costs 2013-2021'!$M:$M)*R595</f>
        <v>0</v>
      </c>
      <c r="X595" s="73">
        <f t="shared" si="263"/>
        <v>36022.96220365374</v>
      </c>
      <c r="Y595" s="83">
        <v>4300</v>
      </c>
      <c r="Z595" s="74">
        <f t="shared" si="264"/>
        <v>3440</v>
      </c>
      <c r="AA595" s="74"/>
      <c r="AB595" s="74"/>
      <c r="AC595" s="74"/>
      <c r="AD595" s="74">
        <f t="shared" si="265"/>
        <v>3440</v>
      </c>
      <c r="AE595" s="74">
        <f t="shared" si="266"/>
        <v>32582.96220365374</v>
      </c>
      <c r="AF595" s="52">
        <f t="shared" si="267"/>
        <v>223415.08800000002</v>
      </c>
      <c r="AG595" s="52">
        <f t="shared" si="268"/>
        <v>279268.86</v>
      </c>
    </row>
    <row r="596" spans="1:33" s="21" customFormat="1" x14ac:dyDescent="0.2">
      <c r="A596" s="114" t="s">
        <v>510</v>
      </c>
      <c r="B596" s="114"/>
      <c r="C596" s="114"/>
      <c r="D596" s="160">
        <v>1</v>
      </c>
      <c r="E596" s="161"/>
      <c r="F596" s="162">
        <v>0.2</v>
      </c>
      <c r="G596" s="162"/>
      <c r="H596" s="52">
        <v>9828</v>
      </c>
      <c r="I596" s="52">
        <f t="shared" si="257"/>
        <v>8687.9519999999993</v>
      </c>
      <c r="J596" s="52">
        <f t="shared" si="258"/>
        <v>6950.3616000000002</v>
      </c>
      <c r="K596" s="61"/>
      <c r="L596" s="160">
        <v>3724</v>
      </c>
      <c r="M596" s="55">
        <f t="shared" si="259"/>
        <v>3724</v>
      </c>
      <c r="N596" s="55">
        <f t="shared" si="260"/>
        <v>2979.2000000000003</v>
      </c>
      <c r="O596" s="95"/>
      <c r="P596" s="160">
        <v>0</v>
      </c>
      <c r="Q596" s="55">
        <f t="shared" si="261"/>
        <v>0</v>
      </c>
      <c r="R596" s="65">
        <f t="shared" si="262"/>
        <v>0</v>
      </c>
      <c r="S596" s="118">
        <v>15</v>
      </c>
      <c r="T596" s="121" t="s">
        <v>201</v>
      </c>
      <c r="U596" s="73">
        <f>SUMIF('Avoided Costs 2013-2021'!$A:$A,'2013 Actuals'!T596&amp;'2013 Actuals'!S596,'Avoided Costs 2013-2021'!$E:$E)*J596</f>
        <v>15533.102860652432</v>
      </c>
      <c r="V596" s="73">
        <f>SUMIF('Avoided Costs 2013-2021'!$A:$A,'2013 Actuals'!T596&amp;'2013 Actuals'!S596,'Avoided Costs 2013-2021'!$K:$K)*N596</f>
        <v>3118.905618542301</v>
      </c>
      <c r="W596" s="73">
        <f>SUMIF('Avoided Costs 2013-2021'!$A:$A,'2013 Actuals'!T596&amp;'2013 Actuals'!S596,'Avoided Costs 2013-2021'!$M:$M)*R596</f>
        <v>0</v>
      </c>
      <c r="X596" s="73">
        <f t="shared" si="263"/>
        <v>18652.008479194734</v>
      </c>
      <c r="Y596" s="83">
        <v>3000</v>
      </c>
      <c r="Z596" s="74">
        <f t="shared" si="264"/>
        <v>2400</v>
      </c>
      <c r="AA596" s="74"/>
      <c r="AB596" s="74"/>
      <c r="AC596" s="74"/>
      <c r="AD596" s="74">
        <f t="shared" si="265"/>
        <v>2400</v>
      </c>
      <c r="AE596" s="74">
        <f t="shared" si="266"/>
        <v>16252.008479194734</v>
      </c>
      <c r="AF596" s="52">
        <f t="shared" si="267"/>
        <v>104255.424</v>
      </c>
      <c r="AG596" s="52">
        <f t="shared" si="268"/>
        <v>130319.27999999998</v>
      </c>
    </row>
    <row r="597" spans="1:33" s="21" customFormat="1" x14ac:dyDescent="0.2">
      <c r="A597" s="114" t="s">
        <v>511</v>
      </c>
      <c r="B597" s="114"/>
      <c r="C597" s="114"/>
      <c r="D597" s="160">
        <v>0</v>
      </c>
      <c r="E597" s="161"/>
      <c r="F597" s="162">
        <v>0.2</v>
      </c>
      <c r="G597" s="162"/>
      <c r="H597" s="52">
        <v>27228</v>
      </c>
      <c r="I597" s="52">
        <f t="shared" si="257"/>
        <v>24069.552</v>
      </c>
      <c r="J597" s="52">
        <f t="shared" si="258"/>
        <v>19255.641599999999</v>
      </c>
      <c r="K597" s="61"/>
      <c r="L597" s="160">
        <v>0</v>
      </c>
      <c r="M597" s="55">
        <f t="shared" si="259"/>
        <v>0</v>
      </c>
      <c r="N597" s="55">
        <f t="shared" si="260"/>
        <v>0</v>
      </c>
      <c r="O597" s="95"/>
      <c r="P597" s="160">
        <v>0</v>
      </c>
      <c r="Q597" s="55">
        <f t="shared" si="261"/>
        <v>0</v>
      </c>
      <c r="R597" s="65">
        <f t="shared" si="262"/>
        <v>0</v>
      </c>
      <c r="S597" s="118">
        <v>15</v>
      </c>
      <c r="T597" s="121" t="s">
        <v>201</v>
      </c>
      <c r="U597" s="73">
        <f>SUMIF('Avoided Costs 2013-2021'!$A:$A,'2013 Actuals'!T597&amp;'2013 Actuals'!S597,'Avoided Costs 2013-2021'!$E:$E)*J597</f>
        <v>43033.712320903986</v>
      </c>
      <c r="V597" s="73">
        <f>SUMIF('Avoided Costs 2013-2021'!$A:$A,'2013 Actuals'!T597&amp;'2013 Actuals'!S597,'Avoided Costs 2013-2021'!$K:$K)*N597</f>
        <v>0</v>
      </c>
      <c r="W597" s="73">
        <f>SUMIF('Avoided Costs 2013-2021'!$A:$A,'2013 Actuals'!T597&amp;'2013 Actuals'!S597,'Avoided Costs 2013-2021'!$M:$M)*R597</f>
        <v>0</v>
      </c>
      <c r="X597" s="73">
        <f t="shared" si="263"/>
        <v>43033.712320903986</v>
      </c>
      <c r="Y597" s="83">
        <v>5995</v>
      </c>
      <c r="Z597" s="74">
        <f t="shared" si="264"/>
        <v>4796</v>
      </c>
      <c r="AA597" s="74"/>
      <c r="AB597" s="74"/>
      <c r="AC597" s="74"/>
      <c r="AD597" s="74">
        <f t="shared" si="265"/>
        <v>4796</v>
      </c>
      <c r="AE597" s="74">
        <f t="shared" si="266"/>
        <v>38237.712320903986</v>
      </c>
      <c r="AF597" s="52">
        <f t="shared" si="267"/>
        <v>288834.62400000001</v>
      </c>
      <c r="AG597" s="52">
        <f t="shared" si="268"/>
        <v>361043.27999999997</v>
      </c>
    </row>
    <row r="598" spans="1:33" s="21" customFormat="1" x14ac:dyDescent="0.2">
      <c r="A598" s="114" t="s">
        <v>512</v>
      </c>
      <c r="B598" s="114"/>
      <c r="C598" s="114"/>
      <c r="D598" s="160">
        <v>0</v>
      </c>
      <c r="E598" s="161"/>
      <c r="F598" s="162">
        <v>0.2</v>
      </c>
      <c r="G598" s="162"/>
      <c r="H598" s="52">
        <v>6702</v>
      </c>
      <c r="I598" s="52">
        <f t="shared" si="257"/>
        <v>5924.5680000000002</v>
      </c>
      <c r="J598" s="52">
        <f t="shared" si="258"/>
        <v>4739.6544000000004</v>
      </c>
      <c r="K598" s="61"/>
      <c r="L598" s="160">
        <v>0</v>
      </c>
      <c r="M598" s="55">
        <f t="shared" si="259"/>
        <v>0</v>
      </c>
      <c r="N598" s="55">
        <f t="shared" si="260"/>
        <v>0</v>
      </c>
      <c r="O598" s="95"/>
      <c r="P598" s="160">
        <v>0</v>
      </c>
      <c r="Q598" s="55">
        <f t="shared" si="261"/>
        <v>0</v>
      </c>
      <c r="R598" s="65">
        <f t="shared" si="262"/>
        <v>0</v>
      </c>
      <c r="S598" s="118">
        <v>15</v>
      </c>
      <c r="T598" s="121" t="s">
        <v>217</v>
      </c>
      <c r="U598" s="73">
        <f>SUMIF('Avoided Costs 2013-2021'!$A:$A,'2013 Actuals'!T598&amp;'2013 Actuals'!S598,'Avoided Costs 2013-2021'!$E:$E)*J598</f>
        <v>9942.7132522011816</v>
      </c>
      <c r="V598" s="73">
        <f>SUMIF('Avoided Costs 2013-2021'!$A:$A,'2013 Actuals'!T598&amp;'2013 Actuals'!S598,'Avoided Costs 2013-2021'!$K:$K)*N598</f>
        <v>0</v>
      </c>
      <c r="W598" s="73">
        <f>SUMIF('Avoided Costs 2013-2021'!$A:$A,'2013 Actuals'!T598&amp;'2013 Actuals'!S598,'Avoided Costs 2013-2021'!$M:$M)*R598</f>
        <v>0</v>
      </c>
      <c r="X598" s="73">
        <f t="shared" si="263"/>
        <v>9942.7132522011816</v>
      </c>
      <c r="Y598" s="83">
        <v>4595</v>
      </c>
      <c r="Z598" s="74">
        <f t="shared" si="264"/>
        <v>3676</v>
      </c>
      <c r="AA598" s="74"/>
      <c r="AB598" s="74"/>
      <c r="AC598" s="74"/>
      <c r="AD598" s="74">
        <f t="shared" si="265"/>
        <v>3676</v>
      </c>
      <c r="AE598" s="74">
        <f t="shared" si="266"/>
        <v>6266.7132522011816</v>
      </c>
      <c r="AF598" s="52">
        <f t="shared" si="267"/>
        <v>71094.816000000006</v>
      </c>
      <c r="AG598" s="52">
        <f t="shared" si="268"/>
        <v>88868.52</v>
      </c>
    </row>
    <row r="599" spans="1:33" s="21" customFormat="1" x14ac:dyDescent="0.2">
      <c r="A599" s="114" t="s">
        <v>513</v>
      </c>
      <c r="B599" s="114"/>
      <c r="C599" s="114"/>
      <c r="D599" s="160">
        <v>1</v>
      </c>
      <c r="E599" s="161"/>
      <c r="F599" s="162">
        <v>0.2</v>
      </c>
      <c r="G599" s="162"/>
      <c r="H599" s="52">
        <v>87674</v>
      </c>
      <c r="I599" s="52">
        <f t="shared" si="257"/>
        <v>77503.816000000006</v>
      </c>
      <c r="J599" s="52">
        <f t="shared" si="258"/>
        <v>62003.052800000005</v>
      </c>
      <c r="K599" s="61"/>
      <c r="L599" s="160">
        <v>126660</v>
      </c>
      <c r="M599" s="55">
        <f t="shared" si="259"/>
        <v>126660</v>
      </c>
      <c r="N599" s="55">
        <f t="shared" si="260"/>
        <v>101328</v>
      </c>
      <c r="O599" s="95"/>
      <c r="P599" s="160">
        <v>0</v>
      </c>
      <c r="Q599" s="55">
        <f t="shared" si="261"/>
        <v>0</v>
      </c>
      <c r="R599" s="65">
        <f t="shared" si="262"/>
        <v>0</v>
      </c>
      <c r="S599" s="118">
        <v>15</v>
      </c>
      <c r="T599" s="121" t="s">
        <v>201</v>
      </c>
      <c r="U599" s="73">
        <f>SUMIF('Avoided Costs 2013-2021'!$A:$A,'2013 Actuals'!T599&amp;'2013 Actuals'!S599,'Avoided Costs 2013-2021'!$E:$E)*J599</f>
        <v>138568.3007941434</v>
      </c>
      <c r="V599" s="73">
        <f>SUMIF('Avoided Costs 2013-2021'!$A:$A,'2013 Actuals'!T599&amp;'2013 Actuals'!S599,'Avoided Costs 2013-2021'!$K:$K)*N599</f>
        <v>106079.64168758535</v>
      </c>
      <c r="W599" s="73">
        <f>SUMIF('Avoided Costs 2013-2021'!$A:$A,'2013 Actuals'!T599&amp;'2013 Actuals'!S599,'Avoided Costs 2013-2021'!$M:$M)*R599</f>
        <v>0</v>
      </c>
      <c r="X599" s="73">
        <f t="shared" si="263"/>
        <v>244647.94248172874</v>
      </c>
      <c r="Y599" s="83">
        <v>18995</v>
      </c>
      <c r="Z599" s="74">
        <f t="shared" si="264"/>
        <v>15196</v>
      </c>
      <c r="AA599" s="74"/>
      <c r="AB599" s="74"/>
      <c r="AC599" s="74"/>
      <c r="AD599" s="74">
        <f t="shared" si="265"/>
        <v>15196</v>
      </c>
      <c r="AE599" s="74">
        <f t="shared" si="266"/>
        <v>229451.94248172874</v>
      </c>
      <c r="AF599" s="52">
        <f t="shared" si="267"/>
        <v>930045.79200000013</v>
      </c>
      <c r="AG599" s="52">
        <f t="shared" si="268"/>
        <v>1162557.24</v>
      </c>
    </row>
    <row r="600" spans="1:33" s="21" customFormat="1" x14ac:dyDescent="0.2">
      <c r="A600" s="114" t="s">
        <v>514</v>
      </c>
      <c r="B600" s="114"/>
      <c r="C600" s="114"/>
      <c r="D600" s="160">
        <v>0</v>
      </c>
      <c r="E600" s="161"/>
      <c r="F600" s="162">
        <v>0.2</v>
      </c>
      <c r="G600" s="162"/>
      <c r="H600" s="52">
        <v>12740</v>
      </c>
      <c r="I600" s="52">
        <f t="shared" si="257"/>
        <v>11262.16</v>
      </c>
      <c r="J600" s="52">
        <f t="shared" si="258"/>
        <v>9009.728000000001</v>
      </c>
      <c r="K600" s="61"/>
      <c r="L600" s="160">
        <v>0</v>
      </c>
      <c r="M600" s="55">
        <f t="shared" si="259"/>
        <v>0</v>
      </c>
      <c r="N600" s="55">
        <f t="shared" si="260"/>
        <v>0</v>
      </c>
      <c r="O600" s="95"/>
      <c r="P600" s="160">
        <v>0</v>
      </c>
      <c r="Q600" s="55">
        <f t="shared" si="261"/>
        <v>0</v>
      </c>
      <c r="R600" s="65">
        <f t="shared" si="262"/>
        <v>0</v>
      </c>
      <c r="S600" s="118">
        <v>15</v>
      </c>
      <c r="T600" s="121" t="s">
        <v>201</v>
      </c>
      <c r="U600" s="73">
        <f>SUMIF('Avoided Costs 2013-2021'!$A:$A,'2013 Actuals'!T600&amp;'2013 Actuals'!S600,'Avoided Costs 2013-2021'!$E:$E)*J600</f>
        <v>20135.503708253153</v>
      </c>
      <c r="V600" s="73">
        <f>SUMIF('Avoided Costs 2013-2021'!$A:$A,'2013 Actuals'!T600&amp;'2013 Actuals'!S600,'Avoided Costs 2013-2021'!$K:$K)*N600</f>
        <v>0</v>
      </c>
      <c r="W600" s="73">
        <f>SUMIF('Avoided Costs 2013-2021'!$A:$A,'2013 Actuals'!T600&amp;'2013 Actuals'!S600,'Avoided Costs 2013-2021'!$M:$M)*R600</f>
        <v>0</v>
      </c>
      <c r="X600" s="73">
        <f t="shared" si="263"/>
        <v>20135.503708253153</v>
      </c>
      <c r="Y600" s="83">
        <v>2700</v>
      </c>
      <c r="Z600" s="74">
        <f t="shared" si="264"/>
        <v>2160</v>
      </c>
      <c r="AA600" s="74"/>
      <c r="AB600" s="74"/>
      <c r="AC600" s="74"/>
      <c r="AD600" s="74">
        <f t="shared" si="265"/>
        <v>2160</v>
      </c>
      <c r="AE600" s="74">
        <f t="shared" si="266"/>
        <v>17975.503708253153</v>
      </c>
      <c r="AF600" s="52">
        <f t="shared" si="267"/>
        <v>135145.92000000001</v>
      </c>
      <c r="AG600" s="52">
        <f t="shared" si="268"/>
        <v>168932.4</v>
      </c>
    </row>
    <row r="601" spans="1:33" s="21" customFormat="1" x14ac:dyDescent="0.2">
      <c r="A601" s="114" t="s">
        <v>515</v>
      </c>
      <c r="B601" s="114"/>
      <c r="C601" s="114"/>
      <c r="D601" s="160">
        <v>1</v>
      </c>
      <c r="E601" s="161"/>
      <c r="F601" s="162">
        <v>0.2</v>
      </c>
      <c r="G601" s="162"/>
      <c r="H601" s="52">
        <v>11937</v>
      </c>
      <c r="I601" s="52">
        <f t="shared" si="257"/>
        <v>10552.308000000001</v>
      </c>
      <c r="J601" s="52">
        <f t="shared" si="258"/>
        <v>8441.8464000000004</v>
      </c>
      <c r="K601" s="61"/>
      <c r="L601" s="160">
        <v>3457</v>
      </c>
      <c r="M601" s="55">
        <f t="shared" si="259"/>
        <v>3457</v>
      </c>
      <c r="N601" s="55">
        <f t="shared" si="260"/>
        <v>2765.6000000000004</v>
      </c>
      <c r="O601" s="95"/>
      <c r="P601" s="160">
        <v>0</v>
      </c>
      <c r="Q601" s="55">
        <f t="shared" si="261"/>
        <v>0</v>
      </c>
      <c r="R601" s="65">
        <f t="shared" si="262"/>
        <v>0</v>
      </c>
      <c r="S601" s="118">
        <v>15</v>
      </c>
      <c r="T601" s="121" t="s">
        <v>201</v>
      </c>
      <c r="U601" s="73">
        <f>SUMIF('Avoided Costs 2013-2021'!$A:$A,'2013 Actuals'!T601&amp;'2013 Actuals'!S601,'Avoided Costs 2013-2021'!$E:$E)*J601</f>
        <v>18866.366386610509</v>
      </c>
      <c r="V601" s="73">
        <f>SUMIF('Avoided Costs 2013-2021'!$A:$A,'2013 Actuals'!T601&amp;'2013 Actuals'!S601,'Avoided Costs 2013-2021'!$K:$K)*N601</f>
        <v>2895.289130854118</v>
      </c>
      <c r="W601" s="73">
        <f>SUMIF('Avoided Costs 2013-2021'!$A:$A,'2013 Actuals'!T601&amp;'2013 Actuals'!S601,'Avoided Costs 2013-2021'!$M:$M)*R601</f>
        <v>0</v>
      </c>
      <c r="X601" s="73">
        <f t="shared" si="263"/>
        <v>21761.655517464627</v>
      </c>
      <c r="Y601" s="83">
        <v>3000</v>
      </c>
      <c r="Z601" s="74">
        <f t="shared" si="264"/>
        <v>2400</v>
      </c>
      <c r="AA601" s="74"/>
      <c r="AB601" s="74"/>
      <c r="AC601" s="74"/>
      <c r="AD601" s="74">
        <f t="shared" si="265"/>
        <v>2400</v>
      </c>
      <c r="AE601" s="74">
        <f t="shared" si="266"/>
        <v>19361.655517464627</v>
      </c>
      <c r="AF601" s="52">
        <f t="shared" si="267"/>
        <v>126627.69600000001</v>
      </c>
      <c r="AG601" s="52">
        <f t="shared" si="268"/>
        <v>158284.62000000002</v>
      </c>
    </row>
    <row r="602" spans="1:33" s="21" customFormat="1" x14ac:dyDescent="0.2">
      <c r="A602" s="116" t="s">
        <v>516</v>
      </c>
      <c r="B602" s="116"/>
      <c r="C602" s="116"/>
      <c r="D602" s="151">
        <v>1</v>
      </c>
      <c r="E602" s="152"/>
      <c r="F602" s="153">
        <v>0.2</v>
      </c>
      <c r="G602" s="153"/>
      <c r="H602" s="52">
        <v>18217</v>
      </c>
      <c r="I602" s="52">
        <f t="shared" si="257"/>
        <v>16103.828</v>
      </c>
      <c r="J602" s="52">
        <f t="shared" si="258"/>
        <v>12883.062400000001</v>
      </c>
      <c r="K602" s="152"/>
      <c r="L602" s="151">
        <v>0</v>
      </c>
      <c r="M602" s="55">
        <f t="shared" si="259"/>
        <v>0</v>
      </c>
      <c r="N602" s="55">
        <f t="shared" si="260"/>
        <v>0</v>
      </c>
      <c r="O602" s="154"/>
      <c r="P602" s="151">
        <v>0</v>
      </c>
      <c r="Q602" s="55">
        <f t="shared" si="261"/>
        <v>0</v>
      </c>
      <c r="R602" s="65">
        <f t="shared" si="262"/>
        <v>0</v>
      </c>
      <c r="S602" s="129">
        <v>25</v>
      </c>
      <c r="T602" s="123" t="s">
        <v>217</v>
      </c>
      <c r="U602" s="73">
        <f>SUMIF('Avoided Costs 2013-2021'!$A:$A,'2013 Actuals'!T602&amp;'2013 Actuals'!S602,'Avoided Costs 2013-2021'!$E:$E)*J602</f>
        <v>37928.648537603214</v>
      </c>
      <c r="V602" s="73">
        <f>SUMIF('Avoided Costs 2013-2021'!$A:$A,'2013 Actuals'!T602&amp;'2013 Actuals'!S602,'Avoided Costs 2013-2021'!$K:$K)*N602</f>
        <v>0</v>
      </c>
      <c r="W602" s="73">
        <f>SUMIF('Avoided Costs 2013-2021'!$A:$A,'2013 Actuals'!T602&amp;'2013 Actuals'!S602,'Avoided Costs 2013-2021'!$M:$M)*R602</f>
        <v>0</v>
      </c>
      <c r="X602" s="73">
        <f t="shared" si="263"/>
        <v>37928.648537603214</v>
      </c>
      <c r="Y602" s="83">
        <v>17884</v>
      </c>
      <c r="Z602" s="74">
        <f t="shared" si="264"/>
        <v>14307.2</v>
      </c>
      <c r="AA602" s="74"/>
      <c r="AB602" s="74"/>
      <c r="AC602" s="74"/>
      <c r="AD602" s="74">
        <f t="shared" si="265"/>
        <v>14307.2</v>
      </c>
      <c r="AE602" s="74">
        <f t="shared" si="266"/>
        <v>23621.448537603213</v>
      </c>
      <c r="AF602" s="52">
        <f t="shared" si="267"/>
        <v>322076.56</v>
      </c>
      <c r="AG602" s="52">
        <f t="shared" si="268"/>
        <v>402595.7</v>
      </c>
    </row>
    <row r="603" spans="1:33" s="21" customFormat="1" x14ac:dyDescent="0.2">
      <c r="A603" s="114" t="s">
        <v>517</v>
      </c>
      <c r="B603" s="114"/>
      <c r="C603" s="114"/>
      <c r="D603" s="160">
        <v>1</v>
      </c>
      <c r="E603" s="161"/>
      <c r="F603" s="162">
        <v>0.2</v>
      </c>
      <c r="G603" s="162"/>
      <c r="H603" s="52">
        <v>35699</v>
      </c>
      <c r="I603" s="52">
        <f t="shared" si="257"/>
        <v>31557.916000000001</v>
      </c>
      <c r="J603" s="52">
        <f t="shared" si="258"/>
        <v>25246.332800000004</v>
      </c>
      <c r="K603" s="61"/>
      <c r="L603" s="160">
        <v>24828</v>
      </c>
      <c r="M603" s="55">
        <f t="shared" si="259"/>
        <v>24828</v>
      </c>
      <c r="N603" s="55">
        <f t="shared" si="260"/>
        <v>19862.400000000001</v>
      </c>
      <c r="O603" s="95"/>
      <c r="P603" s="160">
        <v>0</v>
      </c>
      <c r="Q603" s="55">
        <f t="shared" si="261"/>
        <v>0</v>
      </c>
      <c r="R603" s="65">
        <f t="shared" si="262"/>
        <v>0</v>
      </c>
      <c r="S603" s="118">
        <v>15</v>
      </c>
      <c r="T603" s="121" t="s">
        <v>201</v>
      </c>
      <c r="U603" s="73">
        <f>SUMIF('Avoided Costs 2013-2021'!$A:$A,'2013 Actuals'!T603&amp;'2013 Actuals'!S603,'Avoided Costs 2013-2021'!$E:$E)*J603</f>
        <v>56422.083742616123</v>
      </c>
      <c r="V603" s="73">
        <f>SUMIF('Avoided Costs 2013-2021'!$A:$A,'2013 Actuals'!T603&amp;'2013 Actuals'!S603,'Avoided Costs 2013-2021'!$K:$K)*N603</f>
        <v>20793.820810195557</v>
      </c>
      <c r="W603" s="73">
        <f>SUMIF('Avoided Costs 2013-2021'!$A:$A,'2013 Actuals'!T603&amp;'2013 Actuals'!S603,'Avoided Costs 2013-2021'!$M:$M)*R603</f>
        <v>0</v>
      </c>
      <c r="X603" s="73">
        <f t="shared" si="263"/>
        <v>77215.904552811684</v>
      </c>
      <c r="Y603" s="83">
        <v>13890</v>
      </c>
      <c r="Z603" s="74">
        <f t="shared" si="264"/>
        <v>11112</v>
      </c>
      <c r="AA603" s="74"/>
      <c r="AB603" s="74"/>
      <c r="AC603" s="74"/>
      <c r="AD603" s="74">
        <f t="shared" si="265"/>
        <v>11112</v>
      </c>
      <c r="AE603" s="74">
        <f t="shared" si="266"/>
        <v>66103.904552811684</v>
      </c>
      <c r="AF603" s="52">
        <f t="shared" si="267"/>
        <v>378694.99200000009</v>
      </c>
      <c r="AG603" s="52">
        <f t="shared" si="268"/>
        <v>473368.74</v>
      </c>
    </row>
    <row r="604" spans="1:33" s="21" customFormat="1" x14ac:dyDescent="0.2">
      <c r="A604" s="114" t="s">
        <v>518</v>
      </c>
      <c r="B604" s="114"/>
      <c r="C604" s="114"/>
      <c r="D604" s="160">
        <v>1</v>
      </c>
      <c r="E604" s="161"/>
      <c r="F604" s="162">
        <v>0.2</v>
      </c>
      <c r="G604" s="162"/>
      <c r="H604" s="52">
        <v>11737</v>
      </c>
      <c r="I604" s="52">
        <f t="shared" si="257"/>
        <v>10375.508</v>
      </c>
      <c r="J604" s="52">
        <f t="shared" si="258"/>
        <v>8300.4063999999998</v>
      </c>
      <c r="K604" s="61"/>
      <c r="L604" s="160">
        <v>0</v>
      </c>
      <c r="M604" s="55">
        <f t="shared" si="259"/>
        <v>0</v>
      </c>
      <c r="N604" s="55">
        <f t="shared" si="260"/>
        <v>0</v>
      </c>
      <c r="O604" s="95"/>
      <c r="P604" s="160">
        <v>0</v>
      </c>
      <c r="Q604" s="55">
        <f t="shared" si="261"/>
        <v>0</v>
      </c>
      <c r="R604" s="65">
        <f t="shared" si="262"/>
        <v>0</v>
      </c>
      <c r="S604" s="118">
        <v>25</v>
      </c>
      <c r="T604" s="121" t="s">
        <v>201</v>
      </c>
      <c r="U604" s="73">
        <f>SUMIF('Avoided Costs 2013-2021'!$A:$A,'2013 Actuals'!T604&amp;'2013 Actuals'!S604,'Avoided Costs 2013-2021'!$E:$E)*J604</f>
        <v>26039.558906236016</v>
      </c>
      <c r="V604" s="73">
        <f>SUMIF('Avoided Costs 2013-2021'!$A:$A,'2013 Actuals'!T604&amp;'2013 Actuals'!S604,'Avoided Costs 2013-2021'!$K:$K)*N604</f>
        <v>0</v>
      </c>
      <c r="W604" s="73">
        <f>SUMIF('Avoided Costs 2013-2021'!$A:$A,'2013 Actuals'!T604&amp;'2013 Actuals'!S604,'Avoided Costs 2013-2021'!$M:$M)*R604</f>
        <v>0</v>
      </c>
      <c r="X604" s="73">
        <f t="shared" si="263"/>
        <v>26039.558906236016</v>
      </c>
      <c r="Y604" s="83">
        <v>28090</v>
      </c>
      <c r="Z604" s="74">
        <f t="shared" si="264"/>
        <v>22472</v>
      </c>
      <c r="AA604" s="74"/>
      <c r="AB604" s="74"/>
      <c r="AC604" s="74"/>
      <c r="AD604" s="74">
        <f t="shared" si="265"/>
        <v>22472</v>
      </c>
      <c r="AE604" s="74">
        <f t="shared" si="266"/>
        <v>3567.5589062360159</v>
      </c>
      <c r="AF604" s="52">
        <f t="shared" si="267"/>
        <v>207510.16</v>
      </c>
      <c r="AG604" s="52">
        <f t="shared" si="268"/>
        <v>259387.69999999998</v>
      </c>
    </row>
    <row r="605" spans="1:33" s="21" customFormat="1" x14ac:dyDescent="0.2">
      <c r="A605" s="116" t="s">
        <v>519</v>
      </c>
      <c r="B605" s="116"/>
      <c r="C605" s="116"/>
      <c r="D605" s="151">
        <v>1</v>
      </c>
      <c r="E605" s="152"/>
      <c r="F605" s="153">
        <v>0.2</v>
      </c>
      <c r="G605" s="153"/>
      <c r="H605" s="52">
        <v>38755</v>
      </c>
      <c r="I605" s="52">
        <f t="shared" si="257"/>
        <v>34259.42</v>
      </c>
      <c r="J605" s="52">
        <f t="shared" si="258"/>
        <v>27407.536</v>
      </c>
      <c r="K605" s="152"/>
      <c r="L605" s="151">
        <v>0</v>
      </c>
      <c r="M605" s="55">
        <f t="shared" si="259"/>
        <v>0</v>
      </c>
      <c r="N605" s="55">
        <f t="shared" si="260"/>
        <v>0</v>
      </c>
      <c r="O605" s="154"/>
      <c r="P605" s="151">
        <v>0</v>
      </c>
      <c r="Q605" s="55">
        <f t="shared" si="261"/>
        <v>0</v>
      </c>
      <c r="R605" s="65">
        <f t="shared" si="262"/>
        <v>0</v>
      </c>
      <c r="S605" s="129">
        <v>15</v>
      </c>
      <c r="T605" s="123" t="s">
        <v>201</v>
      </c>
      <c r="U605" s="73">
        <f>SUMIF('Avoided Costs 2013-2021'!$A:$A,'2013 Actuals'!T605&amp;'2013 Actuals'!S605,'Avoided Costs 2013-2021'!$E:$E)*J605</f>
        <v>61252.075840922364</v>
      </c>
      <c r="V605" s="73">
        <f>SUMIF('Avoided Costs 2013-2021'!$A:$A,'2013 Actuals'!T605&amp;'2013 Actuals'!S605,'Avoided Costs 2013-2021'!$K:$K)*N605</f>
        <v>0</v>
      </c>
      <c r="W605" s="73">
        <f>SUMIF('Avoided Costs 2013-2021'!$A:$A,'2013 Actuals'!T605&amp;'2013 Actuals'!S605,'Avoided Costs 2013-2021'!$M:$M)*R605</f>
        <v>0</v>
      </c>
      <c r="X605" s="73">
        <f t="shared" si="263"/>
        <v>61252.075840922364</v>
      </c>
      <c r="Y605" s="83">
        <v>25594</v>
      </c>
      <c r="Z605" s="74">
        <f t="shared" si="264"/>
        <v>20475.2</v>
      </c>
      <c r="AA605" s="74"/>
      <c r="AB605" s="74"/>
      <c r="AC605" s="74"/>
      <c r="AD605" s="74">
        <f t="shared" si="265"/>
        <v>20475.2</v>
      </c>
      <c r="AE605" s="74">
        <f t="shared" si="266"/>
        <v>40776.875840922366</v>
      </c>
      <c r="AF605" s="52">
        <f t="shared" si="267"/>
        <v>411113.04</v>
      </c>
      <c r="AG605" s="52">
        <f t="shared" si="268"/>
        <v>513891.3</v>
      </c>
    </row>
    <row r="606" spans="1:33" s="21" customFormat="1" x14ac:dyDescent="0.2">
      <c r="A606" s="116" t="s">
        <v>520</v>
      </c>
      <c r="B606" s="116"/>
      <c r="C606" s="116"/>
      <c r="D606" s="151">
        <v>1</v>
      </c>
      <c r="E606" s="152"/>
      <c r="F606" s="153">
        <v>0.2</v>
      </c>
      <c r="G606" s="153"/>
      <c r="H606" s="52">
        <v>20001</v>
      </c>
      <c r="I606" s="52">
        <f t="shared" si="257"/>
        <v>17680.884000000002</v>
      </c>
      <c r="J606" s="52">
        <f t="shared" si="258"/>
        <v>14144.707200000003</v>
      </c>
      <c r="K606" s="152"/>
      <c r="L606" s="151">
        <v>0</v>
      </c>
      <c r="M606" s="55">
        <f t="shared" si="259"/>
        <v>0</v>
      </c>
      <c r="N606" s="55">
        <f t="shared" si="260"/>
        <v>0</v>
      </c>
      <c r="O606" s="154"/>
      <c r="P606" s="151">
        <v>0</v>
      </c>
      <c r="Q606" s="55">
        <f t="shared" si="261"/>
        <v>0</v>
      </c>
      <c r="R606" s="65">
        <f t="shared" si="262"/>
        <v>0</v>
      </c>
      <c r="S606" s="129">
        <v>15</v>
      </c>
      <c r="T606" s="123" t="s">
        <v>201</v>
      </c>
      <c r="U606" s="73">
        <f>SUMIF('Avoided Costs 2013-2021'!$A:$A,'2013 Actuals'!T606&amp;'2013 Actuals'!S606,'Avoided Costs 2013-2021'!$E:$E)*J606</f>
        <v>31611.4764261202</v>
      </c>
      <c r="V606" s="73">
        <f>SUMIF('Avoided Costs 2013-2021'!$A:$A,'2013 Actuals'!T606&amp;'2013 Actuals'!S606,'Avoided Costs 2013-2021'!$K:$K)*N606</f>
        <v>0</v>
      </c>
      <c r="W606" s="73">
        <f>SUMIF('Avoided Costs 2013-2021'!$A:$A,'2013 Actuals'!T606&amp;'2013 Actuals'!S606,'Avoided Costs 2013-2021'!$M:$M)*R606</f>
        <v>0</v>
      </c>
      <c r="X606" s="73">
        <f t="shared" si="263"/>
        <v>31611.4764261202</v>
      </c>
      <c r="Y606" s="83">
        <v>24860</v>
      </c>
      <c r="Z606" s="74">
        <f t="shared" si="264"/>
        <v>19888</v>
      </c>
      <c r="AA606" s="74"/>
      <c r="AB606" s="74"/>
      <c r="AC606" s="74"/>
      <c r="AD606" s="74">
        <f t="shared" si="265"/>
        <v>19888</v>
      </c>
      <c r="AE606" s="74">
        <f t="shared" si="266"/>
        <v>11723.4764261202</v>
      </c>
      <c r="AF606" s="52">
        <f t="shared" si="267"/>
        <v>212170.60800000004</v>
      </c>
      <c r="AG606" s="52">
        <f t="shared" si="268"/>
        <v>265213.26</v>
      </c>
    </row>
    <row r="607" spans="1:33" s="21" customFormat="1" x14ac:dyDescent="0.2">
      <c r="A607" s="114" t="s">
        <v>521</v>
      </c>
      <c r="B607" s="114"/>
      <c r="C607" s="114"/>
      <c r="D607" s="160">
        <v>0</v>
      </c>
      <c r="E607" s="161"/>
      <c r="F607" s="162">
        <v>0.2</v>
      </c>
      <c r="G607" s="162"/>
      <c r="H607" s="52">
        <v>4459</v>
      </c>
      <c r="I607" s="52">
        <f t="shared" si="257"/>
        <v>3941.7559999999999</v>
      </c>
      <c r="J607" s="52">
        <f t="shared" si="258"/>
        <v>3153.4048000000003</v>
      </c>
      <c r="K607" s="61"/>
      <c r="L607" s="160">
        <v>0</v>
      </c>
      <c r="M607" s="55">
        <f t="shared" si="259"/>
        <v>0</v>
      </c>
      <c r="N607" s="55">
        <f t="shared" si="260"/>
        <v>0</v>
      </c>
      <c r="O607" s="95"/>
      <c r="P607" s="160">
        <v>0</v>
      </c>
      <c r="Q607" s="55">
        <f t="shared" si="261"/>
        <v>0</v>
      </c>
      <c r="R607" s="65">
        <f t="shared" si="262"/>
        <v>0</v>
      </c>
      <c r="S607" s="118">
        <v>15</v>
      </c>
      <c r="T607" s="121" t="s">
        <v>217</v>
      </c>
      <c r="U607" s="73">
        <f>SUMIF('Avoided Costs 2013-2021'!$A:$A,'2013 Actuals'!T607&amp;'2013 Actuals'!S607,'Avoided Costs 2013-2021'!$E:$E)*J607</f>
        <v>6615.1236036354921</v>
      </c>
      <c r="V607" s="73">
        <f>SUMIF('Avoided Costs 2013-2021'!$A:$A,'2013 Actuals'!T607&amp;'2013 Actuals'!S607,'Avoided Costs 2013-2021'!$K:$K)*N607</f>
        <v>0</v>
      </c>
      <c r="W607" s="73">
        <f>SUMIF('Avoided Costs 2013-2021'!$A:$A,'2013 Actuals'!T607&amp;'2013 Actuals'!S607,'Avoided Costs 2013-2021'!$M:$M)*R607</f>
        <v>0</v>
      </c>
      <c r="X607" s="73">
        <f t="shared" si="263"/>
        <v>6615.1236036354921</v>
      </c>
      <c r="Y607" s="83">
        <v>3000</v>
      </c>
      <c r="Z607" s="74">
        <f t="shared" si="264"/>
        <v>2400</v>
      </c>
      <c r="AA607" s="74"/>
      <c r="AB607" s="74"/>
      <c r="AC607" s="74"/>
      <c r="AD607" s="74">
        <f t="shared" si="265"/>
        <v>2400</v>
      </c>
      <c r="AE607" s="74">
        <f t="shared" si="266"/>
        <v>4215.1236036354921</v>
      </c>
      <c r="AF607" s="52">
        <f t="shared" si="267"/>
        <v>47301.072</v>
      </c>
      <c r="AG607" s="52">
        <f t="shared" si="268"/>
        <v>59126.34</v>
      </c>
    </row>
    <row r="608" spans="1:33" s="21" customFormat="1" x14ac:dyDescent="0.2">
      <c r="A608" s="114" t="s">
        <v>522</v>
      </c>
      <c r="B608" s="114"/>
      <c r="C608" s="114"/>
      <c r="D608" s="160">
        <v>1</v>
      </c>
      <c r="E608" s="161"/>
      <c r="F608" s="162">
        <v>0.2</v>
      </c>
      <c r="G608" s="162"/>
      <c r="H608" s="52">
        <v>27071</v>
      </c>
      <c r="I608" s="52">
        <f t="shared" si="257"/>
        <v>23930.763999999999</v>
      </c>
      <c r="J608" s="52">
        <f t="shared" si="258"/>
        <v>19144.611199999999</v>
      </c>
      <c r="K608" s="61"/>
      <c r="L608" s="160">
        <v>0</v>
      </c>
      <c r="M608" s="55">
        <f t="shared" si="259"/>
        <v>0</v>
      </c>
      <c r="N608" s="55">
        <f t="shared" si="260"/>
        <v>0</v>
      </c>
      <c r="O608" s="95"/>
      <c r="P608" s="160">
        <v>0</v>
      </c>
      <c r="Q608" s="55">
        <f t="shared" si="261"/>
        <v>0</v>
      </c>
      <c r="R608" s="65">
        <f t="shared" si="262"/>
        <v>0</v>
      </c>
      <c r="S608" s="118">
        <v>15</v>
      </c>
      <c r="T608" s="121" t="s">
        <v>201</v>
      </c>
      <c r="U608" s="73">
        <f>SUMIF('Avoided Costs 2013-2021'!$A:$A,'2013 Actuals'!T608&amp;'2013 Actuals'!S608,'Avoided Costs 2013-2021'!$E:$E)*J608</f>
        <v>42785.574637843099</v>
      </c>
      <c r="V608" s="73">
        <f>SUMIF('Avoided Costs 2013-2021'!$A:$A,'2013 Actuals'!T608&amp;'2013 Actuals'!S608,'Avoided Costs 2013-2021'!$K:$K)*N608</f>
        <v>0</v>
      </c>
      <c r="W608" s="73">
        <f>SUMIF('Avoided Costs 2013-2021'!$A:$A,'2013 Actuals'!T608&amp;'2013 Actuals'!S608,'Avoided Costs 2013-2021'!$M:$M)*R608</f>
        <v>0</v>
      </c>
      <c r="X608" s="73">
        <f t="shared" si="263"/>
        <v>42785.574637843099</v>
      </c>
      <c r="Y608" s="83">
        <v>12600</v>
      </c>
      <c r="Z608" s="74">
        <f t="shared" si="264"/>
        <v>10080</v>
      </c>
      <c r="AA608" s="74"/>
      <c r="AB608" s="74"/>
      <c r="AC608" s="74"/>
      <c r="AD608" s="74">
        <f t="shared" si="265"/>
        <v>10080</v>
      </c>
      <c r="AE608" s="74">
        <f t="shared" si="266"/>
        <v>32705.574637843099</v>
      </c>
      <c r="AF608" s="52">
        <f t="shared" si="267"/>
        <v>287169.16800000001</v>
      </c>
      <c r="AG608" s="52">
        <f t="shared" si="268"/>
        <v>358961.45999999996</v>
      </c>
    </row>
    <row r="609" spans="1:33" s="21" customFormat="1" x14ac:dyDescent="0.2">
      <c r="A609" s="114" t="s">
        <v>523</v>
      </c>
      <c r="B609" s="114"/>
      <c r="C609" s="114"/>
      <c r="D609" s="160">
        <v>1</v>
      </c>
      <c r="E609" s="161"/>
      <c r="F609" s="162">
        <v>0.2</v>
      </c>
      <c r="G609" s="162"/>
      <c r="H609" s="52">
        <v>16283</v>
      </c>
      <c r="I609" s="52">
        <f t="shared" si="257"/>
        <v>14394.172</v>
      </c>
      <c r="J609" s="52">
        <f t="shared" si="258"/>
        <v>11515.337600000001</v>
      </c>
      <c r="K609" s="61"/>
      <c r="L609" s="160">
        <v>0</v>
      </c>
      <c r="M609" s="55">
        <f t="shared" si="259"/>
        <v>0</v>
      </c>
      <c r="N609" s="55">
        <f t="shared" si="260"/>
        <v>0</v>
      </c>
      <c r="O609" s="95"/>
      <c r="P609" s="160">
        <v>0</v>
      </c>
      <c r="Q609" s="55">
        <f t="shared" si="261"/>
        <v>0</v>
      </c>
      <c r="R609" s="65">
        <f t="shared" si="262"/>
        <v>0</v>
      </c>
      <c r="S609" s="118">
        <v>15</v>
      </c>
      <c r="T609" s="121" t="s">
        <v>201</v>
      </c>
      <c r="U609" s="73">
        <f>SUMIF('Avoided Costs 2013-2021'!$A:$A,'2013 Actuals'!T609&amp;'2013 Actuals'!S609,'Avoided Costs 2013-2021'!$E:$E)*J609</f>
        <v>25735.196772487136</v>
      </c>
      <c r="V609" s="73">
        <f>SUMIF('Avoided Costs 2013-2021'!$A:$A,'2013 Actuals'!T609&amp;'2013 Actuals'!S609,'Avoided Costs 2013-2021'!$K:$K)*N609</f>
        <v>0</v>
      </c>
      <c r="W609" s="73">
        <f>SUMIF('Avoided Costs 2013-2021'!$A:$A,'2013 Actuals'!T609&amp;'2013 Actuals'!S609,'Avoided Costs 2013-2021'!$M:$M)*R609</f>
        <v>0</v>
      </c>
      <c r="X609" s="73">
        <f t="shared" si="263"/>
        <v>25735.196772487136</v>
      </c>
      <c r="Y609" s="83">
        <v>19097</v>
      </c>
      <c r="Z609" s="74">
        <f t="shared" si="264"/>
        <v>15277.6</v>
      </c>
      <c r="AA609" s="74"/>
      <c r="AB609" s="74"/>
      <c r="AC609" s="74"/>
      <c r="AD609" s="74">
        <f t="shared" si="265"/>
        <v>15277.6</v>
      </c>
      <c r="AE609" s="74">
        <f t="shared" si="266"/>
        <v>10457.596772487135</v>
      </c>
      <c r="AF609" s="52">
        <f t="shared" si="267"/>
        <v>172730.06400000001</v>
      </c>
      <c r="AG609" s="52">
        <f t="shared" si="268"/>
        <v>215912.58000000002</v>
      </c>
    </row>
    <row r="610" spans="1:33" s="21" customFormat="1" x14ac:dyDescent="0.2">
      <c r="A610" s="114" t="s">
        <v>524</v>
      </c>
      <c r="B610" s="114"/>
      <c r="C610" s="114"/>
      <c r="D610" s="160">
        <v>1</v>
      </c>
      <c r="E610" s="161"/>
      <c r="F610" s="162">
        <v>0.2</v>
      </c>
      <c r="G610" s="162"/>
      <c r="H610" s="52">
        <v>69570</v>
      </c>
      <c r="I610" s="52">
        <f t="shared" si="257"/>
        <v>61499.88</v>
      </c>
      <c r="J610" s="52">
        <f t="shared" si="258"/>
        <v>49199.904000000002</v>
      </c>
      <c r="K610" s="61"/>
      <c r="L610" s="160">
        <v>0</v>
      </c>
      <c r="M610" s="55">
        <f t="shared" si="259"/>
        <v>0</v>
      </c>
      <c r="N610" s="55">
        <f t="shared" si="260"/>
        <v>0</v>
      </c>
      <c r="O610" s="95"/>
      <c r="P610" s="160">
        <v>0</v>
      </c>
      <c r="Q610" s="55">
        <f t="shared" si="261"/>
        <v>0</v>
      </c>
      <c r="R610" s="65">
        <f t="shared" si="262"/>
        <v>0</v>
      </c>
      <c r="S610" s="118">
        <v>15</v>
      </c>
      <c r="T610" s="121" t="s">
        <v>201</v>
      </c>
      <c r="U610" s="73">
        <f>SUMIF('Avoided Costs 2013-2021'!$A:$A,'2013 Actuals'!T610&amp;'2013 Actuals'!S610,'Avoided Costs 2013-2021'!$E:$E)*J610</f>
        <v>109955.02299710925</v>
      </c>
      <c r="V610" s="73">
        <f>SUMIF('Avoided Costs 2013-2021'!$A:$A,'2013 Actuals'!T610&amp;'2013 Actuals'!S610,'Avoided Costs 2013-2021'!$K:$K)*N610</f>
        <v>0</v>
      </c>
      <c r="W610" s="73">
        <f>SUMIF('Avoided Costs 2013-2021'!$A:$A,'2013 Actuals'!T610&amp;'2013 Actuals'!S610,'Avoided Costs 2013-2021'!$M:$M)*R610</f>
        <v>0</v>
      </c>
      <c r="X610" s="73">
        <f t="shared" si="263"/>
        <v>109955.02299710925</v>
      </c>
      <c r="Y610" s="83">
        <v>66589</v>
      </c>
      <c r="Z610" s="74">
        <f t="shared" si="264"/>
        <v>53271.200000000004</v>
      </c>
      <c r="AA610" s="74"/>
      <c r="AB610" s="74"/>
      <c r="AC610" s="74"/>
      <c r="AD610" s="74">
        <f t="shared" si="265"/>
        <v>53271.200000000004</v>
      </c>
      <c r="AE610" s="74">
        <f t="shared" si="266"/>
        <v>56683.822997109244</v>
      </c>
      <c r="AF610" s="52">
        <f t="shared" si="267"/>
        <v>737998.56</v>
      </c>
      <c r="AG610" s="52">
        <f t="shared" si="268"/>
        <v>922498.2</v>
      </c>
    </row>
    <row r="611" spans="1:33" s="21" customFormat="1" x14ac:dyDescent="0.2">
      <c r="A611" s="114" t="s">
        <v>525</v>
      </c>
      <c r="B611" s="114"/>
      <c r="C611" s="114"/>
      <c r="D611" s="160">
        <v>1</v>
      </c>
      <c r="E611" s="161"/>
      <c r="F611" s="162">
        <v>0.2</v>
      </c>
      <c r="G611" s="162"/>
      <c r="H611" s="52">
        <v>53690</v>
      </c>
      <c r="I611" s="52">
        <f t="shared" si="257"/>
        <v>47461.96</v>
      </c>
      <c r="J611" s="52">
        <f t="shared" si="258"/>
        <v>37969.567999999999</v>
      </c>
      <c r="K611" s="61"/>
      <c r="L611" s="160">
        <v>0</v>
      </c>
      <c r="M611" s="55">
        <f t="shared" si="259"/>
        <v>0</v>
      </c>
      <c r="N611" s="55">
        <f t="shared" si="260"/>
        <v>0</v>
      </c>
      <c r="O611" s="95"/>
      <c r="P611" s="160">
        <v>0</v>
      </c>
      <c r="Q611" s="55">
        <f t="shared" si="261"/>
        <v>0</v>
      </c>
      <c r="R611" s="65">
        <f t="shared" si="262"/>
        <v>0</v>
      </c>
      <c r="S611" s="118">
        <v>15</v>
      </c>
      <c r="T611" s="121" t="s">
        <v>201</v>
      </c>
      <c r="U611" s="73">
        <f>SUMIF('Avoided Costs 2013-2021'!$A:$A,'2013 Actuals'!T611&amp;'2013 Actuals'!S611,'Avoided Costs 2013-2021'!$E:$E)*J611</f>
        <v>84856.765627638277</v>
      </c>
      <c r="V611" s="73">
        <f>SUMIF('Avoided Costs 2013-2021'!$A:$A,'2013 Actuals'!T611&amp;'2013 Actuals'!S611,'Avoided Costs 2013-2021'!$K:$K)*N611</f>
        <v>0</v>
      </c>
      <c r="W611" s="73">
        <f>SUMIF('Avoided Costs 2013-2021'!$A:$A,'2013 Actuals'!T611&amp;'2013 Actuals'!S611,'Avoided Costs 2013-2021'!$M:$M)*R611</f>
        <v>0</v>
      </c>
      <c r="X611" s="73">
        <f t="shared" si="263"/>
        <v>84856.765627638277</v>
      </c>
      <c r="Y611" s="83">
        <v>62045</v>
      </c>
      <c r="Z611" s="74">
        <f t="shared" si="264"/>
        <v>49636</v>
      </c>
      <c r="AA611" s="74"/>
      <c r="AB611" s="74"/>
      <c r="AC611" s="74"/>
      <c r="AD611" s="74">
        <f t="shared" si="265"/>
        <v>49636</v>
      </c>
      <c r="AE611" s="74">
        <f t="shared" si="266"/>
        <v>35220.765627638277</v>
      </c>
      <c r="AF611" s="52">
        <f t="shared" si="267"/>
        <v>569543.52</v>
      </c>
      <c r="AG611" s="52">
        <f t="shared" si="268"/>
        <v>711929.4</v>
      </c>
    </row>
    <row r="612" spans="1:33" s="21" customFormat="1" x14ac:dyDescent="0.2">
      <c r="A612" s="114" t="s">
        <v>526</v>
      </c>
      <c r="B612" s="114"/>
      <c r="C612" s="114"/>
      <c r="D612" s="160">
        <v>1</v>
      </c>
      <c r="E612" s="161"/>
      <c r="F612" s="162">
        <v>0.2</v>
      </c>
      <c r="G612" s="162"/>
      <c r="H612" s="52">
        <v>46030</v>
      </c>
      <c r="I612" s="52">
        <f t="shared" si="257"/>
        <v>40690.519999999997</v>
      </c>
      <c r="J612" s="52">
        <f t="shared" si="258"/>
        <v>32552.415999999997</v>
      </c>
      <c r="K612" s="61"/>
      <c r="L612" s="160">
        <v>0</v>
      </c>
      <c r="M612" s="55">
        <f t="shared" si="259"/>
        <v>0</v>
      </c>
      <c r="N612" s="55">
        <f t="shared" si="260"/>
        <v>0</v>
      </c>
      <c r="O612" s="95"/>
      <c r="P612" s="160">
        <v>0</v>
      </c>
      <c r="Q612" s="55">
        <f t="shared" si="261"/>
        <v>0</v>
      </c>
      <c r="R612" s="65">
        <f t="shared" si="262"/>
        <v>0</v>
      </c>
      <c r="S612" s="118">
        <v>25</v>
      </c>
      <c r="T612" s="121" t="s">
        <v>217</v>
      </c>
      <c r="U612" s="73">
        <f>SUMIF('Avoided Costs 2013-2021'!$A:$A,'2013 Actuals'!T612&amp;'2013 Actuals'!S612,'Avoided Costs 2013-2021'!$E:$E)*J612</f>
        <v>95836.619212047852</v>
      </c>
      <c r="V612" s="73">
        <f>SUMIF('Avoided Costs 2013-2021'!$A:$A,'2013 Actuals'!T612&amp;'2013 Actuals'!S612,'Avoided Costs 2013-2021'!$K:$K)*N612</f>
        <v>0</v>
      </c>
      <c r="W612" s="73">
        <f>SUMIF('Avoided Costs 2013-2021'!$A:$A,'2013 Actuals'!T612&amp;'2013 Actuals'!S612,'Avoided Costs 2013-2021'!$M:$M)*R612</f>
        <v>0</v>
      </c>
      <c r="X612" s="73">
        <f t="shared" si="263"/>
        <v>95836.619212047852</v>
      </c>
      <c r="Y612" s="83">
        <v>6998</v>
      </c>
      <c r="Z612" s="74">
        <f t="shared" si="264"/>
        <v>5598.4000000000005</v>
      </c>
      <c r="AA612" s="74"/>
      <c r="AB612" s="74"/>
      <c r="AC612" s="74"/>
      <c r="AD612" s="74">
        <f t="shared" si="265"/>
        <v>5598.4000000000005</v>
      </c>
      <c r="AE612" s="74">
        <f t="shared" si="266"/>
        <v>90238.219212047858</v>
      </c>
      <c r="AF612" s="52">
        <f t="shared" si="267"/>
        <v>813810.39999999991</v>
      </c>
      <c r="AG612" s="52">
        <f t="shared" si="268"/>
        <v>1017262.9999999999</v>
      </c>
    </row>
    <row r="613" spans="1:33" s="21" customFormat="1" x14ac:dyDescent="0.2">
      <c r="A613" s="114" t="s">
        <v>527</v>
      </c>
      <c r="B613" s="114"/>
      <c r="C613" s="114"/>
      <c r="D613" s="160">
        <v>1</v>
      </c>
      <c r="E613" s="161"/>
      <c r="F613" s="162">
        <v>0.2</v>
      </c>
      <c r="G613" s="162"/>
      <c r="H613" s="52">
        <v>52779</v>
      </c>
      <c r="I613" s="52">
        <f t="shared" si="257"/>
        <v>46656.635999999999</v>
      </c>
      <c r="J613" s="52">
        <f t="shared" si="258"/>
        <v>37325.308799999999</v>
      </c>
      <c r="K613" s="61"/>
      <c r="L613" s="160">
        <v>0</v>
      </c>
      <c r="M613" s="55">
        <f t="shared" si="259"/>
        <v>0</v>
      </c>
      <c r="N613" s="55">
        <f t="shared" si="260"/>
        <v>0</v>
      </c>
      <c r="O613" s="95"/>
      <c r="P613" s="160">
        <v>0</v>
      </c>
      <c r="Q613" s="55">
        <f t="shared" si="261"/>
        <v>0</v>
      </c>
      <c r="R613" s="65">
        <f t="shared" si="262"/>
        <v>0</v>
      </c>
      <c r="S613" s="118">
        <v>15</v>
      </c>
      <c r="T613" s="121" t="s">
        <v>201</v>
      </c>
      <c r="U613" s="73">
        <f>SUMIF('Avoided Costs 2013-2021'!$A:$A,'2013 Actuals'!T613&amp;'2013 Actuals'!S613,'Avoided Costs 2013-2021'!$E:$E)*J613</f>
        <v>83416.934867966484</v>
      </c>
      <c r="V613" s="73">
        <f>SUMIF('Avoided Costs 2013-2021'!$A:$A,'2013 Actuals'!T613&amp;'2013 Actuals'!S613,'Avoided Costs 2013-2021'!$K:$K)*N613</f>
        <v>0</v>
      </c>
      <c r="W613" s="73">
        <f>SUMIF('Avoided Costs 2013-2021'!$A:$A,'2013 Actuals'!T613&amp;'2013 Actuals'!S613,'Avoided Costs 2013-2021'!$M:$M)*R613</f>
        <v>0</v>
      </c>
      <c r="X613" s="73">
        <f t="shared" si="263"/>
        <v>83416.934867966484</v>
      </c>
      <c r="Y613" s="83">
        <v>62045</v>
      </c>
      <c r="Z613" s="74">
        <f t="shared" si="264"/>
        <v>49636</v>
      </c>
      <c r="AA613" s="74"/>
      <c r="AB613" s="74"/>
      <c r="AC613" s="74"/>
      <c r="AD613" s="74">
        <f t="shared" si="265"/>
        <v>49636</v>
      </c>
      <c r="AE613" s="74">
        <f t="shared" si="266"/>
        <v>33780.934867966484</v>
      </c>
      <c r="AF613" s="52">
        <f t="shared" si="267"/>
        <v>559879.63199999998</v>
      </c>
      <c r="AG613" s="52">
        <f t="shared" si="268"/>
        <v>699849.54</v>
      </c>
    </row>
    <row r="614" spans="1:33" s="21" customFormat="1" x14ac:dyDescent="0.2">
      <c r="A614" s="114" t="s">
        <v>528</v>
      </c>
      <c r="B614" s="114"/>
      <c r="C614" s="114"/>
      <c r="D614" s="160">
        <v>1</v>
      </c>
      <c r="E614" s="161"/>
      <c r="F614" s="162">
        <v>0.2</v>
      </c>
      <c r="G614" s="162"/>
      <c r="H614" s="52">
        <v>24017</v>
      </c>
      <c r="I614" s="52">
        <f t="shared" si="257"/>
        <v>21231.027999999998</v>
      </c>
      <c r="J614" s="52">
        <f t="shared" si="258"/>
        <v>16984.822400000001</v>
      </c>
      <c r="K614" s="61"/>
      <c r="L614" s="160">
        <v>0</v>
      </c>
      <c r="M614" s="55">
        <f t="shared" si="259"/>
        <v>0</v>
      </c>
      <c r="N614" s="55">
        <f t="shared" si="260"/>
        <v>0</v>
      </c>
      <c r="O614" s="95"/>
      <c r="P614" s="160">
        <v>0</v>
      </c>
      <c r="Q614" s="55">
        <f t="shared" si="261"/>
        <v>0</v>
      </c>
      <c r="R614" s="65">
        <f t="shared" si="262"/>
        <v>0</v>
      </c>
      <c r="S614" s="118">
        <v>15</v>
      </c>
      <c r="T614" s="121" t="s">
        <v>201</v>
      </c>
      <c r="U614" s="73">
        <f>SUMIF('Avoided Costs 2013-2021'!$A:$A,'2013 Actuals'!T614&amp;'2013 Actuals'!S614,'Avoided Costs 2013-2021'!$E:$E)*J614</f>
        <v>37958.743529129984</v>
      </c>
      <c r="V614" s="73">
        <f>SUMIF('Avoided Costs 2013-2021'!$A:$A,'2013 Actuals'!T614&amp;'2013 Actuals'!S614,'Avoided Costs 2013-2021'!$K:$K)*N614</f>
        <v>0</v>
      </c>
      <c r="W614" s="73">
        <f>SUMIF('Avoided Costs 2013-2021'!$A:$A,'2013 Actuals'!T614&amp;'2013 Actuals'!S614,'Avoided Costs 2013-2021'!$M:$M)*R614</f>
        <v>0</v>
      </c>
      <c r="X614" s="73">
        <f t="shared" si="263"/>
        <v>37958.743529129984</v>
      </c>
      <c r="Y614" s="83">
        <v>26329</v>
      </c>
      <c r="Z614" s="74">
        <f t="shared" si="264"/>
        <v>21063.200000000001</v>
      </c>
      <c r="AA614" s="74"/>
      <c r="AB614" s="74"/>
      <c r="AC614" s="74"/>
      <c r="AD614" s="74">
        <f t="shared" si="265"/>
        <v>21063.200000000001</v>
      </c>
      <c r="AE614" s="74">
        <f t="shared" si="266"/>
        <v>16895.543529129984</v>
      </c>
      <c r="AF614" s="52">
        <f t="shared" si="267"/>
        <v>254772.33600000001</v>
      </c>
      <c r="AG614" s="52">
        <f t="shared" si="268"/>
        <v>318465.42</v>
      </c>
    </row>
    <row r="615" spans="1:33" s="21" customFormat="1" x14ac:dyDescent="0.2">
      <c r="A615" s="114" t="s">
        <v>529</v>
      </c>
      <c r="B615" s="114"/>
      <c r="C615" s="114"/>
      <c r="D615" s="160">
        <v>1</v>
      </c>
      <c r="E615" s="161"/>
      <c r="F615" s="162">
        <v>0.2</v>
      </c>
      <c r="G615" s="162"/>
      <c r="H615" s="52">
        <v>6991</v>
      </c>
      <c r="I615" s="52">
        <f>H615</f>
        <v>6991</v>
      </c>
      <c r="J615" s="52">
        <f t="shared" si="258"/>
        <v>5592.8</v>
      </c>
      <c r="K615" s="61"/>
      <c r="L615" s="160">
        <v>0</v>
      </c>
      <c r="M615" s="55">
        <f t="shared" si="259"/>
        <v>0</v>
      </c>
      <c r="N615" s="55">
        <f t="shared" si="260"/>
        <v>0</v>
      </c>
      <c r="O615" s="95"/>
      <c r="P615" s="160">
        <v>0</v>
      </c>
      <c r="Q615" s="55">
        <f t="shared" si="261"/>
        <v>0</v>
      </c>
      <c r="R615" s="65">
        <f t="shared" si="262"/>
        <v>0</v>
      </c>
      <c r="S615" s="118">
        <v>25</v>
      </c>
      <c r="T615" s="121" t="s">
        <v>201</v>
      </c>
      <c r="U615" s="73">
        <f>SUMIF('Avoided Costs 2013-2021'!$A:$A,'2013 Actuals'!T615&amp;'2013 Actuals'!S615,'Avoided Costs 2013-2021'!$E:$E)*J615</f>
        <v>17545.411397060845</v>
      </c>
      <c r="V615" s="73">
        <f>SUMIF('Avoided Costs 2013-2021'!$A:$A,'2013 Actuals'!T615&amp;'2013 Actuals'!S615,'Avoided Costs 2013-2021'!$K:$K)*N615</f>
        <v>0</v>
      </c>
      <c r="W615" s="73">
        <f>SUMIF('Avoided Costs 2013-2021'!$A:$A,'2013 Actuals'!T615&amp;'2013 Actuals'!S615,'Avoided Costs 2013-2021'!$M:$M)*R615</f>
        <v>0</v>
      </c>
      <c r="X615" s="73">
        <f t="shared" si="263"/>
        <v>17545.411397060845</v>
      </c>
      <c r="Y615" s="83">
        <v>9000</v>
      </c>
      <c r="Z615" s="74">
        <f t="shared" si="264"/>
        <v>7200</v>
      </c>
      <c r="AA615" s="74"/>
      <c r="AB615" s="74"/>
      <c r="AC615" s="74"/>
      <c r="AD615" s="74">
        <f t="shared" si="265"/>
        <v>7200</v>
      </c>
      <c r="AE615" s="74">
        <f t="shared" si="266"/>
        <v>10345.411397060845</v>
      </c>
      <c r="AF615" s="52">
        <f t="shared" si="267"/>
        <v>139820</v>
      </c>
      <c r="AG615" s="52">
        <f t="shared" si="268"/>
        <v>174775</v>
      </c>
    </row>
    <row r="616" spans="1:33" s="21" customFormat="1" x14ac:dyDescent="0.2">
      <c r="A616" s="114" t="s">
        <v>530</v>
      </c>
      <c r="B616" s="114"/>
      <c r="C616" s="114"/>
      <c r="D616" s="160">
        <v>0</v>
      </c>
      <c r="E616" s="161"/>
      <c r="F616" s="162">
        <v>0.2</v>
      </c>
      <c r="G616" s="162"/>
      <c r="H616" s="52">
        <v>8065</v>
      </c>
      <c r="I616" s="52">
        <f t="shared" si="257"/>
        <v>7129.46</v>
      </c>
      <c r="J616" s="52">
        <f t="shared" si="258"/>
        <v>5703.5680000000002</v>
      </c>
      <c r="K616" s="61"/>
      <c r="L616" s="160">
        <v>30128</v>
      </c>
      <c r="M616" s="55">
        <f t="shared" si="259"/>
        <v>30128</v>
      </c>
      <c r="N616" s="55">
        <f t="shared" si="260"/>
        <v>24102.400000000001</v>
      </c>
      <c r="O616" s="95"/>
      <c r="P616" s="160">
        <v>0</v>
      </c>
      <c r="Q616" s="55">
        <f t="shared" si="261"/>
        <v>0</v>
      </c>
      <c r="R616" s="65">
        <f t="shared" si="262"/>
        <v>0</v>
      </c>
      <c r="S616" s="118">
        <v>15</v>
      </c>
      <c r="T616" s="121" t="s">
        <v>201</v>
      </c>
      <c r="U616" s="73">
        <f>SUMIF('Avoided Costs 2013-2021'!$A:$A,'2013 Actuals'!T616&amp;'2013 Actuals'!S616,'Avoided Costs 2013-2021'!$E:$E)*J616</f>
        <v>12746.690534306254</v>
      </c>
      <c r="V616" s="73">
        <f>SUMIF('Avoided Costs 2013-2021'!$A:$A,'2013 Actuals'!T616&amp;'2013 Actuals'!S616,'Avoided Costs 2013-2021'!$K:$K)*N616</f>
        <v>25232.649966552752</v>
      </c>
      <c r="W616" s="73">
        <f>SUMIF('Avoided Costs 2013-2021'!$A:$A,'2013 Actuals'!T616&amp;'2013 Actuals'!S616,'Avoided Costs 2013-2021'!$M:$M)*R616</f>
        <v>0</v>
      </c>
      <c r="X616" s="73">
        <f t="shared" si="263"/>
        <v>37979.340500859005</v>
      </c>
      <c r="Y616" s="83">
        <v>5000</v>
      </c>
      <c r="Z616" s="74">
        <f t="shared" si="264"/>
        <v>4000</v>
      </c>
      <c r="AA616" s="74"/>
      <c r="AB616" s="74"/>
      <c r="AC616" s="74"/>
      <c r="AD616" s="74">
        <f t="shared" si="265"/>
        <v>4000</v>
      </c>
      <c r="AE616" s="74">
        <f t="shared" si="266"/>
        <v>33979.340500859005</v>
      </c>
      <c r="AF616" s="52">
        <f t="shared" si="267"/>
        <v>85553.52</v>
      </c>
      <c r="AG616" s="52">
        <f t="shared" si="268"/>
        <v>106941.9</v>
      </c>
    </row>
    <row r="617" spans="1:33" s="21" customFormat="1" x14ac:dyDescent="0.2">
      <c r="A617" s="114" t="s">
        <v>531</v>
      </c>
      <c r="B617" s="114"/>
      <c r="C617" s="114"/>
      <c r="D617" s="160">
        <v>1</v>
      </c>
      <c r="E617" s="161"/>
      <c r="F617" s="162">
        <v>0.2</v>
      </c>
      <c r="G617" s="162"/>
      <c r="H617" s="52">
        <v>42126</v>
      </c>
      <c r="I617" s="52">
        <f t="shared" si="257"/>
        <v>37239.383999999998</v>
      </c>
      <c r="J617" s="52">
        <f t="shared" si="258"/>
        <v>29791.5072</v>
      </c>
      <c r="K617" s="61"/>
      <c r="L617" s="160">
        <v>59472</v>
      </c>
      <c r="M617" s="55">
        <f t="shared" si="259"/>
        <v>59472</v>
      </c>
      <c r="N617" s="55">
        <f t="shared" si="260"/>
        <v>47577.600000000006</v>
      </c>
      <c r="O617" s="95"/>
      <c r="P617" s="160">
        <v>0</v>
      </c>
      <c r="Q617" s="55">
        <f t="shared" si="261"/>
        <v>0</v>
      </c>
      <c r="R617" s="65">
        <f t="shared" si="262"/>
        <v>0</v>
      </c>
      <c r="S617" s="118">
        <v>15</v>
      </c>
      <c r="T617" s="121" t="s">
        <v>201</v>
      </c>
      <c r="U617" s="73">
        <f>SUMIF('Avoided Costs 2013-2021'!$A:$A,'2013 Actuals'!T617&amp;'2013 Actuals'!S617,'Avoided Costs 2013-2021'!$E:$E)*J617</f>
        <v>66579.923800146964</v>
      </c>
      <c r="V617" s="73">
        <f>SUMIF('Avoided Costs 2013-2021'!$A:$A,'2013 Actuals'!T617&amp;'2013 Actuals'!S617,'Avoided Costs 2013-2021'!$K:$K)*N617</f>
        <v>49808.688223938705</v>
      </c>
      <c r="W617" s="73">
        <f>SUMIF('Avoided Costs 2013-2021'!$A:$A,'2013 Actuals'!T617&amp;'2013 Actuals'!S617,'Avoided Costs 2013-2021'!$M:$M)*R617</f>
        <v>0</v>
      </c>
      <c r="X617" s="73">
        <f t="shared" si="263"/>
        <v>116388.61202408567</v>
      </c>
      <c r="Y617" s="83">
        <v>10000</v>
      </c>
      <c r="Z617" s="74">
        <f t="shared" si="264"/>
        <v>8000</v>
      </c>
      <c r="AA617" s="74"/>
      <c r="AB617" s="74"/>
      <c r="AC617" s="74"/>
      <c r="AD617" s="74">
        <f t="shared" si="265"/>
        <v>8000</v>
      </c>
      <c r="AE617" s="74">
        <f t="shared" si="266"/>
        <v>108388.61202408567</v>
      </c>
      <c r="AF617" s="52">
        <f t="shared" si="267"/>
        <v>446872.60800000001</v>
      </c>
      <c r="AG617" s="52">
        <f t="shared" si="268"/>
        <v>558590.76</v>
      </c>
    </row>
    <row r="618" spans="1:33" s="21" customFormat="1" x14ac:dyDescent="0.2">
      <c r="A618" s="114" t="s">
        <v>532</v>
      </c>
      <c r="B618" s="114"/>
      <c r="C618" s="114"/>
      <c r="D618" s="160">
        <v>1</v>
      </c>
      <c r="E618" s="161"/>
      <c r="F618" s="162">
        <v>0.2</v>
      </c>
      <c r="G618" s="162"/>
      <c r="H618" s="52">
        <v>12848</v>
      </c>
      <c r="I618" s="52">
        <f t="shared" si="257"/>
        <v>11357.632</v>
      </c>
      <c r="J618" s="52">
        <f t="shared" si="258"/>
        <v>9086.1056000000008</v>
      </c>
      <c r="K618" s="61"/>
      <c r="L618" s="160">
        <v>0</v>
      </c>
      <c r="M618" s="55">
        <f t="shared" si="259"/>
        <v>0</v>
      </c>
      <c r="N618" s="55">
        <f t="shared" si="260"/>
        <v>0</v>
      </c>
      <c r="O618" s="95"/>
      <c r="P618" s="160">
        <v>0</v>
      </c>
      <c r="Q618" s="55">
        <f t="shared" si="261"/>
        <v>0</v>
      </c>
      <c r="R618" s="65">
        <f t="shared" si="262"/>
        <v>0</v>
      </c>
      <c r="S618" s="118">
        <v>15</v>
      </c>
      <c r="T618" s="121" t="s">
        <v>201</v>
      </c>
      <c r="U618" s="73">
        <f>SUMIF('Avoided Costs 2013-2021'!$A:$A,'2013 Actuals'!T618&amp;'2013 Actuals'!S618,'Avoided Costs 2013-2021'!$E:$E)*J618</f>
        <v>20306.197146282302</v>
      </c>
      <c r="V618" s="73">
        <f>SUMIF('Avoided Costs 2013-2021'!$A:$A,'2013 Actuals'!T618&amp;'2013 Actuals'!S618,'Avoided Costs 2013-2021'!$K:$K)*N618</f>
        <v>0</v>
      </c>
      <c r="W618" s="73">
        <f>SUMIF('Avoided Costs 2013-2021'!$A:$A,'2013 Actuals'!T618&amp;'2013 Actuals'!S618,'Avoided Costs 2013-2021'!$M:$M)*R618</f>
        <v>0</v>
      </c>
      <c r="X618" s="73">
        <f t="shared" si="263"/>
        <v>20306.197146282302</v>
      </c>
      <c r="Y618" s="83">
        <v>19888</v>
      </c>
      <c r="Z618" s="74">
        <f t="shared" si="264"/>
        <v>15910.400000000001</v>
      </c>
      <c r="AA618" s="74"/>
      <c r="AB618" s="74"/>
      <c r="AC618" s="74"/>
      <c r="AD618" s="74">
        <f t="shared" si="265"/>
        <v>15910.400000000001</v>
      </c>
      <c r="AE618" s="74">
        <f t="shared" si="266"/>
        <v>4395.7971462823007</v>
      </c>
      <c r="AF618" s="52">
        <f t="shared" si="267"/>
        <v>136291.584</v>
      </c>
      <c r="AG618" s="52">
        <f t="shared" si="268"/>
        <v>170364.47999999998</v>
      </c>
    </row>
    <row r="619" spans="1:33" s="21" customFormat="1" x14ac:dyDescent="0.2">
      <c r="A619" s="114" t="s">
        <v>533</v>
      </c>
      <c r="B619" s="114"/>
      <c r="C619" s="114"/>
      <c r="D619" s="160">
        <v>0</v>
      </c>
      <c r="E619" s="161"/>
      <c r="F619" s="162">
        <v>0.2</v>
      </c>
      <c r="G619" s="162"/>
      <c r="H619" s="52">
        <v>28752</v>
      </c>
      <c r="I619" s="52">
        <f t="shared" si="257"/>
        <v>25416.768</v>
      </c>
      <c r="J619" s="52">
        <f t="shared" si="258"/>
        <v>20333.414400000001</v>
      </c>
      <c r="K619" s="61"/>
      <c r="L619" s="160">
        <v>23049</v>
      </c>
      <c r="M619" s="55">
        <f t="shared" si="259"/>
        <v>23049</v>
      </c>
      <c r="N619" s="55">
        <f t="shared" si="260"/>
        <v>18439.2</v>
      </c>
      <c r="O619" s="95"/>
      <c r="P619" s="160">
        <v>0</v>
      </c>
      <c r="Q619" s="55">
        <f t="shared" si="261"/>
        <v>0</v>
      </c>
      <c r="R619" s="65">
        <f t="shared" si="262"/>
        <v>0</v>
      </c>
      <c r="S619" s="118">
        <v>15</v>
      </c>
      <c r="T619" s="121" t="s">
        <v>201</v>
      </c>
      <c r="U619" s="73">
        <f>SUMIF('Avoided Costs 2013-2021'!$A:$A,'2013 Actuals'!T619&amp;'2013 Actuals'!S619,'Avoided Costs 2013-2021'!$E:$E)*J619</f>
        <v>45442.386390870852</v>
      </c>
      <c r="V619" s="73">
        <f>SUMIF('Avoided Costs 2013-2021'!$A:$A,'2013 Actuals'!T619&amp;'2013 Actuals'!S619,'Avoided Costs 2013-2021'!$K:$K)*N619</f>
        <v>19303.881740542827</v>
      </c>
      <c r="W619" s="73">
        <f>SUMIF('Avoided Costs 2013-2021'!$A:$A,'2013 Actuals'!T619&amp;'2013 Actuals'!S619,'Avoided Costs 2013-2021'!$M:$M)*R619</f>
        <v>0</v>
      </c>
      <c r="X619" s="73">
        <f t="shared" si="263"/>
        <v>64746.268131413679</v>
      </c>
      <c r="Y619" s="83">
        <v>13995</v>
      </c>
      <c r="Z619" s="74">
        <f t="shared" si="264"/>
        <v>11196</v>
      </c>
      <c r="AA619" s="74"/>
      <c r="AB619" s="74"/>
      <c r="AC619" s="74"/>
      <c r="AD619" s="74">
        <f t="shared" si="265"/>
        <v>11196</v>
      </c>
      <c r="AE619" s="74">
        <f t="shared" si="266"/>
        <v>53550.268131413679</v>
      </c>
      <c r="AF619" s="52">
        <f t="shared" si="267"/>
        <v>305001.21600000001</v>
      </c>
      <c r="AG619" s="52">
        <f t="shared" si="268"/>
        <v>381251.52</v>
      </c>
    </row>
    <row r="620" spans="1:33" s="21" customFormat="1" x14ac:dyDescent="0.2">
      <c r="A620" s="114" t="s">
        <v>534</v>
      </c>
      <c r="B620" s="114"/>
      <c r="C620" s="114"/>
      <c r="D620" s="160">
        <v>1</v>
      </c>
      <c r="E620" s="161"/>
      <c r="F620" s="162">
        <v>0.2</v>
      </c>
      <c r="G620" s="162"/>
      <c r="H620" s="52">
        <v>106644</v>
      </c>
      <c r="I620" s="52">
        <f t="shared" si="257"/>
        <v>94273.296000000002</v>
      </c>
      <c r="J620" s="52">
        <f t="shared" si="258"/>
        <v>75418.636800000007</v>
      </c>
      <c r="K620" s="61"/>
      <c r="L620" s="160">
        <v>0</v>
      </c>
      <c r="M620" s="55">
        <f t="shared" si="259"/>
        <v>0</v>
      </c>
      <c r="N620" s="55">
        <f t="shared" si="260"/>
        <v>0</v>
      </c>
      <c r="O620" s="95"/>
      <c r="P620" s="160">
        <v>0</v>
      </c>
      <c r="Q620" s="55">
        <f t="shared" si="261"/>
        <v>0</v>
      </c>
      <c r="R620" s="65">
        <f t="shared" si="262"/>
        <v>0</v>
      </c>
      <c r="S620" s="118">
        <v>25</v>
      </c>
      <c r="T620" s="121" t="s">
        <v>201</v>
      </c>
      <c r="U620" s="73">
        <f>SUMIF('Avoided Costs 2013-2021'!$A:$A,'2013 Actuals'!T620&amp;'2013 Actuals'!S620,'Avoided Costs 2013-2021'!$E:$E)*J620</f>
        <v>236599.02189627962</v>
      </c>
      <c r="V620" s="73">
        <f>SUMIF('Avoided Costs 2013-2021'!$A:$A,'2013 Actuals'!T620&amp;'2013 Actuals'!S620,'Avoided Costs 2013-2021'!$K:$K)*N620</f>
        <v>0</v>
      </c>
      <c r="W620" s="73">
        <f>SUMIF('Avoided Costs 2013-2021'!$A:$A,'2013 Actuals'!T620&amp;'2013 Actuals'!S620,'Avoided Costs 2013-2021'!$M:$M)*R620</f>
        <v>0</v>
      </c>
      <c r="X620" s="73">
        <f t="shared" si="263"/>
        <v>236599.02189627962</v>
      </c>
      <c r="Y620" s="83">
        <v>27986</v>
      </c>
      <c r="Z620" s="74">
        <f t="shared" si="264"/>
        <v>22388.800000000003</v>
      </c>
      <c r="AA620" s="74"/>
      <c r="AB620" s="74"/>
      <c r="AC620" s="74"/>
      <c r="AD620" s="74">
        <f t="shared" si="265"/>
        <v>22388.800000000003</v>
      </c>
      <c r="AE620" s="74">
        <f t="shared" si="266"/>
        <v>214210.2218962796</v>
      </c>
      <c r="AF620" s="52">
        <f t="shared" si="267"/>
        <v>1885465.9200000002</v>
      </c>
      <c r="AG620" s="52">
        <f t="shared" si="268"/>
        <v>2356832.4</v>
      </c>
    </row>
    <row r="621" spans="1:33" s="21" customFormat="1" x14ac:dyDescent="0.2">
      <c r="A621" s="114" t="s">
        <v>535</v>
      </c>
      <c r="B621" s="114"/>
      <c r="C621" s="114"/>
      <c r="D621" s="160">
        <v>1</v>
      </c>
      <c r="E621" s="161"/>
      <c r="F621" s="162">
        <v>0.2</v>
      </c>
      <c r="G621" s="162"/>
      <c r="H621" s="52">
        <v>10170</v>
      </c>
      <c r="I621" s="52">
        <f t="shared" si="257"/>
        <v>8990.2800000000007</v>
      </c>
      <c r="J621" s="52">
        <f t="shared" si="258"/>
        <v>7192.2240000000011</v>
      </c>
      <c r="K621" s="61"/>
      <c r="L621" s="160">
        <v>14115</v>
      </c>
      <c r="M621" s="55">
        <f t="shared" si="259"/>
        <v>14115</v>
      </c>
      <c r="N621" s="55">
        <f t="shared" si="260"/>
        <v>11292</v>
      </c>
      <c r="O621" s="95"/>
      <c r="P621" s="160">
        <v>0</v>
      </c>
      <c r="Q621" s="55">
        <f t="shared" si="261"/>
        <v>0</v>
      </c>
      <c r="R621" s="65">
        <f t="shared" si="262"/>
        <v>0</v>
      </c>
      <c r="S621" s="118">
        <v>15</v>
      </c>
      <c r="T621" s="121" t="s">
        <v>201</v>
      </c>
      <c r="U621" s="73">
        <f>SUMIF('Avoided Costs 2013-2021'!$A:$A,'2013 Actuals'!T621&amp;'2013 Actuals'!S621,'Avoided Costs 2013-2021'!$E:$E)*J621</f>
        <v>16073.632081078067</v>
      </c>
      <c r="V621" s="73">
        <f>SUMIF('Avoided Costs 2013-2021'!$A:$A,'2013 Actuals'!T621&amp;'2013 Actuals'!S621,'Avoided Costs 2013-2021'!$K:$K)*N621</f>
        <v>11821.523309807888</v>
      </c>
      <c r="W621" s="73">
        <f>SUMIF('Avoided Costs 2013-2021'!$A:$A,'2013 Actuals'!T621&amp;'2013 Actuals'!S621,'Avoided Costs 2013-2021'!$M:$M)*R621</f>
        <v>0</v>
      </c>
      <c r="X621" s="73">
        <f t="shared" si="263"/>
        <v>27895.155390885957</v>
      </c>
      <c r="Y621" s="83">
        <v>7195</v>
      </c>
      <c r="Z621" s="74">
        <f t="shared" si="264"/>
        <v>5756</v>
      </c>
      <c r="AA621" s="74"/>
      <c r="AB621" s="74"/>
      <c r="AC621" s="74"/>
      <c r="AD621" s="74">
        <f t="shared" si="265"/>
        <v>5756</v>
      </c>
      <c r="AE621" s="74">
        <f t="shared" si="266"/>
        <v>22139.155390885957</v>
      </c>
      <c r="AF621" s="52">
        <f t="shared" si="267"/>
        <v>107883.36000000002</v>
      </c>
      <c r="AG621" s="52">
        <f t="shared" si="268"/>
        <v>134854.20000000001</v>
      </c>
    </row>
    <row r="622" spans="1:33" s="21" customFormat="1" x14ac:dyDescent="0.2">
      <c r="A622" s="114" t="s">
        <v>536</v>
      </c>
      <c r="B622" s="114"/>
      <c r="C622" s="114"/>
      <c r="D622" s="160">
        <v>1</v>
      </c>
      <c r="E622" s="161"/>
      <c r="F622" s="162">
        <v>0.2</v>
      </c>
      <c r="G622" s="162"/>
      <c r="H622" s="52">
        <v>17379</v>
      </c>
      <c r="I622" s="52">
        <f t="shared" ref="I622:I685" si="269">+$H$39*H622</f>
        <v>15363.036</v>
      </c>
      <c r="J622" s="52">
        <f t="shared" ref="J622:J685" si="270">I622*(1-F622)</f>
        <v>12290.428800000002</v>
      </c>
      <c r="K622" s="61"/>
      <c r="L622" s="160">
        <v>0</v>
      </c>
      <c r="M622" s="55">
        <f t="shared" ref="M622:M685" si="271">+$L$39*L622</f>
        <v>0</v>
      </c>
      <c r="N622" s="55">
        <f t="shared" ref="N622:N685" si="272">M622*(1-F622)</f>
        <v>0</v>
      </c>
      <c r="O622" s="95"/>
      <c r="P622" s="160">
        <v>0</v>
      </c>
      <c r="Q622" s="55">
        <f t="shared" ref="Q622:Q685" si="273">+P622*$P$39</f>
        <v>0</v>
      </c>
      <c r="R622" s="65">
        <f t="shared" ref="R622:R685" si="274">Q622*(1-F622)</f>
        <v>0</v>
      </c>
      <c r="S622" s="118">
        <v>25</v>
      </c>
      <c r="T622" s="121" t="s">
        <v>201</v>
      </c>
      <c r="U622" s="73">
        <f>SUMIF('Avoided Costs 2013-2021'!$A:$A,'2013 Actuals'!T622&amp;'2013 Actuals'!S622,'Avoided Costs 2013-2021'!$E:$E)*J622</f>
        <v>38556.828340417123</v>
      </c>
      <c r="V622" s="73">
        <f>SUMIF('Avoided Costs 2013-2021'!$A:$A,'2013 Actuals'!T622&amp;'2013 Actuals'!S622,'Avoided Costs 2013-2021'!$K:$K)*N622</f>
        <v>0</v>
      </c>
      <c r="W622" s="73">
        <f>SUMIF('Avoided Costs 2013-2021'!$A:$A,'2013 Actuals'!T622&amp;'2013 Actuals'!S622,'Avoided Costs 2013-2021'!$M:$M)*R622</f>
        <v>0</v>
      </c>
      <c r="X622" s="73">
        <f t="shared" ref="X622:X685" si="275">SUM(U622:W622)</f>
        <v>38556.828340417123</v>
      </c>
      <c r="Y622" s="83">
        <v>2484</v>
      </c>
      <c r="Z622" s="74">
        <f t="shared" ref="Z622:Z685" si="276">Y622*(1-F622)</f>
        <v>1987.2</v>
      </c>
      <c r="AA622" s="74"/>
      <c r="AB622" s="74"/>
      <c r="AC622" s="74"/>
      <c r="AD622" s="74">
        <f t="shared" ref="AD622:AD685" si="277">Z622+AB622</f>
        <v>1987.2</v>
      </c>
      <c r="AE622" s="74">
        <f t="shared" ref="AE622:AE685" si="278">X622-AD622</f>
        <v>36569.628340417126</v>
      </c>
      <c r="AF622" s="52">
        <f t="shared" ref="AF622:AF685" si="279">J622*S622</f>
        <v>307260.72000000003</v>
      </c>
      <c r="AG622" s="52">
        <f t="shared" ref="AG622:AG685" si="280">(I622*S622)</f>
        <v>384075.9</v>
      </c>
    </row>
    <row r="623" spans="1:33" s="21" customFormat="1" x14ac:dyDescent="0.2">
      <c r="A623" s="114" t="s">
        <v>537</v>
      </c>
      <c r="B623" s="114"/>
      <c r="C623" s="114"/>
      <c r="D623" s="160">
        <v>1</v>
      </c>
      <c r="E623" s="161"/>
      <c r="F623" s="162">
        <v>0.2</v>
      </c>
      <c r="G623" s="162"/>
      <c r="H623" s="52">
        <v>258824</v>
      </c>
      <c r="I623" s="52">
        <f t="shared" si="269"/>
        <v>228800.416</v>
      </c>
      <c r="J623" s="52">
        <f t="shared" si="270"/>
        <v>183040.3328</v>
      </c>
      <c r="K623" s="61"/>
      <c r="L623" s="160">
        <v>0</v>
      </c>
      <c r="M623" s="55">
        <f t="shared" si="271"/>
        <v>0</v>
      </c>
      <c r="N623" s="55">
        <f t="shared" si="272"/>
        <v>0</v>
      </c>
      <c r="O623" s="95"/>
      <c r="P623" s="160">
        <v>0</v>
      </c>
      <c r="Q623" s="55">
        <f t="shared" si="273"/>
        <v>0</v>
      </c>
      <c r="R623" s="65">
        <f t="shared" si="274"/>
        <v>0</v>
      </c>
      <c r="S623" s="118">
        <v>25</v>
      </c>
      <c r="T623" s="121" t="s">
        <v>201</v>
      </c>
      <c r="U623" s="73">
        <f>SUMIF('Avoided Costs 2013-2021'!$A:$A,'2013 Actuals'!T623&amp;'2013 Actuals'!S623,'Avoided Costs 2013-2021'!$E:$E)*J623</f>
        <v>574223.63417803787</v>
      </c>
      <c r="V623" s="73">
        <f>SUMIF('Avoided Costs 2013-2021'!$A:$A,'2013 Actuals'!T623&amp;'2013 Actuals'!S623,'Avoided Costs 2013-2021'!$K:$K)*N623</f>
        <v>0</v>
      </c>
      <c r="W623" s="73">
        <f>SUMIF('Avoided Costs 2013-2021'!$A:$A,'2013 Actuals'!T623&amp;'2013 Actuals'!S623,'Avoided Costs 2013-2021'!$M:$M)*R623</f>
        <v>0</v>
      </c>
      <c r="X623" s="73">
        <f t="shared" si="275"/>
        <v>574223.63417803787</v>
      </c>
      <c r="Y623" s="83">
        <v>16308</v>
      </c>
      <c r="Z623" s="74">
        <f t="shared" si="276"/>
        <v>13046.400000000001</v>
      </c>
      <c r="AA623" s="74"/>
      <c r="AB623" s="74"/>
      <c r="AC623" s="74"/>
      <c r="AD623" s="74">
        <f t="shared" si="277"/>
        <v>13046.400000000001</v>
      </c>
      <c r="AE623" s="74">
        <f t="shared" si="278"/>
        <v>561177.23417803785</v>
      </c>
      <c r="AF623" s="52">
        <f t="shared" si="279"/>
        <v>4576008.32</v>
      </c>
      <c r="AG623" s="52">
        <f t="shared" si="280"/>
        <v>5720010.4000000004</v>
      </c>
    </row>
    <row r="624" spans="1:33" s="21" customFormat="1" x14ac:dyDescent="0.2">
      <c r="A624" s="114" t="s">
        <v>538</v>
      </c>
      <c r="B624" s="114"/>
      <c r="C624" s="114"/>
      <c r="D624" s="160">
        <v>0</v>
      </c>
      <c r="E624" s="161"/>
      <c r="F624" s="162">
        <v>0.2</v>
      </c>
      <c r="G624" s="162"/>
      <c r="H624" s="52">
        <v>3204</v>
      </c>
      <c r="I624" s="52">
        <f t="shared" si="269"/>
        <v>2832.3360000000002</v>
      </c>
      <c r="J624" s="52">
        <f t="shared" si="270"/>
        <v>2265.8688000000002</v>
      </c>
      <c r="K624" s="61"/>
      <c r="L624" s="160">
        <v>0</v>
      </c>
      <c r="M624" s="55">
        <f t="shared" si="271"/>
        <v>0</v>
      </c>
      <c r="N624" s="55">
        <f t="shared" si="272"/>
        <v>0</v>
      </c>
      <c r="O624" s="95"/>
      <c r="P624" s="160">
        <v>0</v>
      </c>
      <c r="Q624" s="55">
        <f t="shared" si="273"/>
        <v>0</v>
      </c>
      <c r="R624" s="65">
        <f t="shared" si="274"/>
        <v>0</v>
      </c>
      <c r="S624" s="118">
        <v>15</v>
      </c>
      <c r="T624" s="121" t="s">
        <v>201</v>
      </c>
      <c r="U624" s="73">
        <f>SUMIF('Avoided Costs 2013-2021'!$A:$A,'2013 Actuals'!T624&amp;'2013 Actuals'!S624,'Avoided Costs 2013-2021'!$E:$E)*J624</f>
        <v>5063.9053281980459</v>
      </c>
      <c r="V624" s="73">
        <f>SUMIF('Avoided Costs 2013-2021'!$A:$A,'2013 Actuals'!T624&amp;'2013 Actuals'!S624,'Avoided Costs 2013-2021'!$K:$K)*N624</f>
        <v>0</v>
      </c>
      <c r="W624" s="73">
        <f>SUMIF('Avoided Costs 2013-2021'!$A:$A,'2013 Actuals'!T624&amp;'2013 Actuals'!S624,'Avoided Costs 2013-2021'!$M:$M)*R624</f>
        <v>0</v>
      </c>
      <c r="X624" s="73">
        <f t="shared" si="275"/>
        <v>5063.9053281980459</v>
      </c>
      <c r="Y624" s="83">
        <v>3695</v>
      </c>
      <c r="Z624" s="74">
        <f t="shared" si="276"/>
        <v>2956</v>
      </c>
      <c r="AA624" s="74"/>
      <c r="AB624" s="74"/>
      <c r="AC624" s="74"/>
      <c r="AD624" s="74">
        <f t="shared" si="277"/>
        <v>2956</v>
      </c>
      <c r="AE624" s="74">
        <f t="shared" si="278"/>
        <v>2107.9053281980459</v>
      </c>
      <c r="AF624" s="52">
        <f t="shared" si="279"/>
        <v>33988.032000000007</v>
      </c>
      <c r="AG624" s="52">
        <f t="shared" si="280"/>
        <v>42485.04</v>
      </c>
    </row>
    <row r="625" spans="1:33" s="21" customFormat="1" x14ac:dyDescent="0.2">
      <c r="A625" s="114" t="s">
        <v>539</v>
      </c>
      <c r="B625" s="114"/>
      <c r="C625" s="114"/>
      <c r="D625" s="160">
        <v>1</v>
      </c>
      <c r="E625" s="161"/>
      <c r="F625" s="162">
        <v>0.2</v>
      </c>
      <c r="G625" s="162"/>
      <c r="H625" s="52">
        <v>4261</v>
      </c>
      <c r="I625" s="52">
        <f t="shared" si="269"/>
        <v>3766.7240000000002</v>
      </c>
      <c r="J625" s="52">
        <f t="shared" si="270"/>
        <v>3013.3792000000003</v>
      </c>
      <c r="K625" s="61"/>
      <c r="L625" s="160">
        <v>0</v>
      </c>
      <c r="M625" s="55">
        <f t="shared" si="271"/>
        <v>0</v>
      </c>
      <c r="N625" s="55">
        <f t="shared" si="272"/>
        <v>0</v>
      </c>
      <c r="O625" s="95"/>
      <c r="P625" s="160">
        <v>0</v>
      </c>
      <c r="Q625" s="55">
        <f t="shared" si="273"/>
        <v>0</v>
      </c>
      <c r="R625" s="65">
        <f t="shared" si="274"/>
        <v>0</v>
      </c>
      <c r="S625" s="118">
        <v>15</v>
      </c>
      <c r="T625" s="121" t="s">
        <v>217</v>
      </c>
      <c r="U625" s="73">
        <f>SUMIF('Avoided Costs 2013-2021'!$A:$A,'2013 Actuals'!T625&amp;'2013 Actuals'!S625,'Avoided Costs 2013-2021'!$E:$E)*J625</f>
        <v>6321.381851332324</v>
      </c>
      <c r="V625" s="73">
        <f>SUMIF('Avoided Costs 2013-2021'!$A:$A,'2013 Actuals'!T625&amp;'2013 Actuals'!S625,'Avoided Costs 2013-2021'!$K:$K)*N625</f>
        <v>0</v>
      </c>
      <c r="W625" s="73">
        <f>SUMIF('Avoided Costs 2013-2021'!$A:$A,'2013 Actuals'!T625&amp;'2013 Actuals'!S625,'Avoided Costs 2013-2021'!$M:$M)*R625</f>
        <v>0</v>
      </c>
      <c r="X625" s="73">
        <f t="shared" si="275"/>
        <v>6321.381851332324</v>
      </c>
      <c r="Y625" s="83">
        <v>3295</v>
      </c>
      <c r="Z625" s="74">
        <f t="shared" si="276"/>
        <v>2636</v>
      </c>
      <c r="AA625" s="74"/>
      <c r="AB625" s="74"/>
      <c r="AC625" s="74"/>
      <c r="AD625" s="74">
        <f t="shared" si="277"/>
        <v>2636</v>
      </c>
      <c r="AE625" s="74">
        <f t="shared" si="278"/>
        <v>3685.381851332324</v>
      </c>
      <c r="AF625" s="52">
        <f t="shared" si="279"/>
        <v>45200.688000000002</v>
      </c>
      <c r="AG625" s="52">
        <f t="shared" si="280"/>
        <v>56500.86</v>
      </c>
    </row>
    <row r="626" spans="1:33" s="21" customFormat="1" x14ac:dyDescent="0.2">
      <c r="A626" s="114" t="s">
        <v>540</v>
      </c>
      <c r="B626" s="114"/>
      <c r="C626" s="114"/>
      <c r="D626" s="160">
        <v>1</v>
      </c>
      <c r="E626" s="161"/>
      <c r="F626" s="162">
        <v>0.2</v>
      </c>
      <c r="G626" s="162"/>
      <c r="H626" s="52">
        <v>36589</v>
      </c>
      <c r="I626" s="52">
        <f t="shared" si="269"/>
        <v>32344.675999999999</v>
      </c>
      <c r="J626" s="52">
        <f t="shared" si="270"/>
        <v>25875.7408</v>
      </c>
      <c r="K626" s="61"/>
      <c r="L626" s="160">
        <v>0</v>
      </c>
      <c r="M626" s="55">
        <f t="shared" si="271"/>
        <v>0</v>
      </c>
      <c r="N626" s="55">
        <f t="shared" si="272"/>
        <v>0</v>
      </c>
      <c r="O626" s="95"/>
      <c r="P626" s="160">
        <v>0</v>
      </c>
      <c r="Q626" s="55">
        <f t="shared" si="273"/>
        <v>0</v>
      </c>
      <c r="R626" s="65">
        <f t="shared" si="274"/>
        <v>0</v>
      </c>
      <c r="S626" s="118">
        <v>15</v>
      </c>
      <c r="T626" s="121" t="s">
        <v>201</v>
      </c>
      <c r="U626" s="73">
        <f>SUMIF('Avoided Costs 2013-2021'!$A:$A,'2013 Actuals'!T626&amp;'2013 Actuals'!S626,'Avoided Costs 2013-2021'!$E:$E)*J626</f>
        <v>57828.724111560012</v>
      </c>
      <c r="V626" s="73">
        <f>SUMIF('Avoided Costs 2013-2021'!$A:$A,'2013 Actuals'!T626&amp;'2013 Actuals'!S626,'Avoided Costs 2013-2021'!$K:$K)*N626</f>
        <v>0</v>
      </c>
      <c r="W626" s="73">
        <f>SUMIF('Avoided Costs 2013-2021'!$A:$A,'2013 Actuals'!T626&amp;'2013 Actuals'!S626,'Avoided Costs 2013-2021'!$M:$M)*R626</f>
        <v>0</v>
      </c>
      <c r="X626" s="73">
        <f t="shared" si="275"/>
        <v>57828.724111560012</v>
      </c>
      <c r="Y626" s="83">
        <v>16840</v>
      </c>
      <c r="Z626" s="74">
        <f t="shared" si="276"/>
        <v>13472</v>
      </c>
      <c r="AA626" s="74"/>
      <c r="AB626" s="74"/>
      <c r="AC626" s="74"/>
      <c r="AD626" s="74">
        <f t="shared" si="277"/>
        <v>13472</v>
      </c>
      <c r="AE626" s="74">
        <f t="shared" si="278"/>
        <v>44356.724111560012</v>
      </c>
      <c r="AF626" s="52">
        <f t="shared" si="279"/>
        <v>388136.11199999996</v>
      </c>
      <c r="AG626" s="52">
        <f t="shared" si="280"/>
        <v>485170.14</v>
      </c>
    </row>
    <row r="627" spans="1:33" s="21" customFormat="1" x14ac:dyDescent="0.2">
      <c r="A627" s="114" t="s">
        <v>541</v>
      </c>
      <c r="B627" s="114"/>
      <c r="C627" s="114"/>
      <c r="D627" s="160">
        <v>1</v>
      </c>
      <c r="E627" s="161"/>
      <c r="F627" s="162">
        <v>0.2</v>
      </c>
      <c r="G627" s="162"/>
      <c r="H627" s="52">
        <v>11076</v>
      </c>
      <c r="I627" s="52">
        <f t="shared" si="269"/>
        <v>9791.1839999999993</v>
      </c>
      <c r="J627" s="52">
        <f t="shared" si="270"/>
        <v>7832.9471999999996</v>
      </c>
      <c r="K627" s="61"/>
      <c r="L627" s="160">
        <v>0</v>
      </c>
      <c r="M627" s="55">
        <f t="shared" si="271"/>
        <v>0</v>
      </c>
      <c r="N627" s="55">
        <f t="shared" si="272"/>
        <v>0</v>
      </c>
      <c r="O627" s="95"/>
      <c r="P627" s="160">
        <v>0</v>
      </c>
      <c r="Q627" s="55">
        <f t="shared" si="273"/>
        <v>0</v>
      </c>
      <c r="R627" s="65">
        <f t="shared" si="274"/>
        <v>0</v>
      </c>
      <c r="S627" s="118">
        <v>25</v>
      </c>
      <c r="T627" s="121" t="s">
        <v>201</v>
      </c>
      <c r="U627" s="73">
        <f>SUMIF('Avoided Costs 2013-2021'!$A:$A,'2013 Actuals'!T627&amp;'2013 Actuals'!S627,'Avoided Costs 2013-2021'!$E:$E)*J627</f>
        <v>24573.072714106678</v>
      </c>
      <c r="V627" s="73">
        <f>SUMIF('Avoided Costs 2013-2021'!$A:$A,'2013 Actuals'!T627&amp;'2013 Actuals'!S627,'Avoided Costs 2013-2021'!$K:$K)*N627</f>
        <v>0</v>
      </c>
      <c r="W627" s="73">
        <f>SUMIF('Avoided Costs 2013-2021'!$A:$A,'2013 Actuals'!T627&amp;'2013 Actuals'!S627,'Avoided Costs 2013-2021'!$M:$M)*R627</f>
        <v>0</v>
      </c>
      <c r="X627" s="73">
        <f t="shared" si="275"/>
        <v>24573.072714106678</v>
      </c>
      <c r="Y627" s="83">
        <v>3505</v>
      </c>
      <c r="Z627" s="74">
        <f t="shared" si="276"/>
        <v>2804</v>
      </c>
      <c r="AA627" s="74"/>
      <c r="AB627" s="74"/>
      <c r="AC627" s="74"/>
      <c r="AD627" s="74">
        <f t="shared" si="277"/>
        <v>2804</v>
      </c>
      <c r="AE627" s="74">
        <f t="shared" si="278"/>
        <v>21769.072714106678</v>
      </c>
      <c r="AF627" s="52">
        <f t="shared" si="279"/>
        <v>195823.68</v>
      </c>
      <c r="AG627" s="52">
        <f t="shared" si="280"/>
        <v>244779.59999999998</v>
      </c>
    </row>
    <row r="628" spans="1:33" s="21" customFormat="1" x14ac:dyDescent="0.2">
      <c r="A628" s="114" t="s">
        <v>542</v>
      </c>
      <c r="B628" s="114"/>
      <c r="C628" s="114"/>
      <c r="D628" s="160">
        <v>1</v>
      </c>
      <c r="E628" s="161"/>
      <c r="F628" s="162">
        <v>0.2</v>
      </c>
      <c r="G628" s="162"/>
      <c r="H628" s="52">
        <v>12306</v>
      </c>
      <c r="I628" s="52">
        <f>H628</f>
        <v>12306</v>
      </c>
      <c r="J628" s="52">
        <f t="shared" si="270"/>
        <v>9844.8000000000011</v>
      </c>
      <c r="K628" s="61"/>
      <c r="L628" s="160">
        <v>0</v>
      </c>
      <c r="M628" s="55">
        <f t="shared" si="271"/>
        <v>0</v>
      </c>
      <c r="N628" s="55">
        <f t="shared" si="272"/>
        <v>0</v>
      </c>
      <c r="O628" s="95"/>
      <c r="P628" s="160">
        <v>0</v>
      </c>
      <c r="Q628" s="55">
        <f t="shared" si="273"/>
        <v>0</v>
      </c>
      <c r="R628" s="65">
        <f t="shared" si="274"/>
        <v>0</v>
      </c>
      <c r="S628" s="118">
        <v>25</v>
      </c>
      <c r="T628" s="121" t="s">
        <v>217</v>
      </c>
      <c r="U628" s="73">
        <f>SUMIF('Avoided Costs 2013-2021'!$A:$A,'2013 Actuals'!T628&amp;'2013 Actuals'!S628,'Avoided Costs 2013-2021'!$E:$E)*J628</f>
        <v>28983.788755303722</v>
      </c>
      <c r="V628" s="73">
        <f>SUMIF('Avoided Costs 2013-2021'!$A:$A,'2013 Actuals'!T628&amp;'2013 Actuals'!S628,'Avoided Costs 2013-2021'!$K:$K)*N628</f>
        <v>0</v>
      </c>
      <c r="W628" s="73">
        <f>SUMIF('Avoided Costs 2013-2021'!$A:$A,'2013 Actuals'!T628&amp;'2013 Actuals'!S628,'Avoided Costs 2013-2021'!$M:$M)*R628</f>
        <v>0</v>
      </c>
      <c r="X628" s="73">
        <f t="shared" si="275"/>
        <v>28983.788755303722</v>
      </c>
      <c r="Y628" s="83">
        <v>24000</v>
      </c>
      <c r="Z628" s="74">
        <f t="shared" si="276"/>
        <v>19200</v>
      </c>
      <c r="AA628" s="74"/>
      <c r="AB628" s="74"/>
      <c r="AC628" s="74"/>
      <c r="AD628" s="74">
        <f t="shared" si="277"/>
        <v>19200</v>
      </c>
      <c r="AE628" s="74">
        <f t="shared" si="278"/>
        <v>9783.7887553037217</v>
      </c>
      <c r="AF628" s="52">
        <f t="shared" si="279"/>
        <v>246120.00000000003</v>
      </c>
      <c r="AG628" s="52">
        <f t="shared" si="280"/>
        <v>307650</v>
      </c>
    </row>
    <row r="629" spans="1:33" s="21" customFormat="1" x14ac:dyDescent="0.2">
      <c r="A629" s="114" t="s">
        <v>543</v>
      </c>
      <c r="B629" s="114"/>
      <c r="C629" s="114"/>
      <c r="D629" s="160">
        <v>0</v>
      </c>
      <c r="E629" s="161"/>
      <c r="F629" s="162">
        <v>0.2</v>
      </c>
      <c r="G629" s="162"/>
      <c r="H629" s="52">
        <v>3317</v>
      </c>
      <c r="I629" s="52">
        <f t="shared" si="269"/>
        <v>2932.2280000000001</v>
      </c>
      <c r="J629" s="52">
        <f t="shared" si="270"/>
        <v>2345.7824000000001</v>
      </c>
      <c r="K629" s="61"/>
      <c r="L629" s="160">
        <v>0</v>
      </c>
      <c r="M629" s="55">
        <f t="shared" si="271"/>
        <v>0</v>
      </c>
      <c r="N629" s="55">
        <f t="shared" si="272"/>
        <v>0</v>
      </c>
      <c r="O629" s="95"/>
      <c r="P629" s="160">
        <v>0</v>
      </c>
      <c r="Q629" s="55">
        <f t="shared" si="273"/>
        <v>0</v>
      </c>
      <c r="R629" s="65">
        <f t="shared" si="274"/>
        <v>0</v>
      </c>
      <c r="S629" s="118">
        <v>25</v>
      </c>
      <c r="T629" s="121" t="s">
        <v>217</v>
      </c>
      <c r="U629" s="73">
        <f>SUMIF('Avoided Costs 2013-2021'!$A:$A,'2013 Actuals'!T629&amp;'2013 Actuals'!S629,'Avoided Costs 2013-2021'!$E:$E)*J629</f>
        <v>6906.149596488438</v>
      </c>
      <c r="V629" s="73">
        <f>SUMIF('Avoided Costs 2013-2021'!$A:$A,'2013 Actuals'!T629&amp;'2013 Actuals'!S629,'Avoided Costs 2013-2021'!$K:$K)*N629</f>
        <v>0</v>
      </c>
      <c r="W629" s="73">
        <f>SUMIF('Avoided Costs 2013-2021'!$A:$A,'2013 Actuals'!T629&amp;'2013 Actuals'!S629,'Avoided Costs 2013-2021'!$M:$M)*R629</f>
        <v>0</v>
      </c>
      <c r="X629" s="73">
        <f t="shared" si="275"/>
        <v>6906.149596488438</v>
      </c>
      <c r="Y629" s="83">
        <v>7881</v>
      </c>
      <c r="Z629" s="74">
        <f t="shared" si="276"/>
        <v>6304.8</v>
      </c>
      <c r="AA629" s="74"/>
      <c r="AB629" s="74"/>
      <c r="AC629" s="74"/>
      <c r="AD629" s="74">
        <f t="shared" si="277"/>
        <v>6304.8</v>
      </c>
      <c r="AE629" s="74">
        <f t="shared" si="278"/>
        <v>601.34959648843778</v>
      </c>
      <c r="AF629" s="52">
        <f t="shared" si="279"/>
        <v>58644.56</v>
      </c>
      <c r="AG629" s="52">
        <f t="shared" si="280"/>
        <v>73305.7</v>
      </c>
    </row>
    <row r="630" spans="1:33" s="21" customFormat="1" x14ac:dyDescent="0.2">
      <c r="A630" s="114" t="s">
        <v>544</v>
      </c>
      <c r="B630" s="114"/>
      <c r="C630" s="114"/>
      <c r="D630" s="160">
        <v>1</v>
      </c>
      <c r="E630" s="161"/>
      <c r="F630" s="162">
        <v>0.2</v>
      </c>
      <c r="G630" s="162"/>
      <c r="H630" s="52">
        <v>8574</v>
      </c>
      <c r="I630" s="52">
        <f t="shared" si="269"/>
        <v>7579.4160000000002</v>
      </c>
      <c r="J630" s="52">
        <f t="shared" si="270"/>
        <v>6063.5328000000009</v>
      </c>
      <c r="K630" s="61"/>
      <c r="L630" s="160">
        <v>0</v>
      </c>
      <c r="M630" s="55">
        <f t="shared" si="271"/>
        <v>0</v>
      </c>
      <c r="N630" s="55">
        <f t="shared" si="272"/>
        <v>0</v>
      </c>
      <c r="O630" s="95"/>
      <c r="P630" s="160">
        <v>0</v>
      </c>
      <c r="Q630" s="55">
        <f t="shared" si="273"/>
        <v>0</v>
      </c>
      <c r="R630" s="65">
        <f t="shared" si="274"/>
        <v>0</v>
      </c>
      <c r="S630" s="118">
        <v>25</v>
      </c>
      <c r="T630" s="121" t="s">
        <v>201</v>
      </c>
      <c r="U630" s="73">
        <f>SUMIF('Avoided Costs 2013-2021'!$A:$A,'2013 Actuals'!T630&amp;'2013 Actuals'!S630,'Avoided Costs 2013-2021'!$E:$E)*J630</f>
        <v>19022.167339359941</v>
      </c>
      <c r="V630" s="73">
        <f>SUMIF('Avoided Costs 2013-2021'!$A:$A,'2013 Actuals'!T630&amp;'2013 Actuals'!S630,'Avoided Costs 2013-2021'!$K:$K)*N630</f>
        <v>0</v>
      </c>
      <c r="W630" s="73">
        <f>SUMIF('Avoided Costs 2013-2021'!$A:$A,'2013 Actuals'!T630&amp;'2013 Actuals'!S630,'Avoided Costs 2013-2021'!$M:$M)*R630</f>
        <v>0</v>
      </c>
      <c r="X630" s="73">
        <f t="shared" si="275"/>
        <v>19022.167339359941</v>
      </c>
      <c r="Y630" s="83">
        <v>11307</v>
      </c>
      <c r="Z630" s="74">
        <f t="shared" si="276"/>
        <v>9045.6</v>
      </c>
      <c r="AA630" s="74"/>
      <c r="AB630" s="74"/>
      <c r="AC630" s="74"/>
      <c r="AD630" s="74">
        <f t="shared" si="277"/>
        <v>9045.6</v>
      </c>
      <c r="AE630" s="74">
        <f t="shared" si="278"/>
        <v>9976.5673393599409</v>
      </c>
      <c r="AF630" s="52">
        <f t="shared" si="279"/>
        <v>151588.32</v>
      </c>
      <c r="AG630" s="52">
        <f t="shared" si="280"/>
        <v>189485.4</v>
      </c>
    </row>
    <row r="631" spans="1:33" s="21" customFormat="1" x14ac:dyDescent="0.2">
      <c r="A631" s="114" t="s">
        <v>545</v>
      </c>
      <c r="B631" s="114"/>
      <c r="C631" s="114"/>
      <c r="D631" s="160">
        <v>1</v>
      </c>
      <c r="E631" s="161"/>
      <c r="F631" s="162">
        <v>0.2</v>
      </c>
      <c r="G631" s="162"/>
      <c r="H631" s="52">
        <v>3076</v>
      </c>
      <c r="I631" s="52">
        <f t="shared" ref="I631:I632" si="281">H631</f>
        <v>3076</v>
      </c>
      <c r="J631" s="52">
        <f t="shared" si="270"/>
        <v>2460.8000000000002</v>
      </c>
      <c r="K631" s="61"/>
      <c r="L631" s="160">
        <v>0</v>
      </c>
      <c r="M631" s="55">
        <f t="shared" si="271"/>
        <v>0</v>
      </c>
      <c r="N631" s="55">
        <f t="shared" si="272"/>
        <v>0</v>
      </c>
      <c r="O631" s="95"/>
      <c r="P631" s="160">
        <v>0</v>
      </c>
      <c r="Q631" s="55">
        <f t="shared" si="273"/>
        <v>0</v>
      </c>
      <c r="R631" s="65">
        <f t="shared" si="274"/>
        <v>0</v>
      </c>
      <c r="S631" s="118">
        <v>25</v>
      </c>
      <c r="T631" s="121" t="s">
        <v>217</v>
      </c>
      <c r="U631" s="73">
        <f>SUMIF('Avoided Costs 2013-2021'!$A:$A,'2013 Actuals'!T631&amp;'2013 Actuals'!S631,'Avoided Costs 2013-2021'!$E:$E)*J631</f>
        <v>7244.7695604838491</v>
      </c>
      <c r="V631" s="73">
        <f>SUMIF('Avoided Costs 2013-2021'!$A:$A,'2013 Actuals'!T631&amp;'2013 Actuals'!S631,'Avoided Costs 2013-2021'!$K:$K)*N631</f>
        <v>0</v>
      </c>
      <c r="W631" s="73">
        <f>SUMIF('Avoided Costs 2013-2021'!$A:$A,'2013 Actuals'!T631&amp;'2013 Actuals'!S631,'Avoided Costs 2013-2021'!$M:$M)*R631</f>
        <v>0</v>
      </c>
      <c r="X631" s="73">
        <f t="shared" si="275"/>
        <v>7244.7695604838491</v>
      </c>
      <c r="Y631" s="83">
        <v>6000</v>
      </c>
      <c r="Z631" s="74">
        <f t="shared" si="276"/>
        <v>4800</v>
      </c>
      <c r="AA631" s="74"/>
      <c r="AB631" s="74"/>
      <c r="AC631" s="74"/>
      <c r="AD631" s="74">
        <f t="shared" si="277"/>
        <v>4800</v>
      </c>
      <c r="AE631" s="74">
        <f t="shared" si="278"/>
        <v>2444.7695604838491</v>
      </c>
      <c r="AF631" s="52">
        <f t="shared" si="279"/>
        <v>61520.000000000007</v>
      </c>
      <c r="AG631" s="52">
        <f t="shared" si="280"/>
        <v>76900</v>
      </c>
    </row>
    <row r="632" spans="1:33" s="21" customFormat="1" x14ac:dyDescent="0.2">
      <c r="A632" s="116" t="s">
        <v>546</v>
      </c>
      <c r="B632" s="116"/>
      <c r="C632" s="116"/>
      <c r="D632" s="151">
        <v>1</v>
      </c>
      <c r="E632" s="152"/>
      <c r="F632" s="153">
        <v>0.2</v>
      </c>
      <c r="G632" s="153"/>
      <c r="H632" s="52">
        <v>3721</v>
      </c>
      <c r="I632" s="52">
        <f t="shared" si="281"/>
        <v>3721</v>
      </c>
      <c r="J632" s="52">
        <f t="shared" si="270"/>
        <v>2976.8</v>
      </c>
      <c r="K632" s="152"/>
      <c r="L632" s="151">
        <v>0</v>
      </c>
      <c r="M632" s="55">
        <f t="shared" si="271"/>
        <v>0</v>
      </c>
      <c r="N632" s="55">
        <f t="shared" si="272"/>
        <v>0</v>
      </c>
      <c r="O632" s="154"/>
      <c r="P632" s="151">
        <v>0</v>
      </c>
      <c r="Q632" s="55">
        <f t="shared" si="273"/>
        <v>0</v>
      </c>
      <c r="R632" s="65">
        <f t="shared" si="274"/>
        <v>0</v>
      </c>
      <c r="S632" s="129">
        <v>25</v>
      </c>
      <c r="T632" s="123" t="s">
        <v>217</v>
      </c>
      <c r="U632" s="73">
        <f>SUMIF('Avoided Costs 2013-2021'!$A:$A,'2013 Actuals'!T632&amp;'2013 Actuals'!S632,'Avoided Costs 2013-2021'!$E:$E)*J632</f>
        <v>8763.9101217686602</v>
      </c>
      <c r="V632" s="73">
        <f>SUMIF('Avoided Costs 2013-2021'!$A:$A,'2013 Actuals'!T632&amp;'2013 Actuals'!S632,'Avoided Costs 2013-2021'!$K:$K)*N632</f>
        <v>0</v>
      </c>
      <c r="W632" s="73">
        <f>SUMIF('Avoided Costs 2013-2021'!$A:$A,'2013 Actuals'!T632&amp;'2013 Actuals'!S632,'Avoided Costs 2013-2021'!$M:$M)*R632</f>
        <v>0</v>
      </c>
      <c r="X632" s="73">
        <f t="shared" si="275"/>
        <v>8763.9101217686602</v>
      </c>
      <c r="Y632" s="83">
        <v>9000</v>
      </c>
      <c r="Z632" s="74">
        <f t="shared" si="276"/>
        <v>7200</v>
      </c>
      <c r="AA632" s="74"/>
      <c r="AB632" s="74"/>
      <c r="AC632" s="74"/>
      <c r="AD632" s="74">
        <f t="shared" si="277"/>
        <v>7200</v>
      </c>
      <c r="AE632" s="74">
        <f t="shared" si="278"/>
        <v>1563.9101217686602</v>
      </c>
      <c r="AF632" s="52">
        <f t="shared" si="279"/>
        <v>74420</v>
      </c>
      <c r="AG632" s="52">
        <f t="shared" si="280"/>
        <v>93025</v>
      </c>
    </row>
    <row r="633" spans="1:33" s="21" customFormat="1" x14ac:dyDescent="0.2">
      <c r="A633" s="116" t="s">
        <v>547</v>
      </c>
      <c r="B633" s="116"/>
      <c r="C633" s="116"/>
      <c r="D633" s="151">
        <v>1</v>
      </c>
      <c r="E633" s="152"/>
      <c r="F633" s="153">
        <v>0.2</v>
      </c>
      <c r="G633" s="153"/>
      <c r="H633" s="52">
        <v>17293</v>
      </c>
      <c r="I633" s="52">
        <f t="shared" si="269"/>
        <v>15287.012000000001</v>
      </c>
      <c r="J633" s="52">
        <f t="shared" si="270"/>
        <v>12229.609600000002</v>
      </c>
      <c r="K633" s="152"/>
      <c r="L633" s="151">
        <v>0</v>
      </c>
      <c r="M633" s="55">
        <f t="shared" si="271"/>
        <v>0</v>
      </c>
      <c r="N633" s="55">
        <f t="shared" si="272"/>
        <v>0</v>
      </c>
      <c r="O633" s="154"/>
      <c r="P633" s="151">
        <v>0</v>
      </c>
      <c r="Q633" s="55">
        <f t="shared" si="273"/>
        <v>0</v>
      </c>
      <c r="R633" s="65">
        <f t="shared" si="274"/>
        <v>0</v>
      </c>
      <c r="S633" s="129">
        <v>25</v>
      </c>
      <c r="T633" s="123" t="s">
        <v>201</v>
      </c>
      <c r="U633" s="73">
        <f>SUMIF('Avoided Costs 2013-2021'!$A:$A,'2013 Actuals'!T633&amp;'2013 Actuals'!S633,'Avoided Costs 2013-2021'!$E:$E)*J633</f>
        <v>38366.029834330708</v>
      </c>
      <c r="V633" s="73">
        <f>SUMIF('Avoided Costs 2013-2021'!$A:$A,'2013 Actuals'!T633&amp;'2013 Actuals'!S633,'Avoided Costs 2013-2021'!$K:$K)*N633</f>
        <v>0</v>
      </c>
      <c r="W633" s="73">
        <f>SUMIF('Avoided Costs 2013-2021'!$A:$A,'2013 Actuals'!T633&amp;'2013 Actuals'!S633,'Avoided Costs 2013-2021'!$M:$M)*R633</f>
        <v>0</v>
      </c>
      <c r="X633" s="73">
        <f t="shared" si="275"/>
        <v>38366.029834330708</v>
      </c>
      <c r="Y633" s="83">
        <v>11665</v>
      </c>
      <c r="Z633" s="74">
        <f t="shared" si="276"/>
        <v>9332</v>
      </c>
      <c r="AA633" s="74"/>
      <c r="AB633" s="74"/>
      <c r="AC633" s="74"/>
      <c r="AD633" s="74">
        <f t="shared" si="277"/>
        <v>9332</v>
      </c>
      <c r="AE633" s="74">
        <f t="shared" si="278"/>
        <v>29034.029834330708</v>
      </c>
      <c r="AF633" s="52">
        <f t="shared" si="279"/>
        <v>305740.24000000005</v>
      </c>
      <c r="AG633" s="52">
        <f t="shared" si="280"/>
        <v>382175.3</v>
      </c>
    </row>
    <row r="634" spans="1:33" s="21" customFormat="1" x14ac:dyDescent="0.2">
      <c r="A634" s="116" t="s">
        <v>548</v>
      </c>
      <c r="B634" s="116"/>
      <c r="C634" s="116"/>
      <c r="D634" s="151">
        <v>1</v>
      </c>
      <c r="E634" s="152"/>
      <c r="F634" s="153">
        <v>0.2</v>
      </c>
      <c r="G634" s="153"/>
      <c r="H634" s="52">
        <v>32460</v>
      </c>
      <c r="I634" s="52">
        <f t="shared" si="269"/>
        <v>28694.639999999999</v>
      </c>
      <c r="J634" s="52">
        <f t="shared" si="270"/>
        <v>22955.712</v>
      </c>
      <c r="K634" s="152"/>
      <c r="L634" s="151">
        <v>0</v>
      </c>
      <c r="M634" s="55">
        <f t="shared" si="271"/>
        <v>0</v>
      </c>
      <c r="N634" s="55">
        <f t="shared" si="272"/>
        <v>0</v>
      </c>
      <c r="O634" s="154"/>
      <c r="P634" s="151">
        <v>0</v>
      </c>
      <c r="Q634" s="55">
        <f t="shared" si="273"/>
        <v>0</v>
      </c>
      <c r="R634" s="65">
        <f t="shared" si="274"/>
        <v>0</v>
      </c>
      <c r="S634" s="129">
        <v>25</v>
      </c>
      <c r="T634" s="123" t="s">
        <v>201</v>
      </c>
      <c r="U634" s="73">
        <f>SUMIF('Avoided Costs 2013-2021'!$A:$A,'2013 Actuals'!T634&amp;'2013 Actuals'!S634,'Avoided Costs 2013-2021'!$E:$E)*J634</f>
        <v>72015.343111222712</v>
      </c>
      <c r="V634" s="73">
        <f>SUMIF('Avoided Costs 2013-2021'!$A:$A,'2013 Actuals'!T634&amp;'2013 Actuals'!S634,'Avoided Costs 2013-2021'!$K:$K)*N634</f>
        <v>0</v>
      </c>
      <c r="W634" s="73">
        <f>SUMIF('Avoided Costs 2013-2021'!$A:$A,'2013 Actuals'!T634&amp;'2013 Actuals'!S634,'Avoided Costs 2013-2021'!$M:$M)*R634</f>
        <v>0</v>
      </c>
      <c r="X634" s="73">
        <f t="shared" si="275"/>
        <v>72015.343111222712</v>
      </c>
      <c r="Y634" s="83">
        <v>8375</v>
      </c>
      <c r="Z634" s="74">
        <f t="shared" si="276"/>
        <v>6700</v>
      </c>
      <c r="AA634" s="74"/>
      <c r="AB634" s="74"/>
      <c r="AC634" s="74"/>
      <c r="AD634" s="74">
        <f t="shared" si="277"/>
        <v>6700</v>
      </c>
      <c r="AE634" s="74">
        <f t="shared" si="278"/>
        <v>65315.343111222712</v>
      </c>
      <c r="AF634" s="52">
        <f t="shared" si="279"/>
        <v>573892.80000000005</v>
      </c>
      <c r="AG634" s="52">
        <f t="shared" si="280"/>
        <v>717366</v>
      </c>
    </row>
    <row r="635" spans="1:33" s="21" customFormat="1" x14ac:dyDescent="0.2">
      <c r="A635" s="116" t="s">
        <v>549</v>
      </c>
      <c r="B635" s="116"/>
      <c r="C635" s="116"/>
      <c r="D635" s="151">
        <v>1</v>
      </c>
      <c r="E635" s="152"/>
      <c r="F635" s="153">
        <v>0.2</v>
      </c>
      <c r="G635" s="153"/>
      <c r="H635" s="52">
        <v>237841</v>
      </c>
      <c r="I635" s="52">
        <f t="shared" si="269"/>
        <v>210251.44399999999</v>
      </c>
      <c r="J635" s="52">
        <f t="shared" si="270"/>
        <v>168201.15520000001</v>
      </c>
      <c r="K635" s="152"/>
      <c r="L635" s="151">
        <v>0</v>
      </c>
      <c r="M635" s="55">
        <f t="shared" si="271"/>
        <v>0</v>
      </c>
      <c r="N635" s="55">
        <f t="shared" si="272"/>
        <v>0</v>
      </c>
      <c r="O635" s="154"/>
      <c r="P635" s="151">
        <v>0</v>
      </c>
      <c r="Q635" s="55">
        <f t="shared" si="273"/>
        <v>0</v>
      </c>
      <c r="R635" s="65">
        <f t="shared" si="274"/>
        <v>0</v>
      </c>
      <c r="S635" s="129">
        <v>25</v>
      </c>
      <c r="T635" s="123" t="s">
        <v>201</v>
      </c>
      <c r="U635" s="73">
        <f>SUMIF('Avoided Costs 2013-2021'!$A:$A,'2013 Actuals'!T635&amp;'2013 Actuals'!S635,'Avoided Costs 2013-2021'!$E:$E)*J635</f>
        <v>527671.01728023181</v>
      </c>
      <c r="V635" s="73">
        <f>SUMIF('Avoided Costs 2013-2021'!$A:$A,'2013 Actuals'!T635&amp;'2013 Actuals'!S635,'Avoided Costs 2013-2021'!$K:$K)*N635</f>
        <v>0</v>
      </c>
      <c r="W635" s="73">
        <f>SUMIF('Avoided Costs 2013-2021'!$A:$A,'2013 Actuals'!T635&amp;'2013 Actuals'!S635,'Avoided Costs 2013-2021'!$M:$M)*R635</f>
        <v>0</v>
      </c>
      <c r="X635" s="73">
        <f t="shared" si="275"/>
        <v>527671.01728023181</v>
      </c>
      <c r="Y635" s="83">
        <v>76792</v>
      </c>
      <c r="Z635" s="74">
        <f t="shared" si="276"/>
        <v>61433.600000000006</v>
      </c>
      <c r="AA635" s="74"/>
      <c r="AB635" s="74"/>
      <c r="AC635" s="74"/>
      <c r="AD635" s="74">
        <f t="shared" si="277"/>
        <v>61433.600000000006</v>
      </c>
      <c r="AE635" s="74">
        <f t="shared" si="278"/>
        <v>466237.41728023184</v>
      </c>
      <c r="AF635" s="52">
        <f t="shared" si="279"/>
        <v>4205028.88</v>
      </c>
      <c r="AG635" s="52">
        <f t="shared" si="280"/>
        <v>5256286.0999999996</v>
      </c>
    </row>
    <row r="636" spans="1:33" s="21" customFormat="1" x14ac:dyDescent="0.2">
      <c r="A636" s="114" t="s">
        <v>550</v>
      </c>
      <c r="B636" s="114"/>
      <c r="C636" s="114"/>
      <c r="D636" s="160">
        <v>1</v>
      </c>
      <c r="E636" s="161"/>
      <c r="F636" s="162">
        <v>0.2</v>
      </c>
      <c r="G636" s="162"/>
      <c r="H636" s="52">
        <v>23539</v>
      </c>
      <c r="I636" s="52">
        <f t="shared" si="269"/>
        <v>20808.475999999999</v>
      </c>
      <c r="J636" s="52">
        <f t="shared" si="270"/>
        <v>16646.7808</v>
      </c>
      <c r="K636" s="61"/>
      <c r="L636" s="160">
        <v>0</v>
      </c>
      <c r="M636" s="55">
        <f t="shared" si="271"/>
        <v>0</v>
      </c>
      <c r="N636" s="55">
        <f t="shared" si="272"/>
        <v>0</v>
      </c>
      <c r="O636" s="95"/>
      <c r="P636" s="160">
        <v>0</v>
      </c>
      <c r="Q636" s="55">
        <f t="shared" si="273"/>
        <v>0</v>
      </c>
      <c r="R636" s="65">
        <f t="shared" si="274"/>
        <v>0</v>
      </c>
      <c r="S636" s="118">
        <v>25</v>
      </c>
      <c r="T636" s="121" t="s">
        <v>201</v>
      </c>
      <c r="U636" s="73">
        <f>SUMIF('Avoided Costs 2013-2021'!$A:$A,'2013 Actuals'!T636&amp;'2013 Actuals'!S636,'Avoided Costs 2013-2021'!$E:$E)*J636</f>
        <v>52223.325985676885</v>
      </c>
      <c r="V636" s="73">
        <f>SUMIF('Avoided Costs 2013-2021'!$A:$A,'2013 Actuals'!T636&amp;'2013 Actuals'!S636,'Avoided Costs 2013-2021'!$K:$K)*N636</f>
        <v>0</v>
      </c>
      <c r="W636" s="73">
        <f>SUMIF('Avoided Costs 2013-2021'!$A:$A,'2013 Actuals'!T636&amp;'2013 Actuals'!S636,'Avoided Costs 2013-2021'!$M:$M)*R636</f>
        <v>0</v>
      </c>
      <c r="X636" s="73">
        <f t="shared" si="275"/>
        <v>52223.325985676885</v>
      </c>
      <c r="Y636" s="83">
        <v>12320</v>
      </c>
      <c r="Z636" s="74">
        <f t="shared" si="276"/>
        <v>9856</v>
      </c>
      <c r="AA636" s="74"/>
      <c r="AB636" s="74"/>
      <c r="AC636" s="74"/>
      <c r="AD636" s="74">
        <f t="shared" si="277"/>
        <v>9856</v>
      </c>
      <c r="AE636" s="74">
        <f t="shared" si="278"/>
        <v>42367.325985676885</v>
      </c>
      <c r="AF636" s="52">
        <f t="shared" si="279"/>
        <v>416169.52</v>
      </c>
      <c r="AG636" s="52">
        <f t="shared" si="280"/>
        <v>520211.89999999997</v>
      </c>
    </row>
    <row r="637" spans="1:33" s="21" customFormat="1" x14ac:dyDescent="0.2">
      <c r="A637" s="114" t="s">
        <v>551</v>
      </c>
      <c r="B637" s="114"/>
      <c r="C637" s="114"/>
      <c r="D637" s="160">
        <v>1</v>
      </c>
      <c r="E637" s="161"/>
      <c r="F637" s="162">
        <v>0.2</v>
      </c>
      <c r="G637" s="162"/>
      <c r="H637" s="52">
        <v>7331</v>
      </c>
      <c r="I637" s="52">
        <f t="shared" si="269"/>
        <v>6480.6040000000003</v>
      </c>
      <c r="J637" s="52">
        <f t="shared" si="270"/>
        <v>5184.4832000000006</v>
      </c>
      <c r="K637" s="61"/>
      <c r="L637" s="160">
        <v>21271</v>
      </c>
      <c r="M637" s="55">
        <f t="shared" si="271"/>
        <v>21271</v>
      </c>
      <c r="N637" s="55">
        <f t="shared" si="272"/>
        <v>17016.8</v>
      </c>
      <c r="O637" s="95"/>
      <c r="P637" s="160">
        <v>0</v>
      </c>
      <c r="Q637" s="55">
        <f t="shared" si="273"/>
        <v>0</v>
      </c>
      <c r="R637" s="65">
        <f t="shared" si="274"/>
        <v>0</v>
      </c>
      <c r="S637" s="118">
        <v>15</v>
      </c>
      <c r="T637" s="121" t="s">
        <v>201</v>
      </c>
      <c r="U637" s="73">
        <f>SUMIF('Avoided Costs 2013-2021'!$A:$A,'2013 Actuals'!T637&amp;'2013 Actuals'!S637,'Avoided Costs 2013-2021'!$E:$E)*J637</f>
        <v>11586.607353626678</v>
      </c>
      <c r="V637" s="73">
        <f>SUMIF('Avoided Costs 2013-2021'!$A:$A,'2013 Actuals'!T637&amp;'2013 Actuals'!S637,'Avoided Costs 2013-2021'!$K:$K)*N637</f>
        <v>17814.780185825261</v>
      </c>
      <c r="W637" s="73">
        <f>SUMIF('Avoided Costs 2013-2021'!$A:$A,'2013 Actuals'!T637&amp;'2013 Actuals'!S637,'Avoided Costs 2013-2021'!$M:$M)*R637</f>
        <v>0</v>
      </c>
      <c r="X637" s="73">
        <f t="shared" si="275"/>
        <v>29401.387539451938</v>
      </c>
      <c r="Y637" s="83">
        <v>4995</v>
      </c>
      <c r="Z637" s="74">
        <f t="shared" si="276"/>
        <v>3996</v>
      </c>
      <c r="AA637" s="74"/>
      <c r="AB637" s="74"/>
      <c r="AC637" s="74"/>
      <c r="AD637" s="74">
        <f t="shared" si="277"/>
        <v>3996</v>
      </c>
      <c r="AE637" s="74">
        <f t="shared" si="278"/>
        <v>25405.387539451938</v>
      </c>
      <c r="AF637" s="52">
        <f t="shared" si="279"/>
        <v>77767.248000000007</v>
      </c>
      <c r="AG637" s="52">
        <f t="shared" si="280"/>
        <v>97209.06</v>
      </c>
    </row>
    <row r="638" spans="1:33" s="21" customFormat="1" x14ac:dyDescent="0.2">
      <c r="A638" s="114" t="s">
        <v>552</v>
      </c>
      <c r="B638" s="114"/>
      <c r="C638" s="114"/>
      <c r="D638" s="160">
        <v>1</v>
      </c>
      <c r="E638" s="161"/>
      <c r="F638" s="162">
        <v>0.2</v>
      </c>
      <c r="G638" s="162"/>
      <c r="H638" s="52">
        <v>59671</v>
      </c>
      <c r="I638" s="52">
        <f t="shared" si="269"/>
        <v>52749.163999999997</v>
      </c>
      <c r="J638" s="52">
        <f t="shared" si="270"/>
        <v>42199.331200000001</v>
      </c>
      <c r="K638" s="61"/>
      <c r="L638" s="160">
        <v>0</v>
      </c>
      <c r="M638" s="55">
        <f t="shared" si="271"/>
        <v>0</v>
      </c>
      <c r="N638" s="55">
        <f t="shared" si="272"/>
        <v>0</v>
      </c>
      <c r="O638" s="95"/>
      <c r="P638" s="160">
        <v>0</v>
      </c>
      <c r="Q638" s="55">
        <f t="shared" si="273"/>
        <v>0</v>
      </c>
      <c r="R638" s="65">
        <f t="shared" si="274"/>
        <v>0</v>
      </c>
      <c r="S638" s="118">
        <v>25</v>
      </c>
      <c r="T638" s="121" t="s">
        <v>217</v>
      </c>
      <c r="U638" s="73">
        <f>SUMIF('Avoided Costs 2013-2021'!$A:$A,'2013 Actuals'!T638&amp;'2013 Actuals'!S638,'Avoided Costs 2013-2021'!$E:$E)*J638</f>
        <v>124237.82109498388</v>
      </c>
      <c r="V638" s="73">
        <f>SUMIF('Avoided Costs 2013-2021'!$A:$A,'2013 Actuals'!T638&amp;'2013 Actuals'!S638,'Avoided Costs 2013-2021'!$K:$K)*N638</f>
        <v>0</v>
      </c>
      <c r="W638" s="73">
        <f>SUMIF('Avoided Costs 2013-2021'!$A:$A,'2013 Actuals'!T638&amp;'2013 Actuals'!S638,'Avoided Costs 2013-2021'!$M:$M)*R638</f>
        <v>0</v>
      </c>
      <c r="X638" s="73">
        <f t="shared" si="275"/>
        <v>124237.82109498388</v>
      </c>
      <c r="Y638" s="83">
        <v>14475</v>
      </c>
      <c r="Z638" s="74">
        <f t="shared" si="276"/>
        <v>11580</v>
      </c>
      <c r="AA638" s="74"/>
      <c r="AB638" s="74"/>
      <c r="AC638" s="74"/>
      <c r="AD638" s="74">
        <f t="shared" si="277"/>
        <v>11580</v>
      </c>
      <c r="AE638" s="74">
        <f t="shared" si="278"/>
        <v>112657.82109498388</v>
      </c>
      <c r="AF638" s="52">
        <f t="shared" si="279"/>
        <v>1054983.28</v>
      </c>
      <c r="AG638" s="52">
        <f t="shared" si="280"/>
        <v>1318729.0999999999</v>
      </c>
    </row>
    <row r="639" spans="1:33" s="21" customFormat="1" x14ac:dyDescent="0.2">
      <c r="A639" s="114" t="s">
        <v>553</v>
      </c>
      <c r="B639" s="114"/>
      <c r="C639" s="114"/>
      <c r="D639" s="160">
        <v>1</v>
      </c>
      <c r="E639" s="161"/>
      <c r="F639" s="162">
        <v>0.2</v>
      </c>
      <c r="G639" s="162"/>
      <c r="H639" s="52">
        <v>38057</v>
      </c>
      <c r="I639" s="52">
        <f t="shared" si="269"/>
        <v>33642.387999999999</v>
      </c>
      <c r="J639" s="52">
        <f t="shared" si="270"/>
        <v>26913.910400000001</v>
      </c>
      <c r="K639" s="61"/>
      <c r="L639" s="160">
        <v>0</v>
      </c>
      <c r="M639" s="55">
        <f t="shared" si="271"/>
        <v>0</v>
      </c>
      <c r="N639" s="55">
        <f t="shared" si="272"/>
        <v>0</v>
      </c>
      <c r="O639" s="95"/>
      <c r="P639" s="160">
        <v>0</v>
      </c>
      <c r="Q639" s="55">
        <f t="shared" si="273"/>
        <v>0</v>
      </c>
      <c r="R639" s="65">
        <f t="shared" si="274"/>
        <v>0</v>
      </c>
      <c r="S639" s="118">
        <v>25</v>
      </c>
      <c r="T639" s="121" t="s">
        <v>201</v>
      </c>
      <c r="U639" s="73">
        <f>SUMIF('Avoided Costs 2013-2021'!$A:$A,'2013 Actuals'!T639&amp;'2013 Actuals'!S639,'Avoided Costs 2013-2021'!$E:$E)*J639</f>
        <v>84432.776117800473</v>
      </c>
      <c r="V639" s="73">
        <f>SUMIF('Avoided Costs 2013-2021'!$A:$A,'2013 Actuals'!T639&amp;'2013 Actuals'!S639,'Avoided Costs 2013-2021'!$K:$K)*N639</f>
        <v>0</v>
      </c>
      <c r="W639" s="73">
        <f>SUMIF('Avoided Costs 2013-2021'!$A:$A,'2013 Actuals'!T639&amp;'2013 Actuals'!S639,'Avoided Costs 2013-2021'!$M:$M)*R639</f>
        <v>0</v>
      </c>
      <c r="X639" s="73">
        <f t="shared" si="275"/>
        <v>84432.776117800473</v>
      </c>
      <c r="Y639" s="83">
        <v>25684</v>
      </c>
      <c r="Z639" s="74">
        <f t="shared" si="276"/>
        <v>20547.2</v>
      </c>
      <c r="AA639" s="74"/>
      <c r="AB639" s="74"/>
      <c r="AC639" s="74"/>
      <c r="AD639" s="74">
        <f t="shared" si="277"/>
        <v>20547.2</v>
      </c>
      <c r="AE639" s="74">
        <f t="shared" si="278"/>
        <v>63885.576117800476</v>
      </c>
      <c r="AF639" s="52">
        <f t="shared" si="279"/>
        <v>672847.76</v>
      </c>
      <c r="AG639" s="52">
        <f t="shared" si="280"/>
        <v>841059.7</v>
      </c>
    </row>
    <row r="640" spans="1:33" s="21" customFormat="1" x14ac:dyDescent="0.2">
      <c r="A640" s="114" t="s">
        <v>554</v>
      </c>
      <c r="B640" s="114"/>
      <c r="C640" s="114"/>
      <c r="D640" s="160">
        <v>1</v>
      </c>
      <c r="E640" s="161"/>
      <c r="F640" s="162">
        <v>0.2</v>
      </c>
      <c r="G640" s="162"/>
      <c r="H640" s="52">
        <v>52101</v>
      </c>
      <c r="I640" s="52">
        <f t="shared" si="269"/>
        <v>46057.284</v>
      </c>
      <c r="J640" s="52">
        <f t="shared" si="270"/>
        <v>36845.8272</v>
      </c>
      <c r="K640" s="61"/>
      <c r="L640" s="160">
        <v>0</v>
      </c>
      <c r="M640" s="55">
        <f t="shared" si="271"/>
        <v>0</v>
      </c>
      <c r="N640" s="55">
        <f t="shared" si="272"/>
        <v>0</v>
      </c>
      <c r="O640" s="95"/>
      <c r="P640" s="160">
        <v>0</v>
      </c>
      <c r="Q640" s="55">
        <f t="shared" si="273"/>
        <v>0</v>
      </c>
      <c r="R640" s="65">
        <f t="shared" si="274"/>
        <v>0</v>
      </c>
      <c r="S640" s="118">
        <v>25</v>
      </c>
      <c r="T640" s="121" t="s">
        <v>201</v>
      </c>
      <c r="U640" s="73">
        <f>SUMIF('Avoided Costs 2013-2021'!$A:$A,'2013 Actuals'!T640&amp;'2013 Actuals'!S640,'Avoided Costs 2013-2021'!$E:$E)*J640</f>
        <v>115590.61587916866</v>
      </c>
      <c r="V640" s="73">
        <f>SUMIF('Avoided Costs 2013-2021'!$A:$A,'2013 Actuals'!T640&amp;'2013 Actuals'!S640,'Avoided Costs 2013-2021'!$K:$K)*N640</f>
        <v>0</v>
      </c>
      <c r="W640" s="73">
        <f>SUMIF('Avoided Costs 2013-2021'!$A:$A,'2013 Actuals'!T640&amp;'2013 Actuals'!S640,'Avoided Costs 2013-2021'!$M:$M)*R640</f>
        <v>0</v>
      </c>
      <c r="X640" s="73">
        <f t="shared" si="275"/>
        <v>115590.61587916866</v>
      </c>
      <c r="Y640" s="83">
        <v>26125</v>
      </c>
      <c r="Z640" s="74">
        <f t="shared" si="276"/>
        <v>20900</v>
      </c>
      <c r="AA640" s="74"/>
      <c r="AB640" s="74"/>
      <c r="AC640" s="74"/>
      <c r="AD640" s="74">
        <f t="shared" si="277"/>
        <v>20900</v>
      </c>
      <c r="AE640" s="74">
        <f t="shared" si="278"/>
        <v>94690.615879168661</v>
      </c>
      <c r="AF640" s="52">
        <f t="shared" si="279"/>
        <v>921145.67999999993</v>
      </c>
      <c r="AG640" s="52">
        <f t="shared" si="280"/>
        <v>1151432.1000000001</v>
      </c>
    </row>
    <row r="641" spans="1:33" s="21" customFormat="1" x14ac:dyDescent="0.2">
      <c r="A641" s="114" t="s">
        <v>555</v>
      </c>
      <c r="B641" s="114"/>
      <c r="C641" s="114"/>
      <c r="D641" s="160">
        <v>1</v>
      </c>
      <c r="E641" s="161"/>
      <c r="F641" s="162">
        <v>0.2</v>
      </c>
      <c r="G641" s="162"/>
      <c r="H641" s="52">
        <v>29638</v>
      </c>
      <c r="I641" s="52">
        <f t="shared" si="269"/>
        <v>26199.992000000002</v>
      </c>
      <c r="J641" s="52">
        <f t="shared" si="270"/>
        <v>20959.993600000002</v>
      </c>
      <c r="K641" s="61"/>
      <c r="L641" s="160">
        <v>31251</v>
      </c>
      <c r="M641" s="55">
        <f t="shared" si="271"/>
        <v>31251</v>
      </c>
      <c r="N641" s="55">
        <f t="shared" si="272"/>
        <v>25000.800000000003</v>
      </c>
      <c r="O641" s="95"/>
      <c r="P641" s="160">
        <v>0</v>
      </c>
      <c r="Q641" s="55">
        <f t="shared" si="273"/>
        <v>0</v>
      </c>
      <c r="R641" s="65">
        <f t="shared" si="274"/>
        <v>0</v>
      </c>
      <c r="S641" s="118">
        <v>15</v>
      </c>
      <c r="T641" s="121" t="s">
        <v>201</v>
      </c>
      <c r="U641" s="73">
        <f>SUMIF('Avoided Costs 2013-2021'!$A:$A,'2013 Actuals'!T641&amp;'2013 Actuals'!S641,'Avoided Costs 2013-2021'!$E:$E)*J641</f>
        <v>46842.70478062849</v>
      </c>
      <c r="V641" s="73">
        <f>SUMIF('Avoided Costs 2013-2021'!$A:$A,'2013 Actuals'!T641&amp;'2013 Actuals'!S641,'Avoided Costs 2013-2021'!$K:$K)*N641</f>
        <v>26173.17923873938</v>
      </c>
      <c r="W641" s="73">
        <f>SUMIF('Avoided Costs 2013-2021'!$A:$A,'2013 Actuals'!T641&amp;'2013 Actuals'!S641,'Avoided Costs 2013-2021'!$M:$M)*R641</f>
        <v>0</v>
      </c>
      <c r="X641" s="73">
        <f t="shared" si="275"/>
        <v>73015.884019367862</v>
      </c>
      <c r="Y641" s="83">
        <v>7803</v>
      </c>
      <c r="Z641" s="74">
        <f t="shared" si="276"/>
        <v>6242.4000000000005</v>
      </c>
      <c r="AA641" s="74"/>
      <c r="AB641" s="74"/>
      <c r="AC641" s="74"/>
      <c r="AD641" s="74">
        <f t="shared" si="277"/>
        <v>6242.4000000000005</v>
      </c>
      <c r="AE641" s="74">
        <f t="shared" si="278"/>
        <v>66773.484019367868</v>
      </c>
      <c r="AF641" s="52">
        <f t="shared" si="279"/>
        <v>314399.90400000004</v>
      </c>
      <c r="AG641" s="52">
        <f t="shared" si="280"/>
        <v>392999.88</v>
      </c>
    </row>
    <row r="642" spans="1:33" s="21" customFormat="1" x14ac:dyDescent="0.2">
      <c r="A642" s="114" t="s">
        <v>556</v>
      </c>
      <c r="B642" s="114"/>
      <c r="C642" s="114"/>
      <c r="D642" s="160">
        <v>1</v>
      </c>
      <c r="E642" s="161"/>
      <c r="F642" s="162">
        <v>0.2</v>
      </c>
      <c r="G642" s="162"/>
      <c r="H642" s="52">
        <v>63516</v>
      </c>
      <c r="I642" s="52">
        <f t="shared" si="269"/>
        <v>56148.144</v>
      </c>
      <c r="J642" s="52">
        <f t="shared" si="270"/>
        <v>44918.515200000002</v>
      </c>
      <c r="K642" s="61"/>
      <c r="L642" s="160">
        <v>0</v>
      </c>
      <c r="M642" s="55">
        <f t="shared" si="271"/>
        <v>0</v>
      </c>
      <c r="N642" s="55">
        <f t="shared" si="272"/>
        <v>0</v>
      </c>
      <c r="O642" s="95"/>
      <c r="P642" s="160">
        <v>0</v>
      </c>
      <c r="Q642" s="55">
        <f t="shared" si="273"/>
        <v>0</v>
      </c>
      <c r="R642" s="65">
        <f t="shared" si="274"/>
        <v>0</v>
      </c>
      <c r="S642" s="118">
        <v>25</v>
      </c>
      <c r="T642" s="121" t="s">
        <v>201</v>
      </c>
      <c r="U642" s="73">
        <f>SUMIF('Avoided Costs 2013-2021'!$A:$A,'2013 Actuals'!T642&amp;'2013 Actuals'!S642,'Avoided Costs 2013-2021'!$E:$E)*J642</f>
        <v>140915.78968122066</v>
      </c>
      <c r="V642" s="73">
        <f>SUMIF('Avoided Costs 2013-2021'!$A:$A,'2013 Actuals'!T642&amp;'2013 Actuals'!S642,'Avoided Costs 2013-2021'!$K:$K)*N642</f>
        <v>0</v>
      </c>
      <c r="W642" s="73">
        <f>SUMIF('Avoided Costs 2013-2021'!$A:$A,'2013 Actuals'!T642&amp;'2013 Actuals'!S642,'Avoided Costs 2013-2021'!$M:$M)*R642</f>
        <v>0</v>
      </c>
      <c r="X642" s="73">
        <f t="shared" si="275"/>
        <v>140915.78968122066</v>
      </c>
      <c r="Y642" s="83">
        <v>22217</v>
      </c>
      <c r="Z642" s="74">
        <f t="shared" si="276"/>
        <v>17773.600000000002</v>
      </c>
      <c r="AA642" s="74"/>
      <c r="AB642" s="74"/>
      <c r="AC642" s="74"/>
      <c r="AD642" s="74">
        <f t="shared" si="277"/>
        <v>17773.600000000002</v>
      </c>
      <c r="AE642" s="74">
        <f t="shared" si="278"/>
        <v>123142.18968122065</v>
      </c>
      <c r="AF642" s="52">
        <f t="shared" si="279"/>
        <v>1122962.8800000001</v>
      </c>
      <c r="AG642" s="52">
        <f t="shared" si="280"/>
        <v>1403703.6</v>
      </c>
    </row>
    <row r="643" spans="1:33" s="21" customFormat="1" x14ac:dyDescent="0.2">
      <c r="A643" s="114" t="s">
        <v>557</v>
      </c>
      <c r="B643" s="114"/>
      <c r="C643" s="114"/>
      <c r="D643" s="160">
        <v>1</v>
      </c>
      <c r="E643" s="161"/>
      <c r="F643" s="162">
        <v>0.2</v>
      </c>
      <c r="G643" s="162"/>
      <c r="H643" s="52">
        <v>8756</v>
      </c>
      <c r="I643" s="52">
        <f t="shared" si="269"/>
        <v>7740.3040000000001</v>
      </c>
      <c r="J643" s="52">
        <f t="shared" si="270"/>
        <v>6192.2432000000008</v>
      </c>
      <c r="K643" s="61"/>
      <c r="L643" s="160">
        <v>0</v>
      </c>
      <c r="M643" s="55">
        <f t="shared" si="271"/>
        <v>0</v>
      </c>
      <c r="N643" s="55">
        <f t="shared" si="272"/>
        <v>0</v>
      </c>
      <c r="O643" s="95"/>
      <c r="P643" s="160">
        <v>0</v>
      </c>
      <c r="Q643" s="55">
        <f t="shared" si="273"/>
        <v>0</v>
      </c>
      <c r="R643" s="65">
        <f t="shared" si="274"/>
        <v>0</v>
      </c>
      <c r="S643" s="118">
        <v>25</v>
      </c>
      <c r="T643" s="121" t="s">
        <v>217</v>
      </c>
      <c r="U643" s="73">
        <f>SUMIF('Avoided Costs 2013-2021'!$A:$A,'2013 Actuals'!T643&amp;'2013 Actuals'!S643,'Avoided Costs 2013-2021'!$E:$E)*J643</f>
        <v>18230.402733449733</v>
      </c>
      <c r="V643" s="73">
        <f>SUMIF('Avoided Costs 2013-2021'!$A:$A,'2013 Actuals'!T643&amp;'2013 Actuals'!S643,'Avoided Costs 2013-2021'!$K:$K)*N643</f>
        <v>0</v>
      </c>
      <c r="W643" s="73">
        <f>SUMIF('Avoided Costs 2013-2021'!$A:$A,'2013 Actuals'!T643&amp;'2013 Actuals'!S643,'Avoided Costs 2013-2021'!$M:$M)*R643</f>
        <v>0</v>
      </c>
      <c r="X643" s="73">
        <f t="shared" si="275"/>
        <v>18230.402733449733</v>
      </c>
      <c r="Y643" s="83">
        <v>15280</v>
      </c>
      <c r="Z643" s="74">
        <f t="shared" si="276"/>
        <v>12224</v>
      </c>
      <c r="AA643" s="74"/>
      <c r="AB643" s="74"/>
      <c r="AC643" s="74"/>
      <c r="AD643" s="74">
        <f t="shared" si="277"/>
        <v>12224</v>
      </c>
      <c r="AE643" s="74">
        <f t="shared" si="278"/>
        <v>6006.4027334497332</v>
      </c>
      <c r="AF643" s="52">
        <f t="shared" si="279"/>
        <v>154806.08000000002</v>
      </c>
      <c r="AG643" s="52">
        <f t="shared" si="280"/>
        <v>193507.6</v>
      </c>
    </row>
    <row r="644" spans="1:33" s="21" customFormat="1" x14ac:dyDescent="0.2">
      <c r="A644" s="114" t="s">
        <v>558</v>
      </c>
      <c r="B644" s="114"/>
      <c r="C644" s="114"/>
      <c r="D644" s="160">
        <v>0</v>
      </c>
      <c r="E644" s="161"/>
      <c r="F644" s="162">
        <v>0.2</v>
      </c>
      <c r="G644" s="162"/>
      <c r="H644" s="52">
        <v>8036</v>
      </c>
      <c r="I644" s="52">
        <f t="shared" si="269"/>
        <v>7103.8239999999996</v>
      </c>
      <c r="J644" s="52">
        <f t="shared" si="270"/>
        <v>5683.0591999999997</v>
      </c>
      <c r="K644" s="61"/>
      <c r="L644" s="160">
        <v>0</v>
      </c>
      <c r="M644" s="55">
        <f t="shared" si="271"/>
        <v>0</v>
      </c>
      <c r="N644" s="55">
        <f t="shared" si="272"/>
        <v>0</v>
      </c>
      <c r="O644" s="95"/>
      <c r="P644" s="160">
        <v>0</v>
      </c>
      <c r="Q644" s="55">
        <f t="shared" si="273"/>
        <v>0</v>
      </c>
      <c r="R644" s="65">
        <f t="shared" si="274"/>
        <v>0</v>
      </c>
      <c r="S644" s="118">
        <v>25</v>
      </c>
      <c r="T644" s="121" t="s">
        <v>217</v>
      </c>
      <c r="U644" s="73">
        <f>SUMIF('Avoided Costs 2013-2021'!$A:$A,'2013 Actuals'!T644&amp;'2013 Actuals'!S644,'Avoided Costs 2013-2021'!$E:$E)*J644</f>
        <v>16731.328959113984</v>
      </c>
      <c r="V644" s="73">
        <f>SUMIF('Avoided Costs 2013-2021'!$A:$A,'2013 Actuals'!T644&amp;'2013 Actuals'!S644,'Avoided Costs 2013-2021'!$K:$K)*N644</f>
        <v>0</v>
      </c>
      <c r="W644" s="73">
        <f>SUMIF('Avoided Costs 2013-2021'!$A:$A,'2013 Actuals'!T644&amp;'2013 Actuals'!S644,'Avoided Costs 2013-2021'!$M:$M)*R644</f>
        <v>0</v>
      </c>
      <c r="X644" s="73">
        <f t="shared" si="275"/>
        <v>16731.328959113984</v>
      </c>
      <c r="Y644" s="83">
        <v>17753</v>
      </c>
      <c r="Z644" s="74">
        <f t="shared" si="276"/>
        <v>14202.400000000001</v>
      </c>
      <c r="AA644" s="74"/>
      <c r="AB644" s="74"/>
      <c r="AC644" s="74"/>
      <c r="AD644" s="74">
        <f t="shared" si="277"/>
        <v>14202.400000000001</v>
      </c>
      <c r="AE644" s="74">
        <f t="shared" si="278"/>
        <v>2528.9289591139823</v>
      </c>
      <c r="AF644" s="52">
        <f t="shared" si="279"/>
        <v>142076.47999999998</v>
      </c>
      <c r="AG644" s="52">
        <f t="shared" si="280"/>
        <v>177595.59999999998</v>
      </c>
    </row>
    <row r="645" spans="1:33" s="21" customFormat="1" x14ac:dyDescent="0.2">
      <c r="A645" s="114" t="s">
        <v>559</v>
      </c>
      <c r="B645" s="114"/>
      <c r="C645" s="114"/>
      <c r="D645" s="160">
        <v>1</v>
      </c>
      <c r="E645" s="161"/>
      <c r="F645" s="162">
        <v>0.2</v>
      </c>
      <c r="G645" s="162"/>
      <c r="H645" s="52">
        <v>15131</v>
      </c>
      <c r="I645" s="52">
        <f t="shared" si="269"/>
        <v>13375.804</v>
      </c>
      <c r="J645" s="52">
        <f t="shared" si="270"/>
        <v>10700.6432</v>
      </c>
      <c r="K645" s="61"/>
      <c r="L645" s="160">
        <v>48694</v>
      </c>
      <c r="M645" s="55">
        <f t="shared" si="271"/>
        <v>48694</v>
      </c>
      <c r="N645" s="55">
        <f t="shared" si="272"/>
        <v>38955.200000000004</v>
      </c>
      <c r="O645" s="95"/>
      <c r="P645" s="160">
        <v>0</v>
      </c>
      <c r="Q645" s="55">
        <f t="shared" si="273"/>
        <v>0</v>
      </c>
      <c r="R645" s="65">
        <f t="shared" si="274"/>
        <v>0</v>
      </c>
      <c r="S645" s="118">
        <v>15</v>
      </c>
      <c r="T645" s="121" t="s">
        <v>201</v>
      </c>
      <c r="U645" s="73">
        <f>SUMIF('Avoided Costs 2013-2021'!$A:$A,'2013 Actuals'!T645&amp;'2013 Actuals'!S645,'Avoided Costs 2013-2021'!$E:$E)*J645</f>
        <v>23914.466766842892</v>
      </c>
      <c r="V645" s="73">
        <f>SUMIF('Avoided Costs 2013-2021'!$A:$A,'2013 Actuals'!T645&amp;'2013 Actuals'!S645,'Avoided Costs 2013-2021'!$K:$K)*N645</f>
        <v>40781.952252765521</v>
      </c>
      <c r="W645" s="73">
        <f>SUMIF('Avoided Costs 2013-2021'!$A:$A,'2013 Actuals'!T645&amp;'2013 Actuals'!S645,'Avoided Costs 2013-2021'!$M:$M)*R645</f>
        <v>0</v>
      </c>
      <c r="X645" s="73">
        <f t="shared" si="275"/>
        <v>64696.419019608409</v>
      </c>
      <c r="Y645" s="83">
        <v>10133</v>
      </c>
      <c r="Z645" s="74">
        <f t="shared" si="276"/>
        <v>8106.4000000000005</v>
      </c>
      <c r="AA645" s="74"/>
      <c r="AB645" s="74"/>
      <c r="AC645" s="74"/>
      <c r="AD645" s="74">
        <f t="shared" si="277"/>
        <v>8106.4000000000005</v>
      </c>
      <c r="AE645" s="74">
        <f t="shared" si="278"/>
        <v>56590.019019608408</v>
      </c>
      <c r="AF645" s="52">
        <f t="shared" si="279"/>
        <v>160509.64800000002</v>
      </c>
      <c r="AG645" s="52">
        <f t="shared" si="280"/>
        <v>200637.06</v>
      </c>
    </row>
    <row r="646" spans="1:33" s="21" customFormat="1" x14ac:dyDescent="0.2">
      <c r="A646" s="114" t="s">
        <v>560</v>
      </c>
      <c r="B646" s="114"/>
      <c r="C646" s="114"/>
      <c r="D646" s="160">
        <v>1</v>
      </c>
      <c r="E646" s="161"/>
      <c r="F646" s="162">
        <v>0.2</v>
      </c>
      <c r="G646" s="162"/>
      <c r="H646" s="52">
        <v>69884</v>
      </c>
      <c r="I646" s="52">
        <f t="shared" si="269"/>
        <v>61777.455999999998</v>
      </c>
      <c r="J646" s="52">
        <f t="shared" si="270"/>
        <v>49421.964800000002</v>
      </c>
      <c r="K646" s="61"/>
      <c r="L646" s="160">
        <v>0</v>
      </c>
      <c r="M646" s="55">
        <f t="shared" si="271"/>
        <v>0</v>
      </c>
      <c r="N646" s="55">
        <f t="shared" si="272"/>
        <v>0</v>
      </c>
      <c r="O646" s="95"/>
      <c r="P646" s="160">
        <v>0</v>
      </c>
      <c r="Q646" s="55">
        <f t="shared" si="273"/>
        <v>0</v>
      </c>
      <c r="R646" s="65">
        <f t="shared" si="274"/>
        <v>0</v>
      </c>
      <c r="S646" s="118">
        <v>25</v>
      </c>
      <c r="T646" s="121" t="s">
        <v>201</v>
      </c>
      <c r="U646" s="73">
        <f>SUMIF('Avoided Costs 2013-2021'!$A:$A,'2013 Actuals'!T646&amp;'2013 Actuals'!S646,'Avoided Costs 2013-2021'!$E:$E)*J646</f>
        <v>155043.75348073593</v>
      </c>
      <c r="V646" s="73">
        <f>SUMIF('Avoided Costs 2013-2021'!$A:$A,'2013 Actuals'!T646&amp;'2013 Actuals'!S646,'Avoided Costs 2013-2021'!$K:$K)*N646</f>
        <v>0</v>
      </c>
      <c r="W646" s="73">
        <f>SUMIF('Avoided Costs 2013-2021'!$A:$A,'2013 Actuals'!T646&amp;'2013 Actuals'!S646,'Avoided Costs 2013-2021'!$M:$M)*R646</f>
        <v>0</v>
      </c>
      <c r="X646" s="73">
        <f t="shared" si="275"/>
        <v>155043.75348073593</v>
      </c>
      <c r="Y646" s="83">
        <v>30862</v>
      </c>
      <c r="Z646" s="74">
        <f t="shared" si="276"/>
        <v>24689.600000000002</v>
      </c>
      <c r="AA646" s="74"/>
      <c r="AB646" s="74"/>
      <c r="AC646" s="74"/>
      <c r="AD646" s="74">
        <f t="shared" si="277"/>
        <v>24689.600000000002</v>
      </c>
      <c r="AE646" s="74">
        <f t="shared" si="278"/>
        <v>130354.15348073593</v>
      </c>
      <c r="AF646" s="52">
        <f t="shared" si="279"/>
        <v>1235549.1200000001</v>
      </c>
      <c r="AG646" s="52">
        <f t="shared" si="280"/>
        <v>1544436.4</v>
      </c>
    </row>
    <row r="647" spans="1:33" s="21" customFormat="1" x14ac:dyDescent="0.2">
      <c r="A647" s="114" t="s">
        <v>561</v>
      </c>
      <c r="B647" s="114"/>
      <c r="C647" s="114"/>
      <c r="D647" s="160">
        <v>1</v>
      </c>
      <c r="E647" s="161"/>
      <c r="F647" s="162">
        <v>0.2</v>
      </c>
      <c r="G647" s="162"/>
      <c r="H647" s="52">
        <v>33631</v>
      </c>
      <c r="I647" s="52">
        <f t="shared" si="269"/>
        <v>29729.804</v>
      </c>
      <c r="J647" s="52">
        <f t="shared" si="270"/>
        <v>23783.843200000003</v>
      </c>
      <c r="K647" s="61"/>
      <c r="L647" s="160">
        <v>58518</v>
      </c>
      <c r="M647" s="55">
        <f t="shared" si="271"/>
        <v>58518</v>
      </c>
      <c r="N647" s="55">
        <f t="shared" si="272"/>
        <v>46814.400000000001</v>
      </c>
      <c r="O647" s="95"/>
      <c r="P647" s="160">
        <v>0</v>
      </c>
      <c r="Q647" s="55">
        <f t="shared" si="273"/>
        <v>0</v>
      </c>
      <c r="R647" s="65">
        <f t="shared" si="274"/>
        <v>0</v>
      </c>
      <c r="S647" s="118">
        <v>15</v>
      </c>
      <c r="T647" s="121" t="s">
        <v>201</v>
      </c>
      <c r="U647" s="73">
        <f>SUMIF('Avoided Costs 2013-2021'!$A:$A,'2013 Actuals'!T647&amp;'2013 Actuals'!S647,'Avoided Costs 2013-2021'!$E:$E)*J647</f>
        <v>53153.620503317259</v>
      </c>
      <c r="V647" s="73">
        <f>SUMIF('Avoided Costs 2013-2021'!$A:$A,'2013 Actuals'!T647&amp;'2013 Actuals'!S647,'Avoided Costs 2013-2021'!$K:$K)*N647</f>
        <v>49009.698975794403</v>
      </c>
      <c r="W647" s="73">
        <f>SUMIF('Avoided Costs 2013-2021'!$A:$A,'2013 Actuals'!T647&amp;'2013 Actuals'!S647,'Avoided Costs 2013-2021'!$M:$M)*R647</f>
        <v>0</v>
      </c>
      <c r="X647" s="73">
        <f t="shared" si="275"/>
        <v>102163.31947911167</v>
      </c>
      <c r="Y647" s="83">
        <v>35000</v>
      </c>
      <c r="Z647" s="74">
        <f t="shared" si="276"/>
        <v>28000</v>
      </c>
      <c r="AA647" s="74"/>
      <c r="AB647" s="74"/>
      <c r="AC647" s="74"/>
      <c r="AD647" s="74">
        <f t="shared" si="277"/>
        <v>28000</v>
      </c>
      <c r="AE647" s="74">
        <f t="shared" si="278"/>
        <v>74163.319479111669</v>
      </c>
      <c r="AF647" s="52">
        <f t="shared" si="279"/>
        <v>356757.64800000004</v>
      </c>
      <c r="AG647" s="52">
        <f t="shared" si="280"/>
        <v>445947.06</v>
      </c>
    </row>
    <row r="648" spans="1:33" s="21" customFormat="1" x14ac:dyDescent="0.2">
      <c r="A648" s="114" t="s">
        <v>562</v>
      </c>
      <c r="B648" s="114"/>
      <c r="C648" s="114"/>
      <c r="D648" s="160">
        <v>0</v>
      </c>
      <c r="E648" s="161"/>
      <c r="F648" s="162">
        <v>0.2</v>
      </c>
      <c r="G648" s="162"/>
      <c r="H648" s="52">
        <v>3201</v>
      </c>
      <c r="I648" s="52">
        <f t="shared" si="269"/>
        <v>2829.6840000000002</v>
      </c>
      <c r="J648" s="52">
        <f t="shared" si="270"/>
        <v>2263.7472000000002</v>
      </c>
      <c r="K648" s="61"/>
      <c r="L648" s="160">
        <v>0</v>
      </c>
      <c r="M648" s="55">
        <f t="shared" si="271"/>
        <v>0</v>
      </c>
      <c r="N648" s="55">
        <f t="shared" si="272"/>
        <v>0</v>
      </c>
      <c r="O648" s="95"/>
      <c r="P648" s="160">
        <v>0</v>
      </c>
      <c r="Q648" s="55">
        <f t="shared" si="273"/>
        <v>0</v>
      </c>
      <c r="R648" s="65">
        <f t="shared" si="274"/>
        <v>0</v>
      </c>
      <c r="S648" s="118">
        <v>15</v>
      </c>
      <c r="T648" s="121" t="s">
        <v>217</v>
      </c>
      <c r="U648" s="73">
        <f>SUMIF('Avoided Costs 2013-2021'!$A:$A,'2013 Actuals'!T648&amp;'2013 Actuals'!S648,'Avoided Costs 2013-2021'!$E:$E)*J648</f>
        <v>4748.8249955678875</v>
      </c>
      <c r="V648" s="73">
        <f>SUMIF('Avoided Costs 2013-2021'!$A:$A,'2013 Actuals'!T648&amp;'2013 Actuals'!S648,'Avoided Costs 2013-2021'!$K:$K)*N648</f>
        <v>0</v>
      </c>
      <c r="W648" s="73">
        <f>SUMIF('Avoided Costs 2013-2021'!$A:$A,'2013 Actuals'!T648&amp;'2013 Actuals'!S648,'Avoided Costs 2013-2021'!$M:$M)*R648</f>
        <v>0</v>
      </c>
      <c r="X648" s="73">
        <f t="shared" si="275"/>
        <v>4748.8249955678875</v>
      </c>
      <c r="Y648" s="83">
        <v>3995</v>
      </c>
      <c r="Z648" s="74">
        <f t="shared" si="276"/>
        <v>3196</v>
      </c>
      <c r="AA648" s="74"/>
      <c r="AB648" s="74"/>
      <c r="AC648" s="74"/>
      <c r="AD648" s="74">
        <f t="shared" si="277"/>
        <v>3196</v>
      </c>
      <c r="AE648" s="74">
        <f t="shared" si="278"/>
        <v>1552.8249955678875</v>
      </c>
      <c r="AF648" s="52">
        <f t="shared" si="279"/>
        <v>33956.208000000006</v>
      </c>
      <c r="AG648" s="52">
        <f t="shared" si="280"/>
        <v>42445.26</v>
      </c>
    </row>
    <row r="649" spans="1:33" s="21" customFormat="1" x14ac:dyDescent="0.2">
      <c r="A649" s="114" t="s">
        <v>563</v>
      </c>
      <c r="B649" s="114"/>
      <c r="C649" s="114"/>
      <c r="D649" s="160">
        <v>1</v>
      </c>
      <c r="E649" s="161"/>
      <c r="F649" s="162">
        <v>0.2</v>
      </c>
      <c r="G649" s="162"/>
      <c r="H649" s="52">
        <v>45265</v>
      </c>
      <c r="I649" s="52">
        <f t="shared" si="269"/>
        <v>40014.26</v>
      </c>
      <c r="J649" s="52">
        <f t="shared" si="270"/>
        <v>32011.408000000003</v>
      </c>
      <c r="K649" s="61"/>
      <c r="L649" s="160">
        <v>42541</v>
      </c>
      <c r="M649" s="55">
        <f t="shared" si="271"/>
        <v>42541</v>
      </c>
      <c r="N649" s="55">
        <f t="shared" si="272"/>
        <v>34032.800000000003</v>
      </c>
      <c r="O649" s="95"/>
      <c r="P649" s="160">
        <v>0</v>
      </c>
      <c r="Q649" s="55">
        <f t="shared" si="273"/>
        <v>0</v>
      </c>
      <c r="R649" s="65">
        <f t="shared" si="274"/>
        <v>0</v>
      </c>
      <c r="S649" s="118">
        <v>15</v>
      </c>
      <c r="T649" s="121" t="s">
        <v>201</v>
      </c>
      <c r="U649" s="73">
        <f>SUMIF('Avoided Costs 2013-2021'!$A:$A,'2013 Actuals'!T649&amp;'2013 Actuals'!S649,'Avoided Costs 2013-2021'!$E:$E)*J649</f>
        <v>71541.096966568206</v>
      </c>
      <c r="V649" s="73">
        <f>SUMIF('Avoided Costs 2013-2021'!$A:$A,'2013 Actuals'!T649&amp;'2013 Actuals'!S649,'Avoided Costs 2013-2021'!$K:$K)*N649</f>
        <v>35628.722856715365</v>
      </c>
      <c r="W649" s="73">
        <f>SUMIF('Avoided Costs 2013-2021'!$A:$A,'2013 Actuals'!T649&amp;'2013 Actuals'!S649,'Avoided Costs 2013-2021'!$M:$M)*R649</f>
        <v>0</v>
      </c>
      <c r="X649" s="73">
        <f t="shared" si="275"/>
        <v>107169.81982328357</v>
      </c>
      <c r="Y649" s="83">
        <v>9995</v>
      </c>
      <c r="Z649" s="74">
        <f t="shared" si="276"/>
        <v>7996</v>
      </c>
      <c r="AA649" s="74"/>
      <c r="AB649" s="74"/>
      <c r="AC649" s="74"/>
      <c r="AD649" s="74">
        <f t="shared" si="277"/>
        <v>7996</v>
      </c>
      <c r="AE649" s="74">
        <f t="shared" si="278"/>
        <v>99173.819823283571</v>
      </c>
      <c r="AF649" s="52">
        <f t="shared" si="279"/>
        <v>480171.12000000005</v>
      </c>
      <c r="AG649" s="52">
        <f t="shared" si="280"/>
        <v>600213.9</v>
      </c>
    </row>
    <row r="650" spans="1:33" s="21" customFormat="1" x14ac:dyDescent="0.2">
      <c r="A650" s="114" t="s">
        <v>564</v>
      </c>
      <c r="B650" s="114"/>
      <c r="C650" s="114"/>
      <c r="D650" s="160">
        <v>0</v>
      </c>
      <c r="E650" s="161"/>
      <c r="F650" s="162">
        <v>0.2</v>
      </c>
      <c r="G650" s="162"/>
      <c r="H650" s="52">
        <v>5431</v>
      </c>
      <c r="I650" s="52">
        <f t="shared" ref="I650:I651" si="282">H650</f>
        <v>5431</v>
      </c>
      <c r="J650" s="52">
        <f t="shared" si="270"/>
        <v>4344.8</v>
      </c>
      <c r="K650" s="61"/>
      <c r="L650" s="160">
        <v>0</v>
      </c>
      <c r="M650" s="55">
        <f t="shared" si="271"/>
        <v>0</v>
      </c>
      <c r="N650" s="55">
        <f t="shared" si="272"/>
        <v>0</v>
      </c>
      <c r="O650" s="95"/>
      <c r="P650" s="160">
        <v>0</v>
      </c>
      <c r="Q650" s="55">
        <f t="shared" si="273"/>
        <v>0</v>
      </c>
      <c r="R650" s="65">
        <f t="shared" si="274"/>
        <v>0</v>
      </c>
      <c r="S650" s="118">
        <v>25</v>
      </c>
      <c r="T650" s="121" t="s">
        <v>217</v>
      </c>
      <c r="U650" s="73">
        <f>SUMIF('Avoided Costs 2013-2021'!$A:$A,'2013 Actuals'!T650&amp;'2013 Actuals'!S650,'Avoided Costs 2013-2021'!$E:$E)*J650</f>
        <v>12791.399051686534</v>
      </c>
      <c r="V650" s="73">
        <f>SUMIF('Avoided Costs 2013-2021'!$A:$A,'2013 Actuals'!T650&amp;'2013 Actuals'!S650,'Avoided Costs 2013-2021'!$K:$K)*N650</f>
        <v>0</v>
      </c>
      <c r="W650" s="73">
        <f>SUMIF('Avoided Costs 2013-2021'!$A:$A,'2013 Actuals'!T650&amp;'2013 Actuals'!S650,'Avoided Costs 2013-2021'!$M:$M)*R650</f>
        <v>0</v>
      </c>
      <c r="X650" s="73">
        <f t="shared" si="275"/>
        <v>12791.399051686534</v>
      </c>
      <c r="Y650" s="83">
        <v>10300</v>
      </c>
      <c r="Z650" s="74">
        <f t="shared" si="276"/>
        <v>8240</v>
      </c>
      <c r="AA650" s="74"/>
      <c r="AB650" s="74"/>
      <c r="AC650" s="74"/>
      <c r="AD650" s="74">
        <f t="shared" si="277"/>
        <v>8240</v>
      </c>
      <c r="AE650" s="74">
        <f t="shared" si="278"/>
        <v>4551.3990516865342</v>
      </c>
      <c r="AF650" s="52">
        <f t="shared" si="279"/>
        <v>108620</v>
      </c>
      <c r="AG650" s="52">
        <f t="shared" si="280"/>
        <v>135775</v>
      </c>
    </row>
    <row r="651" spans="1:33" s="21" customFormat="1" x14ac:dyDescent="0.2">
      <c r="A651" s="114" t="s">
        <v>565</v>
      </c>
      <c r="B651" s="114"/>
      <c r="C651" s="114"/>
      <c r="D651" s="160">
        <v>1</v>
      </c>
      <c r="E651" s="161"/>
      <c r="F651" s="162">
        <v>0.2</v>
      </c>
      <c r="G651" s="162"/>
      <c r="H651" s="52">
        <v>24283</v>
      </c>
      <c r="I651" s="52">
        <f t="shared" si="282"/>
        <v>24283</v>
      </c>
      <c r="J651" s="52">
        <f t="shared" si="270"/>
        <v>19426.400000000001</v>
      </c>
      <c r="K651" s="61"/>
      <c r="L651" s="160">
        <v>0</v>
      </c>
      <c r="M651" s="55">
        <f t="shared" si="271"/>
        <v>0</v>
      </c>
      <c r="N651" s="55">
        <f t="shared" si="272"/>
        <v>0</v>
      </c>
      <c r="O651" s="95"/>
      <c r="P651" s="160">
        <v>0</v>
      </c>
      <c r="Q651" s="55">
        <f t="shared" si="273"/>
        <v>0</v>
      </c>
      <c r="R651" s="65">
        <f t="shared" si="274"/>
        <v>0</v>
      </c>
      <c r="S651" s="118">
        <v>25</v>
      </c>
      <c r="T651" s="121" t="s">
        <v>201</v>
      </c>
      <c r="U651" s="73">
        <f>SUMIF('Avoided Costs 2013-2021'!$A:$A,'2013 Actuals'!T651&amp;'2013 Actuals'!S651,'Avoided Costs 2013-2021'!$E:$E)*J651</f>
        <v>60943.387920873778</v>
      </c>
      <c r="V651" s="73">
        <f>SUMIF('Avoided Costs 2013-2021'!$A:$A,'2013 Actuals'!T651&amp;'2013 Actuals'!S651,'Avoided Costs 2013-2021'!$K:$K)*N651</f>
        <v>0</v>
      </c>
      <c r="W651" s="73">
        <f>SUMIF('Avoided Costs 2013-2021'!$A:$A,'2013 Actuals'!T651&amp;'2013 Actuals'!S651,'Avoided Costs 2013-2021'!$M:$M)*R651</f>
        <v>0</v>
      </c>
      <c r="X651" s="73">
        <f t="shared" si="275"/>
        <v>60943.387920873778</v>
      </c>
      <c r="Y651" s="83">
        <v>20600</v>
      </c>
      <c r="Z651" s="74">
        <f t="shared" si="276"/>
        <v>16480</v>
      </c>
      <c r="AA651" s="74"/>
      <c r="AB651" s="74"/>
      <c r="AC651" s="74"/>
      <c r="AD651" s="74">
        <f t="shared" si="277"/>
        <v>16480</v>
      </c>
      <c r="AE651" s="74">
        <f t="shared" si="278"/>
        <v>44463.387920873778</v>
      </c>
      <c r="AF651" s="52">
        <f t="shared" si="279"/>
        <v>485660.00000000006</v>
      </c>
      <c r="AG651" s="52">
        <f t="shared" si="280"/>
        <v>607075</v>
      </c>
    </row>
    <row r="652" spans="1:33" s="21" customFormat="1" x14ac:dyDescent="0.2">
      <c r="A652" s="114" t="s">
        <v>566</v>
      </c>
      <c r="B652" s="114"/>
      <c r="C652" s="114"/>
      <c r="D652" s="160">
        <v>1</v>
      </c>
      <c r="E652" s="161"/>
      <c r="F652" s="162">
        <v>0.2</v>
      </c>
      <c r="G652" s="162"/>
      <c r="H652" s="52">
        <v>215509</v>
      </c>
      <c r="I652" s="52">
        <f t="shared" si="269"/>
        <v>190509.95600000001</v>
      </c>
      <c r="J652" s="52">
        <f t="shared" si="270"/>
        <v>152407.96480000002</v>
      </c>
      <c r="K652" s="61"/>
      <c r="L652" s="160">
        <v>0</v>
      </c>
      <c r="M652" s="55">
        <f t="shared" si="271"/>
        <v>0</v>
      </c>
      <c r="N652" s="55">
        <f t="shared" si="272"/>
        <v>0</v>
      </c>
      <c r="O652" s="95"/>
      <c r="P652" s="160">
        <v>0</v>
      </c>
      <c r="Q652" s="55">
        <f t="shared" si="273"/>
        <v>0</v>
      </c>
      <c r="R652" s="65">
        <f t="shared" si="274"/>
        <v>0</v>
      </c>
      <c r="S652" s="137">
        <v>21.358000000000001</v>
      </c>
      <c r="T652" s="121" t="s">
        <v>201</v>
      </c>
      <c r="U652" s="73">
        <f>SUMIF('Avoided Costs 2013-2021'!$A:$A,'2013 Actuals'!T652&amp;IF(T652="S",11,IF(T652="W",8,0)),'Avoided Costs 2013-2021'!$E:$E)*J652</f>
        <v>264329.08001874451</v>
      </c>
      <c r="V652" s="73">
        <f>SUMIF('Avoided Costs 2013-2021'!$A:$A,'2013 Actuals'!T652&amp;'2013 Actuals'!S652,'Avoided Costs 2013-2021'!$K:$K)*N652</f>
        <v>0</v>
      </c>
      <c r="W652" s="73">
        <f>SUMIF('Avoided Costs 2013-2021'!$A:$A,'2013 Actuals'!T652&amp;'2013 Actuals'!S652,'Avoided Costs 2013-2021'!$M:$M)*R652</f>
        <v>0</v>
      </c>
      <c r="X652" s="73">
        <f t="shared" si="275"/>
        <v>264329.08001874451</v>
      </c>
      <c r="Y652" s="83">
        <v>107000</v>
      </c>
      <c r="Z652" s="74">
        <f t="shared" si="276"/>
        <v>85600</v>
      </c>
      <c r="AA652" s="74"/>
      <c r="AB652" s="74"/>
      <c r="AC652" s="74"/>
      <c r="AD652" s="74">
        <f t="shared" si="277"/>
        <v>85600</v>
      </c>
      <c r="AE652" s="74">
        <f t="shared" si="278"/>
        <v>178729.08001874451</v>
      </c>
      <c r="AF652" s="52">
        <f t="shared" si="279"/>
        <v>3255129.3121984005</v>
      </c>
      <c r="AG652" s="52">
        <f t="shared" si="280"/>
        <v>4068911.6402480002</v>
      </c>
    </row>
    <row r="653" spans="1:33" s="21" customFormat="1" x14ac:dyDescent="0.2">
      <c r="A653" s="114" t="s">
        <v>567</v>
      </c>
      <c r="B653" s="114"/>
      <c r="C653" s="114"/>
      <c r="D653" s="160">
        <v>0</v>
      </c>
      <c r="E653" s="161"/>
      <c r="F653" s="162">
        <v>0.2</v>
      </c>
      <c r="G653" s="162"/>
      <c r="H653" s="52">
        <v>8369</v>
      </c>
      <c r="I653" s="52">
        <f t="shared" si="269"/>
        <v>7398.1959999999999</v>
      </c>
      <c r="J653" s="52">
        <f t="shared" si="270"/>
        <v>5918.5568000000003</v>
      </c>
      <c r="K653" s="61"/>
      <c r="L653" s="160">
        <v>6814</v>
      </c>
      <c r="M653" s="55">
        <f t="shared" si="271"/>
        <v>6814</v>
      </c>
      <c r="N653" s="55">
        <f t="shared" si="272"/>
        <v>5451.2000000000007</v>
      </c>
      <c r="O653" s="95"/>
      <c r="P653" s="160">
        <v>0</v>
      </c>
      <c r="Q653" s="55">
        <f t="shared" si="273"/>
        <v>0</v>
      </c>
      <c r="R653" s="65">
        <f t="shared" si="274"/>
        <v>0</v>
      </c>
      <c r="S653" s="118">
        <v>15</v>
      </c>
      <c r="T653" s="121" t="s">
        <v>201</v>
      </c>
      <c r="U653" s="73">
        <f>SUMIF('Avoided Costs 2013-2021'!$A:$A,'2013 Actuals'!T653&amp;'2013 Actuals'!S653,'Avoided Costs 2013-2021'!$E:$E)*J653</f>
        <v>13227.160952462373</v>
      </c>
      <c r="V653" s="73">
        <f>SUMIF('Avoided Costs 2013-2021'!$A:$A,'2013 Actuals'!T653&amp;'2013 Actuals'!S653,'Avoided Costs 2013-2021'!$K:$K)*N653</f>
        <v>5706.8267681920624</v>
      </c>
      <c r="W653" s="73">
        <f>SUMIF('Avoided Costs 2013-2021'!$A:$A,'2013 Actuals'!T653&amp;'2013 Actuals'!S653,'Avoided Costs 2013-2021'!$M:$M)*R653</f>
        <v>0</v>
      </c>
      <c r="X653" s="73">
        <f t="shared" si="275"/>
        <v>18933.987720654433</v>
      </c>
      <c r="Y653" s="83">
        <v>25000</v>
      </c>
      <c r="Z653" s="74">
        <f t="shared" si="276"/>
        <v>20000</v>
      </c>
      <c r="AA653" s="74"/>
      <c r="AB653" s="74"/>
      <c r="AC653" s="74"/>
      <c r="AD653" s="74">
        <f t="shared" si="277"/>
        <v>20000</v>
      </c>
      <c r="AE653" s="74">
        <f t="shared" si="278"/>
        <v>-1066.0122793455666</v>
      </c>
      <c r="AF653" s="52">
        <f t="shared" si="279"/>
        <v>88778.351999999999</v>
      </c>
      <c r="AG653" s="52">
        <f t="shared" si="280"/>
        <v>110972.94</v>
      </c>
    </row>
    <row r="654" spans="1:33" s="21" customFormat="1" x14ac:dyDescent="0.2">
      <c r="A654" s="114" t="s">
        <v>568</v>
      </c>
      <c r="B654" s="114"/>
      <c r="C654" s="114"/>
      <c r="D654" s="160">
        <v>1</v>
      </c>
      <c r="E654" s="161"/>
      <c r="F654" s="162">
        <v>0.2</v>
      </c>
      <c r="G654" s="162"/>
      <c r="H654" s="52">
        <v>37019</v>
      </c>
      <c r="I654" s="52">
        <f t="shared" si="269"/>
        <v>32724.796000000002</v>
      </c>
      <c r="J654" s="52">
        <f t="shared" si="270"/>
        <v>26179.836800000005</v>
      </c>
      <c r="K654" s="61"/>
      <c r="L654" s="160">
        <v>0</v>
      </c>
      <c r="M654" s="55">
        <f t="shared" si="271"/>
        <v>0</v>
      </c>
      <c r="N654" s="55">
        <f t="shared" si="272"/>
        <v>0</v>
      </c>
      <c r="O654" s="95"/>
      <c r="P654" s="160">
        <v>0</v>
      </c>
      <c r="Q654" s="55">
        <f t="shared" si="273"/>
        <v>0</v>
      </c>
      <c r="R654" s="65">
        <f t="shared" si="274"/>
        <v>0</v>
      </c>
      <c r="S654" s="118">
        <v>25</v>
      </c>
      <c r="T654" s="121" t="s">
        <v>201</v>
      </c>
      <c r="U654" s="73">
        <f>SUMIF('Avoided Costs 2013-2021'!$A:$A,'2013 Actuals'!T654&amp;'2013 Actuals'!S654,'Avoided Costs 2013-2021'!$E:$E)*J654</f>
        <v>82129.882521083011</v>
      </c>
      <c r="V654" s="73">
        <f>SUMIF('Avoided Costs 2013-2021'!$A:$A,'2013 Actuals'!T654&amp;'2013 Actuals'!S654,'Avoided Costs 2013-2021'!$K:$K)*N654</f>
        <v>0</v>
      </c>
      <c r="W654" s="73">
        <f>SUMIF('Avoided Costs 2013-2021'!$A:$A,'2013 Actuals'!T654&amp;'2013 Actuals'!S654,'Avoided Costs 2013-2021'!$M:$M)*R654</f>
        <v>0</v>
      </c>
      <c r="X654" s="73">
        <f t="shared" si="275"/>
        <v>82129.882521083011</v>
      </c>
      <c r="Y654" s="83">
        <v>7003</v>
      </c>
      <c r="Z654" s="74">
        <f t="shared" si="276"/>
        <v>5602.4000000000005</v>
      </c>
      <c r="AA654" s="74"/>
      <c r="AB654" s="74"/>
      <c r="AC654" s="74"/>
      <c r="AD654" s="74">
        <f t="shared" si="277"/>
        <v>5602.4000000000005</v>
      </c>
      <c r="AE654" s="74">
        <f t="shared" si="278"/>
        <v>76527.482521083017</v>
      </c>
      <c r="AF654" s="52">
        <f t="shared" si="279"/>
        <v>654495.92000000016</v>
      </c>
      <c r="AG654" s="52">
        <f t="shared" si="280"/>
        <v>818119.9</v>
      </c>
    </row>
    <row r="655" spans="1:33" s="21" customFormat="1" x14ac:dyDescent="0.2">
      <c r="A655" s="114" t="s">
        <v>569</v>
      </c>
      <c r="B655" s="114"/>
      <c r="C655" s="114"/>
      <c r="D655" s="160">
        <v>1</v>
      </c>
      <c r="E655" s="161"/>
      <c r="F655" s="162">
        <v>0.2</v>
      </c>
      <c r="G655" s="162"/>
      <c r="H655" s="52">
        <v>18189</v>
      </c>
      <c r="I655" s="52">
        <f t="shared" si="269"/>
        <v>16079.076000000001</v>
      </c>
      <c r="J655" s="52">
        <f t="shared" si="270"/>
        <v>12863.260800000002</v>
      </c>
      <c r="K655" s="61"/>
      <c r="L655" s="160">
        <v>0</v>
      </c>
      <c r="M655" s="55">
        <f t="shared" si="271"/>
        <v>0</v>
      </c>
      <c r="N655" s="55">
        <f t="shared" si="272"/>
        <v>0</v>
      </c>
      <c r="O655" s="95"/>
      <c r="P655" s="160">
        <v>0</v>
      </c>
      <c r="Q655" s="55">
        <f t="shared" si="273"/>
        <v>0</v>
      </c>
      <c r="R655" s="65">
        <f t="shared" si="274"/>
        <v>0</v>
      </c>
      <c r="S655" s="118">
        <v>25</v>
      </c>
      <c r="T655" s="121" t="s">
        <v>201</v>
      </c>
      <c r="U655" s="73">
        <f>SUMIF('Avoided Costs 2013-2021'!$A:$A,'2013 Actuals'!T655&amp;'2013 Actuals'!S655,'Avoided Costs 2013-2021'!$E:$E)*J655</f>
        <v>40353.884037277581</v>
      </c>
      <c r="V655" s="73">
        <f>SUMIF('Avoided Costs 2013-2021'!$A:$A,'2013 Actuals'!T655&amp;'2013 Actuals'!S655,'Avoided Costs 2013-2021'!$K:$K)*N655</f>
        <v>0</v>
      </c>
      <c r="W655" s="73">
        <f>SUMIF('Avoided Costs 2013-2021'!$A:$A,'2013 Actuals'!T655&amp;'2013 Actuals'!S655,'Avoided Costs 2013-2021'!$M:$M)*R655</f>
        <v>0</v>
      </c>
      <c r="X655" s="73">
        <f t="shared" si="275"/>
        <v>40353.884037277581</v>
      </c>
      <c r="Y655" s="83">
        <v>17566</v>
      </c>
      <c r="Z655" s="74">
        <f t="shared" si="276"/>
        <v>14052.800000000001</v>
      </c>
      <c r="AA655" s="74"/>
      <c r="AB655" s="74"/>
      <c r="AC655" s="74"/>
      <c r="AD655" s="74">
        <f t="shared" si="277"/>
        <v>14052.800000000001</v>
      </c>
      <c r="AE655" s="74">
        <f t="shared" si="278"/>
        <v>26301.084037277578</v>
      </c>
      <c r="AF655" s="52">
        <f t="shared" si="279"/>
        <v>321581.52</v>
      </c>
      <c r="AG655" s="52">
        <f t="shared" si="280"/>
        <v>401976.9</v>
      </c>
    </row>
    <row r="656" spans="1:33" s="21" customFormat="1" x14ac:dyDescent="0.2">
      <c r="A656" s="114" t="s">
        <v>570</v>
      </c>
      <c r="B656" s="114"/>
      <c r="C656" s="114"/>
      <c r="D656" s="160">
        <v>0</v>
      </c>
      <c r="E656" s="161"/>
      <c r="F656" s="162">
        <v>0.2</v>
      </c>
      <c r="G656" s="162"/>
      <c r="H656" s="52">
        <v>25003</v>
      </c>
      <c r="I656" s="52">
        <f t="shared" si="269"/>
        <v>22102.652000000002</v>
      </c>
      <c r="J656" s="52">
        <f t="shared" si="270"/>
        <v>17682.121600000002</v>
      </c>
      <c r="K656" s="61"/>
      <c r="L656" s="160">
        <v>0</v>
      </c>
      <c r="M656" s="55">
        <f t="shared" si="271"/>
        <v>0</v>
      </c>
      <c r="N656" s="55">
        <f t="shared" si="272"/>
        <v>0</v>
      </c>
      <c r="O656" s="95"/>
      <c r="P656" s="160">
        <v>0</v>
      </c>
      <c r="Q656" s="55">
        <f t="shared" si="273"/>
        <v>0</v>
      </c>
      <c r="R656" s="65">
        <f t="shared" si="274"/>
        <v>0</v>
      </c>
      <c r="S656" s="118">
        <v>25</v>
      </c>
      <c r="T656" s="121" t="s">
        <v>217</v>
      </c>
      <c r="U656" s="73">
        <f>SUMIF('Avoided Costs 2013-2021'!$A:$A,'2013 Actuals'!T656&amp;'2013 Actuals'!S656,'Avoided Costs 2013-2021'!$E:$E)*J656</f>
        <v>52057.41886071764</v>
      </c>
      <c r="V656" s="73">
        <f>SUMIF('Avoided Costs 2013-2021'!$A:$A,'2013 Actuals'!T656&amp;'2013 Actuals'!S656,'Avoided Costs 2013-2021'!$K:$K)*N656</f>
        <v>0</v>
      </c>
      <c r="W656" s="73">
        <f>SUMIF('Avoided Costs 2013-2021'!$A:$A,'2013 Actuals'!T656&amp;'2013 Actuals'!S656,'Avoided Costs 2013-2021'!$M:$M)*R656</f>
        <v>0</v>
      </c>
      <c r="X656" s="73">
        <f t="shared" si="275"/>
        <v>52057.41886071764</v>
      </c>
      <c r="Y656" s="83">
        <v>51800</v>
      </c>
      <c r="Z656" s="74">
        <f t="shared" si="276"/>
        <v>41440</v>
      </c>
      <c r="AA656" s="74"/>
      <c r="AB656" s="74"/>
      <c r="AC656" s="74"/>
      <c r="AD656" s="74">
        <f t="shared" si="277"/>
        <v>41440</v>
      </c>
      <c r="AE656" s="74">
        <f t="shared" si="278"/>
        <v>10617.41886071764</v>
      </c>
      <c r="AF656" s="52">
        <f t="shared" si="279"/>
        <v>442053.04000000004</v>
      </c>
      <c r="AG656" s="52">
        <f t="shared" si="280"/>
        <v>552566.30000000005</v>
      </c>
    </row>
    <row r="657" spans="1:33" s="21" customFormat="1" x14ac:dyDescent="0.2">
      <c r="A657" s="114" t="s">
        <v>571</v>
      </c>
      <c r="B657" s="114"/>
      <c r="C657" s="114"/>
      <c r="D657" s="160">
        <v>1</v>
      </c>
      <c r="E657" s="161"/>
      <c r="F657" s="162">
        <v>0.2</v>
      </c>
      <c r="G657" s="162"/>
      <c r="H657" s="52">
        <v>88776</v>
      </c>
      <c r="I657" s="52">
        <f t="shared" si="269"/>
        <v>78477.983999999997</v>
      </c>
      <c r="J657" s="52">
        <f t="shared" si="270"/>
        <v>62782.387199999997</v>
      </c>
      <c r="K657" s="61"/>
      <c r="L657" s="160">
        <v>0</v>
      </c>
      <c r="M657" s="55">
        <f t="shared" si="271"/>
        <v>0</v>
      </c>
      <c r="N657" s="55">
        <f t="shared" si="272"/>
        <v>0</v>
      </c>
      <c r="O657" s="95"/>
      <c r="P657" s="160">
        <v>0</v>
      </c>
      <c r="Q657" s="55">
        <f t="shared" si="273"/>
        <v>0</v>
      </c>
      <c r="R657" s="65">
        <f t="shared" si="274"/>
        <v>0</v>
      </c>
      <c r="S657" s="118">
        <v>25</v>
      </c>
      <c r="T657" s="121" t="s">
        <v>201</v>
      </c>
      <c r="U657" s="73">
        <f>SUMIF('Avoided Costs 2013-2021'!$A:$A,'2013 Actuals'!T657&amp;'2013 Actuals'!S657,'Avoided Costs 2013-2021'!$E:$E)*J657</f>
        <v>196957.30437590598</v>
      </c>
      <c r="V657" s="73">
        <f>SUMIF('Avoided Costs 2013-2021'!$A:$A,'2013 Actuals'!T657&amp;'2013 Actuals'!S657,'Avoided Costs 2013-2021'!$K:$K)*N657</f>
        <v>0</v>
      </c>
      <c r="W657" s="73">
        <f>SUMIF('Avoided Costs 2013-2021'!$A:$A,'2013 Actuals'!T657&amp;'2013 Actuals'!S657,'Avoided Costs 2013-2021'!$M:$M)*R657</f>
        <v>0</v>
      </c>
      <c r="X657" s="73">
        <f t="shared" si="275"/>
        <v>196957.30437590598</v>
      </c>
      <c r="Y657" s="83">
        <v>15381</v>
      </c>
      <c r="Z657" s="74">
        <f t="shared" si="276"/>
        <v>12304.800000000001</v>
      </c>
      <c r="AA657" s="74"/>
      <c r="AB657" s="74"/>
      <c r="AC657" s="74"/>
      <c r="AD657" s="74">
        <f t="shared" si="277"/>
        <v>12304.800000000001</v>
      </c>
      <c r="AE657" s="74">
        <f t="shared" si="278"/>
        <v>184652.50437590599</v>
      </c>
      <c r="AF657" s="52">
        <f t="shared" si="279"/>
        <v>1569559.68</v>
      </c>
      <c r="AG657" s="52">
        <f t="shared" si="280"/>
        <v>1961949.5999999999</v>
      </c>
    </row>
    <row r="658" spans="1:33" s="21" customFormat="1" x14ac:dyDescent="0.2">
      <c r="A658" s="114" t="s">
        <v>572</v>
      </c>
      <c r="B658" s="114"/>
      <c r="C658" s="114"/>
      <c r="D658" s="160">
        <v>0</v>
      </c>
      <c r="E658" s="161"/>
      <c r="F658" s="162">
        <v>0.2</v>
      </c>
      <c r="G658" s="162"/>
      <c r="H658" s="52">
        <v>4550</v>
      </c>
      <c r="I658" s="52">
        <f t="shared" si="269"/>
        <v>4022.2</v>
      </c>
      <c r="J658" s="52">
        <f t="shared" si="270"/>
        <v>3217.76</v>
      </c>
      <c r="K658" s="61"/>
      <c r="L658" s="160">
        <v>0</v>
      </c>
      <c r="M658" s="55">
        <f t="shared" si="271"/>
        <v>0</v>
      </c>
      <c r="N658" s="55">
        <f t="shared" si="272"/>
        <v>0</v>
      </c>
      <c r="O658" s="95"/>
      <c r="P658" s="160">
        <v>0</v>
      </c>
      <c r="Q658" s="55">
        <f t="shared" si="273"/>
        <v>0</v>
      </c>
      <c r="R658" s="65">
        <f t="shared" si="274"/>
        <v>0</v>
      </c>
      <c r="S658" s="118">
        <v>25</v>
      </c>
      <c r="T658" s="121" t="s">
        <v>217</v>
      </c>
      <c r="U658" s="73">
        <f>SUMIF('Avoided Costs 2013-2021'!$A:$A,'2013 Actuals'!T658&amp;'2013 Actuals'!S658,'Avoided Costs 2013-2021'!$E:$E)*J658</f>
        <v>9473.3134350384062</v>
      </c>
      <c r="V658" s="73">
        <f>SUMIF('Avoided Costs 2013-2021'!$A:$A,'2013 Actuals'!T658&amp;'2013 Actuals'!S658,'Avoided Costs 2013-2021'!$K:$K)*N658</f>
        <v>0</v>
      </c>
      <c r="W658" s="73">
        <f>SUMIF('Avoided Costs 2013-2021'!$A:$A,'2013 Actuals'!T658&amp;'2013 Actuals'!S658,'Avoided Costs 2013-2021'!$M:$M)*R658</f>
        <v>0</v>
      </c>
      <c r="X658" s="73">
        <f t="shared" si="275"/>
        <v>9473.3134350384062</v>
      </c>
      <c r="Y658" s="83">
        <v>3628</v>
      </c>
      <c r="Z658" s="74">
        <f t="shared" si="276"/>
        <v>2902.4</v>
      </c>
      <c r="AA658" s="74"/>
      <c r="AB658" s="74"/>
      <c r="AC658" s="74"/>
      <c r="AD658" s="74">
        <f t="shared" si="277"/>
        <v>2902.4</v>
      </c>
      <c r="AE658" s="74">
        <f t="shared" si="278"/>
        <v>6570.9134350384065</v>
      </c>
      <c r="AF658" s="52">
        <f t="shared" si="279"/>
        <v>80444</v>
      </c>
      <c r="AG658" s="52">
        <f t="shared" si="280"/>
        <v>100555</v>
      </c>
    </row>
    <row r="659" spans="1:33" s="21" customFormat="1" x14ac:dyDescent="0.2">
      <c r="A659" s="114" t="s">
        <v>573</v>
      </c>
      <c r="B659" s="114"/>
      <c r="C659" s="114"/>
      <c r="D659" s="160">
        <v>1</v>
      </c>
      <c r="E659" s="161"/>
      <c r="F659" s="162">
        <v>0.2</v>
      </c>
      <c r="G659" s="162"/>
      <c r="H659" s="52">
        <v>23556</v>
      </c>
      <c r="I659" s="52">
        <f t="shared" si="269"/>
        <v>20823.504000000001</v>
      </c>
      <c r="J659" s="52">
        <f t="shared" si="270"/>
        <v>16658.803200000002</v>
      </c>
      <c r="K659" s="61"/>
      <c r="L659" s="160">
        <v>0</v>
      </c>
      <c r="M659" s="55">
        <f t="shared" si="271"/>
        <v>0</v>
      </c>
      <c r="N659" s="55">
        <f t="shared" si="272"/>
        <v>0</v>
      </c>
      <c r="O659" s="95"/>
      <c r="P659" s="160">
        <v>0</v>
      </c>
      <c r="Q659" s="55">
        <f t="shared" si="273"/>
        <v>0</v>
      </c>
      <c r="R659" s="65">
        <f t="shared" si="274"/>
        <v>0</v>
      </c>
      <c r="S659" s="118">
        <v>25</v>
      </c>
      <c r="T659" s="121" t="s">
        <v>201</v>
      </c>
      <c r="U659" s="73">
        <f>SUMIF('Avoided Costs 2013-2021'!$A:$A,'2013 Actuals'!T659&amp;'2013 Actuals'!S659,'Avoided Costs 2013-2021'!$E:$E)*J659</f>
        <v>52261.041969438156</v>
      </c>
      <c r="V659" s="73">
        <f>SUMIF('Avoided Costs 2013-2021'!$A:$A,'2013 Actuals'!T659&amp;'2013 Actuals'!S659,'Avoided Costs 2013-2021'!$K:$K)*N659</f>
        <v>0</v>
      </c>
      <c r="W659" s="73">
        <f>SUMIF('Avoided Costs 2013-2021'!$A:$A,'2013 Actuals'!T659&amp;'2013 Actuals'!S659,'Avoided Costs 2013-2021'!$M:$M)*R659</f>
        <v>0</v>
      </c>
      <c r="X659" s="73">
        <f t="shared" si="275"/>
        <v>52261.041969438156</v>
      </c>
      <c r="Y659" s="83">
        <v>8274</v>
      </c>
      <c r="Z659" s="74">
        <f t="shared" si="276"/>
        <v>6619.2000000000007</v>
      </c>
      <c r="AA659" s="74"/>
      <c r="AB659" s="74"/>
      <c r="AC659" s="74"/>
      <c r="AD659" s="74">
        <f t="shared" si="277"/>
        <v>6619.2000000000007</v>
      </c>
      <c r="AE659" s="74">
        <f t="shared" si="278"/>
        <v>45641.841969438159</v>
      </c>
      <c r="AF659" s="52">
        <f t="shared" si="279"/>
        <v>416470.08000000007</v>
      </c>
      <c r="AG659" s="52">
        <f t="shared" si="280"/>
        <v>520587.60000000003</v>
      </c>
    </row>
    <row r="660" spans="1:33" s="21" customFormat="1" x14ac:dyDescent="0.2">
      <c r="A660" s="116" t="s">
        <v>574</v>
      </c>
      <c r="B660" s="116"/>
      <c r="C660" s="116"/>
      <c r="D660" s="151">
        <v>0</v>
      </c>
      <c r="E660" s="152"/>
      <c r="F660" s="153">
        <v>0.2</v>
      </c>
      <c r="G660" s="153"/>
      <c r="H660" s="52">
        <v>9000</v>
      </c>
      <c r="I660" s="52">
        <f t="shared" si="269"/>
        <v>7956</v>
      </c>
      <c r="J660" s="52">
        <f t="shared" si="270"/>
        <v>6364.8</v>
      </c>
      <c r="K660" s="152"/>
      <c r="L660" s="151">
        <v>0</v>
      </c>
      <c r="M660" s="55">
        <f t="shared" si="271"/>
        <v>0</v>
      </c>
      <c r="N660" s="55">
        <f t="shared" si="272"/>
        <v>0</v>
      </c>
      <c r="O660" s="154"/>
      <c r="P660" s="151">
        <v>0</v>
      </c>
      <c r="Q660" s="55">
        <f t="shared" si="273"/>
        <v>0</v>
      </c>
      <c r="R660" s="65">
        <f t="shared" si="274"/>
        <v>0</v>
      </c>
      <c r="S660" s="129">
        <v>25</v>
      </c>
      <c r="T660" s="123" t="s">
        <v>217</v>
      </c>
      <c r="U660" s="73">
        <f>SUMIF('Avoided Costs 2013-2021'!$A:$A,'2013 Actuals'!T660&amp;'2013 Actuals'!S660,'Avoided Costs 2013-2021'!$E:$E)*J660</f>
        <v>18738.422179196845</v>
      </c>
      <c r="V660" s="73">
        <f>SUMIF('Avoided Costs 2013-2021'!$A:$A,'2013 Actuals'!T660&amp;'2013 Actuals'!S660,'Avoided Costs 2013-2021'!$K:$K)*N660</f>
        <v>0</v>
      </c>
      <c r="W660" s="73">
        <f>SUMIF('Avoided Costs 2013-2021'!$A:$A,'2013 Actuals'!T660&amp;'2013 Actuals'!S660,'Avoided Costs 2013-2021'!$M:$M)*R660</f>
        <v>0</v>
      </c>
      <c r="X660" s="73">
        <f t="shared" si="275"/>
        <v>18738.422179196845</v>
      </c>
      <c r="Y660" s="83">
        <v>5503</v>
      </c>
      <c r="Z660" s="74">
        <f t="shared" si="276"/>
        <v>4402.4000000000005</v>
      </c>
      <c r="AA660" s="74"/>
      <c r="AB660" s="74"/>
      <c r="AC660" s="74"/>
      <c r="AD660" s="74">
        <f t="shared" si="277"/>
        <v>4402.4000000000005</v>
      </c>
      <c r="AE660" s="74">
        <f t="shared" si="278"/>
        <v>14336.022179196843</v>
      </c>
      <c r="AF660" s="52">
        <f t="shared" si="279"/>
        <v>159120</v>
      </c>
      <c r="AG660" s="52">
        <f t="shared" si="280"/>
        <v>198900</v>
      </c>
    </row>
    <row r="661" spans="1:33" s="21" customFormat="1" x14ac:dyDescent="0.2">
      <c r="A661" s="114" t="s">
        <v>575</v>
      </c>
      <c r="B661" s="114"/>
      <c r="C661" s="114"/>
      <c r="D661" s="160">
        <v>1</v>
      </c>
      <c r="E661" s="161"/>
      <c r="F661" s="162">
        <v>0.2</v>
      </c>
      <c r="G661" s="162"/>
      <c r="H661" s="52">
        <v>32282</v>
      </c>
      <c r="I661" s="52">
        <f t="shared" si="269"/>
        <v>28537.288</v>
      </c>
      <c r="J661" s="52">
        <f t="shared" si="270"/>
        <v>22829.830400000003</v>
      </c>
      <c r="K661" s="61"/>
      <c r="L661" s="160">
        <v>0</v>
      </c>
      <c r="M661" s="55">
        <f t="shared" si="271"/>
        <v>0</v>
      </c>
      <c r="N661" s="55">
        <f t="shared" si="272"/>
        <v>0</v>
      </c>
      <c r="O661" s="95"/>
      <c r="P661" s="160">
        <v>0</v>
      </c>
      <c r="Q661" s="55">
        <f t="shared" si="273"/>
        <v>0</v>
      </c>
      <c r="R661" s="65">
        <f t="shared" si="274"/>
        <v>0</v>
      </c>
      <c r="S661" s="118">
        <v>25</v>
      </c>
      <c r="T661" s="121" t="s">
        <v>217</v>
      </c>
      <c r="U661" s="73">
        <f>SUMIF('Avoided Costs 2013-2021'!$A:$A,'2013 Actuals'!T661&amp;'2013 Actuals'!S661,'Avoided Costs 2013-2021'!$E:$E)*J661</f>
        <v>67212.638309870294</v>
      </c>
      <c r="V661" s="73">
        <f>SUMIF('Avoided Costs 2013-2021'!$A:$A,'2013 Actuals'!T661&amp;'2013 Actuals'!S661,'Avoided Costs 2013-2021'!$K:$K)*N661</f>
        <v>0</v>
      </c>
      <c r="W661" s="73">
        <f>SUMIF('Avoided Costs 2013-2021'!$A:$A,'2013 Actuals'!T661&amp;'2013 Actuals'!S661,'Avoided Costs 2013-2021'!$M:$M)*R661</f>
        <v>0</v>
      </c>
      <c r="X661" s="73">
        <f t="shared" si="275"/>
        <v>67212.638309870294</v>
      </c>
      <c r="Y661" s="83">
        <v>2246</v>
      </c>
      <c r="Z661" s="74">
        <f t="shared" si="276"/>
        <v>1796.8000000000002</v>
      </c>
      <c r="AA661" s="74"/>
      <c r="AB661" s="74"/>
      <c r="AC661" s="74"/>
      <c r="AD661" s="74">
        <f t="shared" si="277"/>
        <v>1796.8000000000002</v>
      </c>
      <c r="AE661" s="74">
        <f t="shared" si="278"/>
        <v>65415.838309870291</v>
      </c>
      <c r="AF661" s="52">
        <f t="shared" si="279"/>
        <v>570745.76</v>
      </c>
      <c r="AG661" s="52">
        <f t="shared" si="280"/>
        <v>713432.2</v>
      </c>
    </row>
    <row r="662" spans="1:33" s="21" customFormat="1" x14ac:dyDescent="0.2">
      <c r="A662" s="114" t="s">
        <v>576</v>
      </c>
      <c r="B662" s="114"/>
      <c r="C662" s="114"/>
      <c r="D662" s="160">
        <v>1</v>
      </c>
      <c r="E662" s="161"/>
      <c r="F662" s="162">
        <v>0.2</v>
      </c>
      <c r="G662" s="162"/>
      <c r="H662" s="52">
        <v>26839</v>
      </c>
      <c r="I662" s="52">
        <f t="shared" si="269"/>
        <v>23725.675999999999</v>
      </c>
      <c r="J662" s="52">
        <f t="shared" si="270"/>
        <v>18980.540799999999</v>
      </c>
      <c r="K662" s="61"/>
      <c r="L662" s="160">
        <v>0</v>
      </c>
      <c r="M662" s="55">
        <f t="shared" si="271"/>
        <v>0</v>
      </c>
      <c r="N662" s="55">
        <f t="shared" si="272"/>
        <v>0</v>
      </c>
      <c r="O662" s="95"/>
      <c r="P662" s="160">
        <v>0</v>
      </c>
      <c r="Q662" s="55">
        <f t="shared" si="273"/>
        <v>0</v>
      </c>
      <c r="R662" s="65">
        <f t="shared" si="274"/>
        <v>0</v>
      </c>
      <c r="S662" s="118">
        <v>25</v>
      </c>
      <c r="T662" s="121" t="s">
        <v>201</v>
      </c>
      <c r="U662" s="73">
        <f>SUMIF('Avoided Costs 2013-2021'!$A:$A,'2013 Actuals'!T662&amp;'2013 Actuals'!S662,'Avoided Costs 2013-2021'!$E:$E)*J662</f>
        <v>59544.664009923181</v>
      </c>
      <c r="V662" s="73">
        <f>SUMIF('Avoided Costs 2013-2021'!$A:$A,'2013 Actuals'!T662&amp;'2013 Actuals'!S662,'Avoided Costs 2013-2021'!$K:$K)*N662</f>
        <v>0</v>
      </c>
      <c r="W662" s="73">
        <f>SUMIF('Avoided Costs 2013-2021'!$A:$A,'2013 Actuals'!T662&amp;'2013 Actuals'!S662,'Avoided Costs 2013-2021'!$M:$M)*R662</f>
        <v>0</v>
      </c>
      <c r="X662" s="73">
        <f t="shared" si="275"/>
        <v>59544.664009923181</v>
      </c>
      <c r="Y662" s="83">
        <v>1412</v>
      </c>
      <c r="Z662" s="74">
        <f t="shared" si="276"/>
        <v>1129.6000000000001</v>
      </c>
      <c r="AA662" s="74"/>
      <c r="AB662" s="74"/>
      <c r="AC662" s="74"/>
      <c r="AD662" s="74">
        <f t="shared" si="277"/>
        <v>1129.6000000000001</v>
      </c>
      <c r="AE662" s="74">
        <f t="shared" si="278"/>
        <v>58415.064009923182</v>
      </c>
      <c r="AF662" s="52">
        <f t="shared" si="279"/>
        <v>474513.51999999996</v>
      </c>
      <c r="AG662" s="52">
        <f t="shared" si="280"/>
        <v>593141.9</v>
      </c>
    </row>
    <row r="663" spans="1:33" s="21" customFormat="1" x14ac:dyDescent="0.2">
      <c r="A663" s="114" t="s">
        <v>577</v>
      </c>
      <c r="B663" s="114"/>
      <c r="C663" s="114"/>
      <c r="D663" s="160">
        <v>0</v>
      </c>
      <c r="E663" s="161"/>
      <c r="F663" s="162">
        <v>0.2</v>
      </c>
      <c r="G663" s="162"/>
      <c r="H663" s="52">
        <v>14416</v>
      </c>
      <c r="I663" s="52">
        <f t="shared" si="269"/>
        <v>12743.744000000001</v>
      </c>
      <c r="J663" s="52">
        <f t="shared" si="270"/>
        <v>10194.995200000001</v>
      </c>
      <c r="K663" s="61"/>
      <c r="L663" s="160">
        <v>0</v>
      </c>
      <c r="M663" s="55">
        <f t="shared" si="271"/>
        <v>0</v>
      </c>
      <c r="N663" s="55">
        <f t="shared" si="272"/>
        <v>0</v>
      </c>
      <c r="O663" s="95"/>
      <c r="P663" s="160">
        <v>0</v>
      </c>
      <c r="Q663" s="55">
        <f t="shared" si="273"/>
        <v>0</v>
      </c>
      <c r="R663" s="65">
        <f t="shared" si="274"/>
        <v>0</v>
      </c>
      <c r="S663" s="118">
        <v>25</v>
      </c>
      <c r="T663" s="121" t="s">
        <v>217</v>
      </c>
      <c r="U663" s="73">
        <f>SUMIF('Avoided Costs 2013-2021'!$A:$A,'2013 Actuals'!T663&amp;'2013 Actuals'!S663,'Avoided Costs 2013-2021'!$E:$E)*J663</f>
        <v>30014.788237255751</v>
      </c>
      <c r="V663" s="73">
        <f>SUMIF('Avoided Costs 2013-2021'!$A:$A,'2013 Actuals'!T663&amp;'2013 Actuals'!S663,'Avoided Costs 2013-2021'!$K:$K)*N663</f>
        <v>0</v>
      </c>
      <c r="W663" s="73">
        <f>SUMIF('Avoided Costs 2013-2021'!$A:$A,'2013 Actuals'!T663&amp;'2013 Actuals'!S663,'Avoided Costs 2013-2021'!$M:$M)*R663</f>
        <v>0</v>
      </c>
      <c r="X663" s="73">
        <f t="shared" si="275"/>
        <v>30014.788237255751</v>
      </c>
      <c r="Y663" s="83">
        <v>14858</v>
      </c>
      <c r="Z663" s="74">
        <f t="shared" si="276"/>
        <v>11886.400000000001</v>
      </c>
      <c r="AA663" s="74"/>
      <c r="AB663" s="74"/>
      <c r="AC663" s="74"/>
      <c r="AD663" s="74">
        <f t="shared" si="277"/>
        <v>11886.400000000001</v>
      </c>
      <c r="AE663" s="74">
        <f t="shared" si="278"/>
        <v>18128.388237255749</v>
      </c>
      <c r="AF663" s="52">
        <f t="shared" si="279"/>
        <v>254874.88000000003</v>
      </c>
      <c r="AG663" s="52">
        <f t="shared" si="280"/>
        <v>318593.60000000003</v>
      </c>
    </row>
    <row r="664" spans="1:33" s="21" customFormat="1" x14ac:dyDescent="0.2">
      <c r="A664" s="114" t="s">
        <v>578</v>
      </c>
      <c r="B664" s="114"/>
      <c r="C664" s="114"/>
      <c r="D664" s="160">
        <v>1</v>
      </c>
      <c r="E664" s="161"/>
      <c r="F664" s="162">
        <v>0.2</v>
      </c>
      <c r="G664" s="162"/>
      <c r="H664" s="52">
        <v>66105</v>
      </c>
      <c r="I664" s="52">
        <f t="shared" si="269"/>
        <v>58436.82</v>
      </c>
      <c r="J664" s="52">
        <f t="shared" si="270"/>
        <v>46749.456000000006</v>
      </c>
      <c r="K664" s="61"/>
      <c r="L664" s="160">
        <v>0</v>
      </c>
      <c r="M664" s="55">
        <f t="shared" si="271"/>
        <v>0</v>
      </c>
      <c r="N664" s="55">
        <f t="shared" si="272"/>
        <v>0</v>
      </c>
      <c r="O664" s="95"/>
      <c r="P664" s="160">
        <v>0</v>
      </c>
      <c r="Q664" s="55">
        <f t="shared" si="273"/>
        <v>0</v>
      </c>
      <c r="R664" s="65">
        <f t="shared" si="274"/>
        <v>0</v>
      </c>
      <c r="S664" s="118">
        <v>25</v>
      </c>
      <c r="T664" s="121" t="s">
        <v>217</v>
      </c>
      <c r="U664" s="73">
        <f>SUMIF('Avoided Costs 2013-2021'!$A:$A,'2013 Actuals'!T664&amp;'2013 Actuals'!S664,'Avoided Costs 2013-2021'!$E:$E)*J664</f>
        <v>137633.71090620084</v>
      </c>
      <c r="V664" s="73">
        <f>SUMIF('Avoided Costs 2013-2021'!$A:$A,'2013 Actuals'!T664&amp;'2013 Actuals'!S664,'Avoided Costs 2013-2021'!$K:$K)*N664</f>
        <v>0</v>
      </c>
      <c r="W664" s="73">
        <f>SUMIF('Avoided Costs 2013-2021'!$A:$A,'2013 Actuals'!T664&amp;'2013 Actuals'!S664,'Avoided Costs 2013-2021'!$M:$M)*R664</f>
        <v>0</v>
      </c>
      <c r="X664" s="73">
        <f t="shared" si="275"/>
        <v>137633.71090620084</v>
      </c>
      <c r="Y664" s="83">
        <v>7376</v>
      </c>
      <c r="Z664" s="74">
        <f t="shared" si="276"/>
        <v>5900.8</v>
      </c>
      <c r="AA664" s="74"/>
      <c r="AB664" s="74"/>
      <c r="AC664" s="74"/>
      <c r="AD664" s="74">
        <f t="shared" si="277"/>
        <v>5900.8</v>
      </c>
      <c r="AE664" s="74">
        <f t="shared" si="278"/>
        <v>131732.91090620085</v>
      </c>
      <c r="AF664" s="52">
        <f t="shared" si="279"/>
        <v>1168736.4000000001</v>
      </c>
      <c r="AG664" s="52">
        <f t="shared" si="280"/>
        <v>1460920.5</v>
      </c>
    </row>
    <row r="665" spans="1:33" s="21" customFormat="1" x14ac:dyDescent="0.2">
      <c r="A665" s="116" t="s">
        <v>579</v>
      </c>
      <c r="B665" s="116"/>
      <c r="C665" s="116"/>
      <c r="D665" s="151">
        <v>0</v>
      </c>
      <c r="E665" s="152"/>
      <c r="F665" s="153">
        <v>0.2</v>
      </c>
      <c r="G665" s="153"/>
      <c r="H665" s="52">
        <v>1609</v>
      </c>
      <c r="I665" s="52">
        <f t="shared" si="269"/>
        <v>1422.356</v>
      </c>
      <c r="J665" s="52">
        <f t="shared" si="270"/>
        <v>1137.8848</v>
      </c>
      <c r="K665" s="152"/>
      <c r="L665" s="151">
        <v>0</v>
      </c>
      <c r="M665" s="55">
        <f t="shared" si="271"/>
        <v>0</v>
      </c>
      <c r="N665" s="55">
        <f t="shared" si="272"/>
        <v>0</v>
      </c>
      <c r="O665" s="154"/>
      <c r="P665" s="151">
        <v>0</v>
      </c>
      <c r="Q665" s="55">
        <f t="shared" si="273"/>
        <v>0</v>
      </c>
      <c r="R665" s="65">
        <f t="shared" si="274"/>
        <v>0</v>
      </c>
      <c r="S665" s="129">
        <v>25</v>
      </c>
      <c r="T665" s="123" t="s">
        <v>217</v>
      </c>
      <c r="U665" s="73">
        <f>SUMIF('Avoided Costs 2013-2021'!$A:$A,'2013 Actuals'!T665&amp;'2013 Actuals'!S665,'Avoided Costs 2013-2021'!$E:$E)*J665</f>
        <v>3350.0134762586363</v>
      </c>
      <c r="V665" s="73">
        <f>SUMIF('Avoided Costs 2013-2021'!$A:$A,'2013 Actuals'!T665&amp;'2013 Actuals'!S665,'Avoided Costs 2013-2021'!$K:$K)*N665</f>
        <v>0</v>
      </c>
      <c r="W665" s="73">
        <f>SUMIF('Avoided Costs 2013-2021'!$A:$A,'2013 Actuals'!T665&amp;'2013 Actuals'!S665,'Avoided Costs 2013-2021'!$M:$M)*R665</f>
        <v>0</v>
      </c>
      <c r="X665" s="73">
        <f t="shared" si="275"/>
        <v>3350.0134762586363</v>
      </c>
      <c r="Y665" s="83">
        <v>3492</v>
      </c>
      <c r="Z665" s="74">
        <f t="shared" si="276"/>
        <v>2793.6000000000004</v>
      </c>
      <c r="AA665" s="74"/>
      <c r="AB665" s="74"/>
      <c r="AC665" s="74"/>
      <c r="AD665" s="74">
        <f t="shared" si="277"/>
        <v>2793.6000000000004</v>
      </c>
      <c r="AE665" s="74">
        <f t="shared" si="278"/>
        <v>556.41347625863591</v>
      </c>
      <c r="AF665" s="52">
        <f t="shared" si="279"/>
        <v>28447.120000000003</v>
      </c>
      <c r="AG665" s="52">
        <f t="shared" si="280"/>
        <v>35558.9</v>
      </c>
    </row>
    <row r="666" spans="1:33" s="21" customFormat="1" x14ac:dyDescent="0.2">
      <c r="A666" s="114" t="s">
        <v>580</v>
      </c>
      <c r="B666" s="114"/>
      <c r="C666" s="114"/>
      <c r="D666" s="160">
        <v>1</v>
      </c>
      <c r="E666" s="161"/>
      <c r="F666" s="162">
        <v>0.2</v>
      </c>
      <c r="G666" s="162"/>
      <c r="H666" s="52">
        <v>7748</v>
      </c>
      <c r="I666" s="52">
        <f t="shared" si="269"/>
        <v>6849.232</v>
      </c>
      <c r="J666" s="52">
        <f t="shared" si="270"/>
        <v>5479.3856000000005</v>
      </c>
      <c r="K666" s="61"/>
      <c r="L666" s="160">
        <v>0</v>
      </c>
      <c r="M666" s="55">
        <f t="shared" si="271"/>
        <v>0</v>
      </c>
      <c r="N666" s="55">
        <f t="shared" si="272"/>
        <v>0</v>
      </c>
      <c r="O666" s="95"/>
      <c r="P666" s="160">
        <v>0</v>
      </c>
      <c r="Q666" s="55">
        <f t="shared" si="273"/>
        <v>0</v>
      </c>
      <c r="R666" s="65">
        <f t="shared" si="274"/>
        <v>0</v>
      </c>
      <c r="S666" s="118">
        <v>25</v>
      </c>
      <c r="T666" s="121" t="s">
        <v>201</v>
      </c>
      <c r="U666" s="73">
        <f>SUMIF('Avoided Costs 2013-2021'!$A:$A,'2013 Actuals'!T666&amp;'2013 Actuals'!S666,'Avoided Costs 2013-2021'!$E:$E)*J666</f>
        <v>17189.614246018289</v>
      </c>
      <c r="V666" s="73">
        <f>SUMIF('Avoided Costs 2013-2021'!$A:$A,'2013 Actuals'!T666&amp;'2013 Actuals'!S666,'Avoided Costs 2013-2021'!$K:$K)*N666</f>
        <v>0</v>
      </c>
      <c r="W666" s="73">
        <f>SUMIF('Avoided Costs 2013-2021'!$A:$A,'2013 Actuals'!T666&amp;'2013 Actuals'!S666,'Avoided Costs 2013-2021'!$M:$M)*R666</f>
        <v>0</v>
      </c>
      <c r="X666" s="73">
        <f t="shared" si="275"/>
        <v>17189.614246018289</v>
      </c>
      <c r="Y666" s="83">
        <v>14401</v>
      </c>
      <c r="Z666" s="74">
        <f t="shared" si="276"/>
        <v>11520.800000000001</v>
      </c>
      <c r="AA666" s="74"/>
      <c r="AB666" s="74"/>
      <c r="AC666" s="74"/>
      <c r="AD666" s="74">
        <f t="shared" si="277"/>
        <v>11520.800000000001</v>
      </c>
      <c r="AE666" s="74">
        <f t="shared" si="278"/>
        <v>5668.814246018288</v>
      </c>
      <c r="AF666" s="52">
        <f t="shared" si="279"/>
        <v>136984.64000000001</v>
      </c>
      <c r="AG666" s="52">
        <f t="shared" si="280"/>
        <v>171230.8</v>
      </c>
    </row>
    <row r="667" spans="1:33" s="21" customFormat="1" x14ac:dyDescent="0.2">
      <c r="A667" s="114" t="s">
        <v>581</v>
      </c>
      <c r="B667" s="114"/>
      <c r="C667" s="114"/>
      <c r="D667" s="160">
        <v>0</v>
      </c>
      <c r="E667" s="161"/>
      <c r="F667" s="162">
        <v>0.2</v>
      </c>
      <c r="G667" s="162"/>
      <c r="H667" s="52">
        <v>2144</v>
      </c>
      <c r="I667" s="52">
        <f t="shared" si="269"/>
        <v>1895.296</v>
      </c>
      <c r="J667" s="52">
        <f t="shared" si="270"/>
        <v>1516.2368000000001</v>
      </c>
      <c r="K667" s="61"/>
      <c r="L667" s="160">
        <v>0</v>
      </c>
      <c r="M667" s="55">
        <f t="shared" si="271"/>
        <v>0</v>
      </c>
      <c r="N667" s="55">
        <f t="shared" si="272"/>
        <v>0</v>
      </c>
      <c r="O667" s="95"/>
      <c r="P667" s="160">
        <v>0</v>
      </c>
      <c r="Q667" s="55">
        <f t="shared" si="273"/>
        <v>0</v>
      </c>
      <c r="R667" s="65">
        <f t="shared" si="274"/>
        <v>0</v>
      </c>
      <c r="S667" s="118">
        <v>25</v>
      </c>
      <c r="T667" s="121" t="s">
        <v>217</v>
      </c>
      <c r="U667" s="73">
        <f>SUMIF('Avoided Costs 2013-2021'!$A:$A,'2013 Actuals'!T667&amp;'2013 Actuals'!S667,'Avoided Costs 2013-2021'!$E:$E)*J667</f>
        <v>4463.9085724664492</v>
      </c>
      <c r="V667" s="73">
        <f>SUMIF('Avoided Costs 2013-2021'!$A:$A,'2013 Actuals'!T667&amp;'2013 Actuals'!S667,'Avoided Costs 2013-2021'!$K:$K)*N667</f>
        <v>0</v>
      </c>
      <c r="W667" s="73">
        <f>SUMIF('Avoided Costs 2013-2021'!$A:$A,'2013 Actuals'!T667&amp;'2013 Actuals'!S667,'Avoided Costs 2013-2021'!$M:$M)*R667</f>
        <v>0</v>
      </c>
      <c r="X667" s="73">
        <f t="shared" si="275"/>
        <v>4463.9085724664492</v>
      </c>
      <c r="Y667" s="83">
        <v>1369</v>
      </c>
      <c r="Z667" s="74">
        <f t="shared" si="276"/>
        <v>1095.2</v>
      </c>
      <c r="AA667" s="74"/>
      <c r="AB667" s="74"/>
      <c r="AC667" s="74"/>
      <c r="AD667" s="74">
        <f t="shared" si="277"/>
        <v>1095.2</v>
      </c>
      <c r="AE667" s="74">
        <f t="shared" si="278"/>
        <v>3368.7085724664494</v>
      </c>
      <c r="AF667" s="52">
        <f t="shared" si="279"/>
        <v>37905.920000000006</v>
      </c>
      <c r="AG667" s="52">
        <f t="shared" si="280"/>
        <v>47382.400000000001</v>
      </c>
    </row>
    <row r="668" spans="1:33" s="21" customFormat="1" x14ac:dyDescent="0.2">
      <c r="A668" s="114" t="s">
        <v>582</v>
      </c>
      <c r="B668" s="114"/>
      <c r="C668" s="114"/>
      <c r="D668" s="160">
        <v>1</v>
      </c>
      <c r="E668" s="161"/>
      <c r="F668" s="162">
        <v>0.2</v>
      </c>
      <c r="G668" s="162"/>
      <c r="H668" s="52">
        <v>8655</v>
      </c>
      <c r="I668" s="52">
        <f t="shared" si="269"/>
        <v>7651.02</v>
      </c>
      <c r="J668" s="52">
        <f t="shared" si="270"/>
        <v>6120.8160000000007</v>
      </c>
      <c r="K668" s="61"/>
      <c r="L668" s="160">
        <v>0</v>
      </c>
      <c r="M668" s="55">
        <f t="shared" si="271"/>
        <v>0</v>
      </c>
      <c r="N668" s="55">
        <f t="shared" si="272"/>
        <v>0</v>
      </c>
      <c r="O668" s="95"/>
      <c r="P668" s="160">
        <v>0</v>
      </c>
      <c r="Q668" s="55">
        <f t="shared" si="273"/>
        <v>0</v>
      </c>
      <c r="R668" s="65">
        <f t="shared" si="274"/>
        <v>0</v>
      </c>
      <c r="S668" s="118">
        <v>25</v>
      </c>
      <c r="T668" s="121" t="s">
        <v>201</v>
      </c>
      <c r="U668" s="73">
        <f>SUMIF('Avoided Costs 2013-2021'!$A:$A,'2013 Actuals'!T668&amp;'2013 Actuals'!S668,'Avoided Costs 2013-2021'!$E:$E)*J668</f>
        <v>19201.872909045986</v>
      </c>
      <c r="V668" s="73">
        <f>SUMIF('Avoided Costs 2013-2021'!$A:$A,'2013 Actuals'!T668&amp;'2013 Actuals'!S668,'Avoided Costs 2013-2021'!$K:$K)*N668</f>
        <v>0</v>
      </c>
      <c r="W668" s="73">
        <f>SUMIF('Avoided Costs 2013-2021'!$A:$A,'2013 Actuals'!T668&amp;'2013 Actuals'!S668,'Avoided Costs 2013-2021'!$M:$M)*R668</f>
        <v>0</v>
      </c>
      <c r="X668" s="73">
        <f t="shared" si="275"/>
        <v>19201.872909045986</v>
      </c>
      <c r="Y668" s="83">
        <v>4183</v>
      </c>
      <c r="Z668" s="74">
        <f t="shared" si="276"/>
        <v>3346.4</v>
      </c>
      <c r="AA668" s="74"/>
      <c r="AB668" s="74"/>
      <c r="AC668" s="74"/>
      <c r="AD668" s="74">
        <f t="shared" si="277"/>
        <v>3346.4</v>
      </c>
      <c r="AE668" s="74">
        <f t="shared" si="278"/>
        <v>15855.472909045986</v>
      </c>
      <c r="AF668" s="52">
        <f t="shared" si="279"/>
        <v>153020.40000000002</v>
      </c>
      <c r="AG668" s="52">
        <f t="shared" si="280"/>
        <v>191275.5</v>
      </c>
    </row>
    <row r="669" spans="1:33" s="21" customFormat="1" x14ac:dyDescent="0.2">
      <c r="A669" s="114" t="s">
        <v>583</v>
      </c>
      <c r="B669" s="114"/>
      <c r="C669" s="114"/>
      <c r="D669" s="160">
        <v>1</v>
      </c>
      <c r="E669" s="161"/>
      <c r="F669" s="162">
        <v>0.2</v>
      </c>
      <c r="G669" s="162"/>
      <c r="H669" s="52">
        <v>30548</v>
      </c>
      <c r="I669" s="52">
        <f t="shared" si="269"/>
        <v>27004.432000000001</v>
      </c>
      <c r="J669" s="52">
        <f t="shared" si="270"/>
        <v>21603.545600000001</v>
      </c>
      <c r="K669" s="61"/>
      <c r="L669" s="160">
        <v>0</v>
      </c>
      <c r="M669" s="55">
        <f t="shared" si="271"/>
        <v>0</v>
      </c>
      <c r="N669" s="55">
        <f t="shared" si="272"/>
        <v>0</v>
      </c>
      <c r="O669" s="95"/>
      <c r="P669" s="160">
        <v>0</v>
      </c>
      <c r="Q669" s="55">
        <f t="shared" si="273"/>
        <v>0</v>
      </c>
      <c r="R669" s="65">
        <f t="shared" si="274"/>
        <v>0</v>
      </c>
      <c r="S669" s="118">
        <v>15</v>
      </c>
      <c r="T669" s="121" t="s">
        <v>201</v>
      </c>
      <c r="U669" s="73">
        <f>SUMIF('Avoided Costs 2013-2021'!$A:$A,'2013 Actuals'!T669&amp;'2013 Actuals'!S669,'Avoided Costs 2013-2021'!$E:$E)*J669</f>
        <v>48280.955045503717</v>
      </c>
      <c r="V669" s="73">
        <f>SUMIF('Avoided Costs 2013-2021'!$A:$A,'2013 Actuals'!T669&amp;'2013 Actuals'!S669,'Avoided Costs 2013-2021'!$K:$K)*N669</f>
        <v>0</v>
      </c>
      <c r="W669" s="73">
        <f>SUMIF('Avoided Costs 2013-2021'!$A:$A,'2013 Actuals'!T669&amp;'2013 Actuals'!S669,'Avoided Costs 2013-2021'!$M:$M)*R669</f>
        <v>0</v>
      </c>
      <c r="X669" s="73">
        <f t="shared" si="275"/>
        <v>48280.955045503717</v>
      </c>
      <c r="Y669" s="83">
        <v>37932</v>
      </c>
      <c r="Z669" s="74">
        <f t="shared" si="276"/>
        <v>30345.600000000002</v>
      </c>
      <c r="AA669" s="74"/>
      <c r="AB669" s="74"/>
      <c r="AC669" s="74"/>
      <c r="AD669" s="74">
        <f t="shared" si="277"/>
        <v>30345.600000000002</v>
      </c>
      <c r="AE669" s="74">
        <f t="shared" si="278"/>
        <v>17935.355045503715</v>
      </c>
      <c r="AF669" s="52">
        <f t="shared" si="279"/>
        <v>324053.18400000001</v>
      </c>
      <c r="AG669" s="52">
        <f t="shared" si="280"/>
        <v>405066.48</v>
      </c>
    </row>
    <row r="670" spans="1:33" s="21" customFormat="1" x14ac:dyDescent="0.2">
      <c r="A670" s="114" t="s">
        <v>584</v>
      </c>
      <c r="B670" s="114"/>
      <c r="C670" s="114"/>
      <c r="D670" s="160">
        <v>1</v>
      </c>
      <c r="E670" s="161"/>
      <c r="F670" s="162">
        <v>0.2</v>
      </c>
      <c r="G670" s="162"/>
      <c r="H670" s="52">
        <v>56609</v>
      </c>
      <c r="I670" s="52">
        <f t="shared" si="269"/>
        <v>50042.356</v>
      </c>
      <c r="J670" s="52">
        <f t="shared" si="270"/>
        <v>40033.8848</v>
      </c>
      <c r="K670" s="61"/>
      <c r="L670" s="160">
        <v>0</v>
      </c>
      <c r="M670" s="55">
        <f t="shared" si="271"/>
        <v>0</v>
      </c>
      <c r="N670" s="55">
        <f t="shared" si="272"/>
        <v>0</v>
      </c>
      <c r="O670" s="95"/>
      <c r="P670" s="160">
        <v>0</v>
      </c>
      <c r="Q670" s="55">
        <f t="shared" si="273"/>
        <v>0</v>
      </c>
      <c r="R670" s="65">
        <f t="shared" si="274"/>
        <v>0</v>
      </c>
      <c r="S670" s="118">
        <v>15</v>
      </c>
      <c r="T670" s="121" t="s">
        <v>201</v>
      </c>
      <c r="U670" s="73">
        <f>SUMIF('Avoided Costs 2013-2021'!$A:$A,'2013 Actuals'!T670&amp;'2013 Actuals'!S670,'Avoided Costs 2013-2021'!$E:$E)*J670</f>
        <v>89470.22993881497</v>
      </c>
      <c r="V670" s="73">
        <f>SUMIF('Avoided Costs 2013-2021'!$A:$A,'2013 Actuals'!T670&amp;'2013 Actuals'!S670,'Avoided Costs 2013-2021'!$K:$K)*N670</f>
        <v>0</v>
      </c>
      <c r="W670" s="73">
        <f>SUMIF('Avoided Costs 2013-2021'!$A:$A,'2013 Actuals'!T670&amp;'2013 Actuals'!S670,'Avoided Costs 2013-2021'!$M:$M)*R670</f>
        <v>0</v>
      </c>
      <c r="X670" s="73">
        <f t="shared" si="275"/>
        <v>89470.22993881497</v>
      </c>
      <c r="Y670" s="83">
        <v>50659</v>
      </c>
      <c r="Z670" s="74">
        <f t="shared" si="276"/>
        <v>40527.200000000004</v>
      </c>
      <c r="AA670" s="74"/>
      <c r="AB670" s="74"/>
      <c r="AC670" s="74"/>
      <c r="AD670" s="74">
        <f t="shared" si="277"/>
        <v>40527.200000000004</v>
      </c>
      <c r="AE670" s="74">
        <f t="shared" si="278"/>
        <v>48943.029938814965</v>
      </c>
      <c r="AF670" s="52">
        <f t="shared" si="279"/>
        <v>600508.272</v>
      </c>
      <c r="AG670" s="52">
        <f t="shared" si="280"/>
        <v>750635.34</v>
      </c>
    </row>
    <row r="671" spans="1:33" s="21" customFormat="1" x14ac:dyDescent="0.2">
      <c r="A671" s="114" t="s">
        <v>585</v>
      </c>
      <c r="B671" s="114"/>
      <c r="C671" s="114"/>
      <c r="D671" s="160">
        <v>1</v>
      </c>
      <c r="E671" s="161"/>
      <c r="F671" s="162">
        <v>0.2</v>
      </c>
      <c r="G671" s="162"/>
      <c r="H671" s="52">
        <v>2564</v>
      </c>
      <c r="I671" s="52">
        <f t="shared" si="269"/>
        <v>2266.576</v>
      </c>
      <c r="J671" s="52">
        <f t="shared" si="270"/>
        <v>1813.2608</v>
      </c>
      <c r="K671" s="61"/>
      <c r="L671" s="160">
        <v>0</v>
      </c>
      <c r="M671" s="55">
        <f t="shared" si="271"/>
        <v>0</v>
      </c>
      <c r="N671" s="55">
        <f t="shared" si="272"/>
        <v>0</v>
      </c>
      <c r="O671" s="95"/>
      <c r="P671" s="160">
        <v>0</v>
      </c>
      <c r="Q671" s="55">
        <f t="shared" si="273"/>
        <v>0</v>
      </c>
      <c r="R671" s="65">
        <f t="shared" si="274"/>
        <v>0</v>
      </c>
      <c r="S671" s="118">
        <v>15</v>
      </c>
      <c r="T671" s="121" t="s">
        <v>201</v>
      </c>
      <c r="U671" s="73">
        <f>SUMIF('Avoided Costs 2013-2021'!$A:$A,'2013 Actuals'!T671&amp;'2013 Actuals'!S671,'Avoided Costs 2013-2021'!$E:$E)*J671</f>
        <v>4052.3886583956892</v>
      </c>
      <c r="V671" s="73">
        <f>SUMIF('Avoided Costs 2013-2021'!$A:$A,'2013 Actuals'!T671&amp;'2013 Actuals'!S671,'Avoided Costs 2013-2021'!$K:$K)*N671</f>
        <v>0</v>
      </c>
      <c r="W671" s="73">
        <f>SUMIF('Avoided Costs 2013-2021'!$A:$A,'2013 Actuals'!T671&amp;'2013 Actuals'!S671,'Avoided Costs 2013-2021'!$M:$M)*R671</f>
        <v>0</v>
      </c>
      <c r="X671" s="73">
        <f t="shared" si="275"/>
        <v>4052.3886583956892</v>
      </c>
      <c r="Y671" s="83">
        <v>20000</v>
      </c>
      <c r="Z671" s="74">
        <f t="shared" si="276"/>
        <v>16000</v>
      </c>
      <c r="AA671" s="74"/>
      <c r="AB671" s="74"/>
      <c r="AC671" s="74"/>
      <c r="AD671" s="74">
        <f t="shared" si="277"/>
        <v>16000</v>
      </c>
      <c r="AE671" s="74">
        <f t="shared" si="278"/>
        <v>-11947.611341604312</v>
      </c>
      <c r="AF671" s="52">
        <f t="shared" si="279"/>
        <v>27198.912</v>
      </c>
      <c r="AG671" s="52">
        <f t="shared" si="280"/>
        <v>33998.639999999999</v>
      </c>
    </row>
    <row r="672" spans="1:33" s="21" customFormat="1" x14ac:dyDescent="0.2">
      <c r="A672" s="114" t="s">
        <v>586</v>
      </c>
      <c r="B672" s="114"/>
      <c r="C672" s="114"/>
      <c r="D672" s="160">
        <v>0</v>
      </c>
      <c r="E672" s="161"/>
      <c r="F672" s="162">
        <v>0.2</v>
      </c>
      <c r="G672" s="162"/>
      <c r="H672" s="52">
        <v>9154</v>
      </c>
      <c r="I672" s="52">
        <f t="shared" si="269"/>
        <v>8092.1360000000004</v>
      </c>
      <c r="J672" s="52">
        <f t="shared" si="270"/>
        <v>6473.7088000000003</v>
      </c>
      <c r="K672" s="61"/>
      <c r="L672" s="160">
        <v>0</v>
      </c>
      <c r="M672" s="55">
        <f t="shared" si="271"/>
        <v>0</v>
      </c>
      <c r="N672" s="55">
        <f t="shared" si="272"/>
        <v>0</v>
      </c>
      <c r="O672" s="95"/>
      <c r="P672" s="160">
        <v>0</v>
      </c>
      <c r="Q672" s="55">
        <f t="shared" si="273"/>
        <v>0</v>
      </c>
      <c r="R672" s="65">
        <f t="shared" si="274"/>
        <v>0</v>
      </c>
      <c r="S672" s="118">
        <v>15</v>
      </c>
      <c r="T672" s="121" t="s">
        <v>201</v>
      </c>
      <c r="U672" s="73">
        <f>SUMIF('Avoided Costs 2013-2021'!$A:$A,'2013 Actuals'!T672&amp;'2013 Actuals'!S672,'Avoided Costs 2013-2021'!$E:$E)*J672</f>
        <v>14467.849367766827</v>
      </c>
      <c r="V672" s="73">
        <f>SUMIF('Avoided Costs 2013-2021'!$A:$A,'2013 Actuals'!T672&amp;'2013 Actuals'!S672,'Avoided Costs 2013-2021'!$K:$K)*N672</f>
        <v>0</v>
      </c>
      <c r="W672" s="73">
        <f>SUMIF('Avoided Costs 2013-2021'!$A:$A,'2013 Actuals'!T672&amp;'2013 Actuals'!S672,'Avoided Costs 2013-2021'!$M:$M)*R672</f>
        <v>0</v>
      </c>
      <c r="X672" s="73">
        <f t="shared" si="275"/>
        <v>14467.849367766827</v>
      </c>
      <c r="Y672" s="83">
        <v>36900</v>
      </c>
      <c r="Z672" s="74">
        <f t="shared" si="276"/>
        <v>29520</v>
      </c>
      <c r="AA672" s="74"/>
      <c r="AB672" s="74"/>
      <c r="AC672" s="74"/>
      <c r="AD672" s="74">
        <f t="shared" si="277"/>
        <v>29520</v>
      </c>
      <c r="AE672" s="74">
        <f t="shared" si="278"/>
        <v>-15052.150632233173</v>
      </c>
      <c r="AF672" s="52">
        <f t="shared" si="279"/>
        <v>97105.632000000012</v>
      </c>
      <c r="AG672" s="52">
        <f t="shared" si="280"/>
        <v>121382.04000000001</v>
      </c>
    </row>
    <row r="673" spans="1:33" s="21" customFormat="1" x14ac:dyDescent="0.2">
      <c r="A673" s="114" t="s">
        <v>587</v>
      </c>
      <c r="B673" s="114"/>
      <c r="C673" s="114"/>
      <c r="D673" s="160">
        <v>0</v>
      </c>
      <c r="E673" s="161"/>
      <c r="F673" s="162">
        <v>0.2</v>
      </c>
      <c r="G673" s="162"/>
      <c r="H673" s="52">
        <v>179</v>
      </c>
      <c r="I673" s="52">
        <f t="shared" si="269"/>
        <v>158.23599999999999</v>
      </c>
      <c r="J673" s="52">
        <f t="shared" si="270"/>
        <v>126.58879999999999</v>
      </c>
      <c r="K673" s="61"/>
      <c r="L673" s="160">
        <v>0</v>
      </c>
      <c r="M673" s="55">
        <f t="shared" si="271"/>
        <v>0</v>
      </c>
      <c r="N673" s="55">
        <f t="shared" si="272"/>
        <v>0</v>
      </c>
      <c r="O673" s="95"/>
      <c r="P673" s="160">
        <v>0</v>
      </c>
      <c r="Q673" s="55">
        <f t="shared" si="273"/>
        <v>0</v>
      </c>
      <c r="R673" s="65">
        <f t="shared" si="274"/>
        <v>0</v>
      </c>
      <c r="S673" s="118">
        <v>15</v>
      </c>
      <c r="T673" s="121" t="s">
        <v>217</v>
      </c>
      <c r="U673" s="73">
        <f>SUMIF('Avoided Costs 2013-2021'!$A:$A,'2013 Actuals'!T673&amp;'2013 Actuals'!S673,'Avoided Costs 2013-2021'!$E:$E)*J673</f>
        <v>265.55441243569248</v>
      </c>
      <c r="V673" s="73">
        <f>SUMIF('Avoided Costs 2013-2021'!$A:$A,'2013 Actuals'!T673&amp;'2013 Actuals'!S673,'Avoided Costs 2013-2021'!$K:$K)*N673</f>
        <v>0</v>
      </c>
      <c r="W673" s="73">
        <f>SUMIF('Avoided Costs 2013-2021'!$A:$A,'2013 Actuals'!T673&amp;'2013 Actuals'!S673,'Avoided Costs 2013-2021'!$M:$M)*R673</f>
        <v>0</v>
      </c>
      <c r="X673" s="73">
        <f t="shared" si="275"/>
        <v>265.55441243569248</v>
      </c>
      <c r="Y673" s="83">
        <v>4100</v>
      </c>
      <c r="Z673" s="74">
        <f t="shared" si="276"/>
        <v>3280</v>
      </c>
      <c r="AA673" s="74"/>
      <c r="AB673" s="74"/>
      <c r="AC673" s="74"/>
      <c r="AD673" s="74">
        <f t="shared" si="277"/>
        <v>3280</v>
      </c>
      <c r="AE673" s="74">
        <f t="shared" si="278"/>
        <v>-3014.4455875643075</v>
      </c>
      <c r="AF673" s="52">
        <f t="shared" si="279"/>
        <v>1898.8319999999999</v>
      </c>
      <c r="AG673" s="52">
        <f t="shared" si="280"/>
        <v>2373.54</v>
      </c>
    </row>
    <row r="674" spans="1:33" s="21" customFormat="1" x14ac:dyDescent="0.2">
      <c r="A674" s="114" t="s">
        <v>588</v>
      </c>
      <c r="B674" s="114"/>
      <c r="C674" s="114"/>
      <c r="D674" s="160">
        <v>1</v>
      </c>
      <c r="E674" s="161"/>
      <c r="F674" s="162">
        <v>0.2</v>
      </c>
      <c r="G674" s="162"/>
      <c r="H674" s="52">
        <v>10869</v>
      </c>
      <c r="I674" s="52">
        <f t="shared" si="269"/>
        <v>9608.1959999999999</v>
      </c>
      <c r="J674" s="52">
        <f t="shared" si="270"/>
        <v>7686.5568000000003</v>
      </c>
      <c r="K674" s="61"/>
      <c r="L674" s="160">
        <v>28627</v>
      </c>
      <c r="M674" s="55">
        <f t="shared" si="271"/>
        <v>28627</v>
      </c>
      <c r="N674" s="55">
        <f t="shared" si="272"/>
        <v>22901.600000000002</v>
      </c>
      <c r="O674" s="95"/>
      <c r="P674" s="160">
        <v>0</v>
      </c>
      <c r="Q674" s="55">
        <f t="shared" si="273"/>
        <v>0</v>
      </c>
      <c r="R674" s="65">
        <f t="shared" si="274"/>
        <v>0</v>
      </c>
      <c r="S674" s="118">
        <v>15</v>
      </c>
      <c r="T674" s="121" t="s">
        <v>201</v>
      </c>
      <c r="U674" s="73">
        <f>SUMIF('Avoided Costs 2013-2021'!$A:$A,'2013 Actuals'!T674&amp;'2013 Actuals'!S674,'Avoided Costs 2013-2021'!$E:$E)*J674</f>
        <v>17178.397943877826</v>
      </c>
      <c r="V674" s="73">
        <f>SUMIF('Avoided Costs 2013-2021'!$A:$A,'2013 Actuals'!T674&amp;'2013 Actuals'!S674,'Avoided Costs 2013-2021'!$K:$K)*N674</f>
        <v>23975.540048874987</v>
      </c>
      <c r="W674" s="73">
        <f>SUMIF('Avoided Costs 2013-2021'!$A:$A,'2013 Actuals'!T674&amp;'2013 Actuals'!S674,'Avoided Costs 2013-2021'!$M:$M)*R674</f>
        <v>0</v>
      </c>
      <c r="X674" s="73">
        <f t="shared" si="275"/>
        <v>41153.937992752813</v>
      </c>
      <c r="Y674" s="83">
        <v>14650</v>
      </c>
      <c r="Z674" s="74">
        <f t="shared" si="276"/>
        <v>11720</v>
      </c>
      <c r="AA674" s="74"/>
      <c r="AB674" s="74"/>
      <c r="AC674" s="74"/>
      <c r="AD674" s="74">
        <f t="shared" si="277"/>
        <v>11720</v>
      </c>
      <c r="AE674" s="74">
        <f t="shared" si="278"/>
        <v>29433.937992752813</v>
      </c>
      <c r="AF674" s="52">
        <f t="shared" si="279"/>
        <v>115298.352</v>
      </c>
      <c r="AG674" s="52">
        <f t="shared" si="280"/>
        <v>144122.94</v>
      </c>
    </row>
    <row r="675" spans="1:33" s="21" customFormat="1" x14ac:dyDescent="0.2">
      <c r="A675" s="114" t="s">
        <v>589</v>
      </c>
      <c r="B675" s="114"/>
      <c r="C675" s="114"/>
      <c r="D675" s="160">
        <v>0</v>
      </c>
      <c r="E675" s="161"/>
      <c r="F675" s="162">
        <v>0.2</v>
      </c>
      <c r="G675" s="162"/>
      <c r="H675" s="52">
        <v>34847</v>
      </c>
      <c r="I675" s="52">
        <f t="shared" si="269"/>
        <v>30804.748</v>
      </c>
      <c r="J675" s="52">
        <f t="shared" si="270"/>
        <v>24643.7984</v>
      </c>
      <c r="K675" s="61"/>
      <c r="L675" s="160">
        <v>0</v>
      </c>
      <c r="M675" s="55">
        <f t="shared" si="271"/>
        <v>0</v>
      </c>
      <c r="N675" s="55">
        <f t="shared" si="272"/>
        <v>0</v>
      </c>
      <c r="O675" s="95"/>
      <c r="P675" s="160">
        <v>0</v>
      </c>
      <c r="Q675" s="55">
        <f t="shared" si="273"/>
        <v>0</v>
      </c>
      <c r="R675" s="65">
        <f t="shared" si="274"/>
        <v>0</v>
      </c>
      <c r="S675" s="118">
        <v>15</v>
      </c>
      <c r="T675" s="121" t="s">
        <v>201</v>
      </c>
      <c r="U675" s="73">
        <f>SUMIF('Avoided Costs 2013-2021'!$A:$A,'2013 Actuals'!T675&amp;'2013 Actuals'!S675,'Avoided Costs 2013-2021'!$E:$E)*J675</f>
        <v>55075.502175941729</v>
      </c>
      <c r="V675" s="73">
        <f>SUMIF('Avoided Costs 2013-2021'!$A:$A,'2013 Actuals'!T675&amp;'2013 Actuals'!S675,'Avoided Costs 2013-2021'!$K:$K)*N675</f>
        <v>0</v>
      </c>
      <c r="W675" s="73">
        <f>SUMIF('Avoided Costs 2013-2021'!$A:$A,'2013 Actuals'!T675&amp;'2013 Actuals'!S675,'Avoided Costs 2013-2021'!$M:$M)*R675</f>
        <v>0</v>
      </c>
      <c r="X675" s="73">
        <f t="shared" si="275"/>
        <v>55075.502175941729</v>
      </c>
      <c r="Y675" s="83">
        <v>4998</v>
      </c>
      <c r="Z675" s="74">
        <f t="shared" si="276"/>
        <v>3998.4</v>
      </c>
      <c r="AA675" s="74"/>
      <c r="AB675" s="74"/>
      <c r="AC675" s="74"/>
      <c r="AD675" s="74">
        <f t="shared" si="277"/>
        <v>3998.4</v>
      </c>
      <c r="AE675" s="74">
        <f t="shared" si="278"/>
        <v>51077.102175941727</v>
      </c>
      <c r="AF675" s="52">
        <f t="shared" si="279"/>
        <v>369656.97600000002</v>
      </c>
      <c r="AG675" s="52">
        <f t="shared" si="280"/>
        <v>462071.22</v>
      </c>
    </row>
    <row r="676" spans="1:33" s="21" customFormat="1" x14ac:dyDescent="0.2">
      <c r="A676" s="114" t="s">
        <v>590</v>
      </c>
      <c r="B676" s="114"/>
      <c r="C676" s="114"/>
      <c r="D676" s="160">
        <v>0</v>
      </c>
      <c r="E676" s="161"/>
      <c r="F676" s="162">
        <v>0.2</v>
      </c>
      <c r="G676" s="162"/>
      <c r="H676" s="52">
        <v>8694</v>
      </c>
      <c r="I676" s="52">
        <f t="shared" si="269"/>
        <v>7685.4960000000001</v>
      </c>
      <c r="J676" s="52">
        <f t="shared" si="270"/>
        <v>6148.3968000000004</v>
      </c>
      <c r="K676" s="61"/>
      <c r="L676" s="160">
        <v>0</v>
      </c>
      <c r="M676" s="55">
        <f t="shared" si="271"/>
        <v>0</v>
      </c>
      <c r="N676" s="55">
        <f t="shared" si="272"/>
        <v>0</v>
      </c>
      <c r="O676" s="95"/>
      <c r="P676" s="160">
        <v>0</v>
      </c>
      <c r="Q676" s="55">
        <f t="shared" si="273"/>
        <v>0</v>
      </c>
      <c r="R676" s="65">
        <f t="shared" si="274"/>
        <v>0</v>
      </c>
      <c r="S676" s="118">
        <v>15</v>
      </c>
      <c r="T676" s="121" t="s">
        <v>217</v>
      </c>
      <c r="U676" s="73">
        <f>SUMIF('Avoided Costs 2013-2021'!$A:$A,'2013 Actuals'!T676&amp;'2013 Actuals'!S676,'Avoided Costs 2013-2021'!$E:$E)*J676</f>
        <v>12897.93330567548</v>
      </c>
      <c r="V676" s="73">
        <f>SUMIF('Avoided Costs 2013-2021'!$A:$A,'2013 Actuals'!T676&amp;'2013 Actuals'!S676,'Avoided Costs 2013-2021'!$K:$K)*N676</f>
        <v>0</v>
      </c>
      <c r="W676" s="73">
        <f>SUMIF('Avoided Costs 2013-2021'!$A:$A,'2013 Actuals'!T676&amp;'2013 Actuals'!S676,'Avoided Costs 2013-2021'!$M:$M)*R676</f>
        <v>0</v>
      </c>
      <c r="X676" s="73">
        <f t="shared" si="275"/>
        <v>12897.93330567548</v>
      </c>
      <c r="Y676" s="83">
        <v>4997</v>
      </c>
      <c r="Z676" s="74">
        <f t="shared" si="276"/>
        <v>3997.6000000000004</v>
      </c>
      <c r="AA676" s="74"/>
      <c r="AB676" s="74"/>
      <c r="AC676" s="74"/>
      <c r="AD676" s="74">
        <f t="shared" si="277"/>
        <v>3997.6000000000004</v>
      </c>
      <c r="AE676" s="74">
        <f t="shared" si="278"/>
        <v>8900.33330567548</v>
      </c>
      <c r="AF676" s="52">
        <f t="shared" si="279"/>
        <v>92225.952000000005</v>
      </c>
      <c r="AG676" s="52">
        <f t="shared" si="280"/>
        <v>115282.44</v>
      </c>
    </row>
    <row r="677" spans="1:33" s="21" customFormat="1" x14ac:dyDescent="0.2">
      <c r="A677" s="114" t="s">
        <v>591</v>
      </c>
      <c r="B677" s="114"/>
      <c r="C677" s="114"/>
      <c r="D677" s="160">
        <v>1</v>
      </c>
      <c r="E677" s="161"/>
      <c r="F677" s="162">
        <v>0.2</v>
      </c>
      <c r="G677" s="162"/>
      <c r="H677" s="52">
        <v>49363</v>
      </c>
      <c r="I677" s="52">
        <f t="shared" si="269"/>
        <v>43636.892</v>
      </c>
      <c r="J677" s="52">
        <f t="shared" si="270"/>
        <v>34909.513599999998</v>
      </c>
      <c r="K677" s="61"/>
      <c r="L677" s="160">
        <v>55863</v>
      </c>
      <c r="M677" s="55">
        <f t="shared" si="271"/>
        <v>55863</v>
      </c>
      <c r="N677" s="55">
        <f t="shared" si="272"/>
        <v>44690.400000000001</v>
      </c>
      <c r="O677" s="95"/>
      <c r="P677" s="160">
        <v>0</v>
      </c>
      <c r="Q677" s="55">
        <f t="shared" si="273"/>
        <v>0</v>
      </c>
      <c r="R677" s="65">
        <f t="shared" si="274"/>
        <v>0</v>
      </c>
      <c r="S677" s="118">
        <v>15</v>
      </c>
      <c r="T677" s="121" t="s">
        <v>201</v>
      </c>
      <c r="U677" s="73">
        <f>SUMIF('Avoided Costs 2013-2021'!$A:$A,'2013 Actuals'!T677&amp;'2013 Actuals'!S677,'Avoided Costs 2013-2021'!$E:$E)*J677</f>
        <v>78017.964642896419</v>
      </c>
      <c r="V677" s="73">
        <f>SUMIF('Avoided Costs 2013-2021'!$A:$A,'2013 Actuals'!T677&amp;'2013 Actuals'!S677,'Avoided Costs 2013-2021'!$K:$K)*N677</f>
        <v>46786.096822939995</v>
      </c>
      <c r="W677" s="73">
        <f>SUMIF('Avoided Costs 2013-2021'!$A:$A,'2013 Actuals'!T677&amp;'2013 Actuals'!S677,'Avoided Costs 2013-2021'!$M:$M)*R677</f>
        <v>0</v>
      </c>
      <c r="X677" s="73">
        <f t="shared" si="275"/>
        <v>124804.06146583642</v>
      </c>
      <c r="Y677" s="83">
        <v>9995</v>
      </c>
      <c r="Z677" s="74">
        <f t="shared" si="276"/>
        <v>7996</v>
      </c>
      <c r="AA677" s="74"/>
      <c r="AB677" s="74"/>
      <c r="AC677" s="74"/>
      <c r="AD677" s="74">
        <f t="shared" si="277"/>
        <v>7996</v>
      </c>
      <c r="AE677" s="74">
        <f t="shared" si="278"/>
        <v>116808.06146583642</v>
      </c>
      <c r="AF677" s="52">
        <f t="shared" si="279"/>
        <v>523642.70399999997</v>
      </c>
      <c r="AG677" s="52">
        <f t="shared" si="280"/>
        <v>654553.38</v>
      </c>
    </row>
    <row r="678" spans="1:33" s="21" customFormat="1" x14ac:dyDescent="0.2">
      <c r="A678" s="114" t="s">
        <v>592</v>
      </c>
      <c r="B678" s="114"/>
      <c r="C678" s="114"/>
      <c r="D678" s="160">
        <v>0</v>
      </c>
      <c r="E678" s="161"/>
      <c r="F678" s="162">
        <v>0.2</v>
      </c>
      <c r="G678" s="162"/>
      <c r="H678" s="52">
        <v>34847</v>
      </c>
      <c r="I678" s="52">
        <f t="shared" si="269"/>
        <v>30804.748</v>
      </c>
      <c r="J678" s="52">
        <f t="shared" si="270"/>
        <v>24643.7984</v>
      </c>
      <c r="K678" s="61"/>
      <c r="L678" s="160">
        <v>0</v>
      </c>
      <c r="M678" s="55">
        <f t="shared" si="271"/>
        <v>0</v>
      </c>
      <c r="N678" s="55">
        <f t="shared" si="272"/>
        <v>0</v>
      </c>
      <c r="O678" s="95"/>
      <c r="P678" s="160">
        <v>0</v>
      </c>
      <c r="Q678" s="55">
        <f t="shared" si="273"/>
        <v>0</v>
      </c>
      <c r="R678" s="65">
        <f t="shared" si="274"/>
        <v>0</v>
      </c>
      <c r="S678" s="118">
        <v>15</v>
      </c>
      <c r="T678" s="121" t="s">
        <v>201</v>
      </c>
      <c r="U678" s="73">
        <f>SUMIF('Avoided Costs 2013-2021'!$A:$A,'2013 Actuals'!T678&amp;'2013 Actuals'!S678,'Avoided Costs 2013-2021'!$E:$E)*J678</f>
        <v>55075.502175941729</v>
      </c>
      <c r="V678" s="73">
        <f>SUMIF('Avoided Costs 2013-2021'!$A:$A,'2013 Actuals'!T678&amp;'2013 Actuals'!S678,'Avoided Costs 2013-2021'!$K:$K)*N678</f>
        <v>0</v>
      </c>
      <c r="W678" s="73">
        <f>SUMIF('Avoided Costs 2013-2021'!$A:$A,'2013 Actuals'!T678&amp;'2013 Actuals'!S678,'Avoided Costs 2013-2021'!$M:$M)*R678</f>
        <v>0</v>
      </c>
      <c r="X678" s="73">
        <f t="shared" si="275"/>
        <v>55075.502175941729</v>
      </c>
      <c r="Y678" s="83">
        <v>4998</v>
      </c>
      <c r="Z678" s="74">
        <f t="shared" si="276"/>
        <v>3998.4</v>
      </c>
      <c r="AA678" s="74"/>
      <c r="AB678" s="74"/>
      <c r="AC678" s="74"/>
      <c r="AD678" s="74">
        <f t="shared" si="277"/>
        <v>3998.4</v>
      </c>
      <c r="AE678" s="74">
        <f t="shared" si="278"/>
        <v>51077.102175941727</v>
      </c>
      <c r="AF678" s="52">
        <f t="shared" si="279"/>
        <v>369656.97600000002</v>
      </c>
      <c r="AG678" s="52">
        <f t="shared" si="280"/>
        <v>462071.22</v>
      </c>
    </row>
    <row r="679" spans="1:33" s="21" customFormat="1" x14ac:dyDescent="0.2">
      <c r="A679" s="114" t="s">
        <v>593</v>
      </c>
      <c r="B679" s="114"/>
      <c r="C679" s="114"/>
      <c r="D679" s="160">
        <v>0</v>
      </c>
      <c r="E679" s="161"/>
      <c r="F679" s="162">
        <v>0.2</v>
      </c>
      <c r="G679" s="162"/>
      <c r="H679" s="52">
        <v>8694</v>
      </c>
      <c r="I679" s="52">
        <f t="shared" si="269"/>
        <v>7685.4960000000001</v>
      </c>
      <c r="J679" s="52">
        <f t="shared" si="270"/>
        <v>6148.3968000000004</v>
      </c>
      <c r="K679" s="61"/>
      <c r="L679" s="160">
        <v>0</v>
      </c>
      <c r="M679" s="55">
        <f t="shared" si="271"/>
        <v>0</v>
      </c>
      <c r="N679" s="55">
        <f t="shared" si="272"/>
        <v>0</v>
      </c>
      <c r="O679" s="95"/>
      <c r="P679" s="160">
        <v>0</v>
      </c>
      <c r="Q679" s="55">
        <f t="shared" si="273"/>
        <v>0</v>
      </c>
      <c r="R679" s="65">
        <f t="shared" si="274"/>
        <v>0</v>
      </c>
      <c r="S679" s="118">
        <v>15</v>
      </c>
      <c r="T679" s="121" t="s">
        <v>217</v>
      </c>
      <c r="U679" s="73">
        <f>SUMIF('Avoided Costs 2013-2021'!$A:$A,'2013 Actuals'!T679&amp;'2013 Actuals'!S679,'Avoided Costs 2013-2021'!$E:$E)*J679</f>
        <v>12897.93330567548</v>
      </c>
      <c r="V679" s="73">
        <f>SUMIF('Avoided Costs 2013-2021'!$A:$A,'2013 Actuals'!T679&amp;'2013 Actuals'!S679,'Avoided Costs 2013-2021'!$K:$K)*N679</f>
        <v>0</v>
      </c>
      <c r="W679" s="73">
        <f>SUMIF('Avoided Costs 2013-2021'!$A:$A,'2013 Actuals'!T679&amp;'2013 Actuals'!S679,'Avoided Costs 2013-2021'!$M:$M)*R679</f>
        <v>0</v>
      </c>
      <c r="X679" s="73">
        <f t="shared" si="275"/>
        <v>12897.93330567548</v>
      </c>
      <c r="Y679" s="83">
        <v>4997</v>
      </c>
      <c r="Z679" s="74">
        <f t="shared" si="276"/>
        <v>3997.6000000000004</v>
      </c>
      <c r="AA679" s="74"/>
      <c r="AB679" s="74"/>
      <c r="AC679" s="74"/>
      <c r="AD679" s="74">
        <f t="shared" si="277"/>
        <v>3997.6000000000004</v>
      </c>
      <c r="AE679" s="74">
        <f t="shared" si="278"/>
        <v>8900.33330567548</v>
      </c>
      <c r="AF679" s="52">
        <f t="shared" si="279"/>
        <v>92225.952000000005</v>
      </c>
      <c r="AG679" s="52">
        <f t="shared" si="280"/>
        <v>115282.44</v>
      </c>
    </row>
    <row r="680" spans="1:33" s="21" customFormat="1" x14ac:dyDescent="0.2">
      <c r="A680" s="114" t="s">
        <v>594</v>
      </c>
      <c r="B680" s="114"/>
      <c r="C680" s="114"/>
      <c r="D680" s="160">
        <v>1</v>
      </c>
      <c r="E680" s="161"/>
      <c r="F680" s="162">
        <v>0.2</v>
      </c>
      <c r="G680" s="162"/>
      <c r="H680" s="52">
        <v>49363</v>
      </c>
      <c r="I680" s="52">
        <f t="shared" si="269"/>
        <v>43636.892</v>
      </c>
      <c r="J680" s="52">
        <f t="shared" si="270"/>
        <v>34909.513599999998</v>
      </c>
      <c r="K680" s="61"/>
      <c r="L680" s="160">
        <v>55863</v>
      </c>
      <c r="M680" s="55">
        <f t="shared" si="271"/>
        <v>55863</v>
      </c>
      <c r="N680" s="55">
        <f t="shared" si="272"/>
        <v>44690.400000000001</v>
      </c>
      <c r="O680" s="95"/>
      <c r="P680" s="160">
        <v>0</v>
      </c>
      <c r="Q680" s="55">
        <f t="shared" si="273"/>
        <v>0</v>
      </c>
      <c r="R680" s="65">
        <f t="shared" si="274"/>
        <v>0</v>
      </c>
      <c r="S680" s="118">
        <v>15</v>
      </c>
      <c r="T680" s="121" t="s">
        <v>201</v>
      </c>
      <c r="U680" s="73">
        <f>SUMIF('Avoided Costs 2013-2021'!$A:$A,'2013 Actuals'!T680&amp;'2013 Actuals'!S680,'Avoided Costs 2013-2021'!$E:$E)*J680</f>
        <v>78017.964642896419</v>
      </c>
      <c r="V680" s="73">
        <f>SUMIF('Avoided Costs 2013-2021'!$A:$A,'2013 Actuals'!T680&amp;'2013 Actuals'!S680,'Avoided Costs 2013-2021'!$K:$K)*N680</f>
        <v>46786.096822939995</v>
      </c>
      <c r="W680" s="73">
        <f>SUMIF('Avoided Costs 2013-2021'!$A:$A,'2013 Actuals'!T680&amp;'2013 Actuals'!S680,'Avoided Costs 2013-2021'!$M:$M)*R680</f>
        <v>0</v>
      </c>
      <c r="X680" s="73">
        <f t="shared" si="275"/>
        <v>124804.06146583642</v>
      </c>
      <c r="Y680" s="83">
        <v>9995</v>
      </c>
      <c r="Z680" s="74">
        <f t="shared" si="276"/>
        <v>7996</v>
      </c>
      <c r="AA680" s="74"/>
      <c r="AB680" s="74"/>
      <c r="AC680" s="74"/>
      <c r="AD680" s="74">
        <f t="shared" si="277"/>
        <v>7996</v>
      </c>
      <c r="AE680" s="74">
        <f t="shared" si="278"/>
        <v>116808.06146583642</v>
      </c>
      <c r="AF680" s="52">
        <f t="shared" si="279"/>
        <v>523642.70399999997</v>
      </c>
      <c r="AG680" s="52">
        <f t="shared" si="280"/>
        <v>654553.38</v>
      </c>
    </row>
    <row r="681" spans="1:33" s="21" customFormat="1" x14ac:dyDescent="0.2">
      <c r="A681" s="114" t="s">
        <v>595</v>
      </c>
      <c r="B681" s="114"/>
      <c r="C681" s="114"/>
      <c r="D681" s="160">
        <v>1</v>
      </c>
      <c r="E681" s="161"/>
      <c r="F681" s="162">
        <v>0.2</v>
      </c>
      <c r="G681" s="162"/>
      <c r="H681" s="52">
        <v>36051</v>
      </c>
      <c r="I681" s="52">
        <f t="shared" si="269"/>
        <v>31869.083999999999</v>
      </c>
      <c r="J681" s="52">
        <f t="shared" si="270"/>
        <v>25495.267200000002</v>
      </c>
      <c r="K681" s="61"/>
      <c r="L681" s="160">
        <v>50993</v>
      </c>
      <c r="M681" s="55">
        <f t="shared" si="271"/>
        <v>50993</v>
      </c>
      <c r="N681" s="55">
        <f t="shared" si="272"/>
        <v>40794.400000000001</v>
      </c>
      <c r="O681" s="95"/>
      <c r="P681" s="160">
        <v>0</v>
      </c>
      <c r="Q681" s="55">
        <f t="shared" si="273"/>
        <v>0</v>
      </c>
      <c r="R681" s="65">
        <f t="shared" si="274"/>
        <v>0</v>
      </c>
      <c r="S681" s="118">
        <v>15</v>
      </c>
      <c r="T681" s="121" t="s">
        <v>201</v>
      </c>
      <c r="U681" s="73">
        <f>SUMIF('Avoided Costs 2013-2021'!$A:$A,'2013 Actuals'!T681&amp;'2013 Actuals'!S681,'Avoided Costs 2013-2021'!$E:$E)*J681</f>
        <v>56978.417911007411</v>
      </c>
      <c r="V681" s="73">
        <f>SUMIF('Avoided Costs 2013-2021'!$A:$A,'2013 Actuals'!T681&amp;'2013 Actuals'!S681,'Avoided Costs 2013-2021'!$K:$K)*N681</f>
        <v>42707.399088702346</v>
      </c>
      <c r="W681" s="73">
        <f>SUMIF('Avoided Costs 2013-2021'!$A:$A,'2013 Actuals'!T681&amp;'2013 Actuals'!S681,'Avoided Costs 2013-2021'!$M:$M)*R681</f>
        <v>0</v>
      </c>
      <c r="X681" s="73">
        <f t="shared" si="275"/>
        <v>99685.816999709758</v>
      </c>
      <c r="Y681" s="83">
        <v>8600</v>
      </c>
      <c r="Z681" s="74">
        <f t="shared" si="276"/>
        <v>6880</v>
      </c>
      <c r="AA681" s="74"/>
      <c r="AB681" s="74"/>
      <c r="AC681" s="74"/>
      <c r="AD681" s="74">
        <f t="shared" si="277"/>
        <v>6880</v>
      </c>
      <c r="AE681" s="74">
        <f t="shared" si="278"/>
        <v>92805.816999709758</v>
      </c>
      <c r="AF681" s="52">
        <f t="shared" si="279"/>
        <v>382429.00800000003</v>
      </c>
      <c r="AG681" s="52">
        <f t="shared" si="280"/>
        <v>478036.26</v>
      </c>
    </row>
    <row r="682" spans="1:33" s="21" customFormat="1" x14ac:dyDescent="0.2">
      <c r="A682" s="114" t="s">
        <v>596</v>
      </c>
      <c r="B682" s="114"/>
      <c r="C682" s="114"/>
      <c r="D682" s="160">
        <v>0</v>
      </c>
      <c r="E682" s="161"/>
      <c r="F682" s="162">
        <v>0.2</v>
      </c>
      <c r="G682" s="162"/>
      <c r="H682" s="52">
        <v>43695</v>
      </c>
      <c r="I682" s="52">
        <f t="shared" si="269"/>
        <v>38626.379999999997</v>
      </c>
      <c r="J682" s="52">
        <f t="shared" si="270"/>
        <v>30901.103999999999</v>
      </c>
      <c r="K682" s="61"/>
      <c r="L682" s="160">
        <v>73658</v>
      </c>
      <c r="M682" s="55">
        <f t="shared" si="271"/>
        <v>73658</v>
      </c>
      <c r="N682" s="55">
        <f t="shared" si="272"/>
        <v>58926.400000000001</v>
      </c>
      <c r="O682" s="95"/>
      <c r="P682" s="160">
        <v>0</v>
      </c>
      <c r="Q682" s="55">
        <f t="shared" si="273"/>
        <v>0</v>
      </c>
      <c r="R682" s="65">
        <f t="shared" si="274"/>
        <v>0</v>
      </c>
      <c r="S682" s="118">
        <v>15</v>
      </c>
      <c r="T682" s="121" t="s">
        <v>201</v>
      </c>
      <c r="U682" s="73">
        <f>SUMIF('Avoided Costs 2013-2021'!$A:$A,'2013 Actuals'!T682&amp;'2013 Actuals'!S682,'Avoided Costs 2013-2021'!$E:$E)*J682</f>
        <v>69059.720135959302</v>
      </c>
      <c r="V682" s="73">
        <f>SUMIF('Avoided Costs 2013-2021'!$A:$A,'2013 Actuals'!T682&amp;'2013 Actuals'!S682,'Avoided Costs 2013-2021'!$K:$K)*N682</f>
        <v>61689.675094143073</v>
      </c>
      <c r="W682" s="73">
        <f>SUMIF('Avoided Costs 2013-2021'!$A:$A,'2013 Actuals'!T682&amp;'2013 Actuals'!S682,'Avoided Costs 2013-2021'!$M:$M)*R682</f>
        <v>0</v>
      </c>
      <c r="X682" s="73">
        <f t="shared" si="275"/>
        <v>130749.39523010238</v>
      </c>
      <c r="Y682" s="83">
        <v>15000</v>
      </c>
      <c r="Z682" s="74">
        <f t="shared" si="276"/>
        <v>12000</v>
      </c>
      <c r="AA682" s="74"/>
      <c r="AB682" s="74"/>
      <c r="AC682" s="74"/>
      <c r="AD682" s="74">
        <f t="shared" si="277"/>
        <v>12000</v>
      </c>
      <c r="AE682" s="74">
        <f t="shared" si="278"/>
        <v>118749.39523010238</v>
      </c>
      <c r="AF682" s="52">
        <f t="shared" si="279"/>
        <v>463516.56</v>
      </c>
      <c r="AG682" s="52">
        <f t="shared" si="280"/>
        <v>579395.69999999995</v>
      </c>
    </row>
    <row r="683" spans="1:33" s="21" customFormat="1" x14ac:dyDescent="0.2">
      <c r="A683" s="114" t="s">
        <v>597</v>
      </c>
      <c r="B683" s="114"/>
      <c r="C683" s="114"/>
      <c r="D683" s="160">
        <v>1</v>
      </c>
      <c r="E683" s="161"/>
      <c r="F683" s="162">
        <v>0.2</v>
      </c>
      <c r="G683" s="162"/>
      <c r="H683" s="52">
        <v>125900</v>
      </c>
      <c r="I683" s="52">
        <f t="shared" si="269"/>
        <v>111295.6</v>
      </c>
      <c r="J683" s="52">
        <f t="shared" si="270"/>
        <v>89036.48000000001</v>
      </c>
      <c r="K683" s="61"/>
      <c r="L683" s="160">
        <v>0</v>
      </c>
      <c r="M683" s="55">
        <f t="shared" si="271"/>
        <v>0</v>
      </c>
      <c r="N683" s="55">
        <f t="shared" si="272"/>
        <v>0</v>
      </c>
      <c r="O683" s="95"/>
      <c r="P683" s="160">
        <v>0</v>
      </c>
      <c r="Q683" s="55">
        <f t="shared" si="273"/>
        <v>0</v>
      </c>
      <c r="R683" s="65">
        <f t="shared" si="274"/>
        <v>0</v>
      </c>
      <c r="S683" s="118">
        <v>25</v>
      </c>
      <c r="T683" s="121" t="s">
        <v>201</v>
      </c>
      <c r="U683" s="73">
        <f>SUMIF('Avoided Costs 2013-2021'!$A:$A,'2013 Actuals'!T683&amp;'2013 Actuals'!S683,'Avoided Costs 2013-2021'!$E:$E)*J683</f>
        <v>279320.13856139686</v>
      </c>
      <c r="V683" s="73">
        <f>SUMIF('Avoided Costs 2013-2021'!$A:$A,'2013 Actuals'!T683&amp;'2013 Actuals'!S683,'Avoided Costs 2013-2021'!$K:$K)*N683</f>
        <v>0</v>
      </c>
      <c r="W683" s="73">
        <f>SUMIF('Avoided Costs 2013-2021'!$A:$A,'2013 Actuals'!T683&amp;'2013 Actuals'!S683,'Avoided Costs 2013-2021'!$M:$M)*R683</f>
        <v>0</v>
      </c>
      <c r="X683" s="73">
        <f t="shared" si="275"/>
        <v>279320.13856139686</v>
      </c>
      <c r="Y683" s="83">
        <v>175844</v>
      </c>
      <c r="Z683" s="74">
        <f t="shared" si="276"/>
        <v>140675.20000000001</v>
      </c>
      <c r="AA683" s="74"/>
      <c r="AB683" s="74"/>
      <c r="AC683" s="74"/>
      <c r="AD683" s="74">
        <f t="shared" si="277"/>
        <v>140675.20000000001</v>
      </c>
      <c r="AE683" s="74">
        <f t="shared" si="278"/>
        <v>138644.93856139685</v>
      </c>
      <c r="AF683" s="52">
        <f t="shared" si="279"/>
        <v>2225912.0000000005</v>
      </c>
      <c r="AG683" s="52">
        <f t="shared" si="280"/>
        <v>2782390</v>
      </c>
    </row>
    <row r="684" spans="1:33" s="21" customFormat="1" x14ac:dyDescent="0.2">
      <c r="A684" s="114" t="s">
        <v>598</v>
      </c>
      <c r="B684" s="114"/>
      <c r="C684" s="114"/>
      <c r="D684" s="160">
        <v>1</v>
      </c>
      <c r="E684" s="161"/>
      <c r="F684" s="162">
        <v>0.2</v>
      </c>
      <c r="G684" s="162"/>
      <c r="H684" s="52">
        <v>59240</v>
      </c>
      <c r="I684" s="52">
        <f t="shared" si="269"/>
        <v>52368.160000000003</v>
      </c>
      <c r="J684" s="52">
        <f t="shared" si="270"/>
        <v>41894.528000000006</v>
      </c>
      <c r="K684" s="61"/>
      <c r="L684" s="160">
        <v>0</v>
      </c>
      <c r="M684" s="55">
        <f t="shared" si="271"/>
        <v>0</v>
      </c>
      <c r="N684" s="55">
        <f t="shared" si="272"/>
        <v>0</v>
      </c>
      <c r="O684" s="95"/>
      <c r="P684" s="160">
        <v>0</v>
      </c>
      <c r="Q684" s="55">
        <f t="shared" si="273"/>
        <v>0</v>
      </c>
      <c r="R684" s="65">
        <f t="shared" si="274"/>
        <v>0</v>
      </c>
      <c r="S684" s="118">
        <v>25</v>
      </c>
      <c r="T684" s="121" t="s">
        <v>201</v>
      </c>
      <c r="U684" s="73">
        <f>SUMIF('Avoided Costs 2013-2021'!$A:$A,'2013 Actuals'!T684&amp;'2013 Actuals'!S684,'Avoided Costs 2013-2021'!$E:$E)*J684</f>
        <v>131429.11047162153</v>
      </c>
      <c r="V684" s="73">
        <f>SUMIF('Avoided Costs 2013-2021'!$A:$A,'2013 Actuals'!T684&amp;'2013 Actuals'!S684,'Avoided Costs 2013-2021'!$K:$K)*N684</f>
        <v>0</v>
      </c>
      <c r="W684" s="73">
        <f>SUMIF('Avoided Costs 2013-2021'!$A:$A,'2013 Actuals'!T684&amp;'2013 Actuals'!S684,'Avoided Costs 2013-2021'!$M:$M)*R684</f>
        <v>0</v>
      </c>
      <c r="X684" s="73">
        <f t="shared" si="275"/>
        <v>131429.11047162153</v>
      </c>
      <c r="Y684" s="83">
        <v>5877</v>
      </c>
      <c r="Z684" s="74">
        <f t="shared" si="276"/>
        <v>4701.6000000000004</v>
      </c>
      <c r="AA684" s="74"/>
      <c r="AB684" s="74"/>
      <c r="AC684" s="74"/>
      <c r="AD684" s="74">
        <f t="shared" si="277"/>
        <v>4701.6000000000004</v>
      </c>
      <c r="AE684" s="74">
        <f t="shared" si="278"/>
        <v>126727.51047162153</v>
      </c>
      <c r="AF684" s="52">
        <f t="shared" si="279"/>
        <v>1047363.2000000002</v>
      </c>
      <c r="AG684" s="52">
        <f t="shared" si="280"/>
        <v>1309204</v>
      </c>
    </row>
    <row r="685" spans="1:33" s="21" customFormat="1" x14ac:dyDescent="0.2">
      <c r="A685" s="114" t="s">
        <v>599</v>
      </c>
      <c r="B685" s="114"/>
      <c r="C685" s="114"/>
      <c r="D685" s="160">
        <v>0</v>
      </c>
      <c r="E685" s="161"/>
      <c r="F685" s="162">
        <v>0.2</v>
      </c>
      <c r="G685" s="162"/>
      <c r="H685" s="52">
        <v>6261</v>
      </c>
      <c r="I685" s="52">
        <f t="shared" si="269"/>
        <v>5534.7240000000002</v>
      </c>
      <c r="J685" s="52">
        <f t="shared" si="270"/>
        <v>4427.7791999999999</v>
      </c>
      <c r="K685" s="61"/>
      <c r="L685" s="160">
        <v>0</v>
      </c>
      <c r="M685" s="55">
        <f t="shared" si="271"/>
        <v>0</v>
      </c>
      <c r="N685" s="55">
        <f t="shared" si="272"/>
        <v>0</v>
      </c>
      <c r="O685" s="95"/>
      <c r="P685" s="160">
        <v>0</v>
      </c>
      <c r="Q685" s="55">
        <f t="shared" si="273"/>
        <v>0</v>
      </c>
      <c r="R685" s="65">
        <f t="shared" si="274"/>
        <v>0</v>
      </c>
      <c r="S685" s="118">
        <v>25</v>
      </c>
      <c r="T685" s="121" t="s">
        <v>217</v>
      </c>
      <c r="U685" s="73">
        <f>SUMIF('Avoided Costs 2013-2021'!$A:$A,'2013 Actuals'!T685&amp;'2013 Actuals'!S685,'Avoided Costs 2013-2021'!$E:$E)*J685</f>
        <v>13035.695695994606</v>
      </c>
      <c r="V685" s="73">
        <f>SUMIF('Avoided Costs 2013-2021'!$A:$A,'2013 Actuals'!T685&amp;'2013 Actuals'!S685,'Avoided Costs 2013-2021'!$K:$K)*N685</f>
        <v>0</v>
      </c>
      <c r="W685" s="73">
        <f>SUMIF('Avoided Costs 2013-2021'!$A:$A,'2013 Actuals'!T685&amp;'2013 Actuals'!S685,'Avoided Costs 2013-2021'!$M:$M)*R685</f>
        <v>0</v>
      </c>
      <c r="X685" s="73">
        <f t="shared" si="275"/>
        <v>13035.695695994606</v>
      </c>
      <c r="Y685" s="83">
        <v>10693</v>
      </c>
      <c r="Z685" s="74">
        <f t="shared" si="276"/>
        <v>8554.4</v>
      </c>
      <c r="AA685" s="74"/>
      <c r="AB685" s="74"/>
      <c r="AC685" s="74"/>
      <c r="AD685" s="74">
        <f t="shared" si="277"/>
        <v>8554.4</v>
      </c>
      <c r="AE685" s="74">
        <f t="shared" si="278"/>
        <v>4481.2956959946059</v>
      </c>
      <c r="AF685" s="52">
        <f t="shared" si="279"/>
        <v>110694.48</v>
      </c>
      <c r="AG685" s="52">
        <f t="shared" si="280"/>
        <v>138368.1</v>
      </c>
    </row>
    <row r="686" spans="1:33" s="21" customFormat="1" x14ac:dyDescent="0.2">
      <c r="A686" s="114" t="s">
        <v>600</v>
      </c>
      <c r="B686" s="114"/>
      <c r="C686" s="114"/>
      <c r="D686" s="160">
        <v>1</v>
      </c>
      <c r="E686" s="161"/>
      <c r="F686" s="162">
        <v>0.2</v>
      </c>
      <c r="G686" s="162"/>
      <c r="H686" s="52">
        <v>26172</v>
      </c>
      <c r="I686" s="52">
        <f t="shared" ref="I686:I749" si="283">+$H$39*H686</f>
        <v>23136.047999999999</v>
      </c>
      <c r="J686" s="52">
        <f t="shared" ref="J686:J749" si="284">I686*(1-F686)</f>
        <v>18508.838400000001</v>
      </c>
      <c r="K686" s="61"/>
      <c r="L686" s="160">
        <v>0</v>
      </c>
      <c r="M686" s="55">
        <f t="shared" ref="M686:M749" si="285">+$L$39*L686</f>
        <v>0</v>
      </c>
      <c r="N686" s="55">
        <f t="shared" ref="N686:N749" si="286">M686*(1-F686)</f>
        <v>0</v>
      </c>
      <c r="O686" s="95"/>
      <c r="P686" s="160">
        <v>0</v>
      </c>
      <c r="Q686" s="55">
        <f t="shared" ref="Q686:Q749" si="287">+P686*$P$39</f>
        <v>0</v>
      </c>
      <c r="R686" s="65">
        <f t="shared" ref="R686:R749" si="288">Q686*(1-F686)</f>
        <v>0</v>
      </c>
      <c r="S686" s="118">
        <v>25</v>
      </c>
      <c r="T686" s="121" t="s">
        <v>201</v>
      </c>
      <c r="U686" s="73">
        <f>SUMIF('Avoided Costs 2013-2021'!$A:$A,'2013 Actuals'!T686&amp;'2013 Actuals'!S686,'Avoided Costs 2013-2021'!$E:$E)*J686</f>
        <v>58064.866294113403</v>
      </c>
      <c r="V686" s="73">
        <f>SUMIF('Avoided Costs 2013-2021'!$A:$A,'2013 Actuals'!T686&amp;'2013 Actuals'!S686,'Avoided Costs 2013-2021'!$K:$K)*N686</f>
        <v>0</v>
      </c>
      <c r="W686" s="73">
        <f>SUMIF('Avoided Costs 2013-2021'!$A:$A,'2013 Actuals'!T686&amp;'2013 Actuals'!S686,'Avoided Costs 2013-2021'!$M:$M)*R686</f>
        <v>0</v>
      </c>
      <c r="X686" s="73">
        <f t="shared" ref="X686:X749" si="289">SUM(U686:W686)</f>
        <v>58064.866294113403</v>
      </c>
      <c r="Y686" s="83">
        <v>15381</v>
      </c>
      <c r="Z686" s="74">
        <f t="shared" ref="Z686:Z749" si="290">Y686*(1-F686)</f>
        <v>12304.800000000001</v>
      </c>
      <c r="AA686" s="74"/>
      <c r="AB686" s="74"/>
      <c r="AC686" s="74"/>
      <c r="AD686" s="74">
        <f t="shared" ref="AD686:AD749" si="291">Z686+AB686</f>
        <v>12304.800000000001</v>
      </c>
      <c r="AE686" s="74">
        <f t="shared" ref="AE686:AE749" si="292">X686-AD686</f>
        <v>45760.0662941134</v>
      </c>
      <c r="AF686" s="52">
        <f t="shared" ref="AF686:AF749" si="293">J686*S686</f>
        <v>462720.96</v>
      </c>
      <c r="AG686" s="52">
        <f t="shared" ref="AG686:AG749" si="294">(I686*S686)</f>
        <v>578401.19999999995</v>
      </c>
    </row>
    <row r="687" spans="1:33" s="21" customFormat="1" x14ac:dyDescent="0.2">
      <c r="A687" s="114" t="s">
        <v>601</v>
      </c>
      <c r="B687" s="114"/>
      <c r="C687" s="114"/>
      <c r="D687" s="160">
        <v>1</v>
      </c>
      <c r="E687" s="161"/>
      <c r="F687" s="162">
        <v>0.2</v>
      </c>
      <c r="G687" s="162"/>
      <c r="H687" s="52">
        <v>68473</v>
      </c>
      <c r="I687" s="52">
        <f t="shared" si="283"/>
        <v>60530.131999999998</v>
      </c>
      <c r="J687" s="52">
        <f t="shared" si="284"/>
        <v>48424.105600000003</v>
      </c>
      <c r="K687" s="61"/>
      <c r="L687" s="160">
        <v>0</v>
      </c>
      <c r="M687" s="55">
        <f t="shared" si="285"/>
        <v>0</v>
      </c>
      <c r="N687" s="55">
        <f t="shared" si="286"/>
        <v>0</v>
      </c>
      <c r="O687" s="95"/>
      <c r="P687" s="160">
        <v>0</v>
      </c>
      <c r="Q687" s="55">
        <f t="shared" si="287"/>
        <v>0</v>
      </c>
      <c r="R687" s="65">
        <f t="shared" si="288"/>
        <v>0</v>
      </c>
      <c r="S687" s="118">
        <v>15</v>
      </c>
      <c r="T687" s="121" t="s">
        <v>201</v>
      </c>
      <c r="U687" s="73">
        <f>SUMIF('Avoided Costs 2013-2021'!$A:$A,'2013 Actuals'!T687&amp;'2013 Actuals'!S687,'Avoided Costs 2013-2021'!$E:$E)*J687</f>
        <v>108221.22020527616</v>
      </c>
      <c r="V687" s="73">
        <f>SUMIF('Avoided Costs 2013-2021'!$A:$A,'2013 Actuals'!T687&amp;'2013 Actuals'!S687,'Avoided Costs 2013-2021'!$K:$K)*N687</f>
        <v>0</v>
      </c>
      <c r="W687" s="73">
        <f>SUMIF('Avoided Costs 2013-2021'!$A:$A,'2013 Actuals'!T687&amp;'2013 Actuals'!S687,'Avoided Costs 2013-2021'!$M:$M)*R687</f>
        <v>0</v>
      </c>
      <c r="X687" s="73">
        <f t="shared" si="289"/>
        <v>108221.22020527616</v>
      </c>
      <c r="Y687" s="83">
        <v>35500</v>
      </c>
      <c r="Z687" s="74">
        <f t="shared" si="290"/>
        <v>28400</v>
      </c>
      <c r="AA687" s="74"/>
      <c r="AB687" s="74"/>
      <c r="AC687" s="74"/>
      <c r="AD687" s="74">
        <f t="shared" si="291"/>
        <v>28400</v>
      </c>
      <c r="AE687" s="74">
        <f t="shared" si="292"/>
        <v>79821.220205276157</v>
      </c>
      <c r="AF687" s="52">
        <f t="shared" si="293"/>
        <v>726361.58400000003</v>
      </c>
      <c r="AG687" s="52">
        <f t="shared" si="294"/>
        <v>907951.98</v>
      </c>
    </row>
    <row r="688" spans="1:33" s="21" customFormat="1" x14ac:dyDescent="0.2">
      <c r="A688" s="114" t="s">
        <v>602</v>
      </c>
      <c r="B688" s="114"/>
      <c r="C688" s="114"/>
      <c r="D688" s="160">
        <v>1</v>
      </c>
      <c r="E688" s="161"/>
      <c r="F688" s="162">
        <v>0.2</v>
      </c>
      <c r="G688" s="162"/>
      <c r="H688" s="52">
        <v>55326</v>
      </c>
      <c r="I688" s="52">
        <f t="shared" si="283"/>
        <v>48908.184000000001</v>
      </c>
      <c r="J688" s="52">
        <f t="shared" si="284"/>
        <v>39126.547200000001</v>
      </c>
      <c r="K688" s="61"/>
      <c r="L688" s="160">
        <v>0</v>
      </c>
      <c r="M688" s="55">
        <f t="shared" si="285"/>
        <v>0</v>
      </c>
      <c r="N688" s="55">
        <f t="shared" si="286"/>
        <v>0</v>
      </c>
      <c r="O688" s="95"/>
      <c r="P688" s="160">
        <v>0</v>
      </c>
      <c r="Q688" s="55">
        <f t="shared" si="287"/>
        <v>0</v>
      </c>
      <c r="R688" s="65">
        <f t="shared" si="288"/>
        <v>0</v>
      </c>
      <c r="S688" s="118">
        <v>15</v>
      </c>
      <c r="T688" s="121" t="s">
        <v>201</v>
      </c>
      <c r="U688" s="73">
        <f>SUMIF('Avoided Costs 2013-2021'!$A:$A,'2013 Actuals'!T688&amp;'2013 Actuals'!S688,'Avoided Costs 2013-2021'!$E:$E)*J688</f>
        <v>87442.455114820565</v>
      </c>
      <c r="V688" s="73">
        <f>SUMIF('Avoided Costs 2013-2021'!$A:$A,'2013 Actuals'!T688&amp;'2013 Actuals'!S688,'Avoided Costs 2013-2021'!$K:$K)*N688</f>
        <v>0</v>
      </c>
      <c r="W688" s="73">
        <f>SUMIF('Avoided Costs 2013-2021'!$A:$A,'2013 Actuals'!T688&amp;'2013 Actuals'!S688,'Avoided Costs 2013-2021'!$M:$M)*R688</f>
        <v>0</v>
      </c>
      <c r="X688" s="73">
        <f t="shared" si="289"/>
        <v>87442.455114820565</v>
      </c>
      <c r="Y688" s="83">
        <v>35500</v>
      </c>
      <c r="Z688" s="74">
        <f t="shared" si="290"/>
        <v>28400</v>
      </c>
      <c r="AA688" s="74"/>
      <c r="AB688" s="74"/>
      <c r="AC688" s="74"/>
      <c r="AD688" s="74">
        <f t="shared" si="291"/>
        <v>28400</v>
      </c>
      <c r="AE688" s="74">
        <f t="shared" si="292"/>
        <v>59042.455114820565</v>
      </c>
      <c r="AF688" s="52">
        <f t="shared" si="293"/>
        <v>586898.20799999998</v>
      </c>
      <c r="AG688" s="52">
        <f t="shared" si="294"/>
        <v>733622.76</v>
      </c>
    </row>
    <row r="689" spans="1:33" s="21" customFormat="1" x14ac:dyDescent="0.2">
      <c r="A689" s="114" t="s">
        <v>603</v>
      </c>
      <c r="B689" s="114"/>
      <c r="C689" s="114"/>
      <c r="D689" s="160">
        <v>1</v>
      </c>
      <c r="E689" s="161"/>
      <c r="F689" s="162">
        <v>0.2</v>
      </c>
      <c r="G689" s="162"/>
      <c r="H689" s="52">
        <v>46478</v>
      </c>
      <c r="I689" s="52">
        <f t="shared" si="283"/>
        <v>41086.552000000003</v>
      </c>
      <c r="J689" s="52">
        <f t="shared" si="284"/>
        <v>32869.241600000001</v>
      </c>
      <c r="K689" s="61"/>
      <c r="L689" s="160">
        <v>25236</v>
      </c>
      <c r="M689" s="55">
        <f t="shared" si="285"/>
        <v>25236</v>
      </c>
      <c r="N689" s="55">
        <f t="shared" si="286"/>
        <v>20188.800000000003</v>
      </c>
      <c r="O689" s="95"/>
      <c r="P689" s="160">
        <v>0</v>
      </c>
      <c r="Q689" s="55">
        <f t="shared" si="287"/>
        <v>0</v>
      </c>
      <c r="R689" s="65">
        <f t="shared" si="288"/>
        <v>0</v>
      </c>
      <c r="S689" s="118">
        <v>15</v>
      </c>
      <c r="T689" s="121" t="s">
        <v>201</v>
      </c>
      <c r="U689" s="73">
        <f>SUMIF('Avoided Costs 2013-2021'!$A:$A,'2013 Actuals'!T689&amp;'2013 Actuals'!S689,'Avoided Costs 2013-2021'!$E:$E)*J689</f>
        <v>73458.237154802991</v>
      </c>
      <c r="V689" s="73">
        <f>SUMIF('Avoided Costs 2013-2021'!$A:$A,'2013 Actuals'!T689&amp;'2013 Actuals'!S689,'Avoided Costs 2013-2021'!$K:$K)*N689</f>
        <v>21135.526903741546</v>
      </c>
      <c r="W689" s="73">
        <f>SUMIF('Avoided Costs 2013-2021'!$A:$A,'2013 Actuals'!T689&amp;'2013 Actuals'!S689,'Avoided Costs 2013-2021'!$M:$M)*R689</f>
        <v>0</v>
      </c>
      <c r="X689" s="73">
        <f t="shared" si="289"/>
        <v>94593.764058544533</v>
      </c>
      <c r="Y689" s="83">
        <v>10925</v>
      </c>
      <c r="Z689" s="74">
        <f t="shared" si="290"/>
        <v>8740</v>
      </c>
      <c r="AA689" s="74"/>
      <c r="AB689" s="74"/>
      <c r="AC689" s="74"/>
      <c r="AD689" s="74">
        <f t="shared" si="291"/>
        <v>8740</v>
      </c>
      <c r="AE689" s="74">
        <f t="shared" si="292"/>
        <v>85853.764058544533</v>
      </c>
      <c r="AF689" s="52">
        <f t="shared" si="293"/>
        <v>493038.62400000001</v>
      </c>
      <c r="AG689" s="52">
        <f t="shared" si="294"/>
        <v>616298.28</v>
      </c>
    </row>
    <row r="690" spans="1:33" s="21" customFormat="1" x14ac:dyDescent="0.2">
      <c r="A690" s="114" t="s">
        <v>604</v>
      </c>
      <c r="B690" s="114"/>
      <c r="C690" s="114"/>
      <c r="D690" s="160">
        <v>0</v>
      </c>
      <c r="E690" s="161"/>
      <c r="F690" s="162">
        <v>0.2</v>
      </c>
      <c r="G690" s="162"/>
      <c r="H690" s="52">
        <v>6345</v>
      </c>
      <c r="I690" s="52">
        <f t="shared" si="283"/>
        <v>5608.9800000000005</v>
      </c>
      <c r="J690" s="52">
        <f t="shared" si="284"/>
        <v>4487.1840000000002</v>
      </c>
      <c r="K690" s="61"/>
      <c r="L690" s="160">
        <v>0</v>
      </c>
      <c r="M690" s="55">
        <f t="shared" si="285"/>
        <v>0</v>
      </c>
      <c r="N690" s="55">
        <f t="shared" si="286"/>
        <v>0</v>
      </c>
      <c r="O690" s="95"/>
      <c r="P690" s="160">
        <v>0</v>
      </c>
      <c r="Q690" s="55">
        <f t="shared" si="287"/>
        <v>0</v>
      </c>
      <c r="R690" s="65">
        <f t="shared" si="288"/>
        <v>0</v>
      </c>
      <c r="S690" s="118">
        <v>25</v>
      </c>
      <c r="T690" s="121" t="s">
        <v>217</v>
      </c>
      <c r="U690" s="73">
        <f>SUMIF('Avoided Costs 2013-2021'!$A:$A,'2013 Actuals'!T690&amp;'2013 Actuals'!S690,'Avoided Costs 2013-2021'!$E:$E)*J690</f>
        <v>13210.587636333777</v>
      </c>
      <c r="V690" s="73">
        <f>SUMIF('Avoided Costs 2013-2021'!$A:$A,'2013 Actuals'!T690&amp;'2013 Actuals'!S690,'Avoided Costs 2013-2021'!$K:$K)*N690</f>
        <v>0</v>
      </c>
      <c r="W690" s="73">
        <f>SUMIF('Avoided Costs 2013-2021'!$A:$A,'2013 Actuals'!T690&amp;'2013 Actuals'!S690,'Avoided Costs 2013-2021'!$M:$M)*R690</f>
        <v>0</v>
      </c>
      <c r="X690" s="73">
        <f t="shared" si="289"/>
        <v>13210.587636333777</v>
      </c>
      <c r="Y690" s="83">
        <v>22416</v>
      </c>
      <c r="Z690" s="74">
        <f t="shared" si="290"/>
        <v>17932.8</v>
      </c>
      <c r="AA690" s="74"/>
      <c r="AB690" s="74"/>
      <c r="AC690" s="74"/>
      <c r="AD690" s="74">
        <f t="shared" si="291"/>
        <v>17932.8</v>
      </c>
      <c r="AE690" s="74">
        <f t="shared" si="292"/>
        <v>-4722.2123636662218</v>
      </c>
      <c r="AF690" s="52">
        <f t="shared" si="293"/>
        <v>112179.6</v>
      </c>
      <c r="AG690" s="52">
        <f t="shared" si="294"/>
        <v>140224.5</v>
      </c>
    </row>
    <row r="691" spans="1:33" s="21" customFormat="1" x14ac:dyDescent="0.2">
      <c r="A691" s="114" t="s">
        <v>605</v>
      </c>
      <c r="B691" s="114"/>
      <c r="C691" s="114"/>
      <c r="D691" s="160">
        <v>1</v>
      </c>
      <c r="E691" s="161"/>
      <c r="F691" s="162">
        <v>0.2</v>
      </c>
      <c r="G691" s="162"/>
      <c r="H691" s="52">
        <v>25165</v>
      </c>
      <c r="I691" s="52">
        <f t="shared" si="283"/>
        <v>22245.86</v>
      </c>
      <c r="J691" s="52">
        <f t="shared" si="284"/>
        <v>17796.688000000002</v>
      </c>
      <c r="K691" s="61"/>
      <c r="L691" s="160">
        <v>0</v>
      </c>
      <c r="M691" s="55">
        <f t="shared" si="285"/>
        <v>0</v>
      </c>
      <c r="N691" s="55">
        <f t="shared" si="286"/>
        <v>0</v>
      </c>
      <c r="O691" s="95"/>
      <c r="P691" s="160">
        <v>0</v>
      </c>
      <c r="Q691" s="55">
        <f t="shared" si="287"/>
        <v>0</v>
      </c>
      <c r="R691" s="65">
        <f t="shared" si="288"/>
        <v>0</v>
      </c>
      <c r="S691" s="118">
        <v>25</v>
      </c>
      <c r="T691" s="121" t="s">
        <v>201</v>
      </c>
      <c r="U691" s="73">
        <f>SUMIF('Avoided Costs 2013-2021'!$A:$A,'2013 Actuals'!T691&amp;'2013 Actuals'!S691,'Avoided Costs 2013-2021'!$E:$E)*J691</f>
        <v>55830.748903078245</v>
      </c>
      <c r="V691" s="73">
        <f>SUMIF('Avoided Costs 2013-2021'!$A:$A,'2013 Actuals'!T691&amp;'2013 Actuals'!S691,'Avoided Costs 2013-2021'!$K:$K)*N691</f>
        <v>0</v>
      </c>
      <c r="W691" s="73">
        <f>SUMIF('Avoided Costs 2013-2021'!$A:$A,'2013 Actuals'!T691&amp;'2013 Actuals'!S691,'Avoided Costs 2013-2021'!$M:$M)*R691</f>
        <v>0</v>
      </c>
      <c r="X691" s="73">
        <f t="shared" si="289"/>
        <v>55830.748903078245</v>
      </c>
      <c r="Y691" s="83">
        <v>11168</v>
      </c>
      <c r="Z691" s="74">
        <f t="shared" si="290"/>
        <v>8934.4</v>
      </c>
      <c r="AA691" s="74"/>
      <c r="AB691" s="74"/>
      <c r="AC691" s="74"/>
      <c r="AD691" s="74">
        <f t="shared" si="291"/>
        <v>8934.4</v>
      </c>
      <c r="AE691" s="74">
        <f t="shared" si="292"/>
        <v>46896.348903078244</v>
      </c>
      <c r="AF691" s="52">
        <f t="shared" si="293"/>
        <v>444917.20000000007</v>
      </c>
      <c r="AG691" s="52">
        <f t="shared" si="294"/>
        <v>556146.5</v>
      </c>
    </row>
    <row r="692" spans="1:33" s="21" customFormat="1" x14ac:dyDescent="0.2">
      <c r="A692" s="114" t="s">
        <v>606</v>
      </c>
      <c r="B692" s="114"/>
      <c r="C692" s="114"/>
      <c r="D692" s="160">
        <v>1</v>
      </c>
      <c r="E692" s="161"/>
      <c r="F692" s="162">
        <v>0.2</v>
      </c>
      <c r="G692" s="162"/>
      <c r="H692" s="52">
        <v>113051</v>
      </c>
      <c r="I692" s="52">
        <f t="shared" si="283"/>
        <v>99937.084000000003</v>
      </c>
      <c r="J692" s="52">
        <f t="shared" si="284"/>
        <v>79949.667200000011</v>
      </c>
      <c r="K692" s="61"/>
      <c r="L692" s="160">
        <v>0</v>
      </c>
      <c r="M692" s="55">
        <f t="shared" si="285"/>
        <v>0</v>
      </c>
      <c r="N692" s="55">
        <f t="shared" si="286"/>
        <v>0</v>
      </c>
      <c r="O692" s="95"/>
      <c r="P692" s="160">
        <v>0</v>
      </c>
      <c r="Q692" s="55">
        <f t="shared" si="287"/>
        <v>0</v>
      </c>
      <c r="R692" s="65">
        <f t="shared" si="288"/>
        <v>0</v>
      </c>
      <c r="S692" s="118">
        <v>25</v>
      </c>
      <c r="T692" s="121" t="s">
        <v>201</v>
      </c>
      <c r="U692" s="73">
        <f>SUMIF('Avoided Costs 2013-2021'!$A:$A,'2013 Actuals'!T692&amp;'2013 Actuals'!S692,'Avoided Costs 2013-2021'!$E:$E)*J692</f>
        <v>250813.51059971785</v>
      </c>
      <c r="V692" s="73">
        <f>SUMIF('Avoided Costs 2013-2021'!$A:$A,'2013 Actuals'!T692&amp;'2013 Actuals'!S692,'Avoided Costs 2013-2021'!$K:$K)*N692</f>
        <v>0</v>
      </c>
      <c r="W692" s="73">
        <f>SUMIF('Avoided Costs 2013-2021'!$A:$A,'2013 Actuals'!T692&amp;'2013 Actuals'!S692,'Avoided Costs 2013-2021'!$M:$M)*R692</f>
        <v>0</v>
      </c>
      <c r="X692" s="73">
        <f t="shared" si="289"/>
        <v>250813.51059971785</v>
      </c>
      <c r="Y692" s="83">
        <v>-11452</v>
      </c>
      <c r="Z692" s="74">
        <f t="shared" si="290"/>
        <v>-9161.6</v>
      </c>
      <c r="AA692" s="74"/>
      <c r="AB692" s="74"/>
      <c r="AC692" s="74"/>
      <c r="AD692" s="74">
        <f t="shared" si="291"/>
        <v>-9161.6</v>
      </c>
      <c r="AE692" s="74">
        <f t="shared" si="292"/>
        <v>259975.11059971785</v>
      </c>
      <c r="AF692" s="52">
        <f t="shared" si="293"/>
        <v>1998741.6800000002</v>
      </c>
      <c r="AG692" s="52">
        <f t="shared" si="294"/>
        <v>2498427.1</v>
      </c>
    </row>
    <row r="693" spans="1:33" s="21" customFormat="1" x14ac:dyDescent="0.2">
      <c r="A693" s="114" t="s">
        <v>607</v>
      </c>
      <c r="B693" s="114"/>
      <c r="C693" s="114"/>
      <c r="D693" s="160">
        <v>1</v>
      </c>
      <c r="E693" s="161"/>
      <c r="F693" s="162">
        <v>0.2</v>
      </c>
      <c r="G693" s="162"/>
      <c r="H693" s="52">
        <v>28852</v>
      </c>
      <c r="I693" s="52">
        <f t="shared" si="283"/>
        <v>25505.168000000001</v>
      </c>
      <c r="J693" s="52">
        <f t="shared" si="284"/>
        <v>20404.134400000003</v>
      </c>
      <c r="K693" s="61"/>
      <c r="L693" s="160">
        <v>0</v>
      </c>
      <c r="M693" s="55">
        <f t="shared" si="285"/>
        <v>0</v>
      </c>
      <c r="N693" s="55">
        <f t="shared" si="286"/>
        <v>0</v>
      </c>
      <c r="O693" s="95"/>
      <c r="P693" s="160">
        <v>0</v>
      </c>
      <c r="Q693" s="55">
        <f t="shared" si="287"/>
        <v>0</v>
      </c>
      <c r="R693" s="65">
        <f t="shared" si="288"/>
        <v>0</v>
      </c>
      <c r="S693" s="118">
        <v>25</v>
      </c>
      <c r="T693" s="121" t="s">
        <v>201</v>
      </c>
      <c r="U693" s="73">
        <f>SUMIF('Avoided Costs 2013-2021'!$A:$A,'2013 Actuals'!T693&amp;'2013 Actuals'!S693,'Avoided Costs 2013-2021'!$E:$E)*J693</f>
        <v>64010.680204713441</v>
      </c>
      <c r="V693" s="73">
        <f>SUMIF('Avoided Costs 2013-2021'!$A:$A,'2013 Actuals'!T693&amp;'2013 Actuals'!S693,'Avoided Costs 2013-2021'!$K:$K)*N693</f>
        <v>0</v>
      </c>
      <c r="W693" s="73">
        <f>SUMIF('Avoided Costs 2013-2021'!$A:$A,'2013 Actuals'!T693&amp;'2013 Actuals'!S693,'Avoided Costs 2013-2021'!$M:$M)*R693</f>
        <v>0</v>
      </c>
      <c r="X693" s="73">
        <f t="shared" si="289"/>
        <v>64010.680204713441</v>
      </c>
      <c r="Y693" s="83">
        <v>20817</v>
      </c>
      <c r="Z693" s="74">
        <f t="shared" si="290"/>
        <v>16653.600000000002</v>
      </c>
      <c r="AA693" s="74"/>
      <c r="AB693" s="74"/>
      <c r="AC693" s="74"/>
      <c r="AD693" s="74">
        <f t="shared" si="291"/>
        <v>16653.600000000002</v>
      </c>
      <c r="AE693" s="74">
        <f t="shared" si="292"/>
        <v>47357.080204713435</v>
      </c>
      <c r="AF693" s="52">
        <f t="shared" si="293"/>
        <v>510103.36000000004</v>
      </c>
      <c r="AG693" s="52">
        <f t="shared" si="294"/>
        <v>637629.20000000007</v>
      </c>
    </row>
    <row r="694" spans="1:33" s="21" customFormat="1" x14ac:dyDescent="0.2">
      <c r="A694" s="114" t="s">
        <v>608</v>
      </c>
      <c r="B694" s="114"/>
      <c r="C694" s="114"/>
      <c r="D694" s="160">
        <v>1</v>
      </c>
      <c r="E694" s="161"/>
      <c r="F694" s="162">
        <v>0.2</v>
      </c>
      <c r="G694" s="162"/>
      <c r="H694" s="52">
        <v>20039</v>
      </c>
      <c r="I694" s="52">
        <f t="shared" si="283"/>
        <v>17714.475999999999</v>
      </c>
      <c r="J694" s="52">
        <f t="shared" si="284"/>
        <v>14171.5808</v>
      </c>
      <c r="K694" s="61"/>
      <c r="L694" s="160">
        <v>0</v>
      </c>
      <c r="M694" s="55">
        <f t="shared" si="285"/>
        <v>0</v>
      </c>
      <c r="N694" s="55">
        <f t="shared" si="286"/>
        <v>0</v>
      </c>
      <c r="O694" s="95"/>
      <c r="P694" s="160">
        <v>0</v>
      </c>
      <c r="Q694" s="55">
        <f t="shared" si="287"/>
        <v>0</v>
      </c>
      <c r="R694" s="65">
        <f t="shared" si="288"/>
        <v>0</v>
      </c>
      <c r="S694" s="118">
        <v>25</v>
      </c>
      <c r="T694" s="121" t="s">
        <v>201</v>
      </c>
      <c r="U694" s="73">
        <f>SUMIF('Avoided Costs 2013-2021'!$A:$A,'2013 Actuals'!T694&amp;'2013 Actuals'!S694,'Avoided Costs 2013-2021'!$E:$E)*J694</f>
        <v>44458.270505415654</v>
      </c>
      <c r="V694" s="73">
        <f>SUMIF('Avoided Costs 2013-2021'!$A:$A,'2013 Actuals'!T694&amp;'2013 Actuals'!S694,'Avoided Costs 2013-2021'!$K:$K)*N694</f>
        <v>0</v>
      </c>
      <c r="W694" s="73">
        <f>SUMIF('Avoided Costs 2013-2021'!$A:$A,'2013 Actuals'!T694&amp;'2013 Actuals'!S694,'Avoided Costs 2013-2021'!$M:$M)*R694</f>
        <v>0</v>
      </c>
      <c r="X694" s="73">
        <f t="shared" si="289"/>
        <v>44458.270505415654</v>
      </c>
      <c r="Y694" s="83">
        <v>32245</v>
      </c>
      <c r="Z694" s="74">
        <f t="shared" si="290"/>
        <v>25796</v>
      </c>
      <c r="AA694" s="74"/>
      <c r="AB694" s="74"/>
      <c r="AC694" s="74"/>
      <c r="AD694" s="74">
        <f t="shared" si="291"/>
        <v>25796</v>
      </c>
      <c r="AE694" s="74">
        <f t="shared" si="292"/>
        <v>18662.270505415654</v>
      </c>
      <c r="AF694" s="52">
        <f t="shared" si="293"/>
        <v>354289.52</v>
      </c>
      <c r="AG694" s="52">
        <f t="shared" si="294"/>
        <v>442861.89999999997</v>
      </c>
    </row>
    <row r="695" spans="1:33" s="21" customFormat="1" x14ac:dyDescent="0.2">
      <c r="A695" s="114" t="s">
        <v>609</v>
      </c>
      <c r="B695" s="114"/>
      <c r="C695" s="114"/>
      <c r="D695" s="160">
        <v>0</v>
      </c>
      <c r="E695" s="161"/>
      <c r="F695" s="162">
        <v>0.2</v>
      </c>
      <c r="G695" s="162"/>
      <c r="H695" s="52">
        <v>4208</v>
      </c>
      <c r="I695" s="52">
        <f t="shared" si="283"/>
        <v>3719.8719999999998</v>
      </c>
      <c r="J695" s="52">
        <f t="shared" si="284"/>
        <v>2975.8976000000002</v>
      </c>
      <c r="K695" s="61"/>
      <c r="L695" s="160">
        <v>0</v>
      </c>
      <c r="M695" s="55">
        <f t="shared" si="285"/>
        <v>0</v>
      </c>
      <c r="N695" s="55">
        <f t="shared" si="286"/>
        <v>0</v>
      </c>
      <c r="O695" s="95"/>
      <c r="P695" s="160">
        <v>0</v>
      </c>
      <c r="Q695" s="55">
        <f t="shared" si="287"/>
        <v>0</v>
      </c>
      <c r="R695" s="65">
        <f t="shared" si="288"/>
        <v>0</v>
      </c>
      <c r="S695" s="118">
        <v>15</v>
      </c>
      <c r="T695" s="121" t="s">
        <v>217</v>
      </c>
      <c r="U695" s="73">
        <f>SUMIF('Avoided Costs 2013-2021'!$A:$A,'2013 Actuals'!T695&amp;'2013 Actuals'!S695,'Avoided Costs 2013-2021'!$E:$E)*J695</f>
        <v>6242.7540085441015</v>
      </c>
      <c r="V695" s="73">
        <f>SUMIF('Avoided Costs 2013-2021'!$A:$A,'2013 Actuals'!T695&amp;'2013 Actuals'!S695,'Avoided Costs 2013-2021'!$K:$K)*N695</f>
        <v>0</v>
      </c>
      <c r="W695" s="73">
        <f>SUMIF('Avoided Costs 2013-2021'!$A:$A,'2013 Actuals'!T695&amp;'2013 Actuals'!S695,'Avoided Costs 2013-2021'!$M:$M)*R695</f>
        <v>0</v>
      </c>
      <c r="X695" s="73">
        <f t="shared" si="289"/>
        <v>6242.7540085441015</v>
      </c>
      <c r="Y695" s="83">
        <v>30350</v>
      </c>
      <c r="Z695" s="74">
        <f t="shared" si="290"/>
        <v>24280</v>
      </c>
      <c r="AA695" s="74"/>
      <c r="AB695" s="74"/>
      <c r="AC695" s="74"/>
      <c r="AD695" s="74">
        <f t="shared" si="291"/>
        <v>24280</v>
      </c>
      <c r="AE695" s="74">
        <f t="shared" si="292"/>
        <v>-18037.2459914559</v>
      </c>
      <c r="AF695" s="52">
        <f t="shared" si="293"/>
        <v>44638.464000000007</v>
      </c>
      <c r="AG695" s="52">
        <f t="shared" si="294"/>
        <v>55798.079999999994</v>
      </c>
    </row>
    <row r="696" spans="1:33" s="21" customFormat="1" x14ac:dyDescent="0.2">
      <c r="A696" s="114" t="s">
        <v>610</v>
      </c>
      <c r="B696" s="114"/>
      <c r="C696" s="114"/>
      <c r="D696" s="160">
        <v>1</v>
      </c>
      <c r="E696" s="161"/>
      <c r="F696" s="162">
        <v>0.2</v>
      </c>
      <c r="G696" s="162"/>
      <c r="H696" s="52">
        <v>51459</v>
      </c>
      <c r="I696" s="52">
        <f t="shared" si="283"/>
        <v>45489.756000000001</v>
      </c>
      <c r="J696" s="52">
        <f t="shared" si="284"/>
        <v>36391.804800000005</v>
      </c>
      <c r="K696" s="61"/>
      <c r="L696" s="160">
        <v>0</v>
      </c>
      <c r="M696" s="55">
        <f t="shared" si="285"/>
        <v>0</v>
      </c>
      <c r="N696" s="55">
        <f t="shared" si="286"/>
        <v>0</v>
      </c>
      <c r="O696" s="95"/>
      <c r="P696" s="160">
        <v>0</v>
      </c>
      <c r="Q696" s="55">
        <f t="shared" si="287"/>
        <v>0</v>
      </c>
      <c r="R696" s="65">
        <f t="shared" si="288"/>
        <v>0</v>
      </c>
      <c r="S696" s="118">
        <v>25</v>
      </c>
      <c r="T696" s="121" t="s">
        <v>201</v>
      </c>
      <c r="U696" s="73">
        <f>SUMIF('Avoided Costs 2013-2021'!$A:$A,'2013 Actuals'!T696&amp;'2013 Actuals'!S696,'Avoided Costs 2013-2021'!$E:$E)*J696</f>
        <v>114166.28284536077</v>
      </c>
      <c r="V696" s="73">
        <f>SUMIF('Avoided Costs 2013-2021'!$A:$A,'2013 Actuals'!T696&amp;'2013 Actuals'!S696,'Avoided Costs 2013-2021'!$K:$K)*N696</f>
        <v>0</v>
      </c>
      <c r="W696" s="73">
        <f>SUMIF('Avoided Costs 2013-2021'!$A:$A,'2013 Actuals'!T696&amp;'2013 Actuals'!S696,'Avoided Costs 2013-2021'!$M:$M)*R696</f>
        <v>0</v>
      </c>
      <c r="X696" s="73">
        <f t="shared" si="289"/>
        <v>114166.28284536077</v>
      </c>
      <c r="Y696" s="83">
        <v>3690</v>
      </c>
      <c r="Z696" s="74">
        <f t="shared" si="290"/>
        <v>2952</v>
      </c>
      <c r="AA696" s="74"/>
      <c r="AB696" s="74"/>
      <c r="AC696" s="74"/>
      <c r="AD696" s="74">
        <f t="shared" si="291"/>
        <v>2952</v>
      </c>
      <c r="AE696" s="74">
        <f t="shared" si="292"/>
        <v>111214.28284536077</v>
      </c>
      <c r="AF696" s="52">
        <f t="shared" si="293"/>
        <v>909795.12000000011</v>
      </c>
      <c r="AG696" s="52">
        <f t="shared" si="294"/>
        <v>1137243.9000000001</v>
      </c>
    </row>
    <row r="697" spans="1:33" s="21" customFormat="1" x14ac:dyDescent="0.2">
      <c r="A697" s="116" t="s">
        <v>611</v>
      </c>
      <c r="B697" s="116"/>
      <c r="C697" s="116"/>
      <c r="D697" s="151">
        <v>0</v>
      </c>
      <c r="E697" s="152"/>
      <c r="F697" s="153">
        <v>0.2</v>
      </c>
      <c r="G697" s="153"/>
      <c r="H697" s="52">
        <v>6367</v>
      </c>
      <c r="I697" s="52">
        <f t="shared" si="283"/>
        <v>5628.4279999999999</v>
      </c>
      <c r="J697" s="52">
        <f t="shared" si="284"/>
        <v>4502.7424000000001</v>
      </c>
      <c r="K697" s="152"/>
      <c r="L697" s="151">
        <v>0</v>
      </c>
      <c r="M697" s="55">
        <f t="shared" si="285"/>
        <v>0</v>
      </c>
      <c r="N697" s="55">
        <f t="shared" si="286"/>
        <v>0</v>
      </c>
      <c r="O697" s="154"/>
      <c r="P697" s="151">
        <v>0</v>
      </c>
      <c r="Q697" s="55">
        <f t="shared" si="287"/>
        <v>0</v>
      </c>
      <c r="R697" s="65">
        <f t="shared" si="288"/>
        <v>0</v>
      </c>
      <c r="S697" s="129">
        <v>15</v>
      </c>
      <c r="T697" s="123" t="s">
        <v>201</v>
      </c>
      <c r="U697" s="73">
        <f>SUMIF('Avoided Costs 2013-2021'!$A:$A,'2013 Actuals'!T697&amp;'2013 Actuals'!S697,'Avoided Costs 2013-2021'!$E:$E)*J697</f>
        <v>10063.010369736878</v>
      </c>
      <c r="V697" s="73">
        <f>SUMIF('Avoided Costs 2013-2021'!$A:$A,'2013 Actuals'!T697&amp;'2013 Actuals'!S697,'Avoided Costs 2013-2021'!$K:$K)*N697</f>
        <v>0</v>
      </c>
      <c r="W697" s="73">
        <f>SUMIF('Avoided Costs 2013-2021'!$A:$A,'2013 Actuals'!T697&amp;'2013 Actuals'!S697,'Avoided Costs 2013-2021'!$M:$M)*R697</f>
        <v>0</v>
      </c>
      <c r="X697" s="73">
        <f t="shared" si="289"/>
        <v>10063.010369736878</v>
      </c>
      <c r="Y697" s="83">
        <v>6550</v>
      </c>
      <c r="Z697" s="74">
        <f t="shared" si="290"/>
        <v>5240</v>
      </c>
      <c r="AA697" s="74"/>
      <c r="AB697" s="74"/>
      <c r="AC697" s="74"/>
      <c r="AD697" s="74">
        <f t="shared" si="291"/>
        <v>5240</v>
      </c>
      <c r="AE697" s="74">
        <f t="shared" si="292"/>
        <v>4823.0103697368777</v>
      </c>
      <c r="AF697" s="52">
        <f t="shared" si="293"/>
        <v>67541.135999999999</v>
      </c>
      <c r="AG697" s="52">
        <f t="shared" si="294"/>
        <v>84426.42</v>
      </c>
    </row>
    <row r="698" spans="1:33" s="21" customFormat="1" x14ac:dyDescent="0.2">
      <c r="A698" s="114" t="s">
        <v>612</v>
      </c>
      <c r="B698" s="114"/>
      <c r="C698" s="114"/>
      <c r="D698" s="160">
        <v>1</v>
      </c>
      <c r="E698" s="161"/>
      <c r="F698" s="162">
        <v>0.2</v>
      </c>
      <c r="G698" s="162"/>
      <c r="H698" s="52">
        <v>68717</v>
      </c>
      <c r="I698" s="52">
        <f t="shared" si="283"/>
        <v>60745.828000000001</v>
      </c>
      <c r="J698" s="52">
        <f t="shared" si="284"/>
        <v>48596.662400000001</v>
      </c>
      <c r="K698" s="61"/>
      <c r="L698" s="160">
        <v>0</v>
      </c>
      <c r="M698" s="55">
        <f t="shared" si="285"/>
        <v>0</v>
      </c>
      <c r="N698" s="55">
        <f t="shared" si="286"/>
        <v>0</v>
      </c>
      <c r="O698" s="95"/>
      <c r="P698" s="160">
        <v>0</v>
      </c>
      <c r="Q698" s="55">
        <f t="shared" si="287"/>
        <v>0</v>
      </c>
      <c r="R698" s="65">
        <f t="shared" si="288"/>
        <v>0</v>
      </c>
      <c r="S698" s="118">
        <v>15</v>
      </c>
      <c r="T698" s="121" t="s">
        <v>201</v>
      </c>
      <c r="U698" s="73">
        <f>SUMIF('Avoided Costs 2013-2021'!$A:$A,'2013 Actuals'!T698&amp;'2013 Actuals'!S698,'Avoided Costs 2013-2021'!$E:$E)*J698</f>
        <v>108606.86093563829</v>
      </c>
      <c r="V698" s="73">
        <f>SUMIF('Avoided Costs 2013-2021'!$A:$A,'2013 Actuals'!T698&amp;'2013 Actuals'!S698,'Avoided Costs 2013-2021'!$K:$K)*N698</f>
        <v>0</v>
      </c>
      <c r="W698" s="73">
        <f>SUMIF('Avoided Costs 2013-2021'!$A:$A,'2013 Actuals'!T698&amp;'2013 Actuals'!S698,'Avoided Costs 2013-2021'!$M:$M)*R698</f>
        <v>0</v>
      </c>
      <c r="X698" s="73">
        <f t="shared" si="289"/>
        <v>108606.86093563829</v>
      </c>
      <c r="Y698" s="83">
        <v>10000</v>
      </c>
      <c r="Z698" s="74">
        <f t="shared" si="290"/>
        <v>8000</v>
      </c>
      <c r="AA698" s="74"/>
      <c r="AB698" s="74"/>
      <c r="AC698" s="74"/>
      <c r="AD698" s="74">
        <f t="shared" si="291"/>
        <v>8000</v>
      </c>
      <c r="AE698" s="74">
        <f t="shared" si="292"/>
        <v>100606.86093563829</v>
      </c>
      <c r="AF698" s="52">
        <f t="shared" si="293"/>
        <v>728949.93599999999</v>
      </c>
      <c r="AG698" s="52">
        <f t="shared" si="294"/>
        <v>911187.42</v>
      </c>
    </row>
    <row r="699" spans="1:33" s="21" customFormat="1" x14ac:dyDescent="0.2">
      <c r="A699" s="114" t="s">
        <v>613</v>
      </c>
      <c r="B699" s="114"/>
      <c r="C699" s="114"/>
      <c r="D699" s="160">
        <v>1</v>
      </c>
      <c r="E699" s="161"/>
      <c r="F699" s="162">
        <v>0.2</v>
      </c>
      <c r="G699" s="162"/>
      <c r="H699" s="52">
        <v>83054</v>
      </c>
      <c r="I699" s="52">
        <f t="shared" si="283"/>
        <v>73419.736000000004</v>
      </c>
      <c r="J699" s="52">
        <f t="shared" si="284"/>
        <v>58735.788800000009</v>
      </c>
      <c r="K699" s="61"/>
      <c r="L699" s="160">
        <v>0</v>
      </c>
      <c r="M699" s="55">
        <f t="shared" si="285"/>
        <v>0</v>
      </c>
      <c r="N699" s="55">
        <f t="shared" si="286"/>
        <v>0</v>
      </c>
      <c r="O699" s="95"/>
      <c r="P699" s="160">
        <v>0</v>
      </c>
      <c r="Q699" s="55">
        <f t="shared" si="287"/>
        <v>0</v>
      </c>
      <c r="R699" s="65">
        <f t="shared" si="288"/>
        <v>0</v>
      </c>
      <c r="S699" s="118">
        <v>25</v>
      </c>
      <c r="T699" s="121" t="s">
        <v>201</v>
      </c>
      <c r="U699" s="73">
        <f>SUMIF('Avoided Costs 2013-2021'!$A:$A,'2013 Actuals'!T699&amp;'2013 Actuals'!S699,'Avoided Costs 2013-2021'!$E:$E)*J699</f>
        <v>184262.54795931894</v>
      </c>
      <c r="V699" s="73">
        <f>SUMIF('Avoided Costs 2013-2021'!$A:$A,'2013 Actuals'!T699&amp;'2013 Actuals'!S699,'Avoided Costs 2013-2021'!$K:$K)*N699</f>
        <v>0</v>
      </c>
      <c r="W699" s="73">
        <f>SUMIF('Avoided Costs 2013-2021'!$A:$A,'2013 Actuals'!T699&amp;'2013 Actuals'!S699,'Avoided Costs 2013-2021'!$M:$M)*R699</f>
        <v>0</v>
      </c>
      <c r="X699" s="73">
        <f t="shared" si="289"/>
        <v>184262.54795931894</v>
      </c>
      <c r="Y699" s="83">
        <v>27986</v>
      </c>
      <c r="Z699" s="74">
        <f t="shared" si="290"/>
        <v>22388.800000000003</v>
      </c>
      <c r="AA699" s="74"/>
      <c r="AB699" s="74"/>
      <c r="AC699" s="74"/>
      <c r="AD699" s="74">
        <f t="shared" si="291"/>
        <v>22388.800000000003</v>
      </c>
      <c r="AE699" s="74">
        <f t="shared" si="292"/>
        <v>161873.74795931892</v>
      </c>
      <c r="AF699" s="52">
        <f t="shared" si="293"/>
        <v>1468394.7200000002</v>
      </c>
      <c r="AG699" s="52">
        <f t="shared" si="294"/>
        <v>1835493.4000000001</v>
      </c>
    </row>
    <row r="700" spans="1:33" s="21" customFormat="1" x14ac:dyDescent="0.2">
      <c r="A700" s="114" t="s">
        <v>614</v>
      </c>
      <c r="B700" s="114"/>
      <c r="C700" s="114"/>
      <c r="D700" s="160">
        <v>0</v>
      </c>
      <c r="E700" s="161"/>
      <c r="F700" s="162">
        <v>0.2</v>
      </c>
      <c r="G700" s="162"/>
      <c r="H700" s="52">
        <v>3989</v>
      </c>
      <c r="I700" s="52">
        <f t="shared" si="283"/>
        <v>3526.2759999999998</v>
      </c>
      <c r="J700" s="52">
        <f t="shared" si="284"/>
        <v>2821.0208000000002</v>
      </c>
      <c r="K700" s="61"/>
      <c r="L700" s="160">
        <v>0</v>
      </c>
      <c r="M700" s="55">
        <f t="shared" si="285"/>
        <v>0</v>
      </c>
      <c r="N700" s="55">
        <f t="shared" si="286"/>
        <v>0</v>
      </c>
      <c r="O700" s="95"/>
      <c r="P700" s="160">
        <v>0</v>
      </c>
      <c r="Q700" s="55">
        <f t="shared" si="287"/>
        <v>0</v>
      </c>
      <c r="R700" s="65">
        <f t="shared" si="288"/>
        <v>0</v>
      </c>
      <c r="S700" s="118">
        <v>25</v>
      </c>
      <c r="T700" s="121" t="s">
        <v>217</v>
      </c>
      <c r="U700" s="73">
        <f>SUMIF('Avoided Costs 2013-2021'!$A:$A,'2013 Actuals'!T700&amp;'2013 Actuals'!S700,'Avoided Costs 2013-2021'!$E:$E)*J700</f>
        <v>8305.2851192018024</v>
      </c>
      <c r="V700" s="73">
        <f>SUMIF('Avoided Costs 2013-2021'!$A:$A,'2013 Actuals'!T700&amp;'2013 Actuals'!S700,'Avoided Costs 2013-2021'!$K:$K)*N700</f>
        <v>0</v>
      </c>
      <c r="W700" s="73">
        <f>SUMIF('Avoided Costs 2013-2021'!$A:$A,'2013 Actuals'!T700&amp;'2013 Actuals'!S700,'Avoided Costs 2013-2021'!$M:$M)*R700</f>
        <v>0</v>
      </c>
      <c r="X700" s="73">
        <f t="shared" si="289"/>
        <v>8305.2851192018024</v>
      </c>
      <c r="Y700" s="83">
        <v>6508</v>
      </c>
      <c r="Z700" s="74">
        <f t="shared" si="290"/>
        <v>5206.4000000000005</v>
      </c>
      <c r="AA700" s="74"/>
      <c r="AB700" s="74"/>
      <c r="AC700" s="74"/>
      <c r="AD700" s="74">
        <f t="shared" si="291"/>
        <v>5206.4000000000005</v>
      </c>
      <c r="AE700" s="74">
        <f t="shared" si="292"/>
        <v>3098.8851192018019</v>
      </c>
      <c r="AF700" s="52">
        <f t="shared" si="293"/>
        <v>70525.52</v>
      </c>
      <c r="AG700" s="52">
        <f t="shared" si="294"/>
        <v>88156.9</v>
      </c>
    </row>
    <row r="701" spans="1:33" s="21" customFormat="1" x14ac:dyDescent="0.2">
      <c r="A701" s="114" t="s">
        <v>615</v>
      </c>
      <c r="B701" s="114"/>
      <c r="C701" s="114"/>
      <c r="D701" s="160">
        <v>1</v>
      </c>
      <c r="E701" s="161"/>
      <c r="F701" s="162">
        <v>0.2</v>
      </c>
      <c r="G701" s="162"/>
      <c r="H701" s="52">
        <v>27847</v>
      </c>
      <c r="I701" s="52">
        <f t="shared" si="283"/>
        <v>24616.748</v>
      </c>
      <c r="J701" s="52">
        <f t="shared" si="284"/>
        <v>19693.398400000002</v>
      </c>
      <c r="K701" s="61"/>
      <c r="L701" s="160">
        <v>0</v>
      </c>
      <c r="M701" s="55">
        <f t="shared" si="285"/>
        <v>0</v>
      </c>
      <c r="N701" s="55">
        <f t="shared" si="286"/>
        <v>0</v>
      </c>
      <c r="O701" s="95"/>
      <c r="P701" s="160">
        <v>0</v>
      </c>
      <c r="Q701" s="55">
        <f t="shared" si="287"/>
        <v>0</v>
      </c>
      <c r="R701" s="65">
        <f t="shared" si="288"/>
        <v>0</v>
      </c>
      <c r="S701" s="118">
        <v>25</v>
      </c>
      <c r="T701" s="121" t="s">
        <v>201</v>
      </c>
      <c r="U701" s="73">
        <f>SUMIF('Avoided Costs 2013-2021'!$A:$A,'2013 Actuals'!T701&amp;'2013 Actuals'!S701,'Avoided Costs 2013-2021'!$E:$E)*J701</f>
        <v>61780.999988238422</v>
      </c>
      <c r="V701" s="73">
        <f>SUMIF('Avoided Costs 2013-2021'!$A:$A,'2013 Actuals'!T701&amp;'2013 Actuals'!S701,'Avoided Costs 2013-2021'!$K:$K)*N701</f>
        <v>0</v>
      </c>
      <c r="W701" s="73">
        <f>SUMIF('Avoided Costs 2013-2021'!$A:$A,'2013 Actuals'!T701&amp;'2013 Actuals'!S701,'Avoided Costs 2013-2021'!$M:$M)*R701</f>
        <v>0</v>
      </c>
      <c r="X701" s="73">
        <f t="shared" si="289"/>
        <v>61780.999988238422</v>
      </c>
      <c r="Y701" s="83">
        <v>9472</v>
      </c>
      <c r="Z701" s="74">
        <f t="shared" si="290"/>
        <v>7577.6</v>
      </c>
      <c r="AA701" s="74"/>
      <c r="AB701" s="74"/>
      <c r="AC701" s="74"/>
      <c r="AD701" s="74">
        <f t="shared" si="291"/>
        <v>7577.6</v>
      </c>
      <c r="AE701" s="74">
        <f t="shared" si="292"/>
        <v>54203.399988238423</v>
      </c>
      <c r="AF701" s="52">
        <f t="shared" si="293"/>
        <v>492334.96</v>
      </c>
      <c r="AG701" s="52">
        <f t="shared" si="294"/>
        <v>615418.69999999995</v>
      </c>
    </row>
    <row r="702" spans="1:33" s="21" customFormat="1" x14ac:dyDescent="0.2">
      <c r="A702" s="114" t="s">
        <v>616</v>
      </c>
      <c r="B702" s="114"/>
      <c r="C702" s="114"/>
      <c r="D702" s="160">
        <v>1</v>
      </c>
      <c r="E702" s="161"/>
      <c r="F702" s="162">
        <v>0.2</v>
      </c>
      <c r="G702" s="162"/>
      <c r="H702" s="52">
        <v>11923</v>
      </c>
      <c r="I702" s="52">
        <f t="shared" si="283"/>
        <v>10539.932000000001</v>
      </c>
      <c r="J702" s="52">
        <f t="shared" si="284"/>
        <v>8431.9456000000009</v>
      </c>
      <c r="K702" s="61"/>
      <c r="L702" s="160">
        <v>0</v>
      </c>
      <c r="M702" s="55">
        <f t="shared" si="285"/>
        <v>0</v>
      </c>
      <c r="N702" s="55">
        <f t="shared" si="286"/>
        <v>0</v>
      </c>
      <c r="O702" s="95"/>
      <c r="P702" s="160">
        <v>0</v>
      </c>
      <c r="Q702" s="55">
        <f t="shared" si="287"/>
        <v>0</v>
      </c>
      <c r="R702" s="65">
        <f t="shared" si="288"/>
        <v>0</v>
      </c>
      <c r="S702" s="118">
        <v>25</v>
      </c>
      <c r="T702" s="121" t="s">
        <v>201</v>
      </c>
      <c r="U702" s="73">
        <f>SUMIF('Avoided Costs 2013-2021'!$A:$A,'2013 Actuals'!T702&amp;'2013 Actuals'!S702,'Avoided Costs 2013-2021'!$E:$E)*J702</f>
        <v>26452.2161403299</v>
      </c>
      <c r="V702" s="73">
        <f>SUMIF('Avoided Costs 2013-2021'!$A:$A,'2013 Actuals'!T702&amp;'2013 Actuals'!S702,'Avoided Costs 2013-2021'!$K:$K)*N702</f>
        <v>0</v>
      </c>
      <c r="W702" s="73">
        <f>SUMIF('Avoided Costs 2013-2021'!$A:$A,'2013 Actuals'!T702&amp;'2013 Actuals'!S702,'Avoided Costs 2013-2021'!$M:$M)*R702</f>
        <v>0</v>
      </c>
      <c r="X702" s="73">
        <f t="shared" si="289"/>
        <v>26452.2161403299</v>
      </c>
      <c r="Y702" s="83">
        <v>22202</v>
      </c>
      <c r="Z702" s="74">
        <f t="shared" si="290"/>
        <v>17761.600000000002</v>
      </c>
      <c r="AA702" s="74"/>
      <c r="AB702" s="74"/>
      <c r="AC702" s="74"/>
      <c r="AD702" s="74">
        <f t="shared" si="291"/>
        <v>17761.600000000002</v>
      </c>
      <c r="AE702" s="74">
        <f t="shared" si="292"/>
        <v>8690.6161403298975</v>
      </c>
      <c r="AF702" s="52">
        <f t="shared" si="293"/>
        <v>210798.64</v>
      </c>
      <c r="AG702" s="52">
        <f t="shared" si="294"/>
        <v>263498.30000000005</v>
      </c>
    </row>
    <row r="703" spans="1:33" s="21" customFormat="1" x14ac:dyDescent="0.2">
      <c r="A703" s="116" t="s">
        <v>617</v>
      </c>
      <c r="B703" s="116"/>
      <c r="C703" s="116"/>
      <c r="D703" s="151">
        <v>0</v>
      </c>
      <c r="E703" s="152"/>
      <c r="F703" s="153">
        <v>0.2</v>
      </c>
      <c r="G703" s="153"/>
      <c r="H703" s="52">
        <v>14885</v>
      </c>
      <c r="I703" s="52">
        <f t="shared" si="283"/>
        <v>13158.34</v>
      </c>
      <c r="J703" s="52">
        <f t="shared" si="284"/>
        <v>10526.672</v>
      </c>
      <c r="K703" s="152"/>
      <c r="L703" s="151">
        <v>0</v>
      </c>
      <c r="M703" s="55">
        <f t="shared" si="285"/>
        <v>0</v>
      </c>
      <c r="N703" s="55">
        <f t="shared" si="286"/>
        <v>0</v>
      </c>
      <c r="O703" s="154"/>
      <c r="P703" s="151">
        <v>0</v>
      </c>
      <c r="Q703" s="55">
        <f t="shared" si="287"/>
        <v>0</v>
      </c>
      <c r="R703" s="65">
        <f t="shared" si="288"/>
        <v>0</v>
      </c>
      <c r="S703" s="129">
        <v>25</v>
      </c>
      <c r="T703" s="123" t="s">
        <v>217</v>
      </c>
      <c r="U703" s="73">
        <f>SUMIF('Avoided Costs 2013-2021'!$A:$A,'2013 Actuals'!T703&amp;'2013 Actuals'!S703,'Avoided Costs 2013-2021'!$E:$E)*J703</f>
        <v>30991.268237482785</v>
      </c>
      <c r="V703" s="73">
        <f>SUMIF('Avoided Costs 2013-2021'!$A:$A,'2013 Actuals'!T703&amp;'2013 Actuals'!S703,'Avoided Costs 2013-2021'!$K:$K)*N703</f>
        <v>0</v>
      </c>
      <c r="W703" s="73">
        <f>SUMIF('Avoided Costs 2013-2021'!$A:$A,'2013 Actuals'!T703&amp;'2013 Actuals'!S703,'Avoided Costs 2013-2021'!$M:$M)*R703</f>
        <v>0</v>
      </c>
      <c r="X703" s="73">
        <f t="shared" si="289"/>
        <v>30991.268237482785</v>
      </c>
      <c r="Y703" s="83">
        <v>16648</v>
      </c>
      <c r="Z703" s="74">
        <f t="shared" si="290"/>
        <v>13318.400000000001</v>
      </c>
      <c r="AA703" s="74"/>
      <c r="AB703" s="74"/>
      <c r="AC703" s="74"/>
      <c r="AD703" s="74">
        <f t="shared" si="291"/>
        <v>13318.400000000001</v>
      </c>
      <c r="AE703" s="74">
        <f t="shared" si="292"/>
        <v>17672.868237482784</v>
      </c>
      <c r="AF703" s="52">
        <f t="shared" si="293"/>
        <v>263166.8</v>
      </c>
      <c r="AG703" s="52">
        <f t="shared" si="294"/>
        <v>328958.5</v>
      </c>
    </row>
    <row r="704" spans="1:33" s="21" customFormat="1" x14ac:dyDescent="0.2">
      <c r="A704" s="114" t="s">
        <v>618</v>
      </c>
      <c r="B704" s="114"/>
      <c r="C704" s="114"/>
      <c r="D704" s="160">
        <v>1</v>
      </c>
      <c r="E704" s="161"/>
      <c r="F704" s="162">
        <v>0.2</v>
      </c>
      <c r="G704" s="162"/>
      <c r="H704" s="52">
        <v>31637</v>
      </c>
      <c r="I704" s="52">
        <f t="shared" si="283"/>
        <v>27967.108</v>
      </c>
      <c r="J704" s="52">
        <f t="shared" si="284"/>
        <v>22373.686400000002</v>
      </c>
      <c r="K704" s="61"/>
      <c r="L704" s="160">
        <v>0</v>
      </c>
      <c r="M704" s="55">
        <f t="shared" si="285"/>
        <v>0</v>
      </c>
      <c r="N704" s="55">
        <f t="shared" si="286"/>
        <v>0</v>
      </c>
      <c r="O704" s="95"/>
      <c r="P704" s="160">
        <v>0</v>
      </c>
      <c r="Q704" s="55">
        <f t="shared" si="287"/>
        <v>0</v>
      </c>
      <c r="R704" s="65">
        <f t="shared" si="288"/>
        <v>0</v>
      </c>
      <c r="S704" s="118">
        <v>25</v>
      </c>
      <c r="T704" s="121" t="s">
        <v>201</v>
      </c>
      <c r="U704" s="73">
        <f>SUMIF('Avoided Costs 2013-2021'!$A:$A,'2013 Actuals'!T704&amp;'2013 Actuals'!S704,'Avoided Costs 2013-2021'!$E:$E)*J704</f>
        <v>70189.445779721296</v>
      </c>
      <c r="V704" s="73">
        <f>SUMIF('Avoided Costs 2013-2021'!$A:$A,'2013 Actuals'!T704&amp;'2013 Actuals'!S704,'Avoided Costs 2013-2021'!$K:$K)*N704</f>
        <v>0</v>
      </c>
      <c r="W704" s="73">
        <f>SUMIF('Avoided Costs 2013-2021'!$A:$A,'2013 Actuals'!T704&amp;'2013 Actuals'!S704,'Avoided Costs 2013-2021'!$M:$M)*R704</f>
        <v>0</v>
      </c>
      <c r="X704" s="73">
        <f t="shared" si="289"/>
        <v>70189.445779721296</v>
      </c>
      <c r="Y704" s="83">
        <v>8556</v>
      </c>
      <c r="Z704" s="74">
        <f t="shared" si="290"/>
        <v>6844.8</v>
      </c>
      <c r="AA704" s="74"/>
      <c r="AB704" s="74"/>
      <c r="AC704" s="74"/>
      <c r="AD704" s="74">
        <f t="shared" si="291"/>
        <v>6844.8</v>
      </c>
      <c r="AE704" s="74">
        <f t="shared" si="292"/>
        <v>63344.645779721293</v>
      </c>
      <c r="AF704" s="52">
        <f t="shared" si="293"/>
        <v>559342.16</v>
      </c>
      <c r="AG704" s="52">
        <f t="shared" si="294"/>
        <v>699177.7</v>
      </c>
    </row>
    <row r="705" spans="1:33" s="21" customFormat="1" x14ac:dyDescent="0.2">
      <c r="A705" s="114" t="s">
        <v>619</v>
      </c>
      <c r="B705" s="114"/>
      <c r="C705" s="114"/>
      <c r="D705" s="160">
        <v>1</v>
      </c>
      <c r="E705" s="161"/>
      <c r="F705" s="162">
        <v>0.2</v>
      </c>
      <c r="G705" s="162"/>
      <c r="H705" s="52">
        <v>13385</v>
      </c>
      <c r="I705" s="52">
        <f t="shared" si="283"/>
        <v>11832.34</v>
      </c>
      <c r="J705" s="52">
        <f t="shared" si="284"/>
        <v>9465.8720000000012</v>
      </c>
      <c r="K705" s="61"/>
      <c r="L705" s="160">
        <v>0</v>
      </c>
      <c r="M705" s="55">
        <f t="shared" si="285"/>
        <v>0</v>
      </c>
      <c r="N705" s="55">
        <f t="shared" si="286"/>
        <v>0</v>
      </c>
      <c r="O705" s="95"/>
      <c r="P705" s="160">
        <v>0</v>
      </c>
      <c r="Q705" s="55">
        <f t="shared" si="287"/>
        <v>0</v>
      </c>
      <c r="R705" s="65">
        <f t="shared" si="288"/>
        <v>0</v>
      </c>
      <c r="S705" s="118">
        <v>25</v>
      </c>
      <c r="T705" s="121" t="s">
        <v>201</v>
      </c>
      <c r="U705" s="73">
        <f>SUMIF('Avoided Costs 2013-2021'!$A:$A,'2013 Actuals'!T705&amp;'2013 Actuals'!S705,'Avoided Costs 2013-2021'!$E:$E)*J705</f>
        <v>29695.790743799022</v>
      </c>
      <c r="V705" s="73">
        <f>SUMIF('Avoided Costs 2013-2021'!$A:$A,'2013 Actuals'!T705&amp;'2013 Actuals'!S705,'Avoided Costs 2013-2021'!$K:$K)*N705</f>
        <v>0</v>
      </c>
      <c r="W705" s="73">
        <f>SUMIF('Avoided Costs 2013-2021'!$A:$A,'2013 Actuals'!T705&amp;'2013 Actuals'!S705,'Avoided Costs 2013-2021'!$M:$M)*R705</f>
        <v>0</v>
      </c>
      <c r="X705" s="73">
        <f t="shared" si="289"/>
        <v>29695.790743799022</v>
      </c>
      <c r="Y705" s="83">
        <v>17316</v>
      </c>
      <c r="Z705" s="74">
        <f t="shared" si="290"/>
        <v>13852.800000000001</v>
      </c>
      <c r="AA705" s="74"/>
      <c r="AB705" s="74"/>
      <c r="AC705" s="74"/>
      <c r="AD705" s="74">
        <f t="shared" si="291"/>
        <v>13852.800000000001</v>
      </c>
      <c r="AE705" s="74">
        <f t="shared" si="292"/>
        <v>15842.99074379902</v>
      </c>
      <c r="AF705" s="52">
        <f t="shared" si="293"/>
        <v>236646.80000000002</v>
      </c>
      <c r="AG705" s="52">
        <f t="shared" si="294"/>
        <v>295808.5</v>
      </c>
    </row>
    <row r="706" spans="1:33" s="21" customFormat="1" x14ac:dyDescent="0.2">
      <c r="A706" s="114" t="s">
        <v>620</v>
      </c>
      <c r="B706" s="114"/>
      <c r="C706" s="114"/>
      <c r="D706" s="160">
        <v>0</v>
      </c>
      <c r="E706" s="161"/>
      <c r="F706" s="162">
        <v>0.2</v>
      </c>
      <c r="G706" s="162"/>
      <c r="H706" s="52">
        <v>11760</v>
      </c>
      <c r="I706" s="52">
        <f t="shared" si="283"/>
        <v>10395.84</v>
      </c>
      <c r="J706" s="52">
        <f t="shared" si="284"/>
        <v>8316.6720000000005</v>
      </c>
      <c r="K706" s="61"/>
      <c r="L706" s="160">
        <v>0</v>
      </c>
      <c r="M706" s="55">
        <f t="shared" si="285"/>
        <v>0</v>
      </c>
      <c r="N706" s="55">
        <f t="shared" si="286"/>
        <v>0</v>
      </c>
      <c r="O706" s="95"/>
      <c r="P706" s="160">
        <v>0</v>
      </c>
      <c r="Q706" s="55">
        <f t="shared" si="287"/>
        <v>0</v>
      </c>
      <c r="R706" s="65">
        <f t="shared" si="288"/>
        <v>0</v>
      </c>
      <c r="S706" s="118">
        <v>25</v>
      </c>
      <c r="T706" s="121" t="s">
        <v>217</v>
      </c>
      <c r="U706" s="73">
        <f>SUMIF('Avoided Costs 2013-2021'!$A:$A,'2013 Actuals'!T706&amp;'2013 Actuals'!S706,'Avoided Costs 2013-2021'!$E:$E)*J706</f>
        <v>24484.87164748388</v>
      </c>
      <c r="V706" s="73">
        <f>SUMIF('Avoided Costs 2013-2021'!$A:$A,'2013 Actuals'!T706&amp;'2013 Actuals'!S706,'Avoided Costs 2013-2021'!$K:$K)*N706</f>
        <v>0</v>
      </c>
      <c r="W706" s="73">
        <f>SUMIF('Avoided Costs 2013-2021'!$A:$A,'2013 Actuals'!T706&amp;'2013 Actuals'!S706,'Avoided Costs 2013-2021'!$M:$M)*R706</f>
        <v>0</v>
      </c>
      <c r="X706" s="73">
        <f t="shared" si="289"/>
        <v>24484.87164748388</v>
      </c>
      <c r="Y706" s="83">
        <v>6564</v>
      </c>
      <c r="Z706" s="74">
        <f t="shared" si="290"/>
        <v>5251.2000000000007</v>
      </c>
      <c r="AA706" s="74"/>
      <c r="AB706" s="74"/>
      <c r="AC706" s="74"/>
      <c r="AD706" s="74">
        <f t="shared" si="291"/>
        <v>5251.2000000000007</v>
      </c>
      <c r="AE706" s="74">
        <f t="shared" si="292"/>
        <v>19233.671647483879</v>
      </c>
      <c r="AF706" s="52">
        <f t="shared" si="293"/>
        <v>207916.80000000002</v>
      </c>
      <c r="AG706" s="52">
        <f t="shared" si="294"/>
        <v>259896</v>
      </c>
    </row>
    <row r="707" spans="1:33" s="21" customFormat="1" x14ac:dyDescent="0.2">
      <c r="A707" s="114" t="s">
        <v>621</v>
      </c>
      <c r="B707" s="114"/>
      <c r="C707" s="114"/>
      <c r="D707" s="160">
        <v>1</v>
      </c>
      <c r="E707" s="161"/>
      <c r="F707" s="162">
        <v>0.2</v>
      </c>
      <c r="G707" s="162"/>
      <c r="H707" s="52">
        <v>22976</v>
      </c>
      <c r="I707" s="52">
        <f t="shared" si="283"/>
        <v>20310.784</v>
      </c>
      <c r="J707" s="52">
        <f t="shared" si="284"/>
        <v>16248.627200000001</v>
      </c>
      <c r="K707" s="61"/>
      <c r="L707" s="160">
        <v>0</v>
      </c>
      <c r="M707" s="55">
        <f t="shared" si="285"/>
        <v>0</v>
      </c>
      <c r="N707" s="55">
        <f t="shared" si="286"/>
        <v>0</v>
      </c>
      <c r="O707" s="95"/>
      <c r="P707" s="160">
        <v>0</v>
      </c>
      <c r="Q707" s="55">
        <f t="shared" si="287"/>
        <v>0</v>
      </c>
      <c r="R707" s="65">
        <f t="shared" si="288"/>
        <v>0</v>
      </c>
      <c r="S707" s="118">
        <v>25</v>
      </c>
      <c r="T707" s="121" t="s">
        <v>201</v>
      </c>
      <c r="U707" s="73">
        <f>SUMIF('Avoided Costs 2013-2021'!$A:$A,'2013 Actuals'!T707&amp;'2013 Actuals'!S707,'Avoided Costs 2013-2021'!$E:$E)*J707</f>
        <v>50974.261346994863</v>
      </c>
      <c r="V707" s="73">
        <f>SUMIF('Avoided Costs 2013-2021'!$A:$A,'2013 Actuals'!T707&amp;'2013 Actuals'!S707,'Avoided Costs 2013-2021'!$K:$K)*N707</f>
        <v>0</v>
      </c>
      <c r="W707" s="73">
        <f>SUMIF('Avoided Costs 2013-2021'!$A:$A,'2013 Actuals'!T707&amp;'2013 Actuals'!S707,'Avoided Costs 2013-2021'!$M:$M)*R707</f>
        <v>0</v>
      </c>
      <c r="X707" s="73">
        <f t="shared" si="289"/>
        <v>50974.261346994863</v>
      </c>
      <c r="Y707" s="83">
        <v>13812</v>
      </c>
      <c r="Z707" s="74">
        <f t="shared" si="290"/>
        <v>11049.6</v>
      </c>
      <c r="AA707" s="74"/>
      <c r="AB707" s="74"/>
      <c r="AC707" s="74"/>
      <c r="AD707" s="74">
        <f t="shared" si="291"/>
        <v>11049.6</v>
      </c>
      <c r="AE707" s="74">
        <f t="shared" si="292"/>
        <v>39924.661346994864</v>
      </c>
      <c r="AF707" s="52">
        <f t="shared" si="293"/>
        <v>406215.67999999999</v>
      </c>
      <c r="AG707" s="52">
        <f t="shared" si="294"/>
        <v>507769.59999999998</v>
      </c>
    </row>
    <row r="708" spans="1:33" s="21" customFormat="1" x14ac:dyDescent="0.2">
      <c r="A708" s="114" t="s">
        <v>622</v>
      </c>
      <c r="B708" s="114"/>
      <c r="C708" s="114"/>
      <c r="D708" s="160">
        <v>0</v>
      </c>
      <c r="E708" s="161"/>
      <c r="F708" s="162">
        <v>0.2</v>
      </c>
      <c r="G708" s="162"/>
      <c r="H708" s="52">
        <v>6039</v>
      </c>
      <c r="I708" s="52">
        <f t="shared" si="283"/>
        <v>5338.4759999999997</v>
      </c>
      <c r="J708" s="52">
        <f t="shared" si="284"/>
        <v>4270.7807999999995</v>
      </c>
      <c r="K708" s="61"/>
      <c r="L708" s="160">
        <v>0</v>
      </c>
      <c r="M708" s="55">
        <f t="shared" si="285"/>
        <v>0</v>
      </c>
      <c r="N708" s="55">
        <f t="shared" si="286"/>
        <v>0</v>
      </c>
      <c r="O708" s="95"/>
      <c r="P708" s="160">
        <v>0</v>
      </c>
      <c r="Q708" s="55">
        <f t="shared" si="287"/>
        <v>0</v>
      </c>
      <c r="R708" s="65">
        <f t="shared" si="288"/>
        <v>0</v>
      </c>
      <c r="S708" s="118">
        <v>15</v>
      </c>
      <c r="T708" s="121" t="s">
        <v>217</v>
      </c>
      <c r="U708" s="73">
        <f>SUMIF('Avoided Costs 2013-2021'!$A:$A,'2013 Actuals'!T708&amp;'2013 Actuals'!S708,'Avoided Costs 2013-2021'!$E:$E)*J708</f>
        <v>8959.1234452466306</v>
      </c>
      <c r="V708" s="73">
        <f>SUMIF('Avoided Costs 2013-2021'!$A:$A,'2013 Actuals'!T708&amp;'2013 Actuals'!S708,'Avoided Costs 2013-2021'!$K:$K)*N708</f>
        <v>0</v>
      </c>
      <c r="W708" s="73">
        <f>SUMIF('Avoided Costs 2013-2021'!$A:$A,'2013 Actuals'!T708&amp;'2013 Actuals'!S708,'Avoided Costs 2013-2021'!$M:$M)*R708</f>
        <v>0</v>
      </c>
      <c r="X708" s="73">
        <f t="shared" si="289"/>
        <v>8959.1234452466306</v>
      </c>
      <c r="Y708" s="83">
        <v>3052</v>
      </c>
      <c r="Z708" s="74">
        <f t="shared" si="290"/>
        <v>2441.6</v>
      </c>
      <c r="AA708" s="74"/>
      <c r="AB708" s="74"/>
      <c r="AC708" s="74"/>
      <c r="AD708" s="74">
        <f t="shared" si="291"/>
        <v>2441.6</v>
      </c>
      <c r="AE708" s="74">
        <f t="shared" si="292"/>
        <v>6517.5234452466302</v>
      </c>
      <c r="AF708" s="52">
        <f t="shared" si="293"/>
        <v>64061.711999999992</v>
      </c>
      <c r="AG708" s="52">
        <f t="shared" si="294"/>
        <v>80077.14</v>
      </c>
    </row>
    <row r="709" spans="1:33" s="21" customFormat="1" x14ac:dyDescent="0.2">
      <c r="A709" s="114" t="s">
        <v>623</v>
      </c>
      <c r="B709" s="114"/>
      <c r="C709" s="114"/>
      <c r="D709" s="160">
        <v>1</v>
      </c>
      <c r="E709" s="161"/>
      <c r="F709" s="162">
        <v>0.2</v>
      </c>
      <c r="G709" s="162"/>
      <c r="H709" s="52">
        <v>26828</v>
      </c>
      <c r="I709" s="52">
        <f t="shared" si="283"/>
        <v>23715.952000000001</v>
      </c>
      <c r="J709" s="52">
        <f t="shared" si="284"/>
        <v>18972.761600000002</v>
      </c>
      <c r="K709" s="61"/>
      <c r="L709" s="160">
        <v>0</v>
      </c>
      <c r="M709" s="55">
        <f t="shared" si="285"/>
        <v>0</v>
      </c>
      <c r="N709" s="55">
        <f t="shared" si="286"/>
        <v>0</v>
      </c>
      <c r="O709" s="95"/>
      <c r="P709" s="160">
        <v>0</v>
      </c>
      <c r="Q709" s="55">
        <f t="shared" si="287"/>
        <v>0</v>
      </c>
      <c r="R709" s="65">
        <f t="shared" si="288"/>
        <v>0</v>
      </c>
      <c r="S709" s="118">
        <v>15</v>
      </c>
      <c r="T709" s="121" t="s">
        <v>201</v>
      </c>
      <c r="U709" s="73">
        <f>SUMIF('Avoided Costs 2013-2021'!$A:$A,'2013 Actuals'!T709&amp;'2013 Actuals'!S709,'Avoided Costs 2013-2021'!$E:$E)*J709</f>
        <v>42401.51440227752</v>
      </c>
      <c r="V709" s="73">
        <f>SUMIF('Avoided Costs 2013-2021'!$A:$A,'2013 Actuals'!T709&amp;'2013 Actuals'!S709,'Avoided Costs 2013-2021'!$K:$K)*N709</f>
        <v>0</v>
      </c>
      <c r="W709" s="73">
        <f>SUMIF('Avoided Costs 2013-2021'!$A:$A,'2013 Actuals'!T709&amp;'2013 Actuals'!S709,'Avoided Costs 2013-2021'!$M:$M)*R709</f>
        <v>0</v>
      </c>
      <c r="X709" s="73">
        <f t="shared" si="289"/>
        <v>42401.51440227752</v>
      </c>
      <c r="Y709" s="83">
        <v>20000</v>
      </c>
      <c r="Z709" s="74">
        <f t="shared" si="290"/>
        <v>16000</v>
      </c>
      <c r="AA709" s="74"/>
      <c r="AB709" s="74"/>
      <c r="AC709" s="74"/>
      <c r="AD709" s="74">
        <f t="shared" si="291"/>
        <v>16000</v>
      </c>
      <c r="AE709" s="74">
        <f t="shared" si="292"/>
        <v>26401.51440227752</v>
      </c>
      <c r="AF709" s="52">
        <f t="shared" si="293"/>
        <v>284591.424</v>
      </c>
      <c r="AG709" s="52">
        <f t="shared" si="294"/>
        <v>355739.28</v>
      </c>
    </row>
    <row r="710" spans="1:33" s="21" customFormat="1" x14ac:dyDescent="0.2">
      <c r="A710" s="114" t="s">
        <v>624</v>
      </c>
      <c r="B710" s="114"/>
      <c r="C710" s="114"/>
      <c r="D710" s="160">
        <v>1</v>
      </c>
      <c r="E710" s="161"/>
      <c r="F710" s="162">
        <v>0.2</v>
      </c>
      <c r="G710" s="162"/>
      <c r="H710" s="52">
        <v>20826</v>
      </c>
      <c r="I710" s="52">
        <f t="shared" si="283"/>
        <v>18410.184000000001</v>
      </c>
      <c r="J710" s="52">
        <f t="shared" si="284"/>
        <v>14728.147200000001</v>
      </c>
      <c r="K710" s="61"/>
      <c r="L710" s="160">
        <v>0</v>
      </c>
      <c r="M710" s="55">
        <f t="shared" si="285"/>
        <v>0</v>
      </c>
      <c r="N710" s="55">
        <f t="shared" si="286"/>
        <v>0</v>
      </c>
      <c r="O710" s="95"/>
      <c r="P710" s="160">
        <v>0</v>
      </c>
      <c r="Q710" s="55">
        <f t="shared" si="287"/>
        <v>0</v>
      </c>
      <c r="R710" s="65">
        <f t="shared" si="288"/>
        <v>0</v>
      </c>
      <c r="S710" s="118">
        <v>15</v>
      </c>
      <c r="T710" s="121" t="s">
        <v>201</v>
      </c>
      <c r="U710" s="73">
        <f>SUMIF('Avoided Costs 2013-2021'!$A:$A,'2013 Actuals'!T710&amp;'2013 Actuals'!S710,'Avoided Costs 2013-2021'!$E:$E)*J710</f>
        <v>32915.3846332873</v>
      </c>
      <c r="V710" s="73">
        <f>SUMIF('Avoided Costs 2013-2021'!$A:$A,'2013 Actuals'!T710&amp;'2013 Actuals'!S710,'Avoided Costs 2013-2021'!$K:$K)*N710</f>
        <v>0</v>
      </c>
      <c r="W710" s="73">
        <f>SUMIF('Avoided Costs 2013-2021'!$A:$A,'2013 Actuals'!T710&amp;'2013 Actuals'!S710,'Avoided Costs 2013-2021'!$M:$M)*R710</f>
        <v>0</v>
      </c>
      <c r="X710" s="73">
        <f t="shared" si="289"/>
        <v>32915.3846332873</v>
      </c>
      <c r="Y710" s="83">
        <v>29380</v>
      </c>
      <c r="Z710" s="74">
        <f t="shared" si="290"/>
        <v>23504</v>
      </c>
      <c r="AA710" s="74"/>
      <c r="AB710" s="74"/>
      <c r="AC710" s="74"/>
      <c r="AD710" s="74">
        <f t="shared" si="291"/>
        <v>23504</v>
      </c>
      <c r="AE710" s="74">
        <f t="shared" si="292"/>
        <v>9411.3846332872999</v>
      </c>
      <c r="AF710" s="52">
        <f t="shared" si="293"/>
        <v>220922.20800000001</v>
      </c>
      <c r="AG710" s="52">
        <f t="shared" si="294"/>
        <v>276152.76</v>
      </c>
    </row>
    <row r="711" spans="1:33" s="21" customFormat="1" x14ac:dyDescent="0.2">
      <c r="A711" s="114" t="s">
        <v>625</v>
      </c>
      <c r="B711" s="114"/>
      <c r="C711" s="114"/>
      <c r="D711" s="160">
        <v>0</v>
      </c>
      <c r="E711" s="161"/>
      <c r="F711" s="162">
        <v>0.2</v>
      </c>
      <c r="G711" s="162"/>
      <c r="H711" s="52">
        <v>7017</v>
      </c>
      <c r="I711" s="52">
        <f t="shared" si="283"/>
        <v>6203.0280000000002</v>
      </c>
      <c r="J711" s="52">
        <f t="shared" si="284"/>
        <v>4962.4224000000004</v>
      </c>
      <c r="K711" s="61"/>
      <c r="L711" s="160">
        <v>0</v>
      </c>
      <c r="M711" s="55">
        <f t="shared" si="285"/>
        <v>0</v>
      </c>
      <c r="N711" s="55">
        <f t="shared" si="286"/>
        <v>0</v>
      </c>
      <c r="O711" s="95"/>
      <c r="P711" s="160">
        <v>0</v>
      </c>
      <c r="Q711" s="55">
        <f t="shared" si="287"/>
        <v>0</v>
      </c>
      <c r="R711" s="65">
        <f t="shared" si="288"/>
        <v>0</v>
      </c>
      <c r="S711" s="118">
        <v>15</v>
      </c>
      <c r="T711" s="121" t="s">
        <v>217</v>
      </c>
      <c r="U711" s="73">
        <f>SUMIF('Avoided Costs 2013-2021'!$A:$A,'2013 Actuals'!T711&amp;'2013 Actuals'!S711,'Avoided Costs 2013-2021'!$E:$E)*J711</f>
        <v>10410.029676319858</v>
      </c>
      <c r="V711" s="73">
        <f>SUMIF('Avoided Costs 2013-2021'!$A:$A,'2013 Actuals'!T711&amp;'2013 Actuals'!S711,'Avoided Costs 2013-2021'!$K:$K)*N711</f>
        <v>0</v>
      </c>
      <c r="W711" s="73">
        <f>SUMIF('Avoided Costs 2013-2021'!$A:$A,'2013 Actuals'!T711&amp;'2013 Actuals'!S711,'Avoided Costs 2013-2021'!$M:$M)*R711</f>
        <v>0</v>
      </c>
      <c r="X711" s="73">
        <f t="shared" si="289"/>
        <v>10410.029676319858</v>
      </c>
      <c r="Y711" s="83">
        <v>5000</v>
      </c>
      <c r="Z711" s="74">
        <f t="shared" si="290"/>
        <v>4000</v>
      </c>
      <c r="AA711" s="74"/>
      <c r="AB711" s="74"/>
      <c r="AC711" s="74"/>
      <c r="AD711" s="74">
        <f t="shared" si="291"/>
        <v>4000</v>
      </c>
      <c r="AE711" s="74">
        <f t="shared" si="292"/>
        <v>6410.0296763198585</v>
      </c>
      <c r="AF711" s="52">
        <f t="shared" si="293"/>
        <v>74436.33600000001</v>
      </c>
      <c r="AG711" s="52">
        <f t="shared" si="294"/>
        <v>93045.42</v>
      </c>
    </row>
    <row r="712" spans="1:33" s="21" customFormat="1" x14ac:dyDescent="0.2">
      <c r="A712" s="114" t="s">
        <v>626</v>
      </c>
      <c r="B712" s="114"/>
      <c r="C712" s="114"/>
      <c r="D712" s="160">
        <v>1</v>
      </c>
      <c r="E712" s="161"/>
      <c r="F712" s="162">
        <v>0.2</v>
      </c>
      <c r="G712" s="162"/>
      <c r="H712" s="52">
        <v>28218</v>
      </c>
      <c r="I712" s="52">
        <f t="shared" si="283"/>
        <v>24944.712</v>
      </c>
      <c r="J712" s="52">
        <f t="shared" si="284"/>
        <v>19955.7696</v>
      </c>
      <c r="K712" s="61"/>
      <c r="L712" s="160">
        <v>0</v>
      </c>
      <c r="M712" s="55">
        <f t="shared" si="285"/>
        <v>0</v>
      </c>
      <c r="N712" s="55">
        <f t="shared" si="286"/>
        <v>0</v>
      </c>
      <c r="O712" s="95"/>
      <c r="P712" s="160">
        <v>0</v>
      </c>
      <c r="Q712" s="55">
        <f t="shared" si="287"/>
        <v>0</v>
      </c>
      <c r="R712" s="65">
        <f t="shared" si="288"/>
        <v>0</v>
      </c>
      <c r="S712" s="118">
        <v>15</v>
      </c>
      <c r="T712" s="121" t="s">
        <v>201</v>
      </c>
      <c r="U712" s="73">
        <f>SUMIF('Avoided Costs 2013-2021'!$A:$A,'2013 Actuals'!T712&amp;'2013 Actuals'!S712,'Avoided Costs 2013-2021'!$E:$E)*J712</f>
        <v>44598.402169504508</v>
      </c>
      <c r="V712" s="73">
        <f>SUMIF('Avoided Costs 2013-2021'!$A:$A,'2013 Actuals'!T712&amp;'2013 Actuals'!S712,'Avoided Costs 2013-2021'!$K:$K)*N712</f>
        <v>0</v>
      </c>
      <c r="W712" s="73">
        <f>SUMIF('Avoided Costs 2013-2021'!$A:$A,'2013 Actuals'!T712&amp;'2013 Actuals'!S712,'Avoided Costs 2013-2021'!$M:$M)*R712</f>
        <v>0</v>
      </c>
      <c r="X712" s="73">
        <f t="shared" si="289"/>
        <v>44598.402169504508</v>
      </c>
      <c r="Y712" s="83">
        <v>15622</v>
      </c>
      <c r="Z712" s="74">
        <f t="shared" si="290"/>
        <v>12497.6</v>
      </c>
      <c r="AA712" s="74"/>
      <c r="AB712" s="74"/>
      <c r="AC712" s="74"/>
      <c r="AD712" s="74">
        <f t="shared" si="291"/>
        <v>12497.6</v>
      </c>
      <c r="AE712" s="74">
        <f t="shared" si="292"/>
        <v>32100.80216950451</v>
      </c>
      <c r="AF712" s="52">
        <f t="shared" si="293"/>
        <v>299336.54399999999</v>
      </c>
      <c r="AG712" s="52">
        <f t="shared" si="294"/>
        <v>374170.68</v>
      </c>
    </row>
    <row r="713" spans="1:33" s="21" customFormat="1" x14ac:dyDescent="0.2">
      <c r="A713" s="114" t="s">
        <v>627</v>
      </c>
      <c r="B713" s="114"/>
      <c r="C713" s="114"/>
      <c r="D713" s="160">
        <v>0</v>
      </c>
      <c r="E713" s="161"/>
      <c r="F713" s="162">
        <v>0.2</v>
      </c>
      <c r="G713" s="162"/>
      <c r="H713" s="52">
        <v>4123</v>
      </c>
      <c r="I713" s="52">
        <f t="shared" si="283"/>
        <v>3644.732</v>
      </c>
      <c r="J713" s="52">
        <f t="shared" si="284"/>
        <v>2915.7856000000002</v>
      </c>
      <c r="K713" s="61"/>
      <c r="L713" s="160">
        <v>0</v>
      </c>
      <c r="M713" s="55">
        <f t="shared" si="285"/>
        <v>0</v>
      </c>
      <c r="N713" s="55">
        <f t="shared" si="286"/>
        <v>0</v>
      </c>
      <c r="O713" s="95"/>
      <c r="P713" s="160">
        <v>0</v>
      </c>
      <c r="Q713" s="55">
        <f t="shared" si="287"/>
        <v>0</v>
      </c>
      <c r="R713" s="65">
        <f t="shared" si="288"/>
        <v>0</v>
      </c>
      <c r="S713" s="118">
        <v>15</v>
      </c>
      <c r="T713" s="121" t="s">
        <v>217</v>
      </c>
      <c r="U713" s="73">
        <f>SUMIF('Avoided Costs 2013-2021'!$A:$A,'2013 Actuals'!T713&amp;'2013 Actuals'!S713,'Avoided Costs 2013-2021'!$E:$E)*J713</f>
        <v>6116.6527512422363</v>
      </c>
      <c r="V713" s="73">
        <f>SUMIF('Avoided Costs 2013-2021'!$A:$A,'2013 Actuals'!T713&amp;'2013 Actuals'!S713,'Avoided Costs 2013-2021'!$K:$K)*N713</f>
        <v>0</v>
      </c>
      <c r="W713" s="73">
        <f>SUMIF('Avoided Costs 2013-2021'!$A:$A,'2013 Actuals'!T713&amp;'2013 Actuals'!S713,'Avoided Costs 2013-2021'!$M:$M)*R713</f>
        <v>0</v>
      </c>
      <c r="X713" s="73">
        <f t="shared" si="289"/>
        <v>6116.6527512422363</v>
      </c>
      <c r="Y713" s="83">
        <v>6000</v>
      </c>
      <c r="Z713" s="74">
        <f t="shared" si="290"/>
        <v>4800</v>
      </c>
      <c r="AA713" s="74"/>
      <c r="AB713" s="74"/>
      <c r="AC713" s="74"/>
      <c r="AD713" s="74">
        <f t="shared" si="291"/>
        <v>4800</v>
      </c>
      <c r="AE713" s="74">
        <f t="shared" si="292"/>
        <v>1316.6527512422363</v>
      </c>
      <c r="AF713" s="52">
        <f t="shared" si="293"/>
        <v>43736.784</v>
      </c>
      <c r="AG713" s="52">
        <f t="shared" si="294"/>
        <v>54670.979999999996</v>
      </c>
    </row>
    <row r="714" spans="1:33" s="21" customFormat="1" x14ac:dyDescent="0.2">
      <c r="A714" s="114" t="s">
        <v>628</v>
      </c>
      <c r="B714" s="114"/>
      <c r="C714" s="114"/>
      <c r="D714" s="160">
        <v>1</v>
      </c>
      <c r="E714" s="161"/>
      <c r="F714" s="162">
        <v>0.2</v>
      </c>
      <c r="G714" s="162"/>
      <c r="H714" s="52">
        <v>21157</v>
      </c>
      <c r="I714" s="52">
        <f t="shared" si="283"/>
        <v>18702.788</v>
      </c>
      <c r="J714" s="52">
        <f t="shared" si="284"/>
        <v>14962.2304</v>
      </c>
      <c r="K714" s="61"/>
      <c r="L714" s="160">
        <v>0</v>
      </c>
      <c r="M714" s="55">
        <f t="shared" si="285"/>
        <v>0</v>
      </c>
      <c r="N714" s="55">
        <f t="shared" si="286"/>
        <v>0</v>
      </c>
      <c r="O714" s="95"/>
      <c r="P714" s="160">
        <v>0</v>
      </c>
      <c r="Q714" s="55">
        <f t="shared" si="287"/>
        <v>0</v>
      </c>
      <c r="R714" s="65">
        <f t="shared" si="288"/>
        <v>0</v>
      </c>
      <c r="S714" s="118">
        <v>15</v>
      </c>
      <c r="T714" s="121" t="s">
        <v>201</v>
      </c>
      <c r="U714" s="73">
        <f>SUMIF('Avoided Costs 2013-2021'!$A:$A,'2013 Actuals'!T714&amp;'2013 Actuals'!S714,'Avoided Costs 2013-2021'!$E:$E)*J714</f>
        <v>33438.528410950705</v>
      </c>
      <c r="V714" s="73">
        <f>SUMIF('Avoided Costs 2013-2021'!$A:$A,'2013 Actuals'!T714&amp;'2013 Actuals'!S714,'Avoided Costs 2013-2021'!$K:$K)*N714</f>
        <v>0</v>
      </c>
      <c r="W714" s="73">
        <f>SUMIF('Avoided Costs 2013-2021'!$A:$A,'2013 Actuals'!T714&amp;'2013 Actuals'!S714,'Avoided Costs 2013-2021'!$M:$M)*R714</f>
        <v>0</v>
      </c>
      <c r="X714" s="73">
        <f t="shared" si="289"/>
        <v>33438.528410950705</v>
      </c>
      <c r="Y714" s="83">
        <v>17000</v>
      </c>
      <c r="Z714" s="74">
        <f t="shared" si="290"/>
        <v>13600</v>
      </c>
      <c r="AA714" s="74"/>
      <c r="AB714" s="74"/>
      <c r="AC714" s="74"/>
      <c r="AD714" s="74">
        <f t="shared" si="291"/>
        <v>13600</v>
      </c>
      <c r="AE714" s="74">
        <f t="shared" si="292"/>
        <v>19838.528410950705</v>
      </c>
      <c r="AF714" s="52">
        <f t="shared" si="293"/>
        <v>224433.45600000001</v>
      </c>
      <c r="AG714" s="52">
        <f t="shared" si="294"/>
        <v>280541.82</v>
      </c>
    </row>
    <row r="715" spans="1:33" s="21" customFormat="1" x14ac:dyDescent="0.2">
      <c r="A715" s="114" t="s">
        <v>629</v>
      </c>
      <c r="B715" s="114"/>
      <c r="C715" s="114"/>
      <c r="D715" s="160">
        <v>0</v>
      </c>
      <c r="E715" s="161"/>
      <c r="F715" s="162">
        <v>0.2</v>
      </c>
      <c r="G715" s="162"/>
      <c r="H715" s="52">
        <v>642</v>
      </c>
      <c r="I715" s="52">
        <f t="shared" si="283"/>
        <v>567.52800000000002</v>
      </c>
      <c r="J715" s="52">
        <f t="shared" si="284"/>
        <v>454.02240000000006</v>
      </c>
      <c r="K715" s="61"/>
      <c r="L715" s="160">
        <v>0</v>
      </c>
      <c r="M715" s="55">
        <f t="shared" si="285"/>
        <v>0</v>
      </c>
      <c r="N715" s="55">
        <f t="shared" si="286"/>
        <v>0</v>
      </c>
      <c r="O715" s="95"/>
      <c r="P715" s="160">
        <v>0</v>
      </c>
      <c r="Q715" s="55">
        <f t="shared" si="287"/>
        <v>0</v>
      </c>
      <c r="R715" s="65">
        <f t="shared" si="288"/>
        <v>0</v>
      </c>
      <c r="S715" s="118">
        <v>15</v>
      </c>
      <c r="T715" s="121" t="s">
        <v>217</v>
      </c>
      <c r="U715" s="73">
        <f>SUMIF('Avoided Costs 2013-2021'!$A:$A,'2013 Actuals'!T715&amp;'2013 Actuals'!S715,'Avoided Costs 2013-2021'!$E:$E)*J715</f>
        <v>952.43537867996997</v>
      </c>
      <c r="V715" s="73">
        <f>SUMIF('Avoided Costs 2013-2021'!$A:$A,'2013 Actuals'!T715&amp;'2013 Actuals'!S715,'Avoided Costs 2013-2021'!$K:$K)*N715</f>
        <v>0</v>
      </c>
      <c r="W715" s="73">
        <f>SUMIF('Avoided Costs 2013-2021'!$A:$A,'2013 Actuals'!T715&amp;'2013 Actuals'!S715,'Avoided Costs 2013-2021'!$M:$M)*R715</f>
        <v>0</v>
      </c>
      <c r="X715" s="73">
        <f t="shared" si="289"/>
        <v>952.43537867996997</v>
      </c>
      <c r="Y715" s="83">
        <v>6000</v>
      </c>
      <c r="Z715" s="74">
        <f t="shared" si="290"/>
        <v>4800</v>
      </c>
      <c r="AA715" s="74"/>
      <c r="AB715" s="74"/>
      <c r="AC715" s="74"/>
      <c r="AD715" s="74">
        <f t="shared" si="291"/>
        <v>4800</v>
      </c>
      <c r="AE715" s="74">
        <f t="shared" si="292"/>
        <v>-3847.5646213200298</v>
      </c>
      <c r="AF715" s="52">
        <f t="shared" si="293"/>
        <v>6810.3360000000011</v>
      </c>
      <c r="AG715" s="52">
        <f t="shared" si="294"/>
        <v>8512.92</v>
      </c>
    </row>
    <row r="716" spans="1:33" s="21" customFormat="1" x14ac:dyDescent="0.2">
      <c r="A716" s="114" t="s">
        <v>630</v>
      </c>
      <c r="B716" s="114"/>
      <c r="C716" s="114"/>
      <c r="D716" s="160">
        <v>1</v>
      </c>
      <c r="E716" s="161"/>
      <c r="F716" s="162">
        <v>0.2</v>
      </c>
      <c r="G716" s="162"/>
      <c r="H716" s="52">
        <v>10213</v>
      </c>
      <c r="I716" s="52">
        <f t="shared" si="283"/>
        <v>9028.2919999999995</v>
      </c>
      <c r="J716" s="52">
        <f t="shared" si="284"/>
        <v>7222.6336000000001</v>
      </c>
      <c r="K716" s="61"/>
      <c r="L716" s="160">
        <v>0</v>
      </c>
      <c r="M716" s="55">
        <f t="shared" si="285"/>
        <v>0</v>
      </c>
      <c r="N716" s="55">
        <f t="shared" si="286"/>
        <v>0</v>
      </c>
      <c r="O716" s="95"/>
      <c r="P716" s="160">
        <v>0</v>
      </c>
      <c r="Q716" s="55">
        <f t="shared" si="287"/>
        <v>0</v>
      </c>
      <c r="R716" s="65">
        <f t="shared" si="288"/>
        <v>0</v>
      </c>
      <c r="S716" s="118">
        <v>25</v>
      </c>
      <c r="T716" s="121" t="s">
        <v>201</v>
      </c>
      <c r="U716" s="73">
        <f>SUMIF('Avoided Costs 2013-2021'!$A:$A,'2013 Actuals'!T716&amp;'2013 Actuals'!S716,'Avoided Costs 2013-2021'!$E:$E)*J716</f>
        <v>22658.43189140227</v>
      </c>
      <c r="V716" s="73">
        <f>SUMIF('Avoided Costs 2013-2021'!$A:$A,'2013 Actuals'!T716&amp;'2013 Actuals'!S716,'Avoided Costs 2013-2021'!$K:$K)*N716</f>
        <v>0</v>
      </c>
      <c r="W716" s="73">
        <f>SUMIF('Avoided Costs 2013-2021'!$A:$A,'2013 Actuals'!T716&amp;'2013 Actuals'!S716,'Avoided Costs 2013-2021'!$M:$M)*R716</f>
        <v>0</v>
      </c>
      <c r="X716" s="73">
        <f t="shared" si="289"/>
        <v>22658.43189140227</v>
      </c>
      <c r="Y716" s="83">
        <v>1413</v>
      </c>
      <c r="Z716" s="74">
        <f t="shared" si="290"/>
        <v>1130.4000000000001</v>
      </c>
      <c r="AA716" s="74"/>
      <c r="AB716" s="74"/>
      <c r="AC716" s="74"/>
      <c r="AD716" s="74">
        <f t="shared" si="291"/>
        <v>1130.4000000000001</v>
      </c>
      <c r="AE716" s="74">
        <f t="shared" si="292"/>
        <v>21528.031891402268</v>
      </c>
      <c r="AF716" s="52">
        <f t="shared" si="293"/>
        <v>180565.84</v>
      </c>
      <c r="AG716" s="52">
        <f t="shared" si="294"/>
        <v>225707.3</v>
      </c>
    </row>
    <row r="717" spans="1:33" s="21" customFormat="1" x14ac:dyDescent="0.2">
      <c r="A717" s="114" t="s">
        <v>631</v>
      </c>
      <c r="B717" s="114"/>
      <c r="C717" s="114"/>
      <c r="D717" s="160">
        <v>0</v>
      </c>
      <c r="E717" s="161"/>
      <c r="F717" s="162">
        <v>0.2</v>
      </c>
      <c r="G717" s="162"/>
      <c r="H717" s="52">
        <v>8045</v>
      </c>
      <c r="I717" s="52">
        <f t="shared" si="283"/>
        <v>7111.78</v>
      </c>
      <c r="J717" s="52">
        <f t="shared" si="284"/>
        <v>5689.424</v>
      </c>
      <c r="K717" s="61"/>
      <c r="L717" s="160">
        <v>0</v>
      </c>
      <c r="M717" s="55">
        <f t="shared" si="285"/>
        <v>0</v>
      </c>
      <c r="N717" s="55">
        <f t="shared" si="286"/>
        <v>0</v>
      </c>
      <c r="O717" s="95"/>
      <c r="P717" s="160">
        <v>0</v>
      </c>
      <c r="Q717" s="55">
        <f t="shared" si="287"/>
        <v>0</v>
      </c>
      <c r="R717" s="65">
        <f t="shared" si="288"/>
        <v>0</v>
      </c>
      <c r="S717" s="118">
        <v>15</v>
      </c>
      <c r="T717" s="121" t="s">
        <v>217</v>
      </c>
      <c r="U717" s="73">
        <f>SUMIF('Avoided Costs 2013-2021'!$A:$A,'2013 Actuals'!T717&amp;'2013 Actuals'!S717,'Avoided Costs 2013-2021'!$E:$E)*J717</f>
        <v>11935.113117570651</v>
      </c>
      <c r="V717" s="73">
        <f>SUMIF('Avoided Costs 2013-2021'!$A:$A,'2013 Actuals'!T717&amp;'2013 Actuals'!S717,'Avoided Costs 2013-2021'!$K:$K)*N717</f>
        <v>0</v>
      </c>
      <c r="W717" s="73">
        <f>SUMIF('Avoided Costs 2013-2021'!$A:$A,'2013 Actuals'!T717&amp;'2013 Actuals'!S717,'Avoided Costs 2013-2021'!$M:$M)*R717</f>
        <v>0</v>
      </c>
      <c r="X717" s="73">
        <f t="shared" si="289"/>
        <v>11935.113117570651</v>
      </c>
      <c r="Y717" s="83">
        <v>6555</v>
      </c>
      <c r="Z717" s="74">
        <f t="shared" si="290"/>
        <v>5244</v>
      </c>
      <c r="AA717" s="74"/>
      <c r="AB717" s="74"/>
      <c r="AC717" s="74"/>
      <c r="AD717" s="74">
        <f t="shared" si="291"/>
        <v>5244</v>
      </c>
      <c r="AE717" s="74">
        <f t="shared" si="292"/>
        <v>6691.1131175706505</v>
      </c>
      <c r="AF717" s="52">
        <f t="shared" si="293"/>
        <v>85341.36</v>
      </c>
      <c r="AG717" s="52">
        <f t="shared" si="294"/>
        <v>106676.7</v>
      </c>
    </row>
    <row r="718" spans="1:33" s="21" customFormat="1" x14ac:dyDescent="0.2">
      <c r="A718" s="114" t="s">
        <v>632</v>
      </c>
      <c r="B718" s="114"/>
      <c r="C718" s="114"/>
      <c r="D718" s="160">
        <v>1</v>
      </c>
      <c r="E718" s="161"/>
      <c r="F718" s="162">
        <v>0.2</v>
      </c>
      <c r="G718" s="162"/>
      <c r="H718" s="52">
        <v>14412</v>
      </c>
      <c r="I718" s="52">
        <f t="shared" si="283"/>
        <v>12740.208000000001</v>
      </c>
      <c r="J718" s="52">
        <f t="shared" si="284"/>
        <v>10192.166400000002</v>
      </c>
      <c r="K718" s="61"/>
      <c r="L718" s="160">
        <v>0</v>
      </c>
      <c r="M718" s="55">
        <f t="shared" si="285"/>
        <v>0</v>
      </c>
      <c r="N718" s="55">
        <f t="shared" si="286"/>
        <v>0</v>
      </c>
      <c r="O718" s="95"/>
      <c r="P718" s="160">
        <v>0</v>
      </c>
      <c r="Q718" s="55">
        <f t="shared" si="287"/>
        <v>0</v>
      </c>
      <c r="R718" s="65">
        <f t="shared" si="288"/>
        <v>0</v>
      </c>
      <c r="S718" s="118">
        <v>15</v>
      </c>
      <c r="T718" s="121" t="s">
        <v>201</v>
      </c>
      <c r="U718" s="73">
        <f>SUMIF('Avoided Costs 2013-2021'!$A:$A,'2013 Actuals'!T718&amp;'2013 Actuals'!S718,'Avoided Costs 2013-2021'!$E:$E)*J718</f>
        <v>22778.091008111813</v>
      </c>
      <c r="V718" s="73">
        <f>SUMIF('Avoided Costs 2013-2021'!$A:$A,'2013 Actuals'!T718&amp;'2013 Actuals'!S718,'Avoided Costs 2013-2021'!$K:$K)*N718</f>
        <v>0</v>
      </c>
      <c r="W718" s="73">
        <f>SUMIF('Avoided Costs 2013-2021'!$A:$A,'2013 Actuals'!T718&amp;'2013 Actuals'!S718,'Avoided Costs 2013-2021'!$M:$M)*R718</f>
        <v>0</v>
      </c>
      <c r="X718" s="73">
        <f t="shared" si="289"/>
        <v>22778.091008111813</v>
      </c>
      <c r="Y718" s="83">
        <v>20000</v>
      </c>
      <c r="Z718" s="74">
        <f t="shared" si="290"/>
        <v>16000</v>
      </c>
      <c r="AA718" s="74"/>
      <c r="AB718" s="74"/>
      <c r="AC718" s="74"/>
      <c r="AD718" s="74">
        <f t="shared" si="291"/>
        <v>16000</v>
      </c>
      <c r="AE718" s="74">
        <f t="shared" si="292"/>
        <v>6778.0910081118127</v>
      </c>
      <c r="AF718" s="52">
        <f t="shared" si="293"/>
        <v>152882.49600000004</v>
      </c>
      <c r="AG718" s="52">
        <f t="shared" si="294"/>
        <v>191103.12</v>
      </c>
    </row>
    <row r="719" spans="1:33" s="21" customFormat="1" x14ac:dyDescent="0.2">
      <c r="A719" s="114" t="s">
        <v>633</v>
      </c>
      <c r="B719" s="114"/>
      <c r="C719" s="114"/>
      <c r="D719" s="160">
        <v>0</v>
      </c>
      <c r="E719" s="161"/>
      <c r="F719" s="162">
        <v>0.2</v>
      </c>
      <c r="G719" s="162"/>
      <c r="H719" s="52">
        <v>7593</v>
      </c>
      <c r="I719" s="52">
        <f t="shared" si="283"/>
        <v>6712.2120000000004</v>
      </c>
      <c r="J719" s="52">
        <f t="shared" si="284"/>
        <v>5369.7696000000005</v>
      </c>
      <c r="K719" s="61"/>
      <c r="L719" s="160">
        <v>0</v>
      </c>
      <c r="M719" s="55">
        <f t="shared" si="285"/>
        <v>0</v>
      </c>
      <c r="N719" s="55">
        <f t="shared" si="286"/>
        <v>0</v>
      </c>
      <c r="O719" s="95"/>
      <c r="P719" s="160">
        <v>0</v>
      </c>
      <c r="Q719" s="55">
        <f t="shared" si="287"/>
        <v>0</v>
      </c>
      <c r="R719" s="65">
        <f t="shared" si="288"/>
        <v>0</v>
      </c>
      <c r="S719" s="118">
        <v>25</v>
      </c>
      <c r="T719" s="121" t="s">
        <v>217</v>
      </c>
      <c r="U719" s="73">
        <f>SUMIF('Avoided Costs 2013-2021'!$A:$A,'2013 Actuals'!T719&amp;'2013 Actuals'!S719,'Avoided Costs 2013-2021'!$E:$E)*J719</f>
        <v>15808.98217851574</v>
      </c>
      <c r="V719" s="73">
        <f>SUMIF('Avoided Costs 2013-2021'!$A:$A,'2013 Actuals'!T719&amp;'2013 Actuals'!S719,'Avoided Costs 2013-2021'!$K:$K)*N719</f>
        <v>0</v>
      </c>
      <c r="W719" s="73">
        <f>SUMIF('Avoided Costs 2013-2021'!$A:$A,'2013 Actuals'!T719&amp;'2013 Actuals'!S719,'Avoided Costs 2013-2021'!$M:$M)*R719</f>
        <v>0</v>
      </c>
      <c r="X719" s="73">
        <f t="shared" si="289"/>
        <v>15808.98217851574</v>
      </c>
      <c r="Y719" s="83">
        <v>6293</v>
      </c>
      <c r="Z719" s="74">
        <f t="shared" si="290"/>
        <v>5034.4000000000005</v>
      </c>
      <c r="AA719" s="74"/>
      <c r="AB719" s="74"/>
      <c r="AC719" s="74"/>
      <c r="AD719" s="74">
        <f t="shared" si="291"/>
        <v>5034.4000000000005</v>
      </c>
      <c r="AE719" s="74">
        <f t="shared" si="292"/>
        <v>10774.582178515739</v>
      </c>
      <c r="AF719" s="52">
        <f t="shared" si="293"/>
        <v>134244.24000000002</v>
      </c>
      <c r="AG719" s="52">
        <f t="shared" si="294"/>
        <v>167805.30000000002</v>
      </c>
    </row>
    <row r="720" spans="1:33" s="21" customFormat="1" x14ac:dyDescent="0.2">
      <c r="A720" s="114" t="s">
        <v>634</v>
      </c>
      <c r="B720" s="114"/>
      <c r="C720" s="114"/>
      <c r="D720" s="160">
        <v>1</v>
      </c>
      <c r="E720" s="161"/>
      <c r="F720" s="162">
        <v>0.2</v>
      </c>
      <c r="G720" s="162"/>
      <c r="H720" s="52">
        <v>43881</v>
      </c>
      <c r="I720" s="52">
        <f t="shared" si="283"/>
        <v>38790.804000000004</v>
      </c>
      <c r="J720" s="52">
        <f t="shared" si="284"/>
        <v>31032.643200000006</v>
      </c>
      <c r="K720" s="61"/>
      <c r="L720" s="160">
        <v>0</v>
      </c>
      <c r="M720" s="55">
        <f t="shared" si="285"/>
        <v>0</v>
      </c>
      <c r="N720" s="55">
        <f t="shared" si="286"/>
        <v>0</v>
      </c>
      <c r="O720" s="95"/>
      <c r="P720" s="160">
        <v>0</v>
      </c>
      <c r="Q720" s="55">
        <f t="shared" si="287"/>
        <v>0</v>
      </c>
      <c r="R720" s="65">
        <f t="shared" si="288"/>
        <v>0</v>
      </c>
      <c r="S720" s="118">
        <v>25</v>
      </c>
      <c r="T720" s="121" t="s">
        <v>201</v>
      </c>
      <c r="U720" s="73">
        <f>SUMIF('Avoided Costs 2013-2021'!$A:$A,'2013 Actuals'!T720&amp;'2013 Actuals'!S720,'Avoided Costs 2013-2021'!$E:$E)*J720</f>
        <v>97353.828436955169</v>
      </c>
      <c r="V720" s="73">
        <f>SUMIF('Avoided Costs 2013-2021'!$A:$A,'2013 Actuals'!T720&amp;'2013 Actuals'!S720,'Avoided Costs 2013-2021'!$K:$K)*N720</f>
        <v>0</v>
      </c>
      <c r="W720" s="73">
        <f>SUMIF('Avoided Costs 2013-2021'!$A:$A,'2013 Actuals'!T720&amp;'2013 Actuals'!S720,'Avoided Costs 2013-2021'!$M:$M)*R720</f>
        <v>0</v>
      </c>
      <c r="X720" s="73">
        <f t="shared" si="289"/>
        <v>97353.828436955169</v>
      </c>
      <c r="Y720" s="83">
        <v>9514</v>
      </c>
      <c r="Z720" s="74">
        <f t="shared" si="290"/>
        <v>7611.2000000000007</v>
      </c>
      <c r="AA720" s="74"/>
      <c r="AB720" s="74"/>
      <c r="AC720" s="74"/>
      <c r="AD720" s="74">
        <f t="shared" si="291"/>
        <v>7611.2000000000007</v>
      </c>
      <c r="AE720" s="74">
        <f t="shared" si="292"/>
        <v>89742.628436955172</v>
      </c>
      <c r="AF720" s="52">
        <f t="shared" si="293"/>
        <v>775816.08000000019</v>
      </c>
      <c r="AG720" s="52">
        <f t="shared" si="294"/>
        <v>969770.10000000009</v>
      </c>
    </row>
    <row r="721" spans="1:33" s="21" customFormat="1" x14ac:dyDescent="0.2">
      <c r="A721" s="114" t="s">
        <v>635</v>
      </c>
      <c r="B721" s="114"/>
      <c r="C721" s="114"/>
      <c r="D721" s="160">
        <v>0</v>
      </c>
      <c r="E721" s="161"/>
      <c r="F721" s="162">
        <v>0.2</v>
      </c>
      <c r="G721" s="162"/>
      <c r="H721" s="52">
        <v>11819</v>
      </c>
      <c r="I721" s="52">
        <f t="shared" si="283"/>
        <v>10447.995999999999</v>
      </c>
      <c r="J721" s="52">
        <f t="shared" si="284"/>
        <v>8358.3968000000004</v>
      </c>
      <c r="K721" s="61"/>
      <c r="L721" s="160">
        <v>0</v>
      </c>
      <c r="M721" s="55">
        <f t="shared" si="285"/>
        <v>0</v>
      </c>
      <c r="N721" s="55">
        <f t="shared" si="286"/>
        <v>0</v>
      </c>
      <c r="O721" s="95"/>
      <c r="P721" s="160">
        <v>0</v>
      </c>
      <c r="Q721" s="55">
        <f t="shared" si="287"/>
        <v>0</v>
      </c>
      <c r="R721" s="65">
        <f t="shared" si="288"/>
        <v>0</v>
      </c>
      <c r="S721" s="118">
        <v>25</v>
      </c>
      <c r="T721" s="121" t="s">
        <v>217</v>
      </c>
      <c r="U721" s="73">
        <f>SUMIF('Avoided Costs 2013-2021'!$A:$A,'2013 Actuals'!T721&amp;'2013 Actuals'!S721,'Avoided Costs 2013-2021'!$E:$E)*J721</f>
        <v>24607.712415103058</v>
      </c>
      <c r="V721" s="73">
        <f>SUMIF('Avoided Costs 2013-2021'!$A:$A,'2013 Actuals'!T721&amp;'2013 Actuals'!S721,'Avoided Costs 2013-2021'!$K:$K)*N721</f>
        <v>0</v>
      </c>
      <c r="W721" s="73">
        <f>SUMIF('Avoided Costs 2013-2021'!$A:$A,'2013 Actuals'!T721&amp;'2013 Actuals'!S721,'Avoided Costs 2013-2021'!$M:$M)*R721</f>
        <v>0</v>
      </c>
      <c r="X721" s="73">
        <f t="shared" si="289"/>
        <v>24607.712415103058</v>
      </c>
      <c r="Y721" s="83">
        <v>8046</v>
      </c>
      <c r="Z721" s="74">
        <f t="shared" si="290"/>
        <v>6436.8</v>
      </c>
      <c r="AA721" s="74"/>
      <c r="AB721" s="74"/>
      <c r="AC721" s="74"/>
      <c r="AD721" s="74">
        <f t="shared" si="291"/>
        <v>6436.8</v>
      </c>
      <c r="AE721" s="74">
        <f t="shared" si="292"/>
        <v>18170.912415103059</v>
      </c>
      <c r="AF721" s="52">
        <f t="shared" si="293"/>
        <v>208959.92</v>
      </c>
      <c r="AG721" s="52">
        <f t="shared" si="294"/>
        <v>261199.89999999997</v>
      </c>
    </row>
    <row r="722" spans="1:33" s="21" customFormat="1" x14ac:dyDescent="0.2">
      <c r="A722" s="114" t="s">
        <v>636</v>
      </c>
      <c r="B722" s="114"/>
      <c r="C722" s="114"/>
      <c r="D722" s="160">
        <v>1</v>
      </c>
      <c r="E722" s="161"/>
      <c r="F722" s="162">
        <v>0.2</v>
      </c>
      <c r="G722" s="162"/>
      <c r="H722" s="52">
        <v>37587</v>
      </c>
      <c r="I722" s="52">
        <f t="shared" si="283"/>
        <v>33226.908000000003</v>
      </c>
      <c r="J722" s="52">
        <f t="shared" si="284"/>
        <v>26581.526400000002</v>
      </c>
      <c r="K722" s="61"/>
      <c r="L722" s="160">
        <v>0</v>
      </c>
      <c r="M722" s="55">
        <f t="shared" si="285"/>
        <v>0</v>
      </c>
      <c r="N722" s="55">
        <f t="shared" si="286"/>
        <v>0</v>
      </c>
      <c r="O722" s="95"/>
      <c r="P722" s="160">
        <v>0</v>
      </c>
      <c r="Q722" s="55">
        <f t="shared" si="287"/>
        <v>0</v>
      </c>
      <c r="R722" s="65">
        <f t="shared" si="288"/>
        <v>0</v>
      </c>
      <c r="S722" s="118">
        <v>25</v>
      </c>
      <c r="T722" s="121" t="s">
        <v>201</v>
      </c>
      <c r="U722" s="73">
        <f>SUMIF('Avoided Costs 2013-2021'!$A:$A,'2013 Actuals'!T722&amp;'2013 Actuals'!S722,'Avoided Costs 2013-2021'!$E:$E)*J722</f>
        <v>83390.040096165394</v>
      </c>
      <c r="V722" s="73">
        <f>SUMIF('Avoided Costs 2013-2021'!$A:$A,'2013 Actuals'!T722&amp;'2013 Actuals'!S722,'Avoided Costs 2013-2021'!$K:$K)*N722</f>
        <v>0</v>
      </c>
      <c r="W722" s="73">
        <f>SUMIF('Avoided Costs 2013-2021'!$A:$A,'2013 Actuals'!T722&amp;'2013 Actuals'!S722,'Avoided Costs 2013-2021'!$M:$M)*R722</f>
        <v>0</v>
      </c>
      <c r="X722" s="73">
        <f t="shared" si="289"/>
        <v>83390.040096165394</v>
      </c>
      <c r="Y722" s="83">
        <v>10245</v>
      </c>
      <c r="Z722" s="74">
        <f t="shared" si="290"/>
        <v>8196</v>
      </c>
      <c r="AA722" s="74"/>
      <c r="AB722" s="74"/>
      <c r="AC722" s="74"/>
      <c r="AD722" s="74">
        <f t="shared" si="291"/>
        <v>8196</v>
      </c>
      <c r="AE722" s="74">
        <f t="shared" si="292"/>
        <v>75194.040096165394</v>
      </c>
      <c r="AF722" s="52">
        <f t="shared" si="293"/>
        <v>664538.16</v>
      </c>
      <c r="AG722" s="52">
        <f t="shared" si="294"/>
        <v>830672.70000000007</v>
      </c>
    </row>
    <row r="723" spans="1:33" s="21" customFormat="1" x14ac:dyDescent="0.2">
      <c r="A723" s="114" t="s">
        <v>637</v>
      </c>
      <c r="B723" s="114"/>
      <c r="C723" s="114"/>
      <c r="D723" s="160">
        <v>1</v>
      </c>
      <c r="E723" s="161"/>
      <c r="F723" s="162">
        <v>0.2</v>
      </c>
      <c r="G723" s="162"/>
      <c r="H723" s="52">
        <v>6608</v>
      </c>
      <c r="I723" s="52">
        <f t="shared" si="283"/>
        <v>5841.4719999999998</v>
      </c>
      <c r="J723" s="52">
        <f t="shared" si="284"/>
        <v>4673.1776</v>
      </c>
      <c r="K723" s="61"/>
      <c r="L723" s="160">
        <v>0</v>
      </c>
      <c r="M723" s="55">
        <f t="shared" si="285"/>
        <v>0</v>
      </c>
      <c r="N723" s="55">
        <f t="shared" si="286"/>
        <v>0</v>
      </c>
      <c r="O723" s="95"/>
      <c r="P723" s="160">
        <v>0</v>
      </c>
      <c r="Q723" s="55">
        <f t="shared" si="287"/>
        <v>0</v>
      </c>
      <c r="R723" s="65">
        <f t="shared" si="288"/>
        <v>0</v>
      </c>
      <c r="S723" s="118">
        <v>25</v>
      </c>
      <c r="T723" s="121" t="s">
        <v>201</v>
      </c>
      <c r="U723" s="73">
        <f>SUMIF('Avoided Costs 2013-2021'!$A:$A,'2013 Actuals'!T723&amp;'2013 Actuals'!S723,'Avoided Costs 2013-2021'!$E:$E)*J723</f>
        <v>14660.424746733202</v>
      </c>
      <c r="V723" s="73">
        <f>SUMIF('Avoided Costs 2013-2021'!$A:$A,'2013 Actuals'!T723&amp;'2013 Actuals'!S723,'Avoided Costs 2013-2021'!$K:$K)*N723</f>
        <v>0</v>
      </c>
      <c r="W723" s="73">
        <f>SUMIF('Avoided Costs 2013-2021'!$A:$A,'2013 Actuals'!T723&amp;'2013 Actuals'!S723,'Avoided Costs 2013-2021'!$M:$M)*R723</f>
        <v>0</v>
      </c>
      <c r="X723" s="73">
        <f t="shared" si="289"/>
        <v>14660.424746733202</v>
      </c>
      <c r="Y723" s="83">
        <v>17316</v>
      </c>
      <c r="Z723" s="74">
        <f t="shared" si="290"/>
        <v>13852.800000000001</v>
      </c>
      <c r="AA723" s="74"/>
      <c r="AB723" s="74"/>
      <c r="AC723" s="74"/>
      <c r="AD723" s="74">
        <f t="shared" si="291"/>
        <v>13852.800000000001</v>
      </c>
      <c r="AE723" s="74">
        <f t="shared" si="292"/>
        <v>807.62474673320139</v>
      </c>
      <c r="AF723" s="52">
        <f t="shared" si="293"/>
        <v>116829.44</v>
      </c>
      <c r="AG723" s="52">
        <f t="shared" si="294"/>
        <v>146036.79999999999</v>
      </c>
    </row>
    <row r="724" spans="1:33" s="21" customFormat="1" x14ac:dyDescent="0.2">
      <c r="A724" s="114" t="s">
        <v>638</v>
      </c>
      <c r="B724" s="114"/>
      <c r="C724" s="114"/>
      <c r="D724" s="160">
        <v>0</v>
      </c>
      <c r="E724" s="161"/>
      <c r="F724" s="162">
        <v>0.2</v>
      </c>
      <c r="G724" s="162"/>
      <c r="H724" s="52">
        <v>1445</v>
      </c>
      <c r="I724" s="52">
        <f t="shared" si="283"/>
        <v>1277.3800000000001</v>
      </c>
      <c r="J724" s="52">
        <f t="shared" si="284"/>
        <v>1021.9040000000001</v>
      </c>
      <c r="K724" s="61"/>
      <c r="L724" s="160">
        <v>0</v>
      </c>
      <c r="M724" s="55">
        <f t="shared" si="285"/>
        <v>0</v>
      </c>
      <c r="N724" s="55">
        <f t="shared" si="286"/>
        <v>0</v>
      </c>
      <c r="O724" s="95"/>
      <c r="P724" s="160">
        <v>0</v>
      </c>
      <c r="Q724" s="55">
        <f t="shared" si="287"/>
        <v>0</v>
      </c>
      <c r="R724" s="65">
        <f t="shared" si="288"/>
        <v>0</v>
      </c>
      <c r="S724" s="118">
        <v>25</v>
      </c>
      <c r="T724" s="121" t="s">
        <v>217</v>
      </c>
      <c r="U724" s="73">
        <f>SUMIF('Avoided Costs 2013-2021'!$A:$A,'2013 Actuals'!T724&amp;'2013 Actuals'!S724,'Avoided Costs 2013-2021'!$E:$E)*J724</f>
        <v>3008.5577832154941</v>
      </c>
      <c r="V724" s="73">
        <f>SUMIF('Avoided Costs 2013-2021'!$A:$A,'2013 Actuals'!T724&amp;'2013 Actuals'!S724,'Avoided Costs 2013-2021'!$K:$K)*N724</f>
        <v>0</v>
      </c>
      <c r="W724" s="73">
        <f>SUMIF('Avoided Costs 2013-2021'!$A:$A,'2013 Actuals'!T724&amp;'2013 Actuals'!S724,'Avoided Costs 2013-2021'!$M:$M)*R724</f>
        <v>0</v>
      </c>
      <c r="X724" s="73">
        <f t="shared" si="289"/>
        <v>3008.5577832154941</v>
      </c>
      <c r="Y724" s="83">
        <v>1695</v>
      </c>
      <c r="Z724" s="74">
        <f t="shared" si="290"/>
        <v>1356</v>
      </c>
      <c r="AA724" s="74"/>
      <c r="AB724" s="74"/>
      <c r="AC724" s="74"/>
      <c r="AD724" s="74">
        <f t="shared" si="291"/>
        <v>1356</v>
      </c>
      <c r="AE724" s="74">
        <f t="shared" si="292"/>
        <v>1652.5577832154941</v>
      </c>
      <c r="AF724" s="52">
        <f t="shared" si="293"/>
        <v>25547.600000000002</v>
      </c>
      <c r="AG724" s="52">
        <f t="shared" si="294"/>
        <v>31934.500000000004</v>
      </c>
    </row>
    <row r="725" spans="1:33" s="21" customFormat="1" x14ac:dyDescent="0.2">
      <c r="A725" s="114" t="s">
        <v>639</v>
      </c>
      <c r="B725" s="114"/>
      <c r="C725" s="114"/>
      <c r="D725" s="160">
        <v>1</v>
      </c>
      <c r="E725" s="161"/>
      <c r="F725" s="162">
        <v>0.2</v>
      </c>
      <c r="G725" s="162"/>
      <c r="H725" s="52">
        <v>5663</v>
      </c>
      <c r="I725" s="52">
        <f t="shared" si="283"/>
        <v>5006.0919999999996</v>
      </c>
      <c r="J725" s="52">
        <f t="shared" si="284"/>
        <v>4004.8735999999999</v>
      </c>
      <c r="K725" s="61"/>
      <c r="L725" s="160">
        <v>0</v>
      </c>
      <c r="M725" s="55">
        <f t="shared" si="285"/>
        <v>0</v>
      </c>
      <c r="N725" s="55">
        <f t="shared" si="286"/>
        <v>0</v>
      </c>
      <c r="O725" s="95"/>
      <c r="P725" s="160">
        <v>0</v>
      </c>
      <c r="Q725" s="55">
        <f t="shared" si="287"/>
        <v>0</v>
      </c>
      <c r="R725" s="65">
        <f t="shared" si="288"/>
        <v>0</v>
      </c>
      <c r="S725" s="118">
        <v>25</v>
      </c>
      <c r="T725" s="121" t="s">
        <v>201</v>
      </c>
      <c r="U725" s="73">
        <f>SUMIF('Avoided Costs 2013-2021'!$A:$A,'2013 Actuals'!T725&amp;'2013 Actuals'!S725,'Avoided Costs 2013-2021'!$E:$E)*J725</f>
        <v>12563.85976706267</v>
      </c>
      <c r="V725" s="73">
        <f>SUMIF('Avoided Costs 2013-2021'!$A:$A,'2013 Actuals'!T725&amp;'2013 Actuals'!S725,'Avoided Costs 2013-2021'!$K:$K)*N725</f>
        <v>0</v>
      </c>
      <c r="W725" s="73">
        <f>SUMIF('Avoided Costs 2013-2021'!$A:$A,'2013 Actuals'!T725&amp;'2013 Actuals'!S725,'Avoided Costs 2013-2021'!$M:$M)*R725</f>
        <v>0</v>
      </c>
      <c r="X725" s="73">
        <f t="shared" si="289"/>
        <v>12563.85976706267</v>
      </c>
      <c r="Y725" s="83">
        <v>5997</v>
      </c>
      <c r="Z725" s="74">
        <f t="shared" si="290"/>
        <v>4797.6000000000004</v>
      </c>
      <c r="AA725" s="74"/>
      <c r="AB725" s="74"/>
      <c r="AC725" s="74"/>
      <c r="AD725" s="74">
        <f t="shared" si="291"/>
        <v>4797.6000000000004</v>
      </c>
      <c r="AE725" s="74">
        <f t="shared" si="292"/>
        <v>7766.2597670626692</v>
      </c>
      <c r="AF725" s="52">
        <f t="shared" si="293"/>
        <v>100121.84</v>
      </c>
      <c r="AG725" s="52">
        <f t="shared" si="294"/>
        <v>125152.29999999999</v>
      </c>
    </row>
    <row r="726" spans="1:33" s="21" customFormat="1" x14ac:dyDescent="0.2">
      <c r="A726" s="114" t="s">
        <v>640</v>
      </c>
      <c r="B726" s="114"/>
      <c r="C726" s="114"/>
      <c r="D726" s="160">
        <v>0</v>
      </c>
      <c r="E726" s="161"/>
      <c r="F726" s="162">
        <v>0.2</v>
      </c>
      <c r="G726" s="162"/>
      <c r="H726" s="52">
        <v>2337</v>
      </c>
      <c r="I726" s="52">
        <f t="shared" si="283"/>
        <v>2065.9079999999999</v>
      </c>
      <c r="J726" s="52">
        <f t="shared" si="284"/>
        <v>1652.7264</v>
      </c>
      <c r="K726" s="61"/>
      <c r="L726" s="160">
        <v>0</v>
      </c>
      <c r="M726" s="55">
        <f t="shared" si="285"/>
        <v>0</v>
      </c>
      <c r="N726" s="55">
        <f t="shared" si="286"/>
        <v>0</v>
      </c>
      <c r="O726" s="95"/>
      <c r="P726" s="160">
        <v>0</v>
      </c>
      <c r="Q726" s="55">
        <f t="shared" si="287"/>
        <v>0</v>
      </c>
      <c r="R726" s="65">
        <f t="shared" si="288"/>
        <v>0</v>
      </c>
      <c r="S726" s="118">
        <v>25</v>
      </c>
      <c r="T726" s="121" t="s">
        <v>217</v>
      </c>
      <c r="U726" s="73">
        <f>SUMIF('Avoided Costs 2013-2021'!$A:$A,'2013 Actuals'!T726&amp;'2013 Actuals'!S726,'Avoided Costs 2013-2021'!$E:$E)*J726</f>
        <v>4865.7436258647813</v>
      </c>
      <c r="V726" s="73">
        <f>SUMIF('Avoided Costs 2013-2021'!$A:$A,'2013 Actuals'!T726&amp;'2013 Actuals'!S726,'Avoided Costs 2013-2021'!$K:$K)*N726</f>
        <v>0</v>
      </c>
      <c r="W726" s="73">
        <f>SUMIF('Avoided Costs 2013-2021'!$A:$A,'2013 Actuals'!T726&amp;'2013 Actuals'!S726,'Avoided Costs 2013-2021'!$M:$M)*R726</f>
        <v>0</v>
      </c>
      <c r="X726" s="73">
        <f t="shared" si="289"/>
        <v>4865.7436258647813</v>
      </c>
      <c r="Y726" s="83">
        <v>1369</v>
      </c>
      <c r="Z726" s="74">
        <f t="shared" si="290"/>
        <v>1095.2</v>
      </c>
      <c r="AA726" s="74"/>
      <c r="AB726" s="74"/>
      <c r="AC726" s="74"/>
      <c r="AD726" s="74">
        <f t="shared" si="291"/>
        <v>1095.2</v>
      </c>
      <c r="AE726" s="74">
        <f t="shared" si="292"/>
        <v>3770.5436258647815</v>
      </c>
      <c r="AF726" s="52">
        <f t="shared" si="293"/>
        <v>41318.160000000003</v>
      </c>
      <c r="AG726" s="52">
        <f t="shared" si="294"/>
        <v>51647.7</v>
      </c>
    </row>
    <row r="727" spans="1:33" s="21" customFormat="1" x14ac:dyDescent="0.2">
      <c r="A727" s="116" t="s">
        <v>641</v>
      </c>
      <c r="B727" s="116"/>
      <c r="C727" s="116"/>
      <c r="D727" s="151">
        <v>1</v>
      </c>
      <c r="E727" s="152"/>
      <c r="F727" s="153">
        <v>0.2</v>
      </c>
      <c r="G727" s="153"/>
      <c r="H727" s="52">
        <v>9528</v>
      </c>
      <c r="I727" s="52">
        <f t="shared" si="283"/>
        <v>8422.7520000000004</v>
      </c>
      <c r="J727" s="52">
        <f t="shared" si="284"/>
        <v>6738.2016000000003</v>
      </c>
      <c r="K727" s="152"/>
      <c r="L727" s="151">
        <v>0</v>
      </c>
      <c r="M727" s="55">
        <f t="shared" si="285"/>
        <v>0</v>
      </c>
      <c r="N727" s="55">
        <f t="shared" si="286"/>
        <v>0</v>
      </c>
      <c r="O727" s="154"/>
      <c r="P727" s="151">
        <v>0</v>
      </c>
      <c r="Q727" s="55">
        <f t="shared" si="287"/>
        <v>0</v>
      </c>
      <c r="R727" s="65">
        <f t="shared" si="288"/>
        <v>0</v>
      </c>
      <c r="S727" s="129">
        <v>25</v>
      </c>
      <c r="T727" s="123" t="s">
        <v>201</v>
      </c>
      <c r="U727" s="73">
        <f>SUMIF('Avoided Costs 2013-2021'!$A:$A,'2013 Actuals'!T727&amp;'2013 Actuals'!S727,'Avoided Costs 2013-2021'!$E:$E)*J727</f>
        <v>21138.699604551144</v>
      </c>
      <c r="V727" s="73">
        <f>SUMIF('Avoided Costs 2013-2021'!$A:$A,'2013 Actuals'!T727&amp;'2013 Actuals'!S727,'Avoided Costs 2013-2021'!$K:$K)*N727</f>
        <v>0</v>
      </c>
      <c r="W727" s="73">
        <f>SUMIF('Avoided Costs 2013-2021'!$A:$A,'2013 Actuals'!T727&amp;'2013 Actuals'!S727,'Avoided Costs 2013-2021'!$M:$M)*R727</f>
        <v>0</v>
      </c>
      <c r="X727" s="73">
        <f t="shared" si="289"/>
        <v>21138.699604551144</v>
      </c>
      <c r="Y727" s="83">
        <v>4183</v>
      </c>
      <c r="Z727" s="74">
        <f t="shared" si="290"/>
        <v>3346.4</v>
      </c>
      <c r="AA727" s="74"/>
      <c r="AB727" s="74"/>
      <c r="AC727" s="74"/>
      <c r="AD727" s="74">
        <f t="shared" si="291"/>
        <v>3346.4</v>
      </c>
      <c r="AE727" s="74">
        <f t="shared" si="292"/>
        <v>17792.299604551143</v>
      </c>
      <c r="AF727" s="52">
        <f t="shared" si="293"/>
        <v>168455.04000000001</v>
      </c>
      <c r="AG727" s="52">
        <f t="shared" si="294"/>
        <v>210568.80000000002</v>
      </c>
    </row>
    <row r="728" spans="1:33" s="21" customFormat="1" x14ac:dyDescent="0.2">
      <c r="A728" s="116" t="s">
        <v>642</v>
      </c>
      <c r="B728" s="116"/>
      <c r="C728" s="116"/>
      <c r="D728" s="151">
        <v>0</v>
      </c>
      <c r="E728" s="152"/>
      <c r="F728" s="153">
        <v>0.2</v>
      </c>
      <c r="G728" s="153"/>
      <c r="H728" s="52">
        <v>1316</v>
      </c>
      <c r="I728" s="52">
        <f t="shared" si="283"/>
        <v>1163.3440000000001</v>
      </c>
      <c r="J728" s="52">
        <f t="shared" si="284"/>
        <v>930.67520000000013</v>
      </c>
      <c r="K728" s="152"/>
      <c r="L728" s="151">
        <v>0</v>
      </c>
      <c r="M728" s="55">
        <f t="shared" si="285"/>
        <v>0</v>
      </c>
      <c r="N728" s="55">
        <f t="shared" si="286"/>
        <v>0</v>
      </c>
      <c r="O728" s="154"/>
      <c r="P728" s="151">
        <v>0</v>
      </c>
      <c r="Q728" s="55">
        <f t="shared" si="287"/>
        <v>0</v>
      </c>
      <c r="R728" s="65">
        <f t="shared" si="288"/>
        <v>0</v>
      </c>
      <c r="S728" s="129">
        <v>25</v>
      </c>
      <c r="T728" s="123" t="s">
        <v>217</v>
      </c>
      <c r="U728" s="73">
        <f>SUMIF('Avoided Costs 2013-2021'!$A:$A,'2013 Actuals'!T728&amp;'2013 Actuals'!S728,'Avoided Costs 2013-2021'!$E:$E)*J728</f>
        <v>2739.9737319803389</v>
      </c>
      <c r="V728" s="73">
        <f>SUMIF('Avoided Costs 2013-2021'!$A:$A,'2013 Actuals'!T728&amp;'2013 Actuals'!S728,'Avoided Costs 2013-2021'!$K:$K)*N728</f>
        <v>0</v>
      </c>
      <c r="W728" s="73">
        <f>SUMIF('Avoided Costs 2013-2021'!$A:$A,'2013 Actuals'!T728&amp;'2013 Actuals'!S728,'Avoided Costs 2013-2021'!$M:$M)*R728</f>
        <v>0</v>
      </c>
      <c r="X728" s="73">
        <f t="shared" si="289"/>
        <v>2739.9737319803389</v>
      </c>
      <c r="Y728" s="83">
        <v>962</v>
      </c>
      <c r="Z728" s="74">
        <f t="shared" si="290"/>
        <v>769.6</v>
      </c>
      <c r="AA728" s="74"/>
      <c r="AB728" s="74"/>
      <c r="AC728" s="74"/>
      <c r="AD728" s="74">
        <f t="shared" si="291"/>
        <v>769.6</v>
      </c>
      <c r="AE728" s="74">
        <f t="shared" si="292"/>
        <v>1970.373731980339</v>
      </c>
      <c r="AF728" s="52">
        <f t="shared" si="293"/>
        <v>23266.880000000005</v>
      </c>
      <c r="AG728" s="52">
        <f t="shared" si="294"/>
        <v>29083.600000000002</v>
      </c>
    </row>
    <row r="729" spans="1:33" s="21" customFormat="1" x14ac:dyDescent="0.2">
      <c r="A729" s="116" t="s">
        <v>643</v>
      </c>
      <c r="B729" s="116"/>
      <c r="C729" s="116"/>
      <c r="D729" s="151">
        <v>1</v>
      </c>
      <c r="E729" s="152"/>
      <c r="F729" s="153">
        <v>0.2</v>
      </c>
      <c r="G729" s="153"/>
      <c r="H729" s="52">
        <v>5193</v>
      </c>
      <c r="I729" s="52">
        <f t="shared" si="283"/>
        <v>4590.6120000000001</v>
      </c>
      <c r="J729" s="52">
        <f t="shared" si="284"/>
        <v>3672.4896000000003</v>
      </c>
      <c r="K729" s="152"/>
      <c r="L729" s="151">
        <v>0</v>
      </c>
      <c r="M729" s="55">
        <f t="shared" si="285"/>
        <v>0</v>
      </c>
      <c r="N729" s="55">
        <f t="shared" si="286"/>
        <v>0</v>
      </c>
      <c r="O729" s="154"/>
      <c r="P729" s="151">
        <v>0</v>
      </c>
      <c r="Q729" s="55">
        <f t="shared" si="287"/>
        <v>0</v>
      </c>
      <c r="R729" s="65">
        <f t="shared" si="288"/>
        <v>0</v>
      </c>
      <c r="S729" s="129">
        <v>25</v>
      </c>
      <c r="T729" s="123" t="s">
        <v>201</v>
      </c>
      <c r="U729" s="73">
        <f>SUMIF('Avoided Costs 2013-2021'!$A:$A,'2013 Actuals'!T729&amp;'2013 Actuals'!S729,'Avoided Costs 2013-2021'!$E:$E)*J729</f>
        <v>11521.123745427592</v>
      </c>
      <c r="V729" s="73">
        <f>SUMIF('Avoided Costs 2013-2021'!$A:$A,'2013 Actuals'!T729&amp;'2013 Actuals'!S729,'Avoided Costs 2013-2021'!$K:$K)*N729</f>
        <v>0</v>
      </c>
      <c r="W729" s="73">
        <f>SUMIF('Avoided Costs 2013-2021'!$A:$A,'2013 Actuals'!T729&amp;'2013 Actuals'!S729,'Avoided Costs 2013-2021'!$M:$M)*R729</f>
        <v>0</v>
      </c>
      <c r="X729" s="73">
        <f t="shared" si="289"/>
        <v>11521.123745427592</v>
      </c>
      <c r="Y729" s="83">
        <v>1934</v>
      </c>
      <c r="Z729" s="74">
        <f t="shared" si="290"/>
        <v>1547.2</v>
      </c>
      <c r="AA729" s="74"/>
      <c r="AB729" s="74"/>
      <c r="AC729" s="74"/>
      <c r="AD729" s="74">
        <f t="shared" si="291"/>
        <v>1547.2</v>
      </c>
      <c r="AE729" s="74">
        <f t="shared" si="292"/>
        <v>9973.9237454275917</v>
      </c>
      <c r="AF729" s="52">
        <f t="shared" si="293"/>
        <v>91812.24</v>
      </c>
      <c r="AG729" s="52">
        <f t="shared" si="294"/>
        <v>114765.3</v>
      </c>
    </row>
    <row r="730" spans="1:33" s="21" customFormat="1" x14ac:dyDescent="0.2">
      <c r="A730" s="116" t="s">
        <v>644</v>
      </c>
      <c r="B730" s="116"/>
      <c r="C730" s="116"/>
      <c r="D730" s="151">
        <v>1</v>
      </c>
      <c r="E730" s="152"/>
      <c r="F730" s="153">
        <v>0.2</v>
      </c>
      <c r="G730" s="153"/>
      <c r="H730" s="52">
        <v>35441</v>
      </c>
      <c r="I730" s="52">
        <f t="shared" si="283"/>
        <v>31329.844000000001</v>
      </c>
      <c r="J730" s="52">
        <f t="shared" si="284"/>
        <v>25063.875200000002</v>
      </c>
      <c r="K730" s="152"/>
      <c r="L730" s="151">
        <v>0</v>
      </c>
      <c r="M730" s="55">
        <f t="shared" si="285"/>
        <v>0</v>
      </c>
      <c r="N730" s="55">
        <f t="shared" si="286"/>
        <v>0</v>
      </c>
      <c r="O730" s="154"/>
      <c r="P730" s="151">
        <v>0</v>
      </c>
      <c r="Q730" s="55">
        <f t="shared" si="287"/>
        <v>0</v>
      </c>
      <c r="R730" s="65">
        <f t="shared" si="288"/>
        <v>0</v>
      </c>
      <c r="S730" s="129">
        <v>25</v>
      </c>
      <c r="T730" s="123" t="s">
        <v>201</v>
      </c>
      <c r="U730" s="73">
        <f>SUMIF('Avoided Costs 2013-2021'!$A:$A,'2013 Actuals'!T730&amp;'2013 Actuals'!S730,'Avoided Costs 2013-2021'!$E:$E)*J730</f>
        <v>78628.951793125219</v>
      </c>
      <c r="V730" s="73">
        <f>SUMIF('Avoided Costs 2013-2021'!$A:$A,'2013 Actuals'!T730&amp;'2013 Actuals'!S730,'Avoided Costs 2013-2021'!$K:$K)*N730</f>
        <v>0</v>
      </c>
      <c r="W730" s="73">
        <f>SUMIF('Avoided Costs 2013-2021'!$A:$A,'2013 Actuals'!T730&amp;'2013 Actuals'!S730,'Avoided Costs 2013-2021'!$M:$M)*R730</f>
        <v>0</v>
      </c>
      <c r="X730" s="73">
        <f t="shared" si="289"/>
        <v>78628.951793125219</v>
      </c>
      <c r="Y730" s="83">
        <v>9268</v>
      </c>
      <c r="Z730" s="74">
        <f t="shared" si="290"/>
        <v>7414.4000000000005</v>
      </c>
      <c r="AA730" s="74"/>
      <c r="AB730" s="74"/>
      <c r="AC730" s="74"/>
      <c r="AD730" s="74">
        <f t="shared" si="291"/>
        <v>7414.4000000000005</v>
      </c>
      <c r="AE730" s="74">
        <f t="shared" si="292"/>
        <v>71214.551793125225</v>
      </c>
      <c r="AF730" s="52">
        <f t="shared" si="293"/>
        <v>626596.88</v>
      </c>
      <c r="AG730" s="52">
        <f t="shared" si="294"/>
        <v>783246.1</v>
      </c>
    </row>
    <row r="731" spans="1:33" s="21" customFormat="1" x14ac:dyDescent="0.2">
      <c r="A731" s="116" t="s">
        <v>645</v>
      </c>
      <c r="B731" s="116"/>
      <c r="C731" s="116"/>
      <c r="D731" s="151">
        <v>1</v>
      </c>
      <c r="E731" s="152"/>
      <c r="F731" s="153">
        <v>0.2</v>
      </c>
      <c r="G731" s="153"/>
      <c r="H731" s="52">
        <v>18140</v>
      </c>
      <c r="I731" s="52">
        <f t="shared" si="283"/>
        <v>16035.76</v>
      </c>
      <c r="J731" s="52">
        <f t="shared" si="284"/>
        <v>12828.608</v>
      </c>
      <c r="K731" s="152"/>
      <c r="L731" s="151">
        <v>0</v>
      </c>
      <c r="M731" s="55">
        <f t="shared" si="285"/>
        <v>0</v>
      </c>
      <c r="N731" s="55">
        <f t="shared" si="286"/>
        <v>0</v>
      </c>
      <c r="O731" s="154"/>
      <c r="P731" s="151">
        <v>0</v>
      </c>
      <c r="Q731" s="55">
        <f t="shared" si="287"/>
        <v>0</v>
      </c>
      <c r="R731" s="65">
        <f t="shared" si="288"/>
        <v>0</v>
      </c>
      <c r="S731" s="129">
        <v>15</v>
      </c>
      <c r="T731" s="123" t="s">
        <v>201</v>
      </c>
      <c r="U731" s="73">
        <f>SUMIF('Avoided Costs 2013-2021'!$A:$A,'2013 Actuals'!T731&amp;'2013 Actuals'!S731,'Avoided Costs 2013-2021'!$E:$E)*J731</f>
        <v>28670.175609710532</v>
      </c>
      <c r="V731" s="73">
        <f>SUMIF('Avoided Costs 2013-2021'!$A:$A,'2013 Actuals'!T731&amp;'2013 Actuals'!S731,'Avoided Costs 2013-2021'!$K:$K)*N731</f>
        <v>0</v>
      </c>
      <c r="W731" s="73">
        <f>SUMIF('Avoided Costs 2013-2021'!$A:$A,'2013 Actuals'!T731&amp;'2013 Actuals'!S731,'Avoided Costs 2013-2021'!$M:$M)*R731</f>
        <v>0</v>
      </c>
      <c r="X731" s="73">
        <f t="shared" si="289"/>
        <v>28670.175609710532</v>
      </c>
      <c r="Y731" s="83">
        <v>15000</v>
      </c>
      <c r="Z731" s="74">
        <f t="shared" si="290"/>
        <v>12000</v>
      </c>
      <c r="AA731" s="74"/>
      <c r="AB731" s="74"/>
      <c r="AC731" s="74"/>
      <c r="AD731" s="74">
        <f t="shared" si="291"/>
        <v>12000</v>
      </c>
      <c r="AE731" s="74">
        <f t="shared" si="292"/>
        <v>16670.175609710532</v>
      </c>
      <c r="AF731" s="52">
        <f t="shared" si="293"/>
        <v>192429.12</v>
      </c>
      <c r="AG731" s="52">
        <f t="shared" si="294"/>
        <v>240536.4</v>
      </c>
    </row>
    <row r="732" spans="1:33" s="21" customFormat="1" x14ac:dyDescent="0.2">
      <c r="A732" s="116" t="s">
        <v>646</v>
      </c>
      <c r="B732" s="116"/>
      <c r="C732" s="116"/>
      <c r="D732" s="151">
        <v>0</v>
      </c>
      <c r="E732" s="152"/>
      <c r="F732" s="153">
        <v>0.2</v>
      </c>
      <c r="G732" s="153"/>
      <c r="H732" s="52">
        <v>1849</v>
      </c>
      <c r="I732" s="52">
        <f t="shared" si="283"/>
        <v>1634.5160000000001</v>
      </c>
      <c r="J732" s="52">
        <f t="shared" si="284"/>
        <v>1307.6128000000001</v>
      </c>
      <c r="K732" s="152"/>
      <c r="L732" s="151">
        <v>0</v>
      </c>
      <c r="M732" s="55">
        <f t="shared" si="285"/>
        <v>0</v>
      </c>
      <c r="N732" s="55">
        <f t="shared" si="286"/>
        <v>0</v>
      </c>
      <c r="O732" s="154"/>
      <c r="P732" s="151">
        <v>0</v>
      </c>
      <c r="Q732" s="55">
        <f t="shared" si="287"/>
        <v>0</v>
      </c>
      <c r="R732" s="65">
        <f t="shared" si="288"/>
        <v>0</v>
      </c>
      <c r="S732" s="129">
        <v>25</v>
      </c>
      <c r="T732" s="123" t="s">
        <v>217</v>
      </c>
      <c r="U732" s="73">
        <f>SUMIF('Avoided Costs 2013-2021'!$A:$A,'2013 Actuals'!T732&amp;'2013 Actuals'!S732,'Avoided Costs 2013-2021'!$E:$E)*J732</f>
        <v>3849.7047343705522</v>
      </c>
      <c r="V732" s="73">
        <f>SUMIF('Avoided Costs 2013-2021'!$A:$A,'2013 Actuals'!T732&amp;'2013 Actuals'!S732,'Avoided Costs 2013-2021'!$K:$K)*N732</f>
        <v>0</v>
      </c>
      <c r="W732" s="73">
        <f>SUMIF('Avoided Costs 2013-2021'!$A:$A,'2013 Actuals'!T732&amp;'2013 Actuals'!S732,'Avoided Costs 2013-2021'!$M:$M)*R732</f>
        <v>0</v>
      </c>
      <c r="X732" s="73">
        <f t="shared" si="289"/>
        <v>3849.7047343705522</v>
      </c>
      <c r="Y732" s="83">
        <v>1592</v>
      </c>
      <c r="Z732" s="74">
        <f t="shared" si="290"/>
        <v>1273.6000000000001</v>
      </c>
      <c r="AA732" s="74"/>
      <c r="AB732" s="74"/>
      <c r="AC732" s="74"/>
      <c r="AD732" s="74">
        <f t="shared" si="291"/>
        <v>1273.6000000000001</v>
      </c>
      <c r="AE732" s="74">
        <f t="shared" si="292"/>
        <v>2576.1047343705523</v>
      </c>
      <c r="AF732" s="52">
        <f t="shared" si="293"/>
        <v>32690.320000000003</v>
      </c>
      <c r="AG732" s="52">
        <f t="shared" si="294"/>
        <v>40862.9</v>
      </c>
    </row>
    <row r="733" spans="1:33" s="21" customFormat="1" x14ac:dyDescent="0.2">
      <c r="A733" s="116" t="s">
        <v>647</v>
      </c>
      <c r="B733" s="116"/>
      <c r="C733" s="116"/>
      <c r="D733" s="151">
        <v>1</v>
      </c>
      <c r="E733" s="152"/>
      <c r="F733" s="153">
        <v>0.2</v>
      </c>
      <c r="G733" s="153"/>
      <c r="H733" s="52">
        <v>18638</v>
      </c>
      <c r="I733" s="52">
        <f t="shared" si="283"/>
        <v>16475.991999999998</v>
      </c>
      <c r="J733" s="52">
        <f t="shared" si="284"/>
        <v>13180.793599999999</v>
      </c>
      <c r="K733" s="152"/>
      <c r="L733" s="151">
        <v>0</v>
      </c>
      <c r="M733" s="55">
        <f t="shared" si="285"/>
        <v>0</v>
      </c>
      <c r="N733" s="55">
        <f t="shared" si="286"/>
        <v>0</v>
      </c>
      <c r="O733" s="154"/>
      <c r="P733" s="151">
        <v>0</v>
      </c>
      <c r="Q733" s="55">
        <f t="shared" si="287"/>
        <v>0</v>
      </c>
      <c r="R733" s="65">
        <f t="shared" si="288"/>
        <v>0</v>
      </c>
      <c r="S733" s="129">
        <v>25</v>
      </c>
      <c r="T733" s="123" t="s">
        <v>201</v>
      </c>
      <c r="U733" s="73">
        <f>SUMIF('Avoided Costs 2013-2021'!$A:$A,'2013 Actuals'!T733&amp;'2013 Actuals'!S733,'Avoided Costs 2013-2021'!$E:$E)*J733</f>
        <v>41350.029726031084</v>
      </c>
      <c r="V733" s="73">
        <f>SUMIF('Avoided Costs 2013-2021'!$A:$A,'2013 Actuals'!T733&amp;'2013 Actuals'!S733,'Avoided Costs 2013-2021'!$K:$K)*N733</f>
        <v>0</v>
      </c>
      <c r="W733" s="73">
        <f>SUMIF('Avoided Costs 2013-2021'!$A:$A,'2013 Actuals'!T733&amp;'2013 Actuals'!S733,'Avoided Costs 2013-2021'!$M:$M)*R733</f>
        <v>0</v>
      </c>
      <c r="X733" s="73">
        <f t="shared" si="289"/>
        <v>41350.029726031084</v>
      </c>
      <c r="Y733" s="83">
        <v>18626</v>
      </c>
      <c r="Z733" s="74">
        <f t="shared" si="290"/>
        <v>14900.800000000001</v>
      </c>
      <c r="AA733" s="74"/>
      <c r="AB733" s="74"/>
      <c r="AC733" s="74"/>
      <c r="AD733" s="74">
        <f t="shared" si="291"/>
        <v>14900.800000000001</v>
      </c>
      <c r="AE733" s="74">
        <f t="shared" si="292"/>
        <v>26449.229726031081</v>
      </c>
      <c r="AF733" s="52">
        <f t="shared" si="293"/>
        <v>329519.83999999997</v>
      </c>
      <c r="AG733" s="52">
        <f t="shared" si="294"/>
        <v>411899.79999999993</v>
      </c>
    </row>
    <row r="734" spans="1:33" s="21" customFormat="1" x14ac:dyDescent="0.2">
      <c r="A734" s="116" t="s">
        <v>648</v>
      </c>
      <c r="B734" s="116"/>
      <c r="C734" s="116"/>
      <c r="D734" s="151">
        <v>0</v>
      </c>
      <c r="E734" s="152"/>
      <c r="F734" s="153">
        <v>0.2</v>
      </c>
      <c r="G734" s="153"/>
      <c r="H734" s="52">
        <v>34428</v>
      </c>
      <c r="I734" s="52">
        <f t="shared" si="283"/>
        <v>30434.351999999999</v>
      </c>
      <c r="J734" s="52">
        <f t="shared" si="284"/>
        <v>24347.481599999999</v>
      </c>
      <c r="K734" s="152"/>
      <c r="L734" s="151">
        <v>23083</v>
      </c>
      <c r="M734" s="55">
        <f t="shared" si="285"/>
        <v>23083</v>
      </c>
      <c r="N734" s="55">
        <f t="shared" si="286"/>
        <v>18466.400000000001</v>
      </c>
      <c r="O734" s="154"/>
      <c r="P734" s="151">
        <v>0</v>
      </c>
      <c r="Q734" s="55">
        <f t="shared" si="287"/>
        <v>0</v>
      </c>
      <c r="R734" s="65">
        <f t="shared" si="288"/>
        <v>0</v>
      </c>
      <c r="S734" s="129">
        <v>15</v>
      </c>
      <c r="T734" s="123" t="s">
        <v>201</v>
      </c>
      <c r="U734" s="73">
        <f>SUMIF('Avoided Costs 2013-2021'!$A:$A,'2013 Actuals'!T734&amp;'2013 Actuals'!S734,'Avoided Costs 2013-2021'!$E:$E)*J734</f>
        <v>54413.274856180491</v>
      </c>
      <c r="V734" s="73">
        <f>SUMIF('Avoided Costs 2013-2021'!$A:$A,'2013 Actuals'!T734&amp;'2013 Actuals'!S734,'Avoided Costs 2013-2021'!$K:$K)*N734</f>
        <v>19332.357248338329</v>
      </c>
      <c r="W734" s="73">
        <f>SUMIF('Avoided Costs 2013-2021'!$A:$A,'2013 Actuals'!T734&amp;'2013 Actuals'!S734,'Avoided Costs 2013-2021'!$M:$M)*R734</f>
        <v>0</v>
      </c>
      <c r="X734" s="73">
        <f t="shared" si="289"/>
        <v>73745.632104518823</v>
      </c>
      <c r="Y734" s="83">
        <v>15900</v>
      </c>
      <c r="Z734" s="74">
        <f t="shared" si="290"/>
        <v>12720</v>
      </c>
      <c r="AA734" s="74"/>
      <c r="AB734" s="74"/>
      <c r="AC734" s="74"/>
      <c r="AD734" s="74">
        <f t="shared" si="291"/>
        <v>12720</v>
      </c>
      <c r="AE734" s="74">
        <f t="shared" si="292"/>
        <v>61025.632104518823</v>
      </c>
      <c r="AF734" s="52">
        <f t="shared" si="293"/>
        <v>365212.22399999999</v>
      </c>
      <c r="AG734" s="52">
        <f t="shared" si="294"/>
        <v>456515.27999999997</v>
      </c>
    </row>
    <row r="735" spans="1:33" s="21" customFormat="1" x14ac:dyDescent="0.2">
      <c r="A735" s="114" t="s">
        <v>649</v>
      </c>
      <c r="B735" s="114"/>
      <c r="C735" s="114"/>
      <c r="D735" s="160">
        <v>1</v>
      </c>
      <c r="E735" s="161"/>
      <c r="F735" s="162">
        <v>0.2</v>
      </c>
      <c r="G735" s="162"/>
      <c r="H735" s="52">
        <v>115150</v>
      </c>
      <c r="I735" s="52">
        <f t="shared" si="283"/>
        <v>101792.6</v>
      </c>
      <c r="J735" s="52">
        <f t="shared" si="284"/>
        <v>81434.080000000016</v>
      </c>
      <c r="K735" s="61"/>
      <c r="L735" s="160">
        <v>0</v>
      </c>
      <c r="M735" s="55">
        <f t="shared" si="285"/>
        <v>0</v>
      </c>
      <c r="N735" s="55">
        <f t="shared" si="286"/>
        <v>0</v>
      </c>
      <c r="O735" s="95"/>
      <c r="P735" s="160">
        <v>0</v>
      </c>
      <c r="Q735" s="55">
        <f t="shared" si="287"/>
        <v>0</v>
      </c>
      <c r="R735" s="65">
        <f t="shared" si="288"/>
        <v>0</v>
      </c>
      <c r="S735" s="118">
        <v>25</v>
      </c>
      <c r="T735" s="121" t="s">
        <v>201</v>
      </c>
      <c r="U735" s="73">
        <f>SUMIF('Avoided Costs 2013-2021'!$A:$A,'2013 Actuals'!T735&amp;'2013 Actuals'!S735,'Avoided Costs 2013-2021'!$E:$E)*J735</f>
        <v>255470.3253005945</v>
      </c>
      <c r="V735" s="73">
        <f>SUMIF('Avoided Costs 2013-2021'!$A:$A,'2013 Actuals'!T735&amp;'2013 Actuals'!S735,'Avoided Costs 2013-2021'!$K:$K)*N735</f>
        <v>0</v>
      </c>
      <c r="W735" s="73">
        <f>SUMIF('Avoided Costs 2013-2021'!$A:$A,'2013 Actuals'!T735&amp;'2013 Actuals'!S735,'Avoided Costs 2013-2021'!$M:$M)*R735</f>
        <v>0</v>
      </c>
      <c r="X735" s="73">
        <f t="shared" si="289"/>
        <v>255470.3253005945</v>
      </c>
      <c r="Y735" s="83">
        <v>16246</v>
      </c>
      <c r="Z735" s="74">
        <f t="shared" si="290"/>
        <v>12996.800000000001</v>
      </c>
      <c r="AA735" s="74"/>
      <c r="AB735" s="74"/>
      <c r="AC735" s="74"/>
      <c r="AD735" s="74">
        <f t="shared" si="291"/>
        <v>12996.800000000001</v>
      </c>
      <c r="AE735" s="74">
        <f t="shared" si="292"/>
        <v>242473.52530059451</v>
      </c>
      <c r="AF735" s="52">
        <f t="shared" si="293"/>
        <v>2035852.0000000005</v>
      </c>
      <c r="AG735" s="52">
        <f t="shared" si="294"/>
        <v>2544815</v>
      </c>
    </row>
    <row r="736" spans="1:33" s="21" customFormat="1" x14ac:dyDescent="0.2">
      <c r="A736" s="114" t="s">
        <v>650</v>
      </c>
      <c r="B736" s="114"/>
      <c r="C736" s="114"/>
      <c r="D736" s="160">
        <v>0</v>
      </c>
      <c r="E736" s="161"/>
      <c r="F736" s="162">
        <v>0.2</v>
      </c>
      <c r="G736" s="162"/>
      <c r="H736" s="52">
        <v>14112</v>
      </c>
      <c r="I736" s="52">
        <f t="shared" si="283"/>
        <v>12475.008</v>
      </c>
      <c r="J736" s="52">
        <f t="shared" si="284"/>
        <v>9980.0064000000002</v>
      </c>
      <c r="K736" s="61"/>
      <c r="L736" s="160">
        <v>0</v>
      </c>
      <c r="M736" s="55">
        <f t="shared" si="285"/>
        <v>0</v>
      </c>
      <c r="N736" s="55">
        <f t="shared" si="286"/>
        <v>0</v>
      </c>
      <c r="O736" s="95"/>
      <c r="P736" s="160">
        <v>0</v>
      </c>
      <c r="Q736" s="55">
        <f t="shared" si="287"/>
        <v>0</v>
      </c>
      <c r="R736" s="65">
        <f t="shared" si="288"/>
        <v>0</v>
      </c>
      <c r="S736" s="118">
        <v>25</v>
      </c>
      <c r="T736" s="121" t="s">
        <v>217</v>
      </c>
      <c r="U736" s="73">
        <f>SUMIF('Avoided Costs 2013-2021'!$A:$A,'2013 Actuals'!T736&amp;'2013 Actuals'!S736,'Avoided Costs 2013-2021'!$E:$E)*J736</f>
        <v>29381.845976980654</v>
      </c>
      <c r="V736" s="73">
        <f>SUMIF('Avoided Costs 2013-2021'!$A:$A,'2013 Actuals'!T736&amp;'2013 Actuals'!S736,'Avoided Costs 2013-2021'!$K:$K)*N736</f>
        <v>0</v>
      </c>
      <c r="W736" s="73">
        <f>SUMIF('Avoided Costs 2013-2021'!$A:$A,'2013 Actuals'!T736&amp;'2013 Actuals'!S736,'Avoided Costs 2013-2021'!$M:$M)*R736</f>
        <v>0</v>
      </c>
      <c r="X736" s="73">
        <f t="shared" si="289"/>
        <v>29381.845976980654</v>
      </c>
      <c r="Y736" s="83">
        <v>3465</v>
      </c>
      <c r="Z736" s="74">
        <f t="shared" si="290"/>
        <v>2772</v>
      </c>
      <c r="AA736" s="74"/>
      <c r="AB736" s="74"/>
      <c r="AC736" s="74"/>
      <c r="AD736" s="74">
        <f t="shared" si="291"/>
        <v>2772</v>
      </c>
      <c r="AE736" s="74">
        <f t="shared" si="292"/>
        <v>26609.845976980654</v>
      </c>
      <c r="AF736" s="52">
        <f t="shared" si="293"/>
        <v>249500.16</v>
      </c>
      <c r="AG736" s="52">
        <f t="shared" si="294"/>
        <v>311875.20000000001</v>
      </c>
    </row>
    <row r="737" spans="1:33" s="21" customFormat="1" x14ac:dyDescent="0.2">
      <c r="A737" s="114" t="s">
        <v>651</v>
      </c>
      <c r="B737" s="114"/>
      <c r="C737" s="114"/>
      <c r="D737" s="160">
        <v>0</v>
      </c>
      <c r="E737" s="161"/>
      <c r="F737" s="162">
        <v>0.2</v>
      </c>
      <c r="G737" s="162"/>
      <c r="H737" s="52">
        <v>7096</v>
      </c>
      <c r="I737" s="52">
        <f t="shared" si="283"/>
        <v>6272.8640000000005</v>
      </c>
      <c r="J737" s="52">
        <f t="shared" si="284"/>
        <v>5018.2912000000006</v>
      </c>
      <c r="K737" s="61"/>
      <c r="L737" s="160">
        <v>0</v>
      </c>
      <c r="M737" s="55">
        <f t="shared" si="285"/>
        <v>0</v>
      </c>
      <c r="N737" s="55">
        <f t="shared" si="286"/>
        <v>0</v>
      </c>
      <c r="O737" s="95"/>
      <c r="P737" s="160">
        <v>0</v>
      </c>
      <c r="Q737" s="55">
        <f t="shared" si="287"/>
        <v>0</v>
      </c>
      <c r="R737" s="65">
        <f t="shared" si="288"/>
        <v>0</v>
      </c>
      <c r="S737" s="118">
        <v>25</v>
      </c>
      <c r="T737" s="121" t="s">
        <v>201</v>
      </c>
      <c r="U737" s="73">
        <f>SUMIF('Avoided Costs 2013-2021'!$A:$A,'2013 Actuals'!T737&amp;'2013 Actuals'!S737,'Avoided Costs 2013-2021'!$E:$E)*J737</f>
        <v>15743.095339409627</v>
      </c>
      <c r="V737" s="73">
        <f>SUMIF('Avoided Costs 2013-2021'!$A:$A,'2013 Actuals'!T737&amp;'2013 Actuals'!S737,'Avoided Costs 2013-2021'!$K:$K)*N737</f>
        <v>0</v>
      </c>
      <c r="W737" s="73">
        <f>SUMIF('Avoided Costs 2013-2021'!$A:$A,'2013 Actuals'!T737&amp;'2013 Actuals'!S737,'Avoided Costs 2013-2021'!$M:$M)*R737</f>
        <v>0</v>
      </c>
      <c r="X737" s="73">
        <f t="shared" si="289"/>
        <v>15743.095339409627</v>
      </c>
      <c r="Y737" s="83">
        <v>8093</v>
      </c>
      <c r="Z737" s="74">
        <f t="shared" si="290"/>
        <v>6474.4000000000005</v>
      </c>
      <c r="AA737" s="74"/>
      <c r="AB737" s="74"/>
      <c r="AC737" s="74"/>
      <c r="AD737" s="74">
        <f t="shared" si="291"/>
        <v>6474.4000000000005</v>
      </c>
      <c r="AE737" s="74">
        <f t="shared" si="292"/>
        <v>9268.6953394096272</v>
      </c>
      <c r="AF737" s="52">
        <f t="shared" si="293"/>
        <v>125457.28000000001</v>
      </c>
      <c r="AG737" s="52">
        <f t="shared" si="294"/>
        <v>156821.6</v>
      </c>
    </row>
    <row r="738" spans="1:33" s="21" customFormat="1" x14ac:dyDescent="0.2">
      <c r="A738" s="114" t="s">
        <v>652</v>
      </c>
      <c r="B738" s="114"/>
      <c r="C738" s="114"/>
      <c r="D738" s="160">
        <v>1</v>
      </c>
      <c r="E738" s="161"/>
      <c r="F738" s="162">
        <v>0.2</v>
      </c>
      <c r="G738" s="162"/>
      <c r="H738" s="52">
        <v>41969</v>
      </c>
      <c r="I738" s="52">
        <f t="shared" si="283"/>
        <v>37100.595999999998</v>
      </c>
      <c r="J738" s="52">
        <f t="shared" si="284"/>
        <v>29680.4768</v>
      </c>
      <c r="K738" s="61"/>
      <c r="L738" s="160">
        <v>0</v>
      </c>
      <c r="M738" s="55">
        <f t="shared" si="285"/>
        <v>0</v>
      </c>
      <c r="N738" s="55">
        <f t="shared" si="286"/>
        <v>0</v>
      </c>
      <c r="O738" s="95"/>
      <c r="P738" s="160">
        <v>0</v>
      </c>
      <c r="Q738" s="55">
        <f t="shared" si="287"/>
        <v>0</v>
      </c>
      <c r="R738" s="65">
        <f t="shared" si="288"/>
        <v>0</v>
      </c>
      <c r="S738" s="118">
        <v>25</v>
      </c>
      <c r="T738" s="121" t="s">
        <v>201</v>
      </c>
      <c r="U738" s="73">
        <f>SUMIF('Avoided Costs 2013-2021'!$A:$A,'2013 Actuals'!T738&amp;'2013 Actuals'!S738,'Avoided Costs 2013-2021'!$E:$E)*J738</f>
        <v>93111.88955745245</v>
      </c>
      <c r="V738" s="73">
        <f>SUMIF('Avoided Costs 2013-2021'!$A:$A,'2013 Actuals'!T738&amp;'2013 Actuals'!S738,'Avoided Costs 2013-2021'!$K:$K)*N738</f>
        <v>0</v>
      </c>
      <c r="W738" s="73">
        <f>SUMIF('Avoided Costs 2013-2021'!$A:$A,'2013 Actuals'!T738&amp;'2013 Actuals'!S738,'Avoided Costs 2013-2021'!$M:$M)*R738</f>
        <v>0</v>
      </c>
      <c r="X738" s="73">
        <f t="shared" si="289"/>
        <v>93111.88955745245</v>
      </c>
      <c r="Y738" s="83">
        <v>13155</v>
      </c>
      <c r="Z738" s="74">
        <f t="shared" si="290"/>
        <v>10524</v>
      </c>
      <c r="AA738" s="74"/>
      <c r="AB738" s="74"/>
      <c r="AC738" s="74"/>
      <c r="AD738" s="74">
        <f t="shared" si="291"/>
        <v>10524</v>
      </c>
      <c r="AE738" s="74">
        <f t="shared" si="292"/>
        <v>82587.88955745245</v>
      </c>
      <c r="AF738" s="52">
        <f t="shared" si="293"/>
        <v>742011.92</v>
      </c>
      <c r="AG738" s="52">
        <f t="shared" si="294"/>
        <v>927514.89999999991</v>
      </c>
    </row>
    <row r="739" spans="1:33" s="21" customFormat="1" x14ac:dyDescent="0.2">
      <c r="A739" s="114" t="s">
        <v>653</v>
      </c>
      <c r="B739" s="114"/>
      <c r="C739" s="114"/>
      <c r="D739" s="160">
        <v>0</v>
      </c>
      <c r="E739" s="161"/>
      <c r="F739" s="162">
        <v>0.2</v>
      </c>
      <c r="G739" s="162"/>
      <c r="H739" s="52">
        <v>3802</v>
      </c>
      <c r="I739" s="52">
        <f t="shared" si="283"/>
        <v>3360.9679999999998</v>
      </c>
      <c r="J739" s="52">
        <f t="shared" si="284"/>
        <v>2688.7744000000002</v>
      </c>
      <c r="K739" s="61"/>
      <c r="L739" s="160">
        <v>0</v>
      </c>
      <c r="M739" s="55">
        <f t="shared" si="285"/>
        <v>0</v>
      </c>
      <c r="N739" s="55">
        <f t="shared" si="286"/>
        <v>0</v>
      </c>
      <c r="O739" s="95"/>
      <c r="P739" s="160">
        <v>0</v>
      </c>
      <c r="Q739" s="55">
        <f t="shared" si="287"/>
        <v>0</v>
      </c>
      <c r="R739" s="65">
        <f t="shared" si="288"/>
        <v>0</v>
      </c>
      <c r="S739" s="118">
        <v>25</v>
      </c>
      <c r="T739" s="121" t="s">
        <v>217</v>
      </c>
      <c r="U739" s="73">
        <f>SUMIF('Avoided Costs 2013-2021'!$A:$A,'2013 Actuals'!T739&amp;'2013 Actuals'!S739,'Avoided Costs 2013-2021'!$E:$E)*J739</f>
        <v>7915.9423472562685</v>
      </c>
      <c r="V739" s="73">
        <f>SUMIF('Avoided Costs 2013-2021'!$A:$A,'2013 Actuals'!T739&amp;'2013 Actuals'!S739,'Avoided Costs 2013-2021'!$K:$K)*N739</f>
        <v>0</v>
      </c>
      <c r="W739" s="73">
        <f>SUMIF('Avoided Costs 2013-2021'!$A:$A,'2013 Actuals'!T739&amp;'2013 Actuals'!S739,'Avoided Costs 2013-2021'!$M:$M)*R739</f>
        <v>0</v>
      </c>
      <c r="X739" s="73">
        <f t="shared" si="289"/>
        <v>7915.9423472562685</v>
      </c>
      <c r="Y739" s="83">
        <v>6964</v>
      </c>
      <c r="Z739" s="74">
        <f t="shared" si="290"/>
        <v>5571.2000000000007</v>
      </c>
      <c r="AA739" s="74"/>
      <c r="AB739" s="74"/>
      <c r="AC739" s="74"/>
      <c r="AD739" s="74">
        <f t="shared" si="291"/>
        <v>5571.2000000000007</v>
      </c>
      <c r="AE739" s="74">
        <f t="shared" si="292"/>
        <v>2344.7423472562677</v>
      </c>
      <c r="AF739" s="52">
        <f t="shared" si="293"/>
        <v>67219.360000000001</v>
      </c>
      <c r="AG739" s="52">
        <f t="shared" si="294"/>
        <v>84024.2</v>
      </c>
    </row>
    <row r="740" spans="1:33" s="21" customFormat="1" x14ac:dyDescent="0.2">
      <c r="A740" s="114" t="s">
        <v>654</v>
      </c>
      <c r="B740" s="114"/>
      <c r="C740" s="114"/>
      <c r="D740" s="160">
        <v>1</v>
      </c>
      <c r="E740" s="161"/>
      <c r="F740" s="162">
        <v>0.2</v>
      </c>
      <c r="G740" s="162"/>
      <c r="H740" s="52">
        <v>37482</v>
      </c>
      <c r="I740" s="52">
        <f t="shared" si="283"/>
        <v>33134.088000000003</v>
      </c>
      <c r="J740" s="52">
        <f t="shared" si="284"/>
        <v>26507.270400000005</v>
      </c>
      <c r="K740" s="61"/>
      <c r="L740" s="160">
        <v>0</v>
      </c>
      <c r="M740" s="55">
        <f t="shared" si="285"/>
        <v>0</v>
      </c>
      <c r="N740" s="55">
        <f t="shared" si="286"/>
        <v>0</v>
      </c>
      <c r="O740" s="95"/>
      <c r="P740" s="160">
        <v>0</v>
      </c>
      <c r="Q740" s="55">
        <f t="shared" si="287"/>
        <v>0</v>
      </c>
      <c r="R740" s="65">
        <f t="shared" si="288"/>
        <v>0</v>
      </c>
      <c r="S740" s="118">
        <v>25</v>
      </c>
      <c r="T740" s="121" t="s">
        <v>201</v>
      </c>
      <c r="U740" s="73">
        <f>SUMIF('Avoided Costs 2013-2021'!$A:$A,'2013 Actuals'!T740&amp;'2013 Actuals'!S740,'Avoided Costs 2013-2021'!$E:$E)*J740</f>
        <v>83157.088431757569</v>
      </c>
      <c r="V740" s="73">
        <f>SUMIF('Avoided Costs 2013-2021'!$A:$A,'2013 Actuals'!T740&amp;'2013 Actuals'!S740,'Avoided Costs 2013-2021'!$K:$K)*N740</f>
        <v>0</v>
      </c>
      <c r="W740" s="73">
        <f>SUMIF('Avoided Costs 2013-2021'!$A:$A,'2013 Actuals'!T740&amp;'2013 Actuals'!S740,'Avoided Costs 2013-2021'!$M:$M)*R740</f>
        <v>0</v>
      </c>
      <c r="X740" s="73">
        <f t="shared" si="289"/>
        <v>83157.088431757569</v>
      </c>
      <c r="Y740" s="83">
        <v>61878</v>
      </c>
      <c r="Z740" s="74">
        <f t="shared" si="290"/>
        <v>49502.400000000001</v>
      </c>
      <c r="AA740" s="74"/>
      <c r="AB740" s="74"/>
      <c r="AC740" s="74"/>
      <c r="AD740" s="74">
        <f t="shared" si="291"/>
        <v>49502.400000000001</v>
      </c>
      <c r="AE740" s="74">
        <f t="shared" si="292"/>
        <v>33654.688431757568</v>
      </c>
      <c r="AF740" s="52">
        <f t="shared" si="293"/>
        <v>662681.76000000013</v>
      </c>
      <c r="AG740" s="52">
        <f t="shared" si="294"/>
        <v>828352.20000000007</v>
      </c>
    </row>
    <row r="741" spans="1:33" s="21" customFormat="1" x14ac:dyDescent="0.2">
      <c r="A741" s="114" t="s">
        <v>655</v>
      </c>
      <c r="B741" s="114"/>
      <c r="C741" s="114"/>
      <c r="D741" s="160">
        <v>1</v>
      </c>
      <c r="E741" s="161"/>
      <c r="F741" s="162">
        <v>0.2</v>
      </c>
      <c r="G741" s="162"/>
      <c r="H741" s="52">
        <v>16208</v>
      </c>
      <c r="I741" s="52">
        <f t="shared" si="283"/>
        <v>14327.871999999999</v>
      </c>
      <c r="J741" s="52">
        <f t="shared" si="284"/>
        <v>11462.2976</v>
      </c>
      <c r="K741" s="61"/>
      <c r="L741" s="160">
        <v>0</v>
      </c>
      <c r="M741" s="55">
        <f t="shared" si="285"/>
        <v>0</v>
      </c>
      <c r="N741" s="55">
        <f t="shared" si="286"/>
        <v>0</v>
      </c>
      <c r="O741" s="95"/>
      <c r="P741" s="160">
        <v>0</v>
      </c>
      <c r="Q741" s="55">
        <f t="shared" si="287"/>
        <v>0</v>
      </c>
      <c r="R741" s="65">
        <f t="shared" si="288"/>
        <v>0</v>
      </c>
      <c r="S741" s="118">
        <v>15</v>
      </c>
      <c r="T741" s="121" t="s">
        <v>201</v>
      </c>
      <c r="U741" s="73">
        <f>SUMIF('Avoided Costs 2013-2021'!$A:$A,'2013 Actuals'!T741&amp;'2013 Actuals'!S741,'Avoided Costs 2013-2021'!$E:$E)*J741</f>
        <v>25616.659662744671</v>
      </c>
      <c r="V741" s="73">
        <f>SUMIF('Avoided Costs 2013-2021'!$A:$A,'2013 Actuals'!T741&amp;'2013 Actuals'!S741,'Avoided Costs 2013-2021'!$K:$K)*N741</f>
        <v>0</v>
      </c>
      <c r="W741" s="73">
        <f>SUMIF('Avoided Costs 2013-2021'!$A:$A,'2013 Actuals'!T741&amp;'2013 Actuals'!S741,'Avoided Costs 2013-2021'!$M:$M)*R741</f>
        <v>0</v>
      </c>
      <c r="X741" s="73">
        <f t="shared" si="289"/>
        <v>25616.659662744671</v>
      </c>
      <c r="Y741" s="83">
        <v>1500</v>
      </c>
      <c r="Z741" s="74">
        <f t="shared" si="290"/>
        <v>1200</v>
      </c>
      <c r="AA741" s="74"/>
      <c r="AB741" s="74"/>
      <c r="AC741" s="74"/>
      <c r="AD741" s="74">
        <f t="shared" si="291"/>
        <v>1200</v>
      </c>
      <c r="AE741" s="74">
        <f t="shared" si="292"/>
        <v>24416.659662744671</v>
      </c>
      <c r="AF741" s="52">
        <f t="shared" si="293"/>
        <v>171934.46400000001</v>
      </c>
      <c r="AG741" s="52">
        <f t="shared" si="294"/>
        <v>214918.08</v>
      </c>
    </row>
    <row r="742" spans="1:33" s="21" customFormat="1" x14ac:dyDescent="0.2">
      <c r="A742" s="114" t="s">
        <v>656</v>
      </c>
      <c r="B742" s="114"/>
      <c r="C742" s="114"/>
      <c r="D742" s="160">
        <v>1</v>
      </c>
      <c r="E742" s="161"/>
      <c r="F742" s="162">
        <v>0.2</v>
      </c>
      <c r="G742" s="162"/>
      <c r="H742" s="52">
        <v>14566</v>
      </c>
      <c r="I742" s="52">
        <f t="shared" si="283"/>
        <v>12876.344000000001</v>
      </c>
      <c r="J742" s="52">
        <f t="shared" si="284"/>
        <v>10301.075200000001</v>
      </c>
      <c r="K742" s="61"/>
      <c r="L742" s="160">
        <v>0</v>
      </c>
      <c r="M742" s="55">
        <f t="shared" si="285"/>
        <v>0</v>
      </c>
      <c r="N742" s="55">
        <f t="shared" si="286"/>
        <v>0</v>
      </c>
      <c r="O742" s="95"/>
      <c r="P742" s="160">
        <v>0</v>
      </c>
      <c r="Q742" s="55">
        <f t="shared" si="287"/>
        <v>0</v>
      </c>
      <c r="R742" s="65">
        <f t="shared" si="288"/>
        <v>0</v>
      </c>
      <c r="S742" s="118">
        <v>25</v>
      </c>
      <c r="T742" s="121" t="s">
        <v>201</v>
      </c>
      <c r="U742" s="73">
        <f>SUMIF('Avoided Costs 2013-2021'!$A:$A,'2013 Actuals'!T742&amp;'2013 Actuals'!S742,'Avoided Costs 2013-2021'!$E:$E)*J742</f>
        <v>32315.942321567167</v>
      </c>
      <c r="V742" s="73">
        <f>SUMIF('Avoided Costs 2013-2021'!$A:$A,'2013 Actuals'!T742&amp;'2013 Actuals'!S742,'Avoided Costs 2013-2021'!$K:$K)*N742</f>
        <v>0</v>
      </c>
      <c r="W742" s="73">
        <f>SUMIF('Avoided Costs 2013-2021'!$A:$A,'2013 Actuals'!T742&amp;'2013 Actuals'!S742,'Avoided Costs 2013-2021'!$M:$M)*R742</f>
        <v>0</v>
      </c>
      <c r="X742" s="73">
        <f t="shared" si="289"/>
        <v>32315.942321567167</v>
      </c>
      <c r="Y742" s="83">
        <v>29942</v>
      </c>
      <c r="Z742" s="74">
        <f t="shared" si="290"/>
        <v>23953.600000000002</v>
      </c>
      <c r="AA742" s="74"/>
      <c r="AB742" s="74"/>
      <c r="AC742" s="74"/>
      <c r="AD742" s="74">
        <f t="shared" si="291"/>
        <v>23953.600000000002</v>
      </c>
      <c r="AE742" s="74">
        <f t="shared" si="292"/>
        <v>8362.3423215671646</v>
      </c>
      <c r="AF742" s="52">
        <f t="shared" si="293"/>
        <v>257526.88000000003</v>
      </c>
      <c r="AG742" s="52">
        <f t="shared" si="294"/>
        <v>321908.60000000003</v>
      </c>
    </row>
    <row r="743" spans="1:33" s="21" customFormat="1" x14ac:dyDescent="0.2">
      <c r="A743" s="114" t="s">
        <v>657</v>
      </c>
      <c r="B743" s="114"/>
      <c r="C743" s="114"/>
      <c r="D743" s="160">
        <v>1</v>
      </c>
      <c r="E743" s="161"/>
      <c r="F743" s="162">
        <v>0.2</v>
      </c>
      <c r="G743" s="162"/>
      <c r="H743" s="52">
        <v>61007</v>
      </c>
      <c r="I743" s="52">
        <f t="shared" si="283"/>
        <v>53930.188000000002</v>
      </c>
      <c r="J743" s="52">
        <f t="shared" si="284"/>
        <v>43144.150400000006</v>
      </c>
      <c r="K743" s="61"/>
      <c r="L743" s="160">
        <v>0</v>
      </c>
      <c r="M743" s="55">
        <f t="shared" si="285"/>
        <v>0</v>
      </c>
      <c r="N743" s="55">
        <f t="shared" si="286"/>
        <v>0</v>
      </c>
      <c r="O743" s="95"/>
      <c r="P743" s="160">
        <v>0</v>
      </c>
      <c r="Q743" s="55">
        <f t="shared" si="287"/>
        <v>0</v>
      </c>
      <c r="R743" s="65">
        <f t="shared" si="288"/>
        <v>0</v>
      </c>
      <c r="S743" s="118">
        <v>25</v>
      </c>
      <c r="T743" s="121" t="s">
        <v>201</v>
      </c>
      <c r="U743" s="73">
        <f>SUMIF('Avoided Costs 2013-2021'!$A:$A,'2013 Actuals'!T743&amp;'2013 Actuals'!S743,'Avoided Costs 2013-2021'!$E:$E)*J743</f>
        <v>135349.35419551341</v>
      </c>
      <c r="V743" s="73">
        <f>SUMIF('Avoided Costs 2013-2021'!$A:$A,'2013 Actuals'!T743&amp;'2013 Actuals'!S743,'Avoided Costs 2013-2021'!$K:$K)*N743</f>
        <v>0</v>
      </c>
      <c r="W743" s="73">
        <f>SUMIF('Avoided Costs 2013-2021'!$A:$A,'2013 Actuals'!T743&amp;'2013 Actuals'!S743,'Avoided Costs 2013-2021'!$M:$M)*R743</f>
        <v>0</v>
      </c>
      <c r="X743" s="73">
        <f t="shared" si="289"/>
        <v>135349.35419551341</v>
      </c>
      <c r="Y743" s="83">
        <v>19349</v>
      </c>
      <c r="Z743" s="74">
        <f t="shared" si="290"/>
        <v>15479.2</v>
      </c>
      <c r="AA743" s="74"/>
      <c r="AB743" s="74"/>
      <c r="AC743" s="74"/>
      <c r="AD743" s="74">
        <f t="shared" si="291"/>
        <v>15479.2</v>
      </c>
      <c r="AE743" s="74">
        <f t="shared" si="292"/>
        <v>119870.15419551342</v>
      </c>
      <c r="AF743" s="52">
        <f t="shared" si="293"/>
        <v>1078603.7600000002</v>
      </c>
      <c r="AG743" s="52">
        <f t="shared" si="294"/>
        <v>1348254.7</v>
      </c>
    </row>
    <row r="744" spans="1:33" s="21" customFormat="1" x14ac:dyDescent="0.2">
      <c r="A744" s="114" t="s">
        <v>658</v>
      </c>
      <c r="B744" s="114"/>
      <c r="C744" s="114"/>
      <c r="D744" s="160">
        <v>0</v>
      </c>
      <c r="E744" s="161"/>
      <c r="F744" s="162">
        <v>0.2</v>
      </c>
      <c r="G744" s="162"/>
      <c r="H744" s="52">
        <v>9632</v>
      </c>
      <c r="I744" s="52">
        <f t="shared" si="283"/>
        <v>8514.6880000000001</v>
      </c>
      <c r="J744" s="52">
        <f t="shared" si="284"/>
        <v>6811.7504000000008</v>
      </c>
      <c r="K744" s="61"/>
      <c r="L744" s="160">
        <v>0</v>
      </c>
      <c r="M744" s="55">
        <f t="shared" si="285"/>
        <v>0</v>
      </c>
      <c r="N744" s="55">
        <f t="shared" si="286"/>
        <v>0</v>
      </c>
      <c r="O744" s="95"/>
      <c r="P744" s="160">
        <v>0</v>
      </c>
      <c r="Q744" s="55">
        <f t="shared" si="287"/>
        <v>0</v>
      </c>
      <c r="R744" s="65">
        <f t="shared" si="288"/>
        <v>0</v>
      </c>
      <c r="S744" s="118">
        <v>25</v>
      </c>
      <c r="T744" s="121" t="s">
        <v>217</v>
      </c>
      <c r="U744" s="73">
        <f>SUMIF('Avoided Costs 2013-2021'!$A:$A,'2013 Actuals'!T744&amp;'2013 Actuals'!S744,'Avoided Costs 2013-2021'!$E:$E)*J744</f>
        <v>20054.275825558227</v>
      </c>
      <c r="V744" s="73">
        <f>SUMIF('Avoided Costs 2013-2021'!$A:$A,'2013 Actuals'!T744&amp;'2013 Actuals'!S744,'Avoided Costs 2013-2021'!$K:$K)*N744</f>
        <v>0</v>
      </c>
      <c r="W744" s="73">
        <f>SUMIF('Avoided Costs 2013-2021'!$A:$A,'2013 Actuals'!T744&amp;'2013 Actuals'!S744,'Avoided Costs 2013-2021'!$M:$M)*R744</f>
        <v>0</v>
      </c>
      <c r="X744" s="73">
        <f t="shared" si="289"/>
        <v>20054.275825558227</v>
      </c>
      <c r="Y744" s="83">
        <v>21595</v>
      </c>
      <c r="Z744" s="74">
        <f t="shared" si="290"/>
        <v>17276</v>
      </c>
      <c r="AA744" s="74"/>
      <c r="AB744" s="74"/>
      <c r="AC744" s="74"/>
      <c r="AD744" s="74">
        <f t="shared" si="291"/>
        <v>17276</v>
      </c>
      <c r="AE744" s="74">
        <f t="shared" si="292"/>
        <v>2778.2758255582266</v>
      </c>
      <c r="AF744" s="52">
        <f t="shared" si="293"/>
        <v>170293.76000000001</v>
      </c>
      <c r="AG744" s="52">
        <f t="shared" si="294"/>
        <v>212867.20000000001</v>
      </c>
    </row>
    <row r="745" spans="1:33" s="21" customFormat="1" x14ac:dyDescent="0.2">
      <c r="A745" s="114" t="s">
        <v>659</v>
      </c>
      <c r="B745" s="114"/>
      <c r="C745" s="114"/>
      <c r="D745" s="160">
        <v>1</v>
      </c>
      <c r="E745" s="161"/>
      <c r="F745" s="162">
        <v>0.2</v>
      </c>
      <c r="G745" s="162"/>
      <c r="H745" s="52">
        <v>58992</v>
      </c>
      <c r="I745" s="52">
        <f t="shared" si="283"/>
        <v>52148.928</v>
      </c>
      <c r="J745" s="52">
        <f t="shared" si="284"/>
        <v>41719.142400000004</v>
      </c>
      <c r="K745" s="61"/>
      <c r="L745" s="160">
        <v>0</v>
      </c>
      <c r="M745" s="55">
        <f t="shared" si="285"/>
        <v>0</v>
      </c>
      <c r="N745" s="55">
        <f t="shared" si="286"/>
        <v>0</v>
      </c>
      <c r="O745" s="95"/>
      <c r="P745" s="160">
        <v>0</v>
      </c>
      <c r="Q745" s="55">
        <f t="shared" si="287"/>
        <v>0</v>
      </c>
      <c r="R745" s="65">
        <f t="shared" si="288"/>
        <v>0</v>
      </c>
      <c r="S745" s="118">
        <v>25</v>
      </c>
      <c r="T745" s="121" t="s">
        <v>201</v>
      </c>
      <c r="U745" s="73">
        <f>SUMIF('Avoided Costs 2013-2021'!$A:$A,'2013 Actuals'!T745&amp;'2013 Actuals'!S745,'Avoided Costs 2013-2021'!$E:$E)*J745</f>
        <v>130878.90082616301</v>
      </c>
      <c r="V745" s="73">
        <f>SUMIF('Avoided Costs 2013-2021'!$A:$A,'2013 Actuals'!T745&amp;'2013 Actuals'!S745,'Avoided Costs 2013-2021'!$K:$K)*N745</f>
        <v>0</v>
      </c>
      <c r="W745" s="73">
        <f>SUMIF('Avoided Costs 2013-2021'!$A:$A,'2013 Actuals'!T745&amp;'2013 Actuals'!S745,'Avoided Costs 2013-2021'!$M:$M)*R745</f>
        <v>0</v>
      </c>
      <c r="X745" s="73">
        <f t="shared" si="289"/>
        <v>130878.90082616301</v>
      </c>
      <c r="Y745" s="83">
        <v>73217</v>
      </c>
      <c r="Z745" s="74">
        <f t="shared" si="290"/>
        <v>58573.600000000006</v>
      </c>
      <c r="AA745" s="74"/>
      <c r="AB745" s="74"/>
      <c r="AC745" s="74"/>
      <c r="AD745" s="74">
        <f t="shared" si="291"/>
        <v>58573.600000000006</v>
      </c>
      <c r="AE745" s="74">
        <f t="shared" si="292"/>
        <v>72305.300826163002</v>
      </c>
      <c r="AF745" s="52">
        <f t="shared" si="293"/>
        <v>1042978.56</v>
      </c>
      <c r="AG745" s="52">
        <f t="shared" si="294"/>
        <v>1303723.2</v>
      </c>
    </row>
    <row r="746" spans="1:33" s="21" customFormat="1" x14ac:dyDescent="0.2">
      <c r="A746" s="114" t="s">
        <v>660</v>
      </c>
      <c r="B746" s="114"/>
      <c r="C746" s="114"/>
      <c r="D746" s="160">
        <v>0</v>
      </c>
      <c r="E746" s="161"/>
      <c r="F746" s="162">
        <v>0.2</v>
      </c>
      <c r="G746" s="162"/>
      <c r="H746" s="52">
        <v>1120</v>
      </c>
      <c r="I746" s="52">
        <f t="shared" si="283"/>
        <v>990.08</v>
      </c>
      <c r="J746" s="52">
        <f t="shared" si="284"/>
        <v>792.06400000000008</v>
      </c>
      <c r="K746" s="61"/>
      <c r="L746" s="160">
        <v>0</v>
      </c>
      <c r="M746" s="55">
        <f t="shared" si="285"/>
        <v>0</v>
      </c>
      <c r="N746" s="55">
        <f t="shared" si="286"/>
        <v>0</v>
      </c>
      <c r="O746" s="95"/>
      <c r="P746" s="160">
        <v>0</v>
      </c>
      <c r="Q746" s="55">
        <f t="shared" si="287"/>
        <v>0</v>
      </c>
      <c r="R746" s="65">
        <f t="shared" si="288"/>
        <v>0</v>
      </c>
      <c r="S746" s="118">
        <v>15</v>
      </c>
      <c r="T746" s="121" t="s">
        <v>201</v>
      </c>
      <c r="U746" s="73">
        <f>SUMIF('Avoided Costs 2013-2021'!$A:$A,'2013 Actuals'!T746&amp;'2013 Actuals'!S746,'Avoided Costs 2013-2021'!$E:$E)*J746</f>
        <v>1770.1541721541234</v>
      </c>
      <c r="V746" s="73">
        <f>SUMIF('Avoided Costs 2013-2021'!$A:$A,'2013 Actuals'!T746&amp;'2013 Actuals'!S746,'Avoided Costs 2013-2021'!$K:$K)*N746</f>
        <v>0</v>
      </c>
      <c r="W746" s="73">
        <f>SUMIF('Avoided Costs 2013-2021'!$A:$A,'2013 Actuals'!T746&amp;'2013 Actuals'!S746,'Avoided Costs 2013-2021'!$M:$M)*R746</f>
        <v>0</v>
      </c>
      <c r="X746" s="73">
        <f t="shared" si="289"/>
        <v>1770.1541721541234</v>
      </c>
      <c r="Y746" s="83">
        <v>2995</v>
      </c>
      <c r="Z746" s="74">
        <f t="shared" si="290"/>
        <v>2396</v>
      </c>
      <c r="AA746" s="74"/>
      <c r="AB746" s="74"/>
      <c r="AC746" s="74"/>
      <c r="AD746" s="74">
        <f t="shared" si="291"/>
        <v>2396</v>
      </c>
      <c r="AE746" s="74">
        <f t="shared" si="292"/>
        <v>-625.84582784587656</v>
      </c>
      <c r="AF746" s="52">
        <f t="shared" si="293"/>
        <v>11880.960000000001</v>
      </c>
      <c r="AG746" s="52">
        <f t="shared" si="294"/>
        <v>14851.2</v>
      </c>
    </row>
    <row r="747" spans="1:33" s="21" customFormat="1" x14ac:dyDescent="0.2">
      <c r="A747" s="114" t="s">
        <v>661</v>
      </c>
      <c r="B747" s="114"/>
      <c r="C747" s="114"/>
      <c r="D747" s="160">
        <v>1</v>
      </c>
      <c r="E747" s="161"/>
      <c r="F747" s="162">
        <v>0.2</v>
      </c>
      <c r="G747" s="162"/>
      <c r="H747" s="52">
        <v>12701</v>
      </c>
      <c r="I747" s="52">
        <f t="shared" si="283"/>
        <v>11227.683999999999</v>
      </c>
      <c r="J747" s="52">
        <f t="shared" si="284"/>
        <v>8982.1471999999994</v>
      </c>
      <c r="K747" s="61"/>
      <c r="L747" s="160">
        <v>45781</v>
      </c>
      <c r="M747" s="55">
        <f t="shared" si="285"/>
        <v>45781</v>
      </c>
      <c r="N747" s="55">
        <f t="shared" si="286"/>
        <v>36624.800000000003</v>
      </c>
      <c r="O747" s="95"/>
      <c r="P747" s="160">
        <v>0</v>
      </c>
      <c r="Q747" s="55">
        <f t="shared" si="287"/>
        <v>0</v>
      </c>
      <c r="R747" s="65">
        <f t="shared" si="288"/>
        <v>0</v>
      </c>
      <c r="S747" s="118">
        <v>15</v>
      </c>
      <c r="T747" s="121" t="s">
        <v>201</v>
      </c>
      <c r="U747" s="73">
        <f>SUMIF('Avoided Costs 2013-2021'!$A:$A,'2013 Actuals'!T747&amp;'2013 Actuals'!S747,'Avoided Costs 2013-2021'!$E:$E)*J747</f>
        <v>20073.864411187071</v>
      </c>
      <c r="V747" s="73">
        <f>SUMIF('Avoided Costs 2013-2021'!$A:$A,'2013 Actuals'!T747&amp;'2013 Actuals'!S747,'Avoided Costs 2013-2021'!$K:$K)*N747</f>
        <v>38342.271246639386</v>
      </c>
      <c r="W747" s="73">
        <f>SUMIF('Avoided Costs 2013-2021'!$A:$A,'2013 Actuals'!T747&amp;'2013 Actuals'!S747,'Avoided Costs 2013-2021'!$M:$M)*R747</f>
        <v>0</v>
      </c>
      <c r="X747" s="73">
        <f t="shared" si="289"/>
        <v>58416.135657826453</v>
      </c>
      <c r="Y747" s="83">
        <v>10995</v>
      </c>
      <c r="Z747" s="74">
        <f t="shared" si="290"/>
        <v>8796</v>
      </c>
      <c r="AA747" s="74"/>
      <c r="AB747" s="74"/>
      <c r="AC747" s="74"/>
      <c r="AD747" s="74">
        <f t="shared" si="291"/>
        <v>8796</v>
      </c>
      <c r="AE747" s="74">
        <f t="shared" si="292"/>
        <v>49620.135657826453</v>
      </c>
      <c r="AF747" s="52">
        <f t="shared" si="293"/>
        <v>134732.20799999998</v>
      </c>
      <c r="AG747" s="52">
        <f t="shared" si="294"/>
        <v>168415.25999999998</v>
      </c>
    </row>
    <row r="748" spans="1:33" s="21" customFormat="1" x14ac:dyDescent="0.2">
      <c r="A748" s="114" t="s">
        <v>662</v>
      </c>
      <c r="B748" s="114"/>
      <c r="C748" s="114"/>
      <c r="D748" s="160">
        <v>1</v>
      </c>
      <c r="E748" s="161"/>
      <c r="F748" s="162">
        <v>0.2</v>
      </c>
      <c r="G748" s="162"/>
      <c r="H748" s="52">
        <v>27325</v>
      </c>
      <c r="I748" s="52">
        <f>H748</f>
        <v>27325</v>
      </c>
      <c r="J748" s="52">
        <f t="shared" si="284"/>
        <v>21860</v>
      </c>
      <c r="K748" s="61"/>
      <c r="L748" s="160">
        <v>0</v>
      </c>
      <c r="M748" s="55">
        <f t="shared" si="285"/>
        <v>0</v>
      </c>
      <c r="N748" s="55">
        <f t="shared" si="286"/>
        <v>0</v>
      </c>
      <c r="O748" s="95"/>
      <c r="P748" s="160">
        <v>0</v>
      </c>
      <c r="Q748" s="55">
        <f t="shared" si="287"/>
        <v>0</v>
      </c>
      <c r="R748" s="65">
        <f t="shared" si="288"/>
        <v>0</v>
      </c>
      <c r="S748" s="118">
        <v>25</v>
      </c>
      <c r="T748" s="121" t="s">
        <v>201</v>
      </c>
      <c r="U748" s="73">
        <f>SUMIF('Avoided Costs 2013-2021'!$A:$A,'2013 Actuals'!T748&amp;'2013 Actuals'!S748,'Avoided Costs 2013-2021'!$E:$E)*J748</f>
        <v>68577.938267012956</v>
      </c>
      <c r="V748" s="73">
        <f>SUMIF('Avoided Costs 2013-2021'!$A:$A,'2013 Actuals'!T748&amp;'2013 Actuals'!S748,'Avoided Costs 2013-2021'!$K:$K)*N748</f>
        <v>0</v>
      </c>
      <c r="W748" s="73">
        <f>SUMIF('Avoided Costs 2013-2021'!$A:$A,'2013 Actuals'!T748&amp;'2013 Actuals'!S748,'Avoided Costs 2013-2021'!$M:$M)*R748</f>
        <v>0</v>
      </c>
      <c r="X748" s="73">
        <f t="shared" si="289"/>
        <v>68577.938267012956</v>
      </c>
      <c r="Y748" s="83">
        <v>7050</v>
      </c>
      <c r="Z748" s="74">
        <f t="shared" si="290"/>
        <v>5640</v>
      </c>
      <c r="AA748" s="74"/>
      <c r="AB748" s="74"/>
      <c r="AC748" s="74"/>
      <c r="AD748" s="74">
        <f t="shared" si="291"/>
        <v>5640</v>
      </c>
      <c r="AE748" s="74">
        <f t="shared" si="292"/>
        <v>62937.938267012956</v>
      </c>
      <c r="AF748" s="52">
        <f t="shared" si="293"/>
        <v>546500</v>
      </c>
      <c r="AG748" s="52">
        <f t="shared" si="294"/>
        <v>683125</v>
      </c>
    </row>
    <row r="749" spans="1:33" s="21" customFormat="1" x14ac:dyDescent="0.2">
      <c r="A749" s="114" t="s">
        <v>663</v>
      </c>
      <c r="B749" s="114"/>
      <c r="C749" s="114"/>
      <c r="D749" s="160">
        <v>1</v>
      </c>
      <c r="E749" s="161"/>
      <c r="F749" s="162">
        <v>0.2</v>
      </c>
      <c r="G749" s="162"/>
      <c r="H749" s="52">
        <v>26326</v>
      </c>
      <c r="I749" s="52">
        <f t="shared" si="283"/>
        <v>23272.184000000001</v>
      </c>
      <c r="J749" s="52">
        <f t="shared" si="284"/>
        <v>18617.747200000002</v>
      </c>
      <c r="K749" s="61"/>
      <c r="L749" s="160">
        <v>0</v>
      </c>
      <c r="M749" s="55">
        <f t="shared" si="285"/>
        <v>0</v>
      </c>
      <c r="N749" s="55">
        <f t="shared" si="286"/>
        <v>0</v>
      </c>
      <c r="O749" s="95"/>
      <c r="P749" s="160">
        <v>0</v>
      </c>
      <c r="Q749" s="55">
        <f t="shared" si="287"/>
        <v>0</v>
      </c>
      <c r="R749" s="65">
        <f t="shared" si="288"/>
        <v>0</v>
      </c>
      <c r="S749" s="118">
        <v>15</v>
      </c>
      <c r="T749" s="121" t="s">
        <v>201</v>
      </c>
      <c r="U749" s="73">
        <f>SUMIF('Avoided Costs 2013-2021'!$A:$A,'2013 Actuals'!T749&amp;'2013 Actuals'!S749,'Avoided Costs 2013-2021'!$E:$E)*J749</f>
        <v>41608.106014401295</v>
      </c>
      <c r="V749" s="73">
        <f>SUMIF('Avoided Costs 2013-2021'!$A:$A,'2013 Actuals'!T749&amp;'2013 Actuals'!S749,'Avoided Costs 2013-2021'!$K:$K)*N749</f>
        <v>0</v>
      </c>
      <c r="W749" s="73">
        <f>SUMIF('Avoided Costs 2013-2021'!$A:$A,'2013 Actuals'!T749&amp;'2013 Actuals'!S749,'Avoided Costs 2013-2021'!$M:$M)*R749</f>
        <v>0</v>
      </c>
      <c r="X749" s="73">
        <f t="shared" si="289"/>
        <v>41608.106014401295</v>
      </c>
      <c r="Y749" s="83">
        <v>22997</v>
      </c>
      <c r="Z749" s="74">
        <f t="shared" si="290"/>
        <v>18397.600000000002</v>
      </c>
      <c r="AA749" s="74"/>
      <c r="AB749" s="74"/>
      <c r="AC749" s="74"/>
      <c r="AD749" s="74">
        <f t="shared" si="291"/>
        <v>18397.600000000002</v>
      </c>
      <c r="AE749" s="74">
        <f t="shared" si="292"/>
        <v>23210.506014401293</v>
      </c>
      <c r="AF749" s="52">
        <f t="shared" si="293"/>
        <v>279266.20800000004</v>
      </c>
      <c r="AG749" s="52">
        <f t="shared" si="294"/>
        <v>349082.76</v>
      </c>
    </row>
    <row r="750" spans="1:33" s="21" customFormat="1" x14ac:dyDescent="0.2">
      <c r="A750" s="114" t="s">
        <v>664</v>
      </c>
      <c r="B750" s="114"/>
      <c r="C750" s="114"/>
      <c r="D750" s="160">
        <v>1</v>
      </c>
      <c r="E750" s="161"/>
      <c r="F750" s="162">
        <v>0.2</v>
      </c>
      <c r="G750" s="162"/>
      <c r="H750" s="52">
        <v>29010</v>
      </c>
      <c r="I750" s="52">
        <f t="shared" ref="I750:I813" si="295">+$H$39*H750</f>
        <v>25644.84</v>
      </c>
      <c r="J750" s="52">
        <f t="shared" ref="J750:J813" si="296">I750*(1-F750)</f>
        <v>20515.872000000003</v>
      </c>
      <c r="K750" s="61"/>
      <c r="L750" s="160">
        <v>0</v>
      </c>
      <c r="M750" s="55">
        <f t="shared" ref="M750:M813" si="297">+$L$39*L750</f>
        <v>0</v>
      </c>
      <c r="N750" s="55">
        <f t="shared" ref="N750:N813" si="298">M750*(1-F750)</f>
        <v>0</v>
      </c>
      <c r="O750" s="95"/>
      <c r="P750" s="160">
        <v>0</v>
      </c>
      <c r="Q750" s="55">
        <f t="shared" ref="Q750:Q813" si="299">+P750*$P$39</f>
        <v>0</v>
      </c>
      <c r="R750" s="65">
        <f t="shared" ref="R750:R813" si="300">Q750*(1-F750)</f>
        <v>0</v>
      </c>
      <c r="S750" s="118">
        <v>15</v>
      </c>
      <c r="T750" s="121" t="s">
        <v>201</v>
      </c>
      <c r="U750" s="73">
        <f>SUMIF('Avoided Costs 2013-2021'!$A:$A,'2013 Actuals'!T750&amp;'2013 Actuals'!S750,'Avoided Costs 2013-2021'!$E:$E)*J750</f>
        <v>45850.154048384931</v>
      </c>
      <c r="V750" s="73">
        <f>SUMIF('Avoided Costs 2013-2021'!$A:$A,'2013 Actuals'!T750&amp;'2013 Actuals'!S750,'Avoided Costs 2013-2021'!$K:$K)*N750</f>
        <v>0</v>
      </c>
      <c r="W750" s="73">
        <f>SUMIF('Avoided Costs 2013-2021'!$A:$A,'2013 Actuals'!T750&amp;'2013 Actuals'!S750,'Avoided Costs 2013-2021'!$M:$M)*R750</f>
        <v>0</v>
      </c>
      <c r="X750" s="73">
        <f t="shared" ref="X750:X813" si="301">SUM(U750:W750)</f>
        <v>45850.154048384931</v>
      </c>
      <c r="Y750" s="83">
        <v>25278</v>
      </c>
      <c r="Z750" s="74">
        <f t="shared" ref="Z750:Z813" si="302">Y750*(1-F750)</f>
        <v>20222.400000000001</v>
      </c>
      <c r="AA750" s="74"/>
      <c r="AB750" s="74"/>
      <c r="AC750" s="74"/>
      <c r="AD750" s="74">
        <f t="shared" ref="AD750:AD813" si="303">Z750+AB750</f>
        <v>20222.400000000001</v>
      </c>
      <c r="AE750" s="74">
        <f t="shared" ref="AE750:AE813" si="304">X750-AD750</f>
        <v>25627.75404838493</v>
      </c>
      <c r="AF750" s="52">
        <f t="shared" ref="AF750:AF813" si="305">J750*S750</f>
        <v>307738.08000000007</v>
      </c>
      <c r="AG750" s="52">
        <f t="shared" ref="AG750:AG813" si="306">(I750*S750)</f>
        <v>384672.6</v>
      </c>
    </row>
    <row r="751" spans="1:33" s="21" customFormat="1" x14ac:dyDescent="0.2">
      <c r="A751" s="114" t="s">
        <v>665</v>
      </c>
      <c r="B751" s="114"/>
      <c r="C751" s="114"/>
      <c r="D751" s="160">
        <v>1</v>
      </c>
      <c r="E751" s="161"/>
      <c r="F751" s="162">
        <v>0.2</v>
      </c>
      <c r="G751" s="162"/>
      <c r="H751" s="52">
        <v>5431</v>
      </c>
      <c r="I751" s="52">
        <f>H751</f>
        <v>5431</v>
      </c>
      <c r="J751" s="52">
        <f t="shared" si="296"/>
        <v>4344.8</v>
      </c>
      <c r="K751" s="61"/>
      <c r="L751" s="160">
        <v>0</v>
      </c>
      <c r="M751" s="55">
        <f t="shared" si="297"/>
        <v>0</v>
      </c>
      <c r="N751" s="55">
        <f t="shared" si="298"/>
        <v>0</v>
      </c>
      <c r="O751" s="95"/>
      <c r="P751" s="160">
        <v>0</v>
      </c>
      <c r="Q751" s="55">
        <f t="shared" si="299"/>
        <v>0</v>
      </c>
      <c r="R751" s="65">
        <f t="shared" si="300"/>
        <v>0</v>
      </c>
      <c r="S751" s="118">
        <v>25</v>
      </c>
      <c r="T751" s="121" t="s">
        <v>201</v>
      </c>
      <c r="U751" s="73">
        <f>SUMIF('Avoided Costs 2013-2021'!$A:$A,'2013 Actuals'!T751&amp;'2013 Actuals'!S751,'Avoided Costs 2013-2021'!$E:$E)*J751</f>
        <v>13630.257373399723</v>
      </c>
      <c r="V751" s="73">
        <f>SUMIF('Avoided Costs 2013-2021'!$A:$A,'2013 Actuals'!T751&amp;'2013 Actuals'!S751,'Avoided Costs 2013-2021'!$K:$K)*N751</f>
        <v>0</v>
      </c>
      <c r="W751" s="73">
        <f>SUMIF('Avoided Costs 2013-2021'!$A:$A,'2013 Actuals'!T751&amp;'2013 Actuals'!S751,'Avoided Costs 2013-2021'!$M:$M)*R751</f>
        <v>0</v>
      </c>
      <c r="X751" s="73">
        <f t="shared" si="301"/>
        <v>13630.257373399723</v>
      </c>
      <c r="Y751" s="83">
        <v>10300</v>
      </c>
      <c r="Z751" s="74">
        <f t="shared" si="302"/>
        <v>8240</v>
      </c>
      <c r="AA751" s="74"/>
      <c r="AB751" s="74"/>
      <c r="AC751" s="74"/>
      <c r="AD751" s="74">
        <f t="shared" si="303"/>
        <v>8240</v>
      </c>
      <c r="AE751" s="74">
        <f t="shared" si="304"/>
        <v>5390.2573733997233</v>
      </c>
      <c r="AF751" s="52">
        <f t="shared" si="305"/>
        <v>108620</v>
      </c>
      <c r="AG751" s="52">
        <f t="shared" si="306"/>
        <v>135775</v>
      </c>
    </row>
    <row r="752" spans="1:33" s="21" customFormat="1" x14ac:dyDescent="0.2">
      <c r="A752" s="114" t="s">
        <v>666</v>
      </c>
      <c r="B752" s="114"/>
      <c r="C752" s="114"/>
      <c r="D752" s="160">
        <v>1</v>
      </c>
      <c r="E752" s="161"/>
      <c r="F752" s="162">
        <v>0.2</v>
      </c>
      <c r="G752" s="162"/>
      <c r="H752" s="52">
        <v>11240</v>
      </c>
      <c r="I752" s="52">
        <f t="shared" si="295"/>
        <v>9936.16</v>
      </c>
      <c r="J752" s="52">
        <f t="shared" si="296"/>
        <v>7948.9279999999999</v>
      </c>
      <c r="K752" s="61"/>
      <c r="L752" s="160">
        <v>0</v>
      </c>
      <c r="M752" s="55">
        <f t="shared" si="297"/>
        <v>0</v>
      </c>
      <c r="N752" s="55">
        <f t="shared" si="298"/>
        <v>0</v>
      </c>
      <c r="O752" s="95"/>
      <c r="P752" s="160">
        <v>0</v>
      </c>
      <c r="Q752" s="55">
        <f t="shared" si="299"/>
        <v>0</v>
      </c>
      <c r="R752" s="65">
        <f t="shared" si="300"/>
        <v>0</v>
      </c>
      <c r="S752" s="118">
        <v>25</v>
      </c>
      <c r="T752" s="121" t="s">
        <v>201</v>
      </c>
      <c r="U752" s="73">
        <f>SUMIF('Avoided Costs 2013-2021'!$A:$A,'2013 Actuals'!T752&amp;'2013 Actuals'!S752,'Avoided Costs 2013-2021'!$E:$E)*J752</f>
        <v>24936.92102803892</v>
      </c>
      <c r="V752" s="73">
        <f>SUMIF('Avoided Costs 2013-2021'!$A:$A,'2013 Actuals'!T752&amp;'2013 Actuals'!S752,'Avoided Costs 2013-2021'!$K:$K)*N752</f>
        <v>0</v>
      </c>
      <c r="W752" s="73">
        <f>SUMIF('Avoided Costs 2013-2021'!$A:$A,'2013 Actuals'!T752&amp;'2013 Actuals'!S752,'Avoided Costs 2013-2021'!$M:$M)*R752</f>
        <v>0</v>
      </c>
      <c r="X752" s="73">
        <f t="shared" si="301"/>
        <v>24936.92102803892</v>
      </c>
      <c r="Y752" s="83">
        <v>1574</v>
      </c>
      <c r="Z752" s="74">
        <f t="shared" si="302"/>
        <v>1259.2</v>
      </c>
      <c r="AA752" s="74"/>
      <c r="AB752" s="74"/>
      <c r="AC752" s="74"/>
      <c r="AD752" s="74">
        <f t="shared" si="303"/>
        <v>1259.2</v>
      </c>
      <c r="AE752" s="74">
        <f t="shared" si="304"/>
        <v>23677.721028038919</v>
      </c>
      <c r="AF752" s="52">
        <f t="shared" si="305"/>
        <v>198723.20000000001</v>
      </c>
      <c r="AG752" s="52">
        <f t="shared" si="306"/>
        <v>248404</v>
      </c>
    </row>
    <row r="753" spans="1:33" s="21" customFormat="1" x14ac:dyDescent="0.2">
      <c r="A753" s="114" t="s">
        <v>667</v>
      </c>
      <c r="B753" s="114"/>
      <c r="C753" s="114"/>
      <c r="D753" s="160">
        <v>1</v>
      </c>
      <c r="E753" s="161"/>
      <c r="F753" s="162">
        <v>0.2</v>
      </c>
      <c r="G753" s="162"/>
      <c r="H753" s="52">
        <v>39406</v>
      </c>
      <c r="I753" s="52">
        <f t="shared" si="295"/>
        <v>34834.904000000002</v>
      </c>
      <c r="J753" s="52">
        <f t="shared" si="296"/>
        <v>27867.923200000005</v>
      </c>
      <c r="K753" s="61"/>
      <c r="L753" s="160">
        <v>0</v>
      </c>
      <c r="M753" s="55">
        <f t="shared" si="297"/>
        <v>0</v>
      </c>
      <c r="N753" s="55">
        <f t="shared" si="298"/>
        <v>0</v>
      </c>
      <c r="O753" s="95"/>
      <c r="P753" s="160">
        <v>0</v>
      </c>
      <c r="Q753" s="55">
        <f t="shared" si="299"/>
        <v>0</v>
      </c>
      <c r="R753" s="65">
        <f t="shared" si="300"/>
        <v>0</v>
      </c>
      <c r="S753" s="118">
        <v>15</v>
      </c>
      <c r="T753" s="121" t="s">
        <v>201</v>
      </c>
      <c r="U753" s="73">
        <f>SUMIF('Avoided Costs 2013-2021'!$A:$A,'2013 Actuals'!T753&amp;'2013 Actuals'!S753,'Avoided Costs 2013-2021'!$E:$E)*J753</f>
        <v>62280.977953486959</v>
      </c>
      <c r="V753" s="73">
        <f>SUMIF('Avoided Costs 2013-2021'!$A:$A,'2013 Actuals'!T753&amp;'2013 Actuals'!S753,'Avoided Costs 2013-2021'!$K:$K)*N753</f>
        <v>0</v>
      </c>
      <c r="W753" s="73">
        <f>SUMIF('Avoided Costs 2013-2021'!$A:$A,'2013 Actuals'!T753&amp;'2013 Actuals'!S753,'Avoided Costs 2013-2021'!$M:$M)*R753</f>
        <v>0</v>
      </c>
      <c r="X753" s="73">
        <f t="shared" si="301"/>
        <v>62280.977953486959</v>
      </c>
      <c r="Y753" s="83">
        <v>37858.699999999997</v>
      </c>
      <c r="Z753" s="74">
        <f t="shared" si="302"/>
        <v>30286.959999999999</v>
      </c>
      <c r="AA753" s="74"/>
      <c r="AB753" s="74"/>
      <c r="AC753" s="74"/>
      <c r="AD753" s="74">
        <f t="shared" si="303"/>
        <v>30286.959999999999</v>
      </c>
      <c r="AE753" s="74">
        <f t="shared" si="304"/>
        <v>31994.01795348696</v>
      </c>
      <c r="AF753" s="52">
        <f t="shared" si="305"/>
        <v>418018.84800000006</v>
      </c>
      <c r="AG753" s="52">
        <f t="shared" si="306"/>
        <v>522523.56000000006</v>
      </c>
    </row>
    <row r="754" spans="1:33" s="21" customFormat="1" x14ac:dyDescent="0.2">
      <c r="A754" s="114" t="s">
        <v>668</v>
      </c>
      <c r="B754" s="114"/>
      <c r="C754" s="114"/>
      <c r="D754" s="160">
        <v>0</v>
      </c>
      <c r="E754" s="161"/>
      <c r="F754" s="162">
        <v>0.2</v>
      </c>
      <c r="G754" s="162"/>
      <c r="H754" s="52">
        <v>8729</v>
      </c>
      <c r="I754" s="52">
        <f t="shared" si="295"/>
        <v>7716.4359999999997</v>
      </c>
      <c r="J754" s="52">
        <f t="shared" si="296"/>
        <v>6173.1487999999999</v>
      </c>
      <c r="K754" s="61"/>
      <c r="L754" s="160">
        <v>0</v>
      </c>
      <c r="M754" s="55">
        <f t="shared" si="297"/>
        <v>0</v>
      </c>
      <c r="N754" s="55">
        <f t="shared" si="298"/>
        <v>0</v>
      </c>
      <c r="O754" s="95"/>
      <c r="P754" s="160">
        <v>0</v>
      </c>
      <c r="Q754" s="55">
        <f t="shared" si="299"/>
        <v>0</v>
      </c>
      <c r="R754" s="65">
        <f t="shared" si="300"/>
        <v>0</v>
      </c>
      <c r="S754" s="118">
        <v>25</v>
      </c>
      <c r="T754" s="121" t="s">
        <v>217</v>
      </c>
      <c r="U754" s="73">
        <f>SUMIF('Avoided Costs 2013-2021'!$A:$A,'2013 Actuals'!T754&amp;'2013 Actuals'!S754,'Avoided Costs 2013-2021'!$E:$E)*J754</f>
        <v>18174.187466912139</v>
      </c>
      <c r="V754" s="73">
        <f>SUMIF('Avoided Costs 2013-2021'!$A:$A,'2013 Actuals'!T754&amp;'2013 Actuals'!S754,'Avoided Costs 2013-2021'!$K:$K)*N754</f>
        <v>0</v>
      </c>
      <c r="W754" s="73">
        <f>SUMIF('Avoided Costs 2013-2021'!$A:$A,'2013 Actuals'!T754&amp;'2013 Actuals'!S754,'Avoided Costs 2013-2021'!$M:$M)*R754</f>
        <v>0</v>
      </c>
      <c r="X754" s="73">
        <f t="shared" si="301"/>
        <v>18174.187466912139</v>
      </c>
      <c r="Y754" s="83">
        <v>3151</v>
      </c>
      <c r="Z754" s="74">
        <f t="shared" si="302"/>
        <v>2520.8000000000002</v>
      </c>
      <c r="AA754" s="74"/>
      <c r="AB754" s="74"/>
      <c r="AC754" s="74"/>
      <c r="AD754" s="74">
        <f t="shared" si="303"/>
        <v>2520.8000000000002</v>
      </c>
      <c r="AE754" s="74">
        <f t="shared" si="304"/>
        <v>15653.38746691214</v>
      </c>
      <c r="AF754" s="52">
        <f t="shared" si="305"/>
        <v>154328.72</v>
      </c>
      <c r="AG754" s="52">
        <f t="shared" si="306"/>
        <v>192910.9</v>
      </c>
    </row>
    <row r="755" spans="1:33" s="21" customFormat="1" x14ac:dyDescent="0.2">
      <c r="A755" s="114" t="s">
        <v>669</v>
      </c>
      <c r="B755" s="114"/>
      <c r="C755" s="114"/>
      <c r="D755" s="160">
        <v>1</v>
      </c>
      <c r="E755" s="161"/>
      <c r="F755" s="162">
        <v>0.2</v>
      </c>
      <c r="G755" s="162"/>
      <c r="H755" s="52">
        <v>40118</v>
      </c>
      <c r="I755" s="52">
        <f t="shared" si="295"/>
        <v>35464.311999999998</v>
      </c>
      <c r="J755" s="52">
        <f t="shared" si="296"/>
        <v>28371.4496</v>
      </c>
      <c r="K755" s="61"/>
      <c r="L755" s="160">
        <v>0</v>
      </c>
      <c r="M755" s="55">
        <f t="shared" si="297"/>
        <v>0</v>
      </c>
      <c r="N755" s="55">
        <f t="shared" si="298"/>
        <v>0</v>
      </c>
      <c r="O755" s="95"/>
      <c r="P755" s="160">
        <v>0</v>
      </c>
      <c r="Q755" s="55">
        <f t="shared" si="299"/>
        <v>0</v>
      </c>
      <c r="R755" s="65">
        <f t="shared" si="300"/>
        <v>0</v>
      </c>
      <c r="S755" s="118">
        <v>25</v>
      </c>
      <c r="T755" s="121" t="s">
        <v>201</v>
      </c>
      <c r="U755" s="73">
        <f>SUMIF('Avoided Costs 2013-2021'!$A:$A,'2013 Actuals'!T755&amp;'2013 Actuals'!S755,'Avoided Costs 2013-2021'!$E:$E)*J755</f>
        <v>89005.284502034294</v>
      </c>
      <c r="V755" s="73">
        <f>SUMIF('Avoided Costs 2013-2021'!$A:$A,'2013 Actuals'!T755&amp;'2013 Actuals'!S755,'Avoided Costs 2013-2021'!$K:$K)*N755</f>
        <v>0</v>
      </c>
      <c r="W755" s="73">
        <f>SUMIF('Avoided Costs 2013-2021'!$A:$A,'2013 Actuals'!T755&amp;'2013 Actuals'!S755,'Avoided Costs 2013-2021'!$M:$M)*R755</f>
        <v>0</v>
      </c>
      <c r="X755" s="73">
        <f t="shared" si="301"/>
        <v>89005.284502034294</v>
      </c>
      <c r="Y755" s="83">
        <v>4120</v>
      </c>
      <c r="Z755" s="74">
        <f t="shared" si="302"/>
        <v>3296</v>
      </c>
      <c r="AA755" s="74"/>
      <c r="AB755" s="74"/>
      <c r="AC755" s="74"/>
      <c r="AD755" s="74">
        <f t="shared" si="303"/>
        <v>3296</v>
      </c>
      <c r="AE755" s="74">
        <f t="shared" si="304"/>
        <v>85709.284502034294</v>
      </c>
      <c r="AF755" s="52">
        <f t="shared" si="305"/>
        <v>709286.24</v>
      </c>
      <c r="AG755" s="52">
        <f t="shared" si="306"/>
        <v>886607.79999999993</v>
      </c>
    </row>
    <row r="756" spans="1:33" s="21" customFormat="1" x14ac:dyDescent="0.2">
      <c r="A756" s="114" t="s">
        <v>670</v>
      </c>
      <c r="B756" s="114"/>
      <c r="C756" s="114"/>
      <c r="D756" s="160">
        <v>1</v>
      </c>
      <c r="E756" s="161"/>
      <c r="F756" s="162">
        <v>0.2</v>
      </c>
      <c r="G756" s="162"/>
      <c r="H756" s="52">
        <v>14760</v>
      </c>
      <c r="I756" s="52">
        <f t="shared" si="295"/>
        <v>13047.84</v>
      </c>
      <c r="J756" s="52">
        <f t="shared" si="296"/>
        <v>10438.272000000001</v>
      </c>
      <c r="K756" s="61"/>
      <c r="L756" s="160">
        <v>0</v>
      </c>
      <c r="M756" s="55">
        <f t="shared" si="297"/>
        <v>0</v>
      </c>
      <c r="N756" s="55">
        <f t="shared" si="298"/>
        <v>0</v>
      </c>
      <c r="O756" s="95"/>
      <c r="P756" s="160">
        <v>0</v>
      </c>
      <c r="Q756" s="55">
        <f t="shared" si="299"/>
        <v>0</v>
      </c>
      <c r="R756" s="65">
        <f t="shared" si="300"/>
        <v>0</v>
      </c>
      <c r="S756" s="118">
        <v>25</v>
      </c>
      <c r="T756" s="121" t="s">
        <v>201</v>
      </c>
      <c r="U756" s="73">
        <f>SUMIF('Avoided Costs 2013-2021'!$A:$A,'2013 Actuals'!T756&amp;'2013 Actuals'!S756,'Avoided Costs 2013-2021'!$E:$E)*J756</f>
        <v>32746.348253901648</v>
      </c>
      <c r="V756" s="73">
        <f>SUMIF('Avoided Costs 2013-2021'!$A:$A,'2013 Actuals'!T756&amp;'2013 Actuals'!S756,'Avoided Costs 2013-2021'!$K:$K)*N756</f>
        <v>0</v>
      </c>
      <c r="W756" s="73">
        <f>SUMIF('Avoided Costs 2013-2021'!$A:$A,'2013 Actuals'!T756&amp;'2013 Actuals'!S756,'Avoided Costs 2013-2021'!$M:$M)*R756</f>
        <v>0</v>
      </c>
      <c r="X756" s="73">
        <f t="shared" si="301"/>
        <v>32746.348253901648</v>
      </c>
      <c r="Y756" s="83">
        <v>17308</v>
      </c>
      <c r="Z756" s="74">
        <f t="shared" si="302"/>
        <v>13846.400000000001</v>
      </c>
      <c r="AA756" s="74"/>
      <c r="AB756" s="74"/>
      <c r="AC756" s="74"/>
      <c r="AD756" s="74">
        <f t="shared" si="303"/>
        <v>13846.400000000001</v>
      </c>
      <c r="AE756" s="74">
        <f t="shared" si="304"/>
        <v>18899.948253901646</v>
      </c>
      <c r="AF756" s="52">
        <f t="shared" si="305"/>
        <v>260956.80000000002</v>
      </c>
      <c r="AG756" s="52">
        <f t="shared" si="306"/>
        <v>326196</v>
      </c>
    </row>
    <row r="757" spans="1:33" s="21" customFormat="1" x14ac:dyDescent="0.2">
      <c r="A757" s="116" t="s">
        <v>671</v>
      </c>
      <c r="B757" s="116"/>
      <c r="C757" s="116"/>
      <c r="D757" s="151">
        <v>1</v>
      </c>
      <c r="E757" s="152"/>
      <c r="F757" s="153">
        <v>0.2</v>
      </c>
      <c r="G757" s="153"/>
      <c r="H757" s="52">
        <v>62306</v>
      </c>
      <c r="I757" s="52">
        <f t="shared" si="295"/>
        <v>55078.504000000001</v>
      </c>
      <c r="J757" s="52">
        <f t="shared" si="296"/>
        <v>44062.803200000002</v>
      </c>
      <c r="K757" s="152"/>
      <c r="L757" s="151">
        <v>0</v>
      </c>
      <c r="M757" s="55">
        <f t="shared" si="297"/>
        <v>0</v>
      </c>
      <c r="N757" s="55">
        <f t="shared" si="298"/>
        <v>0</v>
      </c>
      <c r="O757" s="154"/>
      <c r="P757" s="151">
        <v>0</v>
      </c>
      <c r="Q757" s="55">
        <f t="shared" si="299"/>
        <v>0</v>
      </c>
      <c r="R757" s="65">
        <f t="shared" si="300"/>
        <v>0</v>
      </c>
      <c r="S757" s="129">
        <v>25</v>
      </c>
      <c r="T757" s="123" t="s">
        <v>201</v>
      </c>
      <c r="U757" s="73">
        <f>SUMIF('Avoided Costs 2013-2021'!$A:$A,'2013 Actuals'!T757&amp;'2013 Actuals'!S757,'Avoided Costs 2013-2021'!$E:$E)*J757</f>
        <v>138231.29907233035</v>
      </c>
      <c r="V757" s="73">
        <f>SUMIF('Avoided Costs 2013-2021'!$A:$A,'2013 Actuals'!T757&amp;'2013 Actuals'!S757,'Avoided Costs 2013-2021'!$K:$K)*N757</f>
        <v>0</v>
      </c>
      <c r="W757" s="73">
        <f>SUMIF('Avoided Costs 2013-2021'!$A:$A,'2013 Actuals'!T757&amp;'2013 Actuals'!S757,'Avoided Costs 2013-2021'!$M:$M)*R757</f>
        <v>0</v>
      </c>
      <c r="X757" s="73">
        <f t="shared" si="301"/>
        <v>138231.29907233035</v>
      </c>
      <c r="Y757" s="83">
        <v>66785</v>
      </c>
      <c r="Z757" s="74">
        <f t="shared" si="302"/>
        <v>53428</v>
      </c>
      <c r="AA757" s="74"/>
      <c r="AB757" s="74"/>
      <c r="AC757" s="74"/>
      <c r="AD757" s="74">
        <f t="shared" si="303"/>
        <v>53428</v>
      </c>
      <c r="AE757" s="74">
        <f t="shared" si="304"/>
        <v>84803.299072330352</v>
      </c>
      <c r="AF757" s="52">
        <f t="shared" si="305"/>
        <v>1101570.08</v>
      </c>
      <c r="AG757" s="52">
        <f t="shared" si="306"/>
        <v>1376962.6</v>
      </c>
    </row>
    <row r="758" spans="1:33" s="21" customFormat="1" x14ac:dyDescent="0.2">
      <c r="A758" s="116" t="s">
        <v>672</v>
      </c>
      <c r="B758" s="116"/>
      <c r="C758" s="116"/>
      <c r="D758" s="151">
        <v>1</v>
      </c>
      <c r="E758" s="152"/>
      <c r="F758" s="153">
        <v>0.2</v>
      </c>
      <c r="G758" s="153"/>
      <c r="H758" s="52">
        <v>21903</v>
      </c>
      <c r="I758" s="52">
        <f t="shared" si="295"/>
        <v>19362.252</v>
      </c>
      <c r="J758" s="52">
        <f t="shared" si="296"/>
        <v>15489.801600000001</v>
      </c>
      <c r="K758" s="152"/>
      <c r="L758" s="151">
        <v>0</v>
      </c>
      <c r="M758" s="55">
        <f t="shared" si="297"/>
        <v>0</v>
      </c>
      <c r="N758" s="55">
        <f t="shared" si="298"/>
        <v>0</v>
      </c>
      <c r="O758" s="154"/>
      <c r="P758" s="151">
        <v>0</v>
      </c>
      <c r="Q758" s="55">
        <f t="shared" si="299"/>
        <v>0</v>
      </c>
      <c r="R758" s="65">
        <f t="shared" si="300"/>
        <v>0</v>
      </c>
      <c r="S758" s="129">
        <v>25</v>
      </c>
      <c r="T758" s="123" t="s">
        <v>217</v>
      </c>
      <c r="U758" s="73">
        <f>SUMIF('Avoided Costs 2013-2021'!$A:$A,'2013 Actuals'!T758&amp;'2013 Actuals'!S758,'Avoided Costs 2013-2021'!$E:$E)*J758</f>
        <v>45603.073443438727</v>
      </c>
      <c r="V758" s="73">
        <f>SUMIF('Avoided Costs 2013-2021'!$A:$A,'2013 Actuals'!T758&amp;'2013 Actuals'!S758,'Avoided Costs 2013-2021'!$K:$K)*N758</f>
        <v>0</v>
      </c>
      <c r="W758" s="73">
        <f>SUMIF('Avoided Costs 2013-2021'!$A:$A,'2013 Actuals'!T758&amp;'2013 Actuals'!S758,'Avoided Costs 2013-2021'!$M:$M)*R758</f>
        <v>0</v>
      </c>
      <c r="X758" s="73">
        <f t="shared" si="301"/>
        <v>45603.073443438727</v>
      </c>
      <c r="Y758" s="83">
        <v>2637</v>
      </c>
      <c r="Z758" s="74">
        <f t="shared" si="302"/>
        <v>2109.6</v>
      </c>
      <c r="AA758" s="74"/>
      <c r="AB758" s="74"/>
      <c r="AC758" s="74"/>
      <c r="AD758" s="74">
        <f t="shared" si="303"/>
        <v>2109.6</v>
      </c>
      <c r="AE758" s="74">
        <f t="shared" si="304"/>
        <v>43493.473443438728</v>
      </c>
      <c r="AF758" s="52">
        <f t="shared" si="305"/>
        <v>387245.04000000004</v>
      </c>
      <c r="AG758" s="52">
        <f t="shared" si="306"/>
        <v>484056.3</v>
      </c>
    </row>
    <row r="759" spans="1:33" s="21" customFormat="1" x14ac:dyDescent="0.2">
      <c r="A759" s="116" t="s">
        <v>673</v>
      </c>
      <c r="B759" s="116"/>
      <c r="C759" s="116"/>
      <c r="D759" s="151">
        <v>1</v>
      </c>
      <c r="E759" s="152"/>
      <c r="F759" s="153">
        <v>0.2</v>
      </c>
      <c r="G759" s="153"/>
      <c r="H759" s="52">
        <v>67379</v>
      </c>
      <c r="I759" s="52">
        <f t="shared" si="295"/>
        <v>59563.036</v>
      </c>
      <c r="J759" s="52">
        <f t="shared" si="296"/>
        <v>47650.428800000002</v>
      </c>
      <c r="K759" s="152"/>
      <c r="L759" s="151">
        <v>0</v>
      </c>
      <c r="M759" s="55">
        <f t="shared" si="297"/>
        <v>0</v>
      </c>
      <c r="N759" s="55">
        <f t="shared" si="298"/>
        <v>0</v>
      </c>
      <c r="O759" s="154"/>
      <c r="P759" s="151">
        <v>0</v>
      </c>
      <c r="Q759" s="55">
        <f t="shared" si="299"/>
        <v>0</v>
      </c>
      <c r="R759" s="65">
        <f t="shared" si="300"/>
        <v>0</v>
      </c>
      <c r="S759" s="129">
        <v>25</v>
      </c>
      <c r="T759" s="123" t="s">
        <v>201</v>
      </c>
      <c r="U759" s="73">
        <f>SUMIF('Avoided Costs 2013-2021'!$A:$A,'2013 Actuals'!T759&amp;'2013 Actuals'!S759,'Avoided Costs 2013-2021'!$E:$E)*J759</f>
        <v>149486.19234414899</v>
      </c>
      <c r="V759" s="73">
        <f>SUMIF('Avoided Costs 2013-2021'!$A:$A,'2013 Actuals'!T759&amp;'2013 Actuals'!S759,'Avoided Costs 2013-2021'!$K:$K)*N759</f>
        <v>0</v>
      </c>
      <c r="W759" s="73">
        <f>SUMIF('Avoided Costs 2013-2021'!$A:$A,'2013 Actuals'!T759&amp;'2013 Actuals'!S759,'Avoided Costs 2013-2021'!$M:$M)*R759</f>
        <v>0</v>
      </c>
      <c r="X759" s="73">
        <f t="shared" si="301"/>
        <v>149486.19234414899</v>
      </c>
      <c r="Y759" s="83">
        <v>13993</v>
      </c>
      <c r="Z759" s="74">
        <f t="shared" si="302"/>
        <v>11194.400000000001</v>
      </c>
      <c r="AA759" s="74"/>
      <c r="AB759" s="74"/>
      <c r="AC759" s="74"/>
      <c r="AD759" s="74">
        <f t="shared" si="303"/>
        <v>11194.400000000001</v>
      </c>
      <c r="AE759" s="74">
        <f t="shared" si="304"/>
        <v>138291.792344149</v>
      </c>
      <c r="AF759" s="52">
        <f t="shared" si="305"/>
        <v>1191260.72</v>
      </c>
      <c r="AG759" s="52">
        <f t="shared" si="306"/>
        <v>1489075.9</v>
      </c>
    </row>
    <row r="760" spans="1:33" s="21" customFormat="1" x14ac:dyDescent="0.2">
      <c r="A760" s="114" t="s">
        <v>674</v>
      </c>
      <c r="B760" s="114"/>
      <c r="C760" s="114"/>
      <c r="D760" s="160">
        <v>1</v>
      </c>
      <c r="E760" s="161"/>
      <c r="F760" s="162">
        <v>0.2</v>
      </c>
      <c r="G760" s="162"/>
      <c r="H760" s="52">
        <v>104386</v>
      </c>
      <c r="I760" s="52">
        <f t="shared" si="295"/>
        <v>92277.224000000002</v>
      </c>
      <c r="J760" s="52">
        <f t="shared" si="296"/>
        <v>73821.779200000004</v>
      </c>
      <c r="K760" s="61"/>
      <c r="L760" s="160">
        <v>0</v>
      </c>
      <c r="M760" s="55">
        <f t="shared" si="297"/>
        <v>0</v>
      </c>
      <c r="N760" s="55">
        <f t="shared" si="298"/>
        <v>0</v>
      </c>
      <c r="O760" s="95"/>
      <c r="P760" s="160">
        <v>0</v>
      </c>
      <c r="Q760" s="55">
        <f t="shared" si="299"/>
        <v>0</v>
      </c>
      <c r="R760" s="65">
        <f t="shared" si="300"/>
        <v>0</v>
      </c>
      <c r="S760" s="118">
        <v>25</v>
      </c>
      <c r="T760" s="121" t="s">
        <v>201</v>
      </c>
      <c r="U760" s="73">
        <f>SUMIF('Avoided Costs 2013-2021'!$A:$A,'2013 Actuals'!T760&amp;'2013 Actuals'!S760,'Avoided Costs 2013-2021'!$E:$E)*J760</f>
        <v>231589.45181787107</v>
      </c>
      <c r="V760" s="73">
        <f>SUMIF('Avoided Costs 2013-2021'!$A:$A,'2013 Actuals'!T760&amp;'2013 Actuals'!S760,'Avoided Costs 2013-2021'!$K:$K)*N760</f>
        <v>0</v>
      </c>
      <c r="W760" s="73">
        <f>SUMIF('Avoided Costs 2013-2021'!$A:$A,'2013 Actuals'!T760&amp;'2013 Actuals'!S760,'Avoided Costs 2013-2021'!$M:$M)*R760</f>
        <v>0</v>
      </c>
      <c r="X760" s="73">
        <f t="shared" si="301"/>
        <v>231589.45181787107</v>
      </c>
      <c r="Y760" s="83">
        <v>5436</v>
      </c>
      <c r="Z760" s="74">
        <f t="shared" si="302"/>
        <v>4348.8</v>
      </c>
      <c r="AA760" s="74"/>
      <c r="AB760" s="74"/>
      <c r="AC760" s="74"/>
      <c r="AD760" s="74">
        <f t="shared" si="303"/>
        <v>4348.8</v>
      </c>
      <c r="AE760" s="74">
        <f t="shared" si="304"/>
        <v>227240.65181787108</v>
      </c>
      <c r="AF760" s="52">
        <f t="shared" si="305"/>
        <v>1845544.4800000002</v>
      </c>
      <c r="AG760" s="52">
        <f t="shared" si="306"/>
        <v>2306930.6</v>
      </c>
    </row>
    <row r="761" spans="1:33" s="21" customFormat="1" x14ac:dyDescent="0.2">
      <c r="A761" s="114" t="s">
        <v>675</v>
      </c>
      <c r="B761" s="114"/>
      <c r="C761" s="114"/>
      <c r="D761" s="160">
        <v>0</v>
      </c>
      <c r="E761" s="161"/>
      <c r="F761" s="162">
        <v>0.2</v>
      </c>
      <c r="G761" s="162"/>
      <c r="H761" s="52">
        <v>9935</v>
      </c>
      <c r="I761" s="52">
        <f t="shared" si="295"/>
        <v>8782.5400000000009</v>
      </c>
      <c r="J761" s="52">
        <f t="shared" si="296"/>
        <v>7026.0320000000011</v>
      </c>
      <c r="K761" s="61"/>
      <c r="L761" s="160">
        <v>10129</v>
      </c>
      <c r="M761" s="55">
        <f t="shared" si="297"/>
        <v>10129</v>
      </c>
      <c r="N761" s="55">
        <f t="shared" si="298"/>
        <v>8103.2000000000007</v>
      </c>
      <c r="O761" s="95"/>
      <c r="P761" s="160">
        <v>0</v>
      </c>
      <c r="Q761" s="55">
        <f t="shared" si="299"/>
        <v>0</v>
      </c>
      <c r="R761" s="65">
        <f t="shared" si="300"/>
        <v>0</v>
      </c>
      <c r="S761" s="118">
        <v>15</v>
      </c>
      <c r="T761" s="121" t="s">
        <v>201</v>
      </c>
      <c r="U761" s="73">
        <f>SUMIF('Avoided Costs 2013-2021'!$A:$A,'2013 Actuals'!T761&amp;'2013 Actuals'!S761,'Avoided Costs 2013-2021'!$E:$E)*J761</f>
        <v>15702.215803885016</v>
      </c>
      <c r="V761" s="73">
        <f>SUMIF('Avoided Costs 2013-2021'!$A:$A,'2013 Actuals'!T761&amp;'2013 Actuals'!S761,'Avoided Costs 2013-2021'!$K:$K)*N761</f>
        <v>8483.188778253214</v>
      </c>
      <c r="W761" s="73">
        <f>SUMIF('Avoided Costs 2013-2021'!$A:$A,'2013 Actuals'!T761&amp;'2013 Actuals'!S761,'Avoided Costs 2013-2021'!$M:$M)*R761</f>
        <v>0</v>
      </c>
      <c r="X761" s="73">
        <f t="shared" si="301"/>
        <v>24185.404582138231</v>
      </c>
      <c r="Y761" s="83">
        <v>10000</v>
      </c>
      <c r="Z761" s="74">
        <f t="shared" si="302"/>
        <v>8000</v>
      </c>
      <c r="AA761" s="74"/>
      <c r="AB761" s="74"/>
      <c r="AC761" s="74"/>
      <c r="AD761" s="74">
        <f t="shared" si="303"/>
        <v>8000</v>
      </c>
      <c r="AE761" s="74">
        <f t="shared" si="304"/>
        <v>16185.404582138231</v>
      </c>
      <c r="AF761" s="52">
        <f t="shared" si="305"/>
        <v>105390.48000000001</v>
      </c>
      <c r="AG761" s="52">
        <f t="shared" si="306"/>
        <v>131738.1</v>
      </c>
    </row>
    <row r="762" spans="1:33" s="21" customFormat="1" x14ac:dyDescent="0.2">
      <c r="A762" s="114" t="s">
        <v>676</v>
      </c>
      <c r="B762" s="114"/>
      <c r="C762" s="114"/>
      <c r="D762" s="160">
        <v>0</v>
      </c>
      <c r="E762" s="161"/>
      <c r="F762" s="162">
        <v>0.2</v>
      </c>
      <c r="G762" s="162"/>
      <c r="H762" s="52">
        <v>6410</v>
      </c>
      <c r="I762" s="52">
        <f t="shared" si="295"/>
        <v>5666.44</v>
      </c>
      <c r="J762" s="52">
        <f t="shared" si="296"/>
        <v>4533.152</v>
      </c>
      <c r="K762" s="61"/>
      <c r="L762" s="160">
        <v>0</v>
      </c>
      <c r="M762" s="55">
        <f t="shared" si="297"/>
        <v>0</v>
      </c>
      <c r="N762" s="55">
        <f t="shared" si="298"/>
        <v>0</v>
      </c>
      <c r="O762" s="95"/>
      <c r="P762" s="160">
        <v>0</v>
      </c>
      <c r="Q762" s="55">
        <f t="shared" si="299"/>
        <v>0</v>
      </c>
      <c r="R762" s="65">
        <f t="shared" si="300"/>
        <v>0</v>
      </c>
      <c r="S762" s="118">
        <v>25</v>
      </c>
      <c r="T762" s="121" t="s">
        <v>217</v>
      </c>
      <c r="U762" s="73">
        <f>SUMIF('Avoided Costs 2013-2021'!$A:$A,'2013 Actuals'!T762&amp;'2013 Actuals'!S762,'Avoided Costs 2013-2021'!$E:$E)*J762</f>
        <v>13345.920685405754</v>
      </c>
      <c r="V762" s="73">
        <f>SUMIF('Avoided Costs 2013-2021'!$A:$A,'2013 Actuals'!T762&amp;'2013 Actuals'!S762,'Avoided Costs 2013-2021'!$K:$K)*N762</f>
        <v>0</v>
      </c>
      <c r="W762" s="73">
        <f>SUMIF('Avoided Costs 2013-2021'!$A:$A,'2013 Actuals'!T762&amp;'2013 Actuals'!S762,'Avoided Costs 2013-2021'!$M:$M)*R762</f>
        <v>0</v>
      </c>
      <c r="X762" s="73">
        <f t="shared" si="301"/>
        <v>13345.920685405754</v>
      </c>
      <c r="Y762" s="83">
        <v>11538</v>
      </c>
      <c r="Z762" s="74">
        <f t="shared" si="302"/>
        <v>9230.4</v>
      </c>
      <c r="AA762" s="74"/>
      <c r="AB762" s="74"/>
      <c r="AC762" s="74"/>
      <c r="AD762" s="74">
        <f t="shared" si="303"/>
        <v>9230.4</v>
      </c>
      <c r="AE762" s="74">
        <f t="shared" si="304"/>
        <v>4115.5206854057542</v>
      </c>
      <c r="AF762" s="52">
        <f t="shared" si="305"/>
        <v>113328.8</v>
      </c>
      <c r="AG762" s="52">
        <f t="shared" si="306"/>
        <v>141661</v>
      </c>
    </row>
    <row r="763" spans="1:33" s="21" customFormat="1" x14ac:dyDescent="0.2">
      <c r="A763" s="114" t="s">
        <v>677</v>
      </c>
      <c r="B763" s="114"/>
      <c r="C763" s="114"/>
      <c r="D763" s="160">
        <v>1</v>
      </c>
      <c r="E763" s="161"/>
      <c r="F763" s="162">
        <v>0.2</v>
      </c>
      <c r="G763" s="162"/>
      <c r="H763" s="52">
        <v>29472</v>
      </c>
      <c r="I763" s="52">
        <f t="shared" si="295"/>
        <v>26053.248</v>
      </c>
      <c r="J763" s="52">
        <f t="shared" si="296"/>
        <v>20842.598400000003</v>
      </c>
      <c r="K763" s="61"/>
      <c r="L763" s="160">
        <v>0</v>
      </c>
      <c r="M763" s="55">
        <f t="shared" si="297"/>
        <v>0</v>
      </c>
      <c r="N763" s="55">
        <f t="shared" si="298"/>
        <v>0</v>
      </c>
      <c r="O763" s="95"/>
      <c r="P763" s="160">
        <v>0</v>
      </c>
      <c r="Q763" s="55">
        <f t="shared" si="299"/>
        <v>0</v>
      </c>
      <c r="R763" s="65">
        <f t="shared" si="300"/>
        <v>0</v>
      </c>
      <c r="S763" s="118">
        <v>25</v>
      </c>
      <c r="T763" s="121" t="s">
        <v>201</v>
      </c>
      <c r="U763" s="73">
        <f>SUMIF('Avoided Costs 2013-2021'!$A:$A,'2013 Actuals'!T763&amp;'2013 Actuals'!S763,'Avoided Costs 2013-2021'!$E:$E)*J763</f>
        <v>65386.204318359712</v>
      </c>
      <c r="V763" s="73">
        <f>SUMIF('Avoided Costs 2013-2021'!$A:$A,'2013 Actuals'!T763&amp;'2013 Actuals'!S763,'Avoided Costs 2013-2021'!$K:$K)*N763</f>
        <v>0</v>
      </c>
      <c r="W763" s="73">
        <f>SUMIF('Avoided Costs 2013-2021'!$A:$A,'2013 Actuals'!T763&amp;'2013 Actuals'!S763,'Avoided Costs 2013-2021'!$M:$M)*R763</f>
        <v>0</v>
      </c>
      <c r="X763" s="73">
        <f t="shared" si="301"/>
        <v>65386.204318359712</v>
      </c>
      <c r="Y763" s="83">
        <v>23075</v>
      </c>
      <c r="Z763" s="74">
        <f t="shared" si="302"/>
        <v>18460</v>
      </c>
      <c r="AA763" s="74"/>
      <c r="AB763" s="74"/>
      <c r="AC763" s="74"/>
      <c r="AD763" s="74">
        <f t="shared" si="303"/>
        <v>18460</v>
      </c>
      <c r="AE763" s="74">
        <f t="shared" si="304"/>
        <v>46926.204318359712</v>
      </c>
      <c r="AF763" s="52">
        <f t="shared" si="305"/>
        <v>521064.96000000008</v>
      </c>
      <c r="AG763" s="52">
        <f t="shared" si="306"/>
        <v>651331.19999999995</v>
      </c>
    </row>
    <row r="764" spans="1:33" s="21" customFormat="1" x14ac:dyDescent="0.2">
      <c r="A764" s="114" t="s">
        <v>678</v>
      </c>
      <c r="B764" s="114"/>
      <c r="C764" s="114"/>
      <c r="D764" s="160">
        <v>1</v>
      </c>
      <c r="E764" s="161"/>
      <c r="F764" s="162">
        <v>0.2</v>
      </c>
      <c r="G764" s="162"/>
      <c r="H764" s="52">
        <v>22680</v>
      </c>
      <c r="I764" s="52">
        <f t="shared" si="295"/>
        <v>20049.12</v>
      </c>
      <c r="J764" s="52">
        <f t="shared" si="296"/>
        <v>16039.296</v>
      </c>
      <c r="K764" s="61"/>
      <c r="L764" s="160">
        <v>0</v>
      </c>
      <c r="M764" s="55">
        <f t="shared" si="297"/>
        <v>0</v>
      </c>
      <c r="N764" s="55">
        <f t="shared" si="298"/>
        <v>0</v>
      </c>
      <c r="O764" s="95"/>
      <c r="P764" s="160">
        <v>0</v>
      </c>
      <c r="Q764" s="55">
        <f t="shared" si="299"/>
        <v>0</v>
      </c>
      <c r="R764" s="65">
        <f t="shared" si="300"/>
        <v>0</v>
      </c>
      <c r="S764" s="118">
        <v>25</v>
      </c>
      <c r="T764" s="121" t="s">
        <v>217</v>
      </c>
      <c r="U764" s="73">
        <f>SUMIF('Avoided Costs 2013-2021'!$A:$A,'2013 Actuals'!T764&amp;'2013 Actuals'!S764,'Avoided Costs 2013-2021'!$E:$E)*J764</f>
        <v>47220.823891576052</v>
      </c>
      <c r="V764" s="73">
        <f>SUMIF('Avoided Costs 2013-2021'!$A:$A,'2013 Actuals'!T764&amp;'2013 Actuals'!S764,'Avoided Costs 2013-2021'!$K:$K)*N764</f>
        <v>0</v>
      </c>
      <c r="W764" s="73">
        <f>SUMIF('Avoided Costs 2013-2021'!$A:$A,'2013 Actuals'!T764&amp;'2013 Actuals'!S764,'Avoided Costs 2013-2021'!$M:$M)*R764</f>
        <v>0</v>
      </c>
      <c r="X764" s="73">
        <f t="shared" si="301"/>
        <v>47220.823891576052</v>
      </c>
      <c r="Y764" s="83">
        <v>3499</v>
      </c>
      <c r="Z764" s="74">
        <f t="shared" si="302"/>
        <v>2799.2000000000003</v>
      </c>
      <c r="AA764" s="74"/>
      <c r="AB764" s="74"/>
      <c r="AC764" s="74"/>
      <c r="AD764" s="74">
        <f t="shared" si="303"/>
        <v>2799.2000000000003</v>
      </c>
      <c r="AE764" s="74">
        <f t="shared" si="304"/>
        <v>44421.623891576055</v>
      </c>
      <c r="AF764" s="52">
        <f t="shared" si="305"/>
        <v>400982.4</v>
      </c>
      <c r="AG764" s="52">
        <f t="shared" si="306"/>
        <v>501228</v>
      </c>
    </row>
    <row r="765" spans="1:33" s="21" customFormat="1" x14ac:dyDescent="0.2">
      <c r="A765" s="114" t="s">
        <v>679</v>
      </c>
      <c r="B765" s="114"/>
      <c r="C765" s="114"/>
      <c r="D765" s="160">
        <v>1</v>
      </c>
      <c r="E765" s="161"/>
      <c r="F765" s="162">
        <v>0.2</v>
      </c>
      <c r="G765" s="162"/>
      <c r="H765" s="52">
        <v>69385</v>
      </c>
      <c r="I765" s="52">
        <f t="shared" si="295"/>
        <v>61336.340000000004</v>
      </c>
      <c r="J765" s="52">
        <f t="shared" si="296"/>
        <v>49069.072000000007</v>
      </c>
      <c r="K765" s="61"/>
      <c r="L765" s="160">
        <v>74522</v>
      </c>
      <c r="M765" s="55">
        <f t="shared" si="297"/>
        <v>74522</v>
      </c>
      <c r="N765" s="55">
        <f t="shared" si="298"/>
        <v>59617.600000000006</v>
      </c>
      <c r="O765" s="95"/>
      <c r="P765" s="160">
        <v>0</v>
      </c>
      <c r="Q765" s="55">
        <f t="shared" si="299"/>
        <v>0</v>
      </c>
      <c r="R765" s="65">
        <f t="shared" si="300"/>
        <v>0</v>
      </c>
      <c r="S765" s="118">
        <v>15</v>
      </c>
      <c r="T765" s="121" t="s">
        <v>201</v>
      </c>
      <c r="U765" s="73">
        <f>SUMIF('Avoided Costs 2013-2021'!$A:$A,'2013 Actuals'!T765&amp;'2013 Actuals'!S765,'Avoided Costs 2013-2021'!$E:$E)*J765</f>
        <v>109662.63145974452</v>
      </c>
      <c r="V765" s="73">
        <f>SUMIF('Avoided Costs 2013-2021'!$A:$A,'2013 Actuals'!T765&amp;'2013 Actuals'!S765,'Avoided Costs 2013-2021'!$K:$K)*N765</f>
        <v>62413.287998122811</v>
      </c>
      <c r="W765" s="73">
        <f>SUMIF('Avoided Costs 2013-2021'!$A:$A,'2013 Actuals'!T765&amp;'2013 Actuals'!S765,'Avoided Costs 2013-2021'!$M:$M)*R765</f>
        <v>0</v>
      </c>
      <c r="X765" s="73">
        <f t="shared" si="301"/>
        <v>172075.91945786733</v>
      </c>
      <c r="Y765" s="83">
        <v>7383</v>
      </c>
      <c r="Z765" s="74">
        <f t="shared" si="302"/>
        <v>5906.4000000000005</v>
      </c>
      <c r="AA765" s="74"/>
      <c r="AB765" s="74"/>
      <c r="AC765" s="74"/>
      <c r="AD765" s="74">
        <f t="shared" si="303"/>
        <v>5906.4000000000005</v>
      </c>
      <c r="AE765" s="74">
        <f t="shared" si="304"/>
        <v>166169.51945786734</v>
      </c>
      <c r="AF765" s="52">
        <f t="shared" si="305"/>
        <v>736036.08000000007</v>
      </c>
      <c r="AG765" s="52">
        <f t="shared" si="306"/>
        <v>920045.10000000009</v>
      </c>
    </row>
    <row r="766" spans="1:33" s="21" customFormat="1" x14ac:dyDescent="0.2">
      <c r="A766" s="114" t="s">
        <v>680</v>
      </c>
      <c r="B766" s="114"/>
      <c r="C766" s="114"/>
      <c r="D766" s="160">
        <v>1</v>
      </c>
      <c r="E766" s="161"/>
      <c r="F766" s="162">
        <v>0.2</v>
      </c>
      <c r="G766" s="162"/>
      <c r="H766" s="52">
        <v>92029</v>
      </c>
      <c r="I766" s="52">
        <f t="shared" si="295"/>
        <v>81353.635999999999</v>
      </c>
      <c r="J766" s="52">
        <f t="shared" si="296"/>
        <v>65082.908800000005</v>
      </c>
      <c r="K766" s="61"/>
      <c r="L766" s="160">
        <v>101017</v>
      </c>
      <c r="M766" s="55">
        <f t="shared" si="297"/>
        <v>101017</v>
      </c>
      <c r="N766" s="55">
        <f t="shared" si="298"/>
        <v>80813.600000000006</v>
      </c>
      <c r="O766" s="95"/>
      <c r="P766" s="160">
        <v>0</v>
      </c>
      <c r="Q766" s="55">
        <f t="shared" si="299"/>
        <v>0</v>
      </c>
      <c r="R766" s="65">
        <f t="shared" si="300"/>
        <v>0</v>
      </c>
      <c r="S766" s="118">
        <v>15</v>
      </c>
      <c r="T766" s="121" t="s">
        <v>201</v>
      </c>
      <c r="U766" s="73">
        <f>SUMIF('Avoided Costs 2013-2021'!$A:$A,'2013 Actuals'!T766&amp;'2013 Actuals'!S766,'Avoided Costs 2013-2021'!$E:$E)*J766</f>
        <v>145451.35563318912</v>
      </c>
      <c r="V766" s="73">
        <f>SUMIF('Avoided Costs 2013-2021'!$A:$A,'2013 Actuals'!T766&amp;'2013 Actuals'!S766,'Avoided Costs 2013-2021'!$K:$K)*N766</f>
        <v>84603.246205232979</v>
      </c>
      <c r="W766" s="73">
        <f>SUMIF('Avoided Costs 2013-2021'!$A:$A,'2013 Actuals'!T766&amp;'2013 Actuals'!S766,'Avoided Costs 2013-2021'!$M:$M)*R766</f>
        <v>0</v>
      </c>
      <c r="X766" s="73">
        <f t="shared" si="301"/>
        <v>230054.6018384221</v>
      </c>
      <c r="Y766" s="83">
        <v>21271</v>
      </c>
      <c r="Z766" s="74">
        <f t="shared" si="302"/>
        <v>17016.8</v>
      </c>
      <c r="AA766" s="74"/>
      <c r="AB766" s="74"/>
      <c r="AC766" s="74"/>
      <c r="AD766" s="74">
        <f t="shared" si="303"/>
        <v>17016.8</v>
      </c>
      <c r="AE766" s="74">
        <f t="shared" si="304"/>
        <v>213037.80183842211</v>
      </c>
      <c r="AF766" s="52">
        <f t="shared" si="305"/>
        <v>976243.6320000001</v>
      </c>
      <c r="AG766" s="52">
        <f t="shared" si="306"/>
        <v>1220304.54</v>
      </c>
    </row>
    <row r="767" spans="1:33" s="21" customFormat="1" x14ac:dyDescent="0.2">
      <c r="A767" s="114" t="s">
        <v>681</v>
      </c>
      <c r="B767" s="114"/>
      <c r="C767" s="114"/>
      <c r="D767" s="160">
        <v>1</v>
      </c>
      <c r="E767" s="161"/>
      <c r="F767" s="162">
        <v>0.2</v>
      </c>
      <c r="G767" s="162"/>
      <c r="H767" s="52">
        <v>5598</v>
      </c>
      <c r="I767" s="52">
        <f t="shared" si="295"/>
        <v>4948.6319999999996</v>
      </c>
      <c r="J767" s="52">
        <f t="shared" si="296"/>
        <v>3958.9056</v>
      </c>
      <c r="K767" s="61"/>
      <c r="L767" s="160">
        <v>0</v>
      </c>
      <c r="M767" s="55">
        <f t="shared" si="297"/>
        <v>0</v>
      </c>
      <c r="N767" s="55">
        <f t="shared" si="298"/>
        <v>0</v>
      </c>
      <c r="O767" s="95"/>
      <c r="P767" s="160">
        <v>0</v>
      </c>
      <c r="Q767" s="55">
        <f t="shared" si="299"/>
        <v>0</v>
      </c>
      <c r="R767" s="65">
        <f t="shared" si="300"/>
        <v>0</v>
      </c>
      <c r="S767" s="118">
        <v>25</v>
      </c>
      <c r="T767" s="121" t="s">
        <v>217</v>
      </c>
      <c r="U767" s="73">
        <f>SUMIF('Avoided Costs 2013-2021'!$A:$A,'2013 Actuals'!T767&amp;'2013 Actuals'!S767,'Avoided Costs 2013-2021'!$E:$E)*J767</f>
        <v>11655.298595460437</v>
      </c>
      <c r="V767" s="73">
        <f>SUMIF('Avoided Costs 2013-2021'!$A:$A,'2013 Actuals'!T767&amp;'2013 Actuals'!S767,'Avoided Costs 2013-2021'!$K:$K)*N767</f>
        <v>0</v>
      </c>
      <c r="W767" s="73">
        <f>SUMIF('Avoided Costs 2013-2021'!$A:$A,'2013 Actuals'!T767&amp;'2013 Actuals'!S767,'Avoided Costs 2013-2021'!$M:$M)*R767</f>
        <v>0</v>
      </c>
      <c r="X767" s="73">
        <f t="shared" si="301"/>
        <v>11655.298595460437</v>
      </c>
      <c r="Y767" s="83">
        <v>22328</v>
      </c>
      <c r="Z767" s="74">
        <f t="shared" si="302"/>
        <v>17862.400000000001</v>
      </c>
      <c r="AA767" s="74"/>
      <c r="AB767" s="74"/>
      <c r="AC767" s="74"/>
      <c r="AD767" s="74">
        <f t="shared" si="303"/>
        <v>17862.400000000001</v>
      </c>
      <c r="AE767" s="74">
        <f t="shared" si="304"/>
        <v>-6207.1014045395641</v>
      </c>
      <c r="AF767" s="52">
        <f t="shared" si="305"/>
        <v>98972.64</v>
      </c>
      <c r="AG767" s="52">
        <f t="shared" si="306"/>
        <v>123715.79999999999</v>
      </c>
    </row>
    <row r="768" spans="1:33" s="21" customFormat="1" x14ac:dyDescent="0.2">
      <c r="A768" s="114" t="s">
        <v>682</v>
      </c>
      <c r="B768" s="114"/>
      <c r="C768" s="114"/>
      <c r="D768" s="160">
        <v>0</v>
      </c>
      <c r="E768" s="161"/>
      <c r="F768" s="162">
        <v>0.2</v>
      </c>
      <c r="G768" s="162"/>
      <c r="H768" s="52">
        <v>42207</v>
      </c>
      <c r="I768" s="52">
        <f t="shared" si="295"/>
        <v>37310.987999999998</v>
      </c>
      <c r="J768" s="52">
        <f t="shared" si="296"/>
        <v>29848.790399999998</v>
      </c>
      <c r="K768" s="61"/>
      <c r="L768" s="160">
        <v>47178</v>
      </c>
      <c r="M768" s="55">
        <f t="shared" si="297"/>
        <v>47178</v>
      </c>
      <c r="N768" s="55">
        <f t="shared" si="298"/>
        <v>37742.400000000001</v>
      </c>
      <c r="O768" s="95"/>
      <c r="P768" s="160">
        <v>0</v>
      </c>
      <c r="Q768" s="55">
        <f t="shared" si="299"/>
        <v>0</v>
      </c>
      <c r="R768" s="65">
        <f t="shared" si="300"/>
        <v>0</v>
      </c>
      <c r="S768" s="118">
        <v>15</v>
      </c>
      <c r="T768" s="121" t="s">
        <v>201</v>
      </c>
      <c r="U768" s="73">
        <f>SUMIF('Avoided Costs 2013-2021'!$A:$A,'2013 Actuals'!T768&amp;'2013 Actuals'!S768,'Avoided Costs 2013-2021'!$E:$E)*J768</f>
        <v>66707.943878668812</v>
      </c>
      <c r="V768" s="73">
        <f>SUMIF('Avoided Costs 2013-2021'!$A:$A,'2013 Actuals'!T768&amp;'2013 Actuals'!S768,'Avoided Costs 2013-2021'!$K:$K)*N768</f>
        <v>39512.27961106033</v>
      </c>
      <c r="W768" s="73">
        <f>SUMIF('Avoided Costs 2013-2021'!$A:$A,'2013 Actuals'!T768&amp;'2013 Actuals'!S768,'Avoided Costs 2013-2021'!$M:$M)*R768</f>
        <v>0</v>
      </c>
      <c r="X768" s="73">
        <f t="shared" si="301"/>
        <v>106220.22348972913</v>
      </c>
      <c r="Y768" s="83">
        <v>31237.5</v>
      </c>
      <c r="Z768" s="74">
        <f t="shared" si="302"/>
        <v>24990</v>
      </c>
      <c r="AA768" s="74"/>
      <c r="AB768" s="74"/>
      <c r="AC768" s="74"/>
      <c r="AD768" s="74">
        <f t="shared" si="303"/>
        <v>24990</v>
      </c>
      <c r="AE768" s="74">
        <f t="shared" si="304"/>
        <v>81230.223489729135</v>
      </c>
      <c r="AF768" s="52">
        <f t="shared" si="305"/>
        <v>447731.85599999997</v>
      </c>
      <c r="AG768" s="52">
        <f t="shared" si="306"/>
        <v>559664.81999999995</v>
      </c>
    </row>
    <row r="769" spans="1:33" s="21" customFormat="1" x14ac:dyDescent="0.2">
      <c r="A769" s="114" t="s">
        <v>683</v>
      </c>
      <c r="B769" s="114"/>
      <c r="C769" s="114"/>
      <c r="D769" s="160">
        <v>1</v>
      </c>
      <c r="E769" s="161"/>
      <c r="F769" s="162">
        <v>0.2</v>
      </c>
      <c r="G769" s="162"/>
      <c r="H769" s="52">
        <v>15594</v>
      </c>
      <c r="I769" s="52">
        <f t="shared" si="295"/>
        <v>13785.096</v>
      </c>
      <c r="J769" s="52">
        <f t="shared" si="296"/>
        <v>11028.076800000001</v>
      </c>
      <c r="K769" s="61"/>
      <c r="L769" s="160">
        <v>0</v>
      </c>
      <c r="M769" s="55">
        <f t="shared" si="297"/>
        <v>0</v>
      </c>
      <c r="N769" s="55">
        <f t="shared" si="298"/>
        <v>0</v>
      </c>
      <c r="O769" s="95"/>
      <c r="P769" s="160">
        <v>0</v>
      </c>
      <c r="Q769" s="55">
        <f t="shared" si="299"/>
        <v>0</v>
      </c>
      <c r="R769" s="65">
        <f t="shared" si="300"/>
        <v>0</v>
      </c>
      <c r="S769" s="118">
        <v>25</v>
      </c>
      <c r="T769" s="121" t="s">
        <v>201</v>
      </c>
      <c r="U769" s="73">
        <f>SUMIF('Avoided Costs 2013-2021'!$A:$A,'2013 Actuals'!T769&amp;'2013 Actuals'!S769,'Avoided Costs 2013-2021'!$E:$E)*J769</f>
        <v>34596.65004548389</v>
      </c>
      <c r="V769" s="73">
        <f>SUMIF('Avoided Costs 2013-2021'!$A:$A,'2013 Actuals'!T769&amp;'2013 Actuals'!S769,'Avoided Costs 2013-2021'!$K:$K)*N769</f>
        <v>0</v>
      </c>
      <c r="W769" s="73">
        <f>SUMIF('Avoided Costs 2013-2021'!$A:$A,'2013 Actuals'!T769&amp;'2013 Actuals'!S769,'Avoided Costs 2013-2021'!$M:$M)*R769</f>
        <v>0</v>
      </c>
      <c r="X769" s="73">
        <f t="shared" si="301"/>
        <v>34596.65004548389</v>
      </c>
      <c r="Y769" s="83">
        <v>24000</v>
      </c>
      <c r="Z769" s="74">
        <f t="shared" si="302"/>
        <v>19200</v>
      </c>
      <c r="AA769" s="74"/>
      <c r="AB769" s="74"/>
      <c r="AC769" s="74"/>
      <c r="AD769" s="74">
        <f t="shared" si="303"/>
        <v>19200</v>
      </c>
      <c r="AE769" s="74">
        <f t="shared" si="304"/>
        <v>15396.65004548389</v>
      </c>
      <c r="AF769" s="52">
        <f t="shared" si="305"/>
        <v>275701.92000000004</v>
      </c>
      <c r="AG769" s="52">
        <f t="shared" si="306"/>
        <v>344627.39999999997</v>
      </c>
    </row>
    <row r="770" spans="1:33" s="21" customFormat="1" x14ac:dyDescent="0.2">
      <c r="A770" s="114" t="s">
        <v>684</v>
      </c>
      <c r="B770" s="114"/>
      <c r="C770" s="114"/>
      <c r="D770" s="160">
        <v>1</v>
      </c>
      <c r="E770" s="161"/>
      <c r="F770" s="162">
        <v>0.2</v>
      </c>
      <c r="G770" s="162"/>
      <c r="H770" s="52">
        <v>42686</v>
      </c>
      <c r="I770" s="52">
        <f t="shared" si="295"/>
        <v>37734.423999999999</v>
      </c>
      <c r="J770" s="52">
        <f t="shared" si="296"/>
        <v>30187.539199999999</v>
      </c>
      <c r="K770" s="61"/>
      <c r="L770" s="160">
        <v>26916</v>
      </c>
      <c r="M770" s="55">
        <f t="shared" si="297"/>
        <v>26916</v>
      </c>
      <c r="N770" s="55">
        <f t="shared" si="298"/>
        <v>21532.800000000003</v>
      </c>
      <c r="O770" s="95"/>
      <c r="P770" s="160">
        <v>0</v>
      </c>
      <c r="Q770" s="55">
        <f t="shared" si="299"/>
        <v>0</v>
      </c>
      <c r="R770" s="65">
        <f t="shared" si="300"/>
        <v>0</v>
      </c>
      <c r="S770" s="118">
        <v>15</v>
      </c>
      <c r="T770" s="121" t="s">
        <v>201</v>
      </c>
      <c r="U770" s="73">
        <f>SUMIF('Avoided Costs 2013-2021'!$A:$A,'2013 Actuals'!T770&amp;'2013 Actuals'!S770,'Avoided Costs 2013-2021'!$E:$E)*J770</f>
        <v>67465.000886224021</v>
      </c>
      <c r="V770" s="73">
        <f>SUMIF('Avoided Costs 2013-2021'!$A:$A,'2013 Actuals'!T770&amp;'2013 Actuals'!S770,'Avoided Costs 2013-2021'!$K:$K)*N770</f>
        <v>22542.551994813261</v>
      </c>
      <c r="W770" s="73">
        <f>SUMIF('Avoided Costs 2013-2021'!$A:$A,'2013 Actuals'!T770&amp;'2013 Actuals'!S770,'Avoided Costs 2013-2021'!$M:$M)*R770</f>
        <v>0</v>
      </c>
      <c r="X770" s="73">
        <f t="shared" si="301"/>
        <v>90007.552881037278</v>
      </c>
      <c r="Y770" s="83">
        <v>23260</v>
      </c>
      <c r="Z770" s="74">
        <f t="shared" si="302"/>
        <v>18608</v>
      </c>
      <c r="AA770" s="74"/>
      <c r="AB770" s="74"/>
      <c r="AC770" s="74"/>
      <c r="AD770" s="74">
        <f t="shared" si="303"/>
        <v>18608</v>
      </c>
      <c r="AE770" s="74">
        <f t="shared" si="304"/>
        <v>71399.552881037278</v>
      </c>
      <c r="AF770" s="52">
        <f t="shared" si="305"/>
        <v>452813.08799999999</v>
      </c>
      <c r="AG770" s="52">
        <f t="shared" si="306"/>
        <v>566016.36</v>
      </c>
    </row>
    <row r="771" spans="1:33" s="21" customFormat="1" x14ac:dyDescent="0.2">
      <c r="A771" s="114" t="s">
        <v>685</v>
      </c>
      <c r="B771" s="114"/>
      <c r="C771" s="114"/>
      <c r="D771" s="160">
        <v>1</v>
      </c>
      <c r="E771" s="161"/>
      <c r="F771" s="162">
        <v>0.2</v>
      </c>
      <c r="G771" s="162"/>
      <c r="H771" s="52">
        <v>11491</v>
      </c>
      <c r="I771" s="52">
        <f t="shared" si="295"/>
        <v>10158.044</v>
      </c>
      <c r="J771" s="52">
        <f t="shared" si="296"/>
        <v>8126.4351999999999</v>
      </c>
      <c r="K771" s="61"/>
      <c r="L771" s="160">
        <v>0</v>
      </c>
      <c r="M771" s="55">
        <f t="shared" si="297"/>
        <v>0</v>
      </c>
      <c r="N771" s="55">
        <f t="shared" si="298"/>
        <v>0</v>
      </c>
      <c r="O771" s="95"/>
      <c r="P771" s="160">
        <v>0</v>
      </c>
      <c r="Q771" s="55">
        <f t="shared" si="299"/>
        <v>0</v>
      </c>
      <c r="R771" s="65">
        <f t="shared" si="300"/>
        <v>0</v>
      </c>
      <c r="S771" s="118">
        <v>25</v>
      </c>
      <c r="T771" s="121" t="s">
        <v>217</v>
      </c>
      <c r="U771" s="73">
        <f>SUMIF('Avoided Costs 2013-2021'!$A:$A,'2013 Actuals'!T771&amp;'2013 Actuals'!S771,'Avoided Costs 2013-2021'!$E:$E)*J771</f>
        <v>23924.801029016773</v>
      </c>
      <c r="V771" s="73">
        <f>SUMIF('Avoided Costs 2013-2021'!$A:$A,'2013 Actuals'!T771&amp;'2013 Actuals'!S771,'Avoided Costs 2013-2021'!$K:$K)*N771</f>
        <v>0</v>
      </c>
      <c r="W771" s="73">
        <f>SUMIF('Avoided Costs 2013-2021'!$A:$A,'2013 Actuals'!T771&amp;'2013 Actuals'!S771,'Avoided Costs 2013-2021'!$M:$M)*R771</f>
        <v>0</v>
      </c>
      <c r="X771" s="73">
        <f t="shared" si="301"/>
        <v>23924.801029016773</v>
      </c>
      <c r="Y771" s="83">
        <v>11432</v>
      </c>
      <c r="Z771" s="74">
        <f t="shared" si="302"/>
        <v>9145.6</v>
      </c>
      <c r="AA771" s="74"/>
      <c r="AB771" s="74"/>
      <c r="AC771" s="74"/>
      <c r="AD771" s="74">
        <f t="shared" si="303"/>
        <v>9145.6</v>
      </c>
      <c r="AE771" s="74">
        <f t="shared" si="304"/>
        <v>14779.201029016773</v>
      </c>
      <c r="AF771" s="52">
        <f t="shared" si="305"/>
        <v>203160.88</v>
      </c>
      <c r="AG771" s="52">
        <f t="shared" si="306"/>
        <v>253951.1</v>
      </c>
    </row>
    <row r="772" spans="1:33" s="21" customFormat="1" x14ac:dyDescent="0.2">
      <c r="A772" s="114" t="s">
        <v>686</v>
      </c>
      <c r="B772" s="114"/>
      <c r="C772" s="114"/>
      <c r="D772" s="160">
        <v>0</v>
      </c>
      <c r="E772" s="161"/>
      <c r="F772" s="162">
        <v>0.2</v>
      </c>
      <c r="G772" s="162"/>
      <c r="H772" s="52">
        <v>3619</v>
      </c>
      <c r="I772" s="52">
        <f t="shared" si="295"/>
        <v>3199.1959999999999</v>
      </c>
      <c r="J772" s="52">
        <f t="shared" si="296"/>
        <v>2559.3568</v>
      </c>
      <c r="K772" s="61"/>
      <c r="L772" s="160">
        <v>0</v>
      </c>
      <c r="M772" s="55">
        <f t="shared" si="297"/>
        <v>0</v>
      </c>
      <c r="N772" s="55">
        <f t="shared" si="298"/>
        <v>0</v>
      </c>
      <c r="O772" s="95"/>
      <c r="P772" s="160">
        <v>0</v>
      </c>
      <c r="Q772" s="55">
        <f t="shared" si="299"/>
        <v>0</v>
      </c>
      <c r="R772" s="65">
        <f t="shared" si="300"/>
        <v>0</v>
      </c>
      <c r="S772" s="118">
        <v>25</v>
      </c>
      <c r="T772" s="121" t="s">
        <v>217</v>
      </c>
      <c r="U772" s="73">
        <f>SUMIF('Avoided Costs 2013-2021'!$A:$A,'2013 Actuals'!T772&amp;'2013 Actuals'!S772,'Avoided Costs 2013-2021'!$E:$E)*J772</f>
        <v>7534.9277629459311</v>
      </c>
      <c r="V772" s="73">
        <f>SUMIF('Avoided Costs 2013-2021'!$A:$A,'2013 Actuals'!T772&amp;'2013 Actuals'!S772,'Avoided Costs 2013-2021'!$K:$K)*N772</f>
        <v>0</v>
      </c>
      <c r="W772" s="73">
        <f>SUMIF('Avoided Costs 2013-2021'!$A:$A,'2013 Actuals'!T772&amp;'2013 Actuals'!S772,'Avoided Costs 2013-2021'!$M:$M)*R772</f>
        <v>0</v>
      </c>
      <c r="X772" s="73">
        <f t="shared" si="301"/>
        <v>7534.9277629459311</v>
      </c>
      <c r="Y772" s="83">
        <v>3628</v>
      </c>
      <c r="Z772" s="74">
        <f t="shared" si="302"/>
        <v>2902.4</v>
      </c>
      <c r="AA772" s="74"/>
      <c r="AB772" s="74"/>
      <c r="AC772" s="74"/>
      <c r="AD772" s="74">
        <f t="shared" si="303"/>
        <v>2902.4</v>
      </c>
      <c r="AE772" s="74">
        <f t="shared" si="304"/>
        <v>4632.5277629459306</v>
      </c>
      <c r="AF772" s="52">
        <f t="shared" si="305"/>
        <v>63983.92</v>
      </c>
      <c r="AG772" s="52">
        <f t="shared" si="306"/>
        <v>79979.899999999994</v>
      </c>
    </row>
    <row r="773" spans="1:33" s="21" customFormat="1" x14ac:dyDescent="0.2">
      <c r="A773" s="116" t="s">
        <v>687</v>
      </c>
      <c r="B773" s="116"/>
      <c r="C773" s="116"/>
      <c r="D773" s="151">
        <v>1</v>
      </c>
      <c r="E773" s="152"/>
      <c r="F773" s="153">
        <v>0.2</v>
      </c>
      <c r="G773" s="153"/>
      <c r="H773" s="52">
        <v>31260</v>
      </c>
      <c r="I773" s="52">
        <f t="shared" si="295"/>
        <v>27633.84</v>
      </c>
      <c r="J773" s="52">
        <f t="shared" si="296"/>
        <v>22107.072</v>
      </c>
      <c r="K773" s="152"/>
      <c r="L773" s="151">
        <v>0</v>
      </c>
      <c r="M773" s="55">
        <f t="shared" si="297"/>
        <v>0</v>
      </c>
      <c r="N773" s="55">
        <f t="shared" si="298"/>
        <v>0</v>
      </c>
      <c r="O773" s="154"/>
      <c r="P773" s="151">
        <v>0</v>
      </c>
      <c r="Q773" s="55">
        <f t="shared" si="299"/>
        <v>0</v>
      </c>
      <c r="R773" s="65">
        <f t="shared" si="300"/>
        <v>0</v>
      </c>
      <c r="S773" s="129">
        <v>25</v>
      </c>
      <c r="T773" s="123" t="s">
        <v>201</v>
      </c>
      <c r="U773" s="73">
        <f>SUMIF('Avoided Costs 2013-2021'!$A:$A,'2013 Actuals'!T773&amp;'2013 Actuals'!S773,'Avoided Costs 2013-2021'!$E:$E)*J773</f>
        <v>69353.038375133154</v>
      </c>
      <c r="V773" s="73">
        <f>SUMIF('Avoided Costs 2013-2021'!$A:$A,'2013 Actuals'!T773&amp;'2013 Actuals'!S773,'Avoided Costs 2013-2021'!$K:$K)*N773</f>
        <v>0</v>
      </c>
      <c r="W773" s="73">
        <f>SUMIF('Avoided Costs 2013-2021'!$A:$A,'2013 Actuals'!T773&amp;'2013 Actuals'!S773,'Avoided Costs 2013-2021'!$M:$M)*R773</f>
        <v>0</v>
      </c>
      <c r="X773" s="73">
        <f t="shared" si="301"/>
        <v>69353.038375133154</v>
      </c>
      <c r="Y773" s="83">
        <v>8401</v>
      </c>
      <c r="Z773" s="74">
        <f t="shared" si="302"/>
        <v>6720.8</v>
      </c>
      <c r="AA773" s="74"/>
      <c r="AB773" s="74"/>
      <c r="AC773" s="74"/>
      <c r="AD773" s="74">
        <f t="shared" si="303"/>
        <v>6720.8</v>
      </c>
      <c r="AE773" s="74">
        <f t="shared" si="304"/>
        <v>62632.238375133151</v>
      </c>
      <c r="AF773" s="52">
        <f t="shared" si="305"/>
        <v>552676.80000000005</v>
      </c>
      <c r="AG773" s="52">
        <f t="shared" si="306"/>
        <v>690846</v>
      </c>
    </row>
    <row r="774" spans="1:33" s="21" customFormat="1" x14ac:dyDescent="0.2">
      <c r="A774" s="114" t="s">
        <v>688</v>
      </c>
      <c r="B774" s="114"/>
      <c r="C774" s="114"/>
      <c r="D774" s="160">
        <v>0</v>
      </c>
      <c r="E774" s="161"/>
      <c r="F774" s="162">
        <v>0.2</v>
      </c>
      <c r="G774" s="162"/>
      <c r="H774" s="52">
        <v>10883</v>
      </c>
      <c r="I774" s="52">
        <f t="shared" si="295"/>
        <v>9620.5720000000001</v>
      </c>
      <c r="J774" s="52">
        <f t="shared" si="296"/>
        <v>7696.4576000000006</v>
      </c>
      <c r="K774" s="61"/>
      <c r="L774" s="160">
        <v>20397</v>
      </c>
      <c r="M774" s="55">
        <f t="shared" si="297"/>
        <v>20397</v>
      </c>
      <c r="N774" s="55">
        <f t="shared" si="298"/>
        <v>16317.6</v>
      </c>
      <c r="O774" s="95"/>
      <c r="P774" s="160">
        <v>0</v>
      </c>
      <c r="Q774" s="55">
        <f t="shared" si="299"/>
        <v>0</v>
      </c>
      <c r="R774" s="65">
        <f t="shared" si="300"/>
        <v>0</v>
      </c>
      <c r="S774" s="118">
        <v>15</v>
      </c>
      <c r="T774" s="121" t="s">
        <v>201</v>
      </c>
      <c r="U774" s="73">
        <f>SUMIF('Avoided Costs 2013-2021'!$A:$A,'2013 Actuals'!T774&amp;'2013 Actuals'!S774,'Avoided Costs 2013-2021'!$E:$E)*J774</f>
        <v>17200.524871029753</v>
      </c>
      <c r="V774" s="73">
        <f>SUMIF('Avoided Costs 2013-2021'!$A:$A,'2013 Actuals'!T774&amp;'2013 Actuals'!S774,'Avoided Costs 2013-2021'!$K:$K)*N774</f>
        <v>17082.792132493909</v>
      </c>
      <c r="W774" s="73">
        <f>SUMIF('Avoided Costs 2013-2021'!$A:$A,'2013 Actuals'!T774&amp;'2013 Actuals'!S774,'Avoided Costs 2013-2021'!$M:$M)*R774</f>
        <v>0</v>
      </c>
      <c r="X774" s="73">
        <f t="shared" si="301"/>
        <v>34283.317003523662</v>
      </c>
      <c r="Y774" s="83">
        <v>10000</v>
      </c>
      <c r="Z774" s="74">
        <f t="shared" si="302"/>
        <v>8000</v>
      </c>
      <c r="AA774" s="74"/>
      <c r="AB774" s="74"/>
      <c r="AC774" s="74"/>
      <c r="AD774" s="74">
        <f t="shared" si="303"/>
        <v>8000</v>
      </c>
      <c r="AE774" s="74">
        <f t="shared" si="304"/>
        <v>26283.317003523662</v>
      </c>
      <c r="AF774" s="52">
        <f t="shared" si="305"/>
        <v>115446.86400000002</v>
      </c>
      <c r="AG774" s="52">
        <f t="shared" si="306"/>
        <v>144308.58000000002</v>
      </c>
    </row>
    <row r="775" spans="1:33" s="21" customFormat="1" x14ac:dyDescent="0.2">
      <c r="A775" s="114" t="s">
        <v>689</v>
      </c>
      <c r="B775" s="114"/>
      <c r="C775" s="114"/>
      <c r="D775" s="160">
        <v>1</v>
      </c>
      <c r="E775" s="161"/>
      <c r="F775" s="162">
        <v>0.2</v>
      </c>
      <c r="G775" s="162"/>
      <c r="H775" s="52">
        <v>8428</v>
      </c>
      <c r="I775" s="52">
        <f t="shared" si="295"/>
        <v>7450.3519999999999</v>
      </c>
      <c r="J775" s="52">
        <f t="shared" si="296"/>
        <v>5960.2816000000003</v>
      </c>
      <c r="K775" s="61"/>
      <c r="L775" s="160">
        <v>0</v>
      </c>
      <c r="M775" s="55">
        <f t="shared" si="297"/>
        <v>0</v>
      </c>
      <c r="N775" s="55">
        <f t="shared" si="298"/>
        <v>0</v>
      </c>
      <c r="O775" s="95"/>
      <c r="P775" s="160">
        <v>0</v>
      </c>
      <c r="Q775" s="55">
        <f t="shared" si="299"/>
        <v>0</v>
      </c>
      <c r="R775" s="65">
        <f t="shared" si="300"/>
        <v>0</v>
      </c>
      <c r="S775" s="118">
        <v>25</v>
      </c>
      <c r="T775" s="121" t="s">
        <v>201</v>
      </c>
      <c r="U775" s="73">
        <f>SUMIF('Avoided Costs 2013-2021'!$A:$A,'2013 Actuals'!T775&amp;'2013 Actuals'!S775,'Avoided Costs 2013-2021'!$E:$E)*J775</f>
        <v>18698.253596469043</v>
      </c>
      <c r="V775" s="73">
        <f>SUMIF('Avoided Costs 2013-2021'!$A:$A,'2013 Actuals'!T775&amp;'2013 Actuals'!S775,'Avoided Costs 2013-2021'!$K:$K)*N775</f>
        <v>0</v>
      </c>
      <c r="W775" s="73">
        <f>SUMIF('Avoided Costs 2013-2021'!$A:$A,'2013 Actuals'!T775&amp;'2013 Actuals'!S775,'Avoided Costs 2013-2021'!$M:$M)*R775</f>
        <v>0</v>
      </c>
      <c r="X775" s="73">
        <f t="shared" si="301"/>
        <v>18698.253596469043</v>
      </c>
      <c r="Y775" s="83">
        <v>3503</v>
      </c>
      <c r="Z775" s="74">
        <f t="shared" si="302"/>
        <v>2802.4</v>
      </c>
      <c r="AA775" s="74"/>
      <c r="AB775" s="74"/>
      <c r="AC775" s="74"/>
      <c r="AD775" s="74">
        <f t="shared" si="303"/>
        <v>2802.4</v>
      </c>
      <c r="AE775" s="74">
        <f t="shared" si="304"/>
        <v>15895.853596469044</v>
      </c>
      <c r="AF775" s="52">
        <f t="shared" si="305"/>
        <v>149007.04000000001</v>
      </c>
      <c r="AG775" s="52">
        <f t="shared" si="306"/>
        <v>186258.8</v>
      </c>
    </row>
    <row r="776" spans="1:33" s="21" customFormat="1" x14ac:dyDescent="0.2">
      <c r="A776" s="114" t="s">
        <v>690</v>
      </c>
      <c r="B776" s="114"/>
      <c r="C776" s="114"/>
      <c r="D776" s="160">
        <v>0</v>
      </c>
      <c r="E776" s="161"/>
      <c r="F776" s="162">
        <v>0.2</v>
      </c>
      <c r="G776" s="162"/>
      <c r="H776" s="52">
        <v>4469</v>
      </c>
      <c r="I776" s="52">
        <f t="shared" si="295"/>
        <v>3950.596</v>
      </c>
      <c r="J776" s="52">
        <f t="shared" si="296"/>
        <v>3160.4768000000004</v>
      </c>
      <c r="K776" s="61"/>
      <c r="L776" s="160">
        <v>0</v>
      </c>
      <c r="M776" s="55">
        <f t="shared" si="297"/>
        <v>0</v>
      </c>
      <c r="N776" s="55">
        <f t="shared" si="298"/>
        <v>0</v>
      </c>
      <c r="O776" s="95"/>
      <c r="P776" s="160">
        <v>0</v>
      </c>
      <c r="Q776" s="55">
        <f t="shared" si="299"/>
        <v>0</v>
      </c>
      <c r="R776" s="65">
        <f t="shared" si="300"/>
        <v>0</v>
      </c>
      <c r="S776" s="118">
        <v>15</v>
      </c>
      <c r="T776" s="121" t="s">
        <v>217</v>
      </c>
      <c r="U776" s="73">
        <f>SUMIF('Avoided Costs 2013-2021'!$A:$A,'2013 Actuals'!T776&amp;'2013 Actuals'!S776,'Avoided Costs 2013-2021'!$E:$E)*J776</f>
        <v>6629.9590456710057</v>
      </c>
      <c r="V776" s="73">
        <f>SUMIF('Avoided Costs 2013-2021'!$A:$A,'2013 Actuals'!T776&amp;'2013 Actuals'!S776,'Avoided Costs 2013-2021'!$K:$K)*N776</f>
        <v>0</v>
      </c>
      <c r="W776" s="73">
        <f>SUMIF('Avoided Costs 2013-2021'!$A:$A,'2013 Actuals'!T776&amp;'2013 Actuals'!S776,'Avoided Costs 2013-2021'!$M:$M)*R776</f>
        <v>0</v>
      </c>
      <c r="X776" s="73">
        <f t="shared" si="301"/>
        <v>6629.9590456710057</v>
      </c>
      <c r="Y776" s="83">
        <v>5497</v>
      </c>
      <c r="Z776" s="74">
        <f t="shared" si="302"/>
        <v>4397.6000000000004</v>
      </c>
      <c r="AA776" s="74"/>
      <c r="AB776" s="74"/>
      <c r="AC776" s="74"/>
      <c r="AD776" s="74">
        <f t="shared" si="303"/>
        <v>4397.6000000000004</v>
      </c>
      <c r="AE776" s="74">
        <f t="shared" si="304"/>
        <v>2232.3590456710053</v>
      </c>
      <c r="AF776" s="52">
        <f t="shared" si="305"/>
        <v>47407.152000000002</v>
      </c>
      <c r="AG776" s="52">
        <f t="shared" si="306"/>
        <v>59258.94</v>
      </c>
    </row>
    <row r="777" spans="1:33" s="21" customFormat="1" x14ac:dyDescent="0.2">
      <c r="A777" s="114" t="s">
        <v>691</v>
      </c>
      <c r="B777" s="114"/>
      <c r="C777" s="114"/>
      <c r="D777" s="160">
        <v>0</v>
      </c>
      <c r="E777" s="161"/>
      <c r="F777" s="162">
        <v>0.2</v>
      </c>
      <c r="G777" s="162"/>
      <c r="H777" s="52">
        <v>2063</v>
      </c>
      <c r="I777" s="52">
        <f t="shared" si="295"/>
        <v>1823.692</v>
      </c>
      <c r="J777" s="52">
        <f t="shared" si="296"/>
        <v>1458.9536000000001</v>
      </c>
      <c r="K777" s="61"/>
      <c r="L777" s="160">
        <v>0</v>
      </c>
      <c r="M777" s="55">
        <f t="shared" si="297"/>
        <v>0</v>
      </c>
      <c r="N777" s="55">
        <f t="shared" si="298"/>
        <v>0</v>
      </c>
      <c r="O777" s="95"/>
      <c r="P777" s="160">
        <v>0</v>
      </c>
      <c r="Q777" s="55">
        <f t="shared" si="299"/>
        <v>0</v>
      </c>
      <c r="R777" s="65">
        <f t="shared" si="300"/>
        <v>0</v>
      </c>
      <c r="S777" s="118">
        <v>15</v>
      </c>
      <c r="T777" s="121" t="s">
        <v>201</v>
      </c>
      <c r="U777" s="73">
        <f>SUMIF('Avoided Costs 2013-2021'!$A:$A,'2013 Actuals'!T777&amp;'2013 Actuals'!S777,'Avoided Costs 2013-2021'!$E:$E)*J777</f>
        <v>3260.5607653160323</v>
      </c>
      <c r="V777" s="73">
        <f>SUMIF('Avoided Costs 2013-2021'!$A:$A,'2013 Actuals'!T777&amp;'2013 Actuals'!S777,'Avoided Costs 2013-2021'!$K:$K)*N777</f>
        <v>0</v>
      </c>
      <c r="W777" s="73">
        <f>SUMIF('Avoided Costs 2013-2021'!$A:$A,'2013 Actuals'!T777&amp;'2013 Actuals'!S777,'Avoided Costs 2013-2021'!$M:$M)*R777</f>
        <v>0</v>
      </c>
      <c r="X777" s="73">
        <f t="shared" si="301"/>
        <v>3260.5607653160323</v>
      </c>
      <c r="Y777" s="83">
        <v>5498</v>
      </c>
      <c r="Z777" s="74">
        <f t="shared" si="302"/>
        <v>4398.4000000000005</v>
      </c>
      <c r="AA777" s="74"/>
      <c r="AB777" s="74"/>
      <c r="AC777" s="74"/>
      <c r="AD777" s="74">
        <f t="shared" si="303"/>
        <v>4398.4000000000005</v>
      </c>
      <c r="AE777" s="74">
        <f t="shared" si="304"/>
        <v>-1137.8392346839682</v>
      </c>
      <c r="AF777" s="52">
        <f t="shared" si="305"/>
        <v>21884.304</v>
      </c>
      <c r="AG777" s="52">
        <f t="shared" si="306"/>
        <v>27355.38</v>
      </c>
    </row>
    <row r="778" spans="1:33" s="21" customFormat="1" x14ac:dyDescent="0.2">
      <c r="A778" s="114" t="s">
        <v>692</v>
      </c>
      <c r="B778" s="114"/>
      <c r="C778" s="114"/>
      <c r="D778" s="160">
        <v>1</v>
      </c>
      <c r="E778" s="161"/>
      <c r="F778" s="162">
        <v>0.2</v>
      </c>
      <c r="G778" s="162"/>
      <c r="H778" s="52">
        <v>33023</v>
      </c>
      <c r="I778" s="52">
        <f t="shared" si="295"/>
        <v>29192.331999999999</v>
      </c>
      <c r="J778" s="52">
        <f t="shared" si="296"/>
        <v>23353.865600000001</v>
      </c>
      <c r="K778" s="61"/>
      <c r="L778" s="160">
        <v>45781</v>
      </c>
      <c r="M778" s="55">
        <f t="shared" si="297"/>
        <v>45781</v>
      </c>
      <c r="N778" s="55">
        <f t="shared" si="298"/>
        <v>36624.800000000003</v>
      </c>
      <c r="O778" s="95"/>
      <c r="P778" s="160">
        <v>0</v>
      </c>
      <c r="Q778" s="55">
        <f t="shared" si="299"/>
        <v>0</v>
      </c>
      <c r="R778" s="65">
        <f t="shared" si="300"/>
        <v>0</v>
      </c>
      <c r="S778" s="118">
        <v>15</v>
      </c>
      <c r="T778" s="121" t="s">
        <v>201</v>
      </c>
      <c r="U778" s="73">
        <f>SUMIF('Avoided Costs 2013-2021'!$A:$A,'2013 Actuals'!T778&amp;'2013 Actuals'!S778,'Avoided Costs 2013-2021'!$E:$E)*J778</f>
        <v>52192.67966700501</v>
      </c>
      <c r="V778" s="73">
        <f>SUMIF('Avoided Costs 2013-2021'!$A:$A,'2013 Actuals'!T778&amp;'2013 Actuals'!S778,'Avoided Costs 2013-2021'!$K:$K)*N778</f>
        <v>38342.271246639386</v>
      </c>
      <c r="W778" s="73">
        <f>SUMIF('Avoided Costs 2013-2021'!$A:$A,'2013 Actuals'!T778&amp;'2013 Actuals'!S778,'Avoided Costs 2013-2021'!$M:$M)*R778</f>
        <v>0</v>
      </c>
      <c r="X778" s="73">
        <f t="shared" si="301"/>
        <v>90534.950913644396</v>
      </c>
      <c r="Y778" s="83">
        <v>6045</v>
      </c>
      <c r="Z778" s="74">
        <f t="shared" si="302"/>
        <v>4836</v>
      </c>
      <c r="AA778" s="74"/>
      <c r="AB778" s="74"/>
      <c r="AC778" s="74"/>
      <c r="AD778" s="74">
        <f t="shared" si="303"/>
        <v>4836</v>
      </c>
      <c r="AE778" s="74">
        <f t="shared" si="304"/>
        <v>85698.950913644396</v>
      </c>
      <c r="AF778" s="52">
        <f t="shared" si="305"/>
        <v>350307.984</v>
      </c>
      <c r="AG778" s="52">
        <f t="shared" si="306"/>
        <v>437884.98</v>
      </c>
    </row>
    <row r="779" spans="1:33" s="21" customFormat="1" x14ac:dyDescent="0.2">
      <c r="A779" s="114" t="s">
        <v>693</v>
      </c>
      <c r="B779" s="114"/>
      <c r="C779" s="114"/>
      <c r="D779" s="160">
        <v>1</v>
      </c>
      <c r="E779" s="161"/>
      <c r="F779" s="162">
        <v>0.2</v>
      </c>
      <c r="G779" s="162"/>
      <c r="H779" s="52">
        <v>2989</v>
      </c>
      <c r="I779" s="52">
        <f t="shared" si="295"/>
        <v>2642.2759999999998</v>
      </c>
      <c r="J779" s="52">
        <f t="shared" si="296"/>
        <v>2113.8208</v>
      </c>
      <c r="K779" s="61"/>
      <c r="L779" s="160">
        <v>0</v>
      </c>
      <c r="M779" s="55">
        <f t="shared" si="297"/>
        <v>0</v>
      </c>
      <c r="N779" s="55">
        <f t="shared" si="298"/>
        <v>0</v>
      </c>
      <c r="O779" s="95"/>
      <c r="P779" s="160">
        <v>0</v>
      </c>
      <c r="Q779" s="55">
        <f t="shared" si="299"/>
        <v>0</v>
      </c>
      <c r="R779" s="65">
        <f t="shared" si="300"/>
        <v>0</v>
      </c>
      <c r="S779" s="118">
        <v>25</v>
      </c>
      <c r="T779" s="121" t="s">
        <v>201</v>
      </c>
      <c r="U779" s="73">
        <f>SUMIF('Avoided Costs 2013-2021'!$A:$A,'2013 Actuals'!T779&amp;'2013 Actuals'!S779,'Avoided Costs 2013-2021'!$E:$E)*J779</f>
        <v>6631.3573801430903</v>
      </c>
      <c r="V779" s="73">
        <f>SUMIF('Avoided Costs 2013-2021'!$A:$A,'2013 Actuals'!T779&amp;'2013 Actuals'!S779,'Avoided Costs 2013-2021'!$K:$K)*N779</f>
        <v>0</v>
      </c>
      <c r="W779" s="73">
        <f>SUMIF('Avoided Costs 2013-2021'!$A:$A,'2013 Actuals'!T779&amp;'2013 Actuals'!S779,'Avoided Costs 2013-2021'!$M:$M)*R779</f>
        <v>0</v>
      </c>
      <c r="X779" s="73">
        <f t="shared" si="301"/>
        <v>6631.3573801430903</v>
      </c>
      <c r="Y779" s="83">
        <v>4535</v>
      </c>
      <c r="Z779" s="74">
        <f t="shared" si="302"/>
        <v>3628</v>
      </c>
      <c r="AA779" s="74"/>
      <c r="AB779" s="74"/>
      <c r="AC779" s="74"/>
      <c r="AD779" s="74">
        <f t="shared" si="303"/>
        <v>3628</v>
      </c>
      <c r="AE779" s="74">
        <f t="shared" si="304"/>
        <v>3003.3573801430903</v>
      </c>
      <c r="AF779" s="52">
        <f t="shared" si="305"/>
        <v>52845.52</v>
      </c>
      <c r="AG779" s="52">
        <f t="shared" si="306"/>
        <v>66056.899999999994</v>
      </c>
    </row>
    <row r="780" spans="1:33" s="21" customFormat="1" x14ac:dyDescent="0.2">
      <c r="A780" s="114" t="s">
        <v>694</v>
      </c>
      <c r="B780" s="114"/>
      <c r="C780" s="114"/>
      <c r="D780" s="160">
        <v>1</v>
      </c>
      <c r="E780" s="161"/>
      <c r="F780" s="162">
        <v>0.2</v>
      </c>
      <c r="G780" s="162"/>
      <c r="H780" s="52">
        <v>3212</v>
      </c>
      <c r="I780" s="52">
        <f t="shared" si="295"/>
        <v>2839.4079999999999</v>
      </c>
      <c r="J780" s="52">
        <f t="shared" si="296"/>
        <v>2271.5264000000002</v>
      </c>
      <c r="K780" s="61"/>
      <c r="L780" s="160">
        <v>0</v>
      </c>
      <c r="M780" s="55">
        <f t="shared" si="297"/>
        <v>0</v>
      </c>
      <c r="N780" s="55">
        <f t="shared" si="298"/>
        <v>0</v>
      </c>
      <c r="O780" s="95"/>
      <c r="P780" s="160">
        <v>0</v>
      </c>
      <c r="Q780" s="55">
        <f t="shared" si="299"/>
        <v>0</v>
      </c>
      <c r="R780" s="65">
        <f t="shared" si="300"/>
        <v>0</v>
      </c>
      <c r="S780" s="118">
        <v>15</v>
      </c>
      <c r="T780" s="121" t="s">
        <v>201</v>
      </c>
      <c r="U780" s="73">
        <f>SUMIF('Avoided Costs 2013-2021'!$A:$A,'2013 Actuals'!T780&amp;'2013 Actuals'!S780,'Avoided Costs 2013-2021'!$E:$E)*J780</f>
        <v>5076.5492865705755</v>
      </c>
      <c r="V780" s="73">
        <f>SUMIF('Avoided Costs 2013-2021'!$A:$A,'2013 Actuals'!T780&amp;'2013 Actuals'!S780,'Avoided Costs 2013-2021'!$K:$K)*N780</f>
        <v>0</v>
      </c>
      <c r="W780" s="73">
        <f>SUMIF('Avoided Costs 2013-2021'!$A:$A,'2013 Actuals'!T780&amp;'2013 Actuals'!S780,'Avoided Costs 2013-2021'!$M:$M)*R780</f>
        <v>0</v>
      </c>
      <c r="X780" s="73">
        <f t="shared" si="301"/>
        <v>5076.5492865705755</v>
      </c>
      <c r="Y780" s="83">
        <v>1737</v>
      </c>
      <c r="Z780" s="74">
        <f t="shared" si="302"/>
        <v>1389.6000000000001</v>
      </c>
      <c r="AA780" s="74"/>
      <c r="AB780" s="74"/>
      <c r="AC780" s="74"/>
      <c r="AD780" s="74">
        <f t="shared" si="303"/>
        <v>1389.6000000000001</v>
      </c>
      <c r="AE780" s="74">
        <f t="shared" si="304"/>
        <v>3686.9492865705752</v>
      </c>
      <c r="AF780" s="52">
        <f t="shared" si="305"/>
        <v>34072.896000000001</v>
      </c>
      <c r="AG780" s="52">
        <f t="shared" si="306"/>
        <v>42591.119999999995</v>
      </c>
    </row>
    <row r="781" spans="1:33" s="21" customFormat="1" x14ac:dyDescent="0.2">
      <c r="A781" s="114" t="s">
        <v>695</v>
      </c>
      <c r="B781" s="114"/>
      <c r="C781" s="114"/>
      <c r="D781" s="160">
        <v>1</v>
      </c>
      <c r="E781" s="161"/>
      <c r="F781" s="162">
        <v>0.2</v>
      </c>
      <c r="G781" s="162"/>
      <c r="H781" s="52">
        <v>10326</v>
      </c>
      <c r="I781" s="52">
        <f t="shared" si="295"/>
        <v>9128.1839999999993</v>
      </c>
      <c r="J781" s="52">
        <f t="shared" si="296"/>
        <v>7302.5472</v>
      </c>
      <c r="K781" s="61"/>
      <c r="L781" s="160">
        <v>0</v>
      </c>
      <c r="M781" s="55">
        <f t="shared" si="297"/>
        <v>0</v>
      </c>
      <c r="N781" s="55">
        <f t="shared" si="298"/>
        <v>0</v>
      </c>
      <c r="O781" s="95"/>
      <c r="P781" s="160">
        <v>0</v>
      </c>
      <c r="Q781" s="55">
        <f t="shared" si="299"/>
        <v>0</v>
      </c>
      <c r="R781" s="65">
        <f t="shared" si="300"/>
        <v>0</v>
      </c>
      <c r="S781" s="118">
        <v>15</v>
      </c>
      <c r="T781" s="121" t="s">
        <v>201</v>
      </c>
      <c r="U781" s="73">
        <f>SUMIF('Avoided Costs 2013-2021'!$A:$A,'2013 Actuals'!T781&amp;'2013 Actuals'!S781,'Avoided Costs 2013-2021'!$E:$E)*J781</f>
        <v>16320.189269342391</v>
      </c>
      <c r="V781" s="73">
        <f>SUMIF('Avoided Costs 2013-2021'!$A:$A,'2013 Actuals'!T781&amp;'2013 Actuals'!S781,'Avoided Costs 2013-2021'!$K:$K)*N781</f>
        <v>0</v>
      </c>
      <c r="W781" s="73">
        <f>SUMIF('Avoided Costs 2013-2021'!$A:$A,'2013 Actuals'!T781&amp;'2013 Actuals'!S781,'Avoided Costs 2013-2021'!$M:$M)*R781</f>
        <v>0</v>
      </c>
      <c r="X781" s="73">
        <f t="shared" si="301"/>
        <v>16320.189269342391</v>
      </c>
      <c r="Y781" s="83">
        <v>4825</v>
      </c>
      <c r="Z781" s="74">
        <f t="shared" si="302"/>
        <v>3860</v>
      </c>
      <c r="AA781" s="74"/>
      <c r="AB781" s="74"/>
      <c r="AC781" s="74"/>
      <c r="AD781" s="74">
        <f t="shared" si="303"/>
        <v>3860</v>
      </c>
      <c r="AE781" s="74">
        <f t="shared" si="304"/>
        <v>12460.189269342391</v>
      </c>
      <c r="AF781" s="52">
        <f t="shared" si="305"/>
        <v>109538.208</v>
      </c>
      <c r="AG781" s="52">
        <f t="shared" si="306"/>
        <v>136922.75999999998</v>
      </c>
    </row>
    <row r="782" spans="1:33" s="21" customFormat="1" x14ac:dyDescent="0.2">
      <c r="A782" s="114" t="s">
        <v>696</v>
      </c>
      <c r="B782" s="114"/>
      <c r="C782" s="114"/>
      <c r="D782" s="160">
        <v>1</v>
      </c>
      <c r="E782" s="161"/>
      <c r="F782" s="162">
        <v>0.2</v>
      </c>
      <c r="G782" s="162"/>
      <c r="H782" s="52">
        <v>3409</v>
      </c>
      <c r="I782" s="52">
        <f t="shared" si="295"/>
        <v>3013.556</v>
      </c>
      <c r="J782" s="52">
        <f t="shared" si="296"/>
        <v>2410.8448000000003</v>
      </c>
      <c r="K782" s="61"/>
      <c r="L782" s="160">
        <v>0</v>
      </c>
      <c r="M782" s="55">
        <f t="shared" si="297"/>
        <v>0</v>
      </c>
      <c r="N782" s="55">
        <f t="shared" si="298"/>
        <v>0</v>
      </c>
      <c r="O782" s="95"/>
      <c r="P782" s="160">
        <v>0</v>
      </c>
      <c r="Q782" s="55">
        <f t="shared" si="299"/>
        <v>0</v>
      </c>
      <c r="R782" s="65">
        <f t="shared" si="300"/>
        <v>0</v>
      </c>
      <c r="S782" s="118">
        <v>15</v>
      </c>
      <c r="T782" s="121" t="s">
        <v>201</v>
      </c>
      <c r="U782" s="73">
        <f>SUMIF('Avoided Costs 2013-2021'!$A:$A,'2013 Actuals'!T782&amp;'2013 Actuals'!S782,'Avoided Costs 2013-2021'!$E:$E)*J782</f>
        <v>5387.9067614941132</v>
      </c>
      <c r="V782" s="73">
        <f>SUMIF('Avoided Costs 2013-2021'!$A:$A,'2013 Actuals'!T782&amp;'2013 Actuals'!S782,'Avoided Costs 2013-2021'!$K:$K)*N782</f>
        <v>0</v>
      </c>
      <c r="W782" s="73">
        <f>SUMIF('Avoided Costs 2013-2021'!$A:$A,'2013 Actuals'!T782&amp;'2013 Actuals'!S782,'Avoided Costs 2013-2021'!$M:$M)*R782</f>
        <v>0</v>
      </c>
      <c r="X782" s="73">
        <f t="shared" si="301"/>
        <v>5387.9067614941132</v>
      </c>
      <c r="Y782" s="83">
        <v>1737</v>
      </c>
      <c r="Z782" s="74">
        <f t="shared" si="302"/>
        <v>1389.6000000000001</v>
      </c>
      <c r="AA782" s="74"/>
      <c r="AB782" s="74"/>
      <c r="AC782" s="74"/>
      <c r="AD782" s="74">
        <f t="shared" si="303"/>
        <v>1389.6000000000001</v>
      </c>
      <c r="AE782" s="74">
        <f t="shared" si="304"/>
        <v>3998.3067614941128</v>
      </c>
      <c r="AF782" s="52">
        <f t="shared" si="305"/>
        <v>36162.672000000006</v>
      </c>
      <c r="AG782" s="52">
        <f t="shared" si="306"/>
        <v>45203.340000000004</v>
      </c>
    </row>
    <row r="783" spans="1:33" s="21" customFormat="1" x14ac:dyDescent="0.2">
      <c r="A783" s="114" t="s">
        <v>697</v>
      </c>
      <c r="B783" s="114"/>
      <c r="C783" s="114"/>
      <c r="D783" s="160">
        <v>1</v>
      </c>
      <c r="E783" s="161"/>
      <c r="F783" s="162">
        <v>0.2</v>
      </c>
      <c r="G783" s="162"/>
      <c r="H783" s="52">
        <v>1927</v>
      </c>
      <c r="I783" s="52">
        <f t="shared" si="295"/>
        <v>1703.4680000000001</v>
      </c>
      <c r="J783" s="52">
        <f t="shared" si="296"/>
        <v>1362.7744000000002</v>
      </c>
      <c r="K783" s="61"/>
      <c r="L783" s="160">
        <v>0</v>
      </c>
      <c r="M783" s="55">
        <f t="shared" si="297"/>
        <v>0</v>
      </c>
      <c r="N783" s="55">
        <f t="shared" si="298"/>
        <v>0</v>
      </c>
      <c r="O783" s="95"/>
      <c r="P783" s="160">
        <v>0</v>
      </c>
      <c r="Q783" s="55">
        <f t="shared" si="299"/>
        <v>0</v>
      </c>
      <c r="R783" s="65">
        <f t="shared" si="300"/>
        <v>0</v>
      </c>
      <c r="S783" s="118">
        <v>15</v>
      </c>
      <c r="T783" s="121" t="s">
        <v>201</v>
      </c>
      <c r="U783" s="73">
        <f>SUMIF('Avoided Costs 2013-2021'!$A:$A,'2013 Actuals'!T783&amp;'2013 Actuals'!S783,'Avoided Costs 2013-2021'!$E:$E)*J783</f>
        <v>3045.6134729830324</v>
      </c>
      <c r="V783" s="73">
        <f>SUMIF('Avoided Costs 2013-2021'!$A:$A,'2013 Actuals'!T783&amp;'2013 Actuals'!S783,'Avoided Costs 2013-2021'!$K:$K)*N783</f>
        <v>0</v>
      </c>
      <c r="W783" s="73">
        <f>SUMIF('Avoided Costs 2013-2021'!$A:$A,'2013 Actuals'!T783&amp;'2013 Actuals'!S783,'Avoided Costs 2013-2021'!$M:$M)*R783</f>
        <v>0</v>
      </c>
      <c r="X783" s="73">
        <f t="shared" si="301"/>
        <v>3045.6134729830324</v>
      </c>
      <c r="Y783" s="83">
        <v>579</v>
      </c>
      <c r="Z783" s="74">
        <f t="shared" si="302"/>
        <v>463.20000000000005</v>
      </c>
      <c r="AA783" s="74"/>
      <c r="AB783" s="74"/>
      <c r="AC783" s="74"/>
      <c r="AD783" s="74">
        <f t="shared" si="303"/>
        <v>463.20000000000005</v>
      </c>
      <c r="AE783" s="74">
        <f t="shared" si="304"/>
        <v>2582.4134729830321</v>
      </c>
      <c r="AF783" s="52">
        <f t="shared" si="305"/>
        <v>20441.616000000002</v>
      </c>
      <c r="AG783" s="52">
        <f t="shared" si="306"/>
        <v>25552.02</v>
      </c>
    </row>
    <row r="784" spans="1:33" s="21" customFormat="1" x14ac:dyDescent="0.2">
      <c r="A784" s="114" t="s">
        <v>698</v>
      </c>
      <c r="B784" s="114"/>
      <c r="C784" s="114"/>
      <c r="D784" s="160">
        <v>1</v>
      </c>
      <c r="E784" s="161"/>
      <c r="F784" s="162">
        <v>0.2</v>
      </c>
      <c r="G784" s="162"/>
      <c r="H784" s="52">
        <v>3587</v>
      </c>
      <c r="I784" s="52">
        <f t="shared" si="295"/>
        <v>3170.9079999999999</v>
      </c>
      <c r="J784" s="52">
        <f t="shared" si="296"/>
        <v>2536.7264</v>
      </c>
      <c r="K784" s="61"/>
      <c r="L784" s="160">
        <v>0</v>
      </c>
      <c r="M784" s="55">
        <f t="shared" si="297"/>
        <v>0</v>
      </c>
      <c r="N784" s="55">
        <f t="shared" si="298"/>
        <v>0</v>
      </c>
      <c r="O784" s="95"/>
      <c r="P784" s="160">
        <v>0</v>
      </c>
      <c r="Q784" s="55">
        <f t="shared" si="299"/>
        <v>0</v>
      </c>
      <c r="R784" s="65">
        <f t="shared" si="300"/>
        <v>0</v>
      </c>
      <c r="S784" s="118">
        <v>15</v>
      </c>
      <c r="T784" s="121" t="s">
        <v>201</v>
      </c>
      <c r="U784" s="73">
        <f>SUMIF('Avoided Costs 2013-2021'!$A:$A,'2013 Actuals'!T784&amp;'2013 Actuals'!S784,'Avoided Costs 2013-2021'!$E:$E)*J784</f>
        <v>5669.2348352828931</v>
      </c>
      <c r="V784" s="73">
        <f>SUMIF('Avoided Costs 2013-2021'!$A:$A,'2013 Actuals'!T784&amp;'2013 Actuals'!S784,'Avoided Costs 2013-2021'!$K:$K)*N784</f>
        <v>0</v>
      </c>
      <c r="W784" s="73">
        <f>SUMIF('Avoided Costs 2013-2021'!$A:$A,'2013 Actuals'!T784&amp;'2013 Actuals'!S784,'Avoided Costs 2013-2021'!$M:$M)*R784</f>
        <v>0</v>
      </c>
      <c r="X784" s="73">
        <f t="shared" si="301"/>
        <v>5669.2348352828931</v>
      </c>
      <c r="Y784" s="83">
        <v>1737</v>
      </c>
      <c r="Z784" s="74">
        <f t="shared" si="302"/>
        <v>1389.6000000000001</v>
      </c>
      <c r="AA784" s="74"/>
      <c r="AB784" s="74"/>
      <c r="AC784" s="74"/>
      <c r="AD784" s="74">
        <f t="shared" si="303"/>
        <v>1389.6000000000001</v>
      </c>
      <c r="AE784" s="74">
        <f t="shared" si="304"/>
        <v>4279.6348352828927</v>
      </c>
      <c r="AF784" s="52">
        <f t="shared" si="305"/>
        <v>38050.896000000001</v>
      </c>
      <c r="AG784" s="52">
        <f t="shared" si="306"/>
        <v>47563.619999999995</v>
      </c>
    </row>
    <row r="785" spans="1:33" s="21" customFormat="1" x14ac:dyDescent="0.2">
      <c r="A785" s="114" t="s">
        <v>699</v>
      </c>
      <c r="B785" s="114"/>
      <c r="C785" s="114"/>
      <c r="D785" s="160">
        <v>1</v>
      </c>
      <c r="E785" s="161"/>
      <c r="F785" s="162">
        <v>0.2</v>
      </c>
      <c r="G785" s="162"/>
      <c r="H785" s="52">
        <v>2269</v>
      </c>
      <c r="I785" s="52">
        <f t="shared" si="295"/>
        <v>2005.796</v>
      </c>
      <c r="J785" s="52">
        <f t="shared" si="296"/>
        <v>1604.6368000000002</v>
      </c>
      <c r="K785" s="61"/>
      <c r="L785" s="160">
        <v>0</v>
      </c>
      <c r="M785" s="55">
        <f t="shared" si="297"/>
        <v>0</v>
      </c>
      <c r="N785" s="55">
        <f t="shared" si="298"/>
        <v>0</v>
      </c>
      <c r="O785" s="95"/>
      <c r="P785" s="160">
        <v>0</v>
      </c>
      <c r="Q785" s="55">
        <f t="shared" si="299"/>
        <v>0</v>
      </c>
      <c r="R785" s="65">
        <f t="shared" si="300"/>
        <v>0</v>
      </c>
      <c r="S785" s="118">
        <v>15</v>
      </c>
      <c r="T785" s="121" t="s">
        <v>201</v>
      </c>
      <c r="U785" s="73">
        <f>SUMIF('Avoided Costs 2013-2021'!$A:$A,'2013 Actuals'!T785&amp;'2013 Actuals'!S785,'Avoided Costs 2013-2021'!$E:$E)*J785</f>
        <v>3586.1426934086662</v>
      </c>
      <c r="V785" s="73">
        <f>SUMIF('Avoided Costs 2013-2021'!$A:$A,'2013 Actuals'!T785&amp;'2013 Actuals'!S785,'Avoided Costs 2013-2021'!$K:$K)*N785</f>
        <v>0</v>
      </c>
      <c r="W785" s="73">
        <f>SUMIF('Avoided Costs 2013-2021'!$A:$A,'2013 Actuals'!T785&amp;'2013 Actuals'!S785,'Avoided Costs 2013-2021'!$M:$M)*R785</f>
        <v>0</v>
      </c>
      <c r="X785" s="73">
        <f t="shared" si="301"/>
        <v>3586.1426934086662</v>
      </c>
      <c r="Y785" s="83">
        <v>1158</v>
      </c>
      <c r="Z785" s="74">
        <f t="shared" si="302"/>
        <v>926.40000000000009</v>
      </c>
      <c r="AA785" s="74"/>
      <c r="AB785" s="74"/>
      <c r="AC785" s="74"/>
      <c r="AD785" s="74">
        <f t="shared" si="303"/>
        <v>926.40000000000009</v>
      </c>
      <c r="AE785" s="74">
        <f t="shared" si="304"/>
        <v>2659.7426934086661</v>
      </c>
      <c r="AF785" s="52">
        <f t="shared" si="305"/>
        <v>24069.552000000003</v>
      </c>
      <c r="AG785" s="52">
        <f t="shared" si="306"/>
        <v>30086.940000000002</v>
      </c>
    </row>
    <row r="786" spans="1:33" s="21" customFormat="1" x14ac:dyDescent="0.2">
      <c r="A786" s="114" t="s">
        <v>700</v>
      </c>
      <c r="B786" s="114"/>
      <c r="C786" s="114"/>
      <c r="D786" s="160">
        <v>1</v>
      </c>
      <c r="E786" s="161"/>
      <c r="F786" s="162">
        <v>0.2</v>
      </c>
      <c r="G786" s="162"/>
      <c r="H786" s="52">
        <v>1434</v>
      </c>
      <c r="I786" s="52">
        <f t="shared" si="295"/>
        <v>1267.6559999999999</v>
      </c>
      <c r="J786" s="52">
        <f t="shared" si="296"/>
        <v>1014.1248000000001</v>
      </c>
      <c r="K786" s="61"/>
      <c r="L786" s="160">
        <v>0</v>
      </c>
      <c r="M786" s="55">
        <f t="shared" si="297"/>
        <v>0</v>
      </c>
      <c r="N786" s="55">
        <f t="shared" si="298"/>
        <v>0</v>
      </c>
      <c r="O786" s="95"/>
      <c r="P786" s="160">
        <v>0</v>
      </c>
      <c r="Q786" s="55">
        <f t="shared" si="299"/>
        <v>0</v>
      </c>
      <c r="R786" s="65">
        <f t="shared" si="300"/>
        <v>0</v>
      </c>
      <c r="S786" s="118">
        <v>15</v>
      </c>
      <c r="T786" s="121" t="s">
        <v>201</v>
      </c>
      <c r="U786" s="73">
        <f>SUMIF('Avoided Costs 2013-2021'!$A:$A,'2013 Actuals'!T786&amp;'2013 Actuals'!S786,'Avoided Costs 2013-2021'!$E:$E)*J786</f>
        <v>2266.4295382759042</v>
      </c>
      <c r="V786" s="73">
        <f>SUMIF('Avoided Costs 2013-2021'!$A:$A,'2013 Actuals'!T786&amp;'2013 Actuals'!S786,'Avoided Costs 2013-2021'!$K:$K)*N786</f>
        <v>0</v>
      </c>
      <c r="W786" s="73">
        <f>SUMIF('Avoided Costs 2013-2021'!$A:$A,'2013 Actuals'!T786&amp;'2013 Actuals'!S786,'Avoided Costs 2013-2021'!$M:$M)*R786</f>
        <v>0</v>
      </c>
      <c r="X786" s="73">
        <f t="shared" si="301"/>
        <v>2266.4295382759042</v>
      </c>
      <c r="Y786" s="83">
        <v>965</v>
      </c>
      <c r="Z786" s="74">
        <f t="shared" si="302"/>
        <v>772</v>
      </c>
      <c r="AA786" s="74"/>
      <c r="AB786" s="74"/>
      <c r="AC786" s="74"/>
      <c r="AD786" s="74">
        <f t="shared" si="303"/>
        <v>772</v>
      </c>
      <c r="AE786" s="74">
        <f t="shared" si="304"/>
        <v>1494.4295382759042</v>
      </c>
      <c r="AF786" s="52">
        <f t="shared" si="305"/>
        <v>15211.872000000001</v>
      </c>
      <c r="AG786" s="52">
        <f t="shared" si="306"/>
        <v>19014.84</v>
      </c>
    </row>
    <row r="787" spans="1:33" s="21" customFormat="1" x14ac:dyDescent="0.2">
      <c r="A787" s="114" t="s">
        <v>701</v>
      </c>
      <c r="B787" s="114"/>
      <c r="C787" s="114"/>
      <c r="D787" s="160">
        <v>1</v>
      </c>
      <c r="E787" s="161"/>
      <c r="F787" s="162">
        <v>0.2</v>
      </c>
      <c r="G787" s="162"/>
      <c r="H787" s="52">
        <v>4746</v>
      </c>
      <c r="I787" s="52">
        <f t="shared" si="295"/>
        <v>4195.4639999999999</v>
      </c>
      <c r="J787" s="52">
        <f t="shared" si="296"/>
        <v>3356.3712</v>
      </c>
      <c r="K787" s="61"/>
      <c r="L787" s="160">
        <v>0</v>
      </c>
      <c r="M787" s="55">
        <f t="shared" si="297"/>
        <v>0</v>
      </c>
      <c r="N787" s="55">
        <f t="shared" si="298"/>
        <v>0</v>
      </c>
      <c r="O787" s="95"/>
      <c r="P787" s="160">
        <v>0</v>
      </c>
      <c r="Q787" s="55">
        <f t="shared" si="299"/>
        <v>0</v>
      </c>
      <c r="R787" s="65">
        <f t="shared" si="300"/>
        <v>0</v>
      </c>
      <c r="S787" s="118">
        <v>15</v>
      </c>
      <c r="T787" s="121" t="s">
        <v>201</v>
      </c>
      <c r="U787" s="73">
        <f>SUMIF('Avoided Costs 2013-2021'!$A:$A,'2013 Actuals'!T787&amp;'2013 Actuals'!S787,'Avoided Costs 2013-2021'!$E:$E)*J787</f>
        <v>7501.0283045030974</v>
      </c>
      <c r="V787" s="73">
        <f>SUMIF('Avoided Costs 2013-2021'!$A:$A,'2013 Actuals'!T787&amp;'2013 Actuals'!S787,'Avoided Costs 2013-2021'!$K:$K)*N787</f>
        <v>0</v>
      </c>
      <c r="W787" s="73">
        <f>SUMIF('Avoided Costs 2013-2021'!$A:$A,'2013 Actuals'!T787&amp;'2013 Actuals'!S787,'Avoided Costs 2013-2021'!$M:$M)*R787</f>
        <v>0</v>
      </c>
      <c r="X787" s="73">
        <f t="shared" si="301"/>
        <v>7501.0283045030974</v>
      </c>
      <c r="Y787" s="83">
        <v>2316</v>
      </c>
      <c r="Z787" s="74">
        <f t="shared" si="302"/>
        <v>1852.8000000000002</v>
      </c>
      <c r="AA787" s="74"/>
      <c r="AB787" s="74"/>
      <c r="AC787" s="74"/>
      <c r="AD787" s="74">
        <f t="shared" si="303"/>
        <v>1852.8000000000002</v>
      </c>
      <c r="AE787" s="74">
        <f t="shared" si="304"/>
        <v>5648.2283045030972</v>
      </c>
      <c r="AF787" s="52">
        <f t="shared" si="305"/>
        <v>50345.567999999999</v>
      </c>
      <c r="AG787" s="52">
        <f t="shared" si="306"/>
        <v>62931.96</v>
      </c>
    </row>
    <row r="788" spans="1:33" s="21" customFormat="1" x14ac:dyDescent="0.2">
      <c r="A788" s="114" t="s">
        <v>702</v>
      </c>
      <c r="B788" s="114"/>
      <c r="C788" s="114"/>
      <c r="D788" s="160">
        <v>1</v>
      </c>
      <c r="E788" s="161"/>
      <c r="F788" s="162">
        <v>0.2</v>
      </c>
      <c r="G788" s="162"/>
      <c r="H788" s="52">
        <v>3789</v>
      </c>
      <c r="I788" s="52">
        <f t="shared" si="295"/>
        <v>3349.4760000000001</v>
      </c>
      <c r="J788" s="52">
        <f t="shared" si="296"/>
        <v>2679.5808000000002</v>
      </c>
      <c r="K788" s="61"/>
      <c r="L788" s="160">
        <v>0</v>
      </c>
      <c r="M788" s="55">
        <f t="shared" si="297"/>
        <v>0</v>
      </c>
      <c r="N788" s="55">
        <f t="shared" si="298"/>
        <v>0</v>
      </c>
      <c r="O788" s="95"/>
      <c r="P788" s="160">
        <v>0</v>
      </c>
      <c r="Q788" s="55">
        <f t="shared" si="299"/>
        <v>0</v>
      </c>
      <c r="R788" s="65">
        <f t="shared" si="300"/>
        <v>0</v>
      </c>
      <c r="S788" s="118">
        <v>15</v>
      </c>
      <c r="T788" s="121" t="s">
        <v>201</v>
      </c>
      <c r="U788" s="73">
        <f>SUMIF('Avoided Costs 2013-2021'!$A:$A,'2013 Actuals'!T788&amp;'2013 Actuals'!S788,'Avoided Costs 2013-2021'!$E:$E)*J788</f>
        <v>5988.4947841892617</v>
      </c>
      <c r="V788" s="73">
        <f>SUMIF('Avoided Costs 2013-2021'!$A:$A,'2013 Actuals'!T788&amp;'2013 Actuals'!S788,'Avoided Costs 2013-2021'!$K:$K)*N788</f>
        <v>0</v>
      </c>
      <c r="W788" s="73">
        <f>SUMIF('Avoided Costs 2013-2021'!$A:$A,'2013 Actuals'!T788&amp;'2013 Actuals'!S788,'Avoided Costs 2013-2021'!$M:$M)*R788</f>
        <v>0</v>
      </c>
      <c r="X788" s="73">
        <f t="shared" si="301"/>
        <v>5988.4947841892617</v>
      </c>
      <c r="Y788" s="83">
        <v>1544</v>
      </c>
      <c r="Z788" s="74">
        <f t="shared" si="302"/>
        <v>1235.2</v>
      </c>
      <c r="AA788" s="74"/>
      <c r="AB788" s="74"/>
      <c r="AC788" s="74"/>
      <c r="AD788" s="74">
        <f t="shared" si="303"/>
        <v>1235.2</v>
      </c>
      <c r="AE788" s="74">
        <f t="shared" si="304"/>
        <v>4753.2947841892619</v>
      </c>
      <c r="AF788" s="52">
        <f t="shared" si="305"/>
        <v>40193.712</v>
      </c>
      <c r="AG788" s="52">
        <f t="shared" si="306"/>
        <v>50242.14</v>
      </c>
    </row>
    <row r="789" spans="1:33" s="21" customFormat="1" x14ac:dyDescent="0.2">
      <c r="A789" s="114" t="s">
        <v>703</v>
      </c>
      <c r="B789" s="114"/>
      <c r="C789" s="114"/>
      <c r="D789" s="160">
        <v>1</v>
      </c>
      <c r="E789" s="161"/>
      <c r="F789" s="162">
        <v>0.2</v>
      </c>
      <c r="G789" s="162"/>
      <c r="H789" s="52">
        <v>2113</v>
      </c>
      <c r="I789" s="52">
        <f t="shared" si="295"/>
        <v>1867.8920000000001</v>
      </c>
      <c r="J789" s="52">
        <f t="shared" si="296"/>
        <v>1494.3136000000002</v>
      </c>
      <c r="K789" s="61"/>
      <c r="L789" s="160">
        <v>0</v>
      </c>
      <c r="M789" s="55">
        <f t="shared" si="297"/>
        <v>0</v>
      </c>
      <c r="N789" s="55">
        <f t="shared" si="298"/>
        <v>0</v>
      </c>
      <c r="O789" s="95"/>
      <c r="P789" s="160">
        <v>0</v>
      </c>
      <c r="Q789" s="55">
        <f t="shared" si="299"/>
        <v>0</v>
      </c>
      <c r="R789" s="65">
        <f t="shared" si="300"/>
        <v>0</v>
      </c>
      <c r="S789" s="118">
        <v>15</v>
      </c>
      <c r="T789" s="121" t="s">
        <v>201</v>
      </c>
      <c r="U789" s="73">
        <f>SUMIF('Avoided Costs 2013-2021'!$A:$A,'2013 Actuals'!T789&amp;'2013 Actuals'!S789,'Avoided Costs 2013-2021'!$E:$E)*J789</f>
        <v>3339.5855051443418</v>
      </c>
      <c r="V789" s="73">
        <f>SUMIF('Avoided Costs 2013-2021'!$A:$A,'2013 Actuals'!T789&amp;'2013 Actuals'!S789,'Avoided Costs 2013-2021'!$K:$K)*N789</f>
        <v>0</v>
      </c>
      <c r="W789" s="73">
        <f>SUMIF('Avoided Costs 2013-2021'!$A:$A,'2013 Actuals'!T789&amp;'2013 Actuals'!S789,'Avoided Costs 2013-2021'!$M:$M)*R789</f>
        <v>0</v>
      </c>
      <c r="X789" s="73">
        <f t="shared" si="301"/>
        <v>3339.5855051443418</v>
      </c>
      <c r="Y789" s="83">
        <v>1158</v>
      </c>
      <c r="Z789" s="74">
        <f t="shared" si="302"/>
        <v>926.40000000000009</v>
      </c>
      <c r="AA789" s="74"/>
      <c r="AB789" s="74"/>
      <c r="AC789" s="74"/>
      <c r="AD789" s="74">
        <f t="shared" si="303"/>
        <v>926.40000000000009</v>
      </c>
      <c r="AE789" s="74">
        <f t="shared" si="304"/>
        <v>2413.1855051443417</v>
      </c>
      <c r="AF789" s="52">
        <f t="shared" si="305"/>
        <v>22414.704000000002</v>
      </c>
      <c r="AG789" s="52">
        <f t="shared" si="306"/>
        <v>28018.38</v>
      </c>
    </row>
    <row r="790" spans="1:33" s="21" customFormat="1" x14ac:dyDescent="0.2">
      <c r="A790" s="114" t="s">
        <v>704</v>
      </c>
      <c r="B790" s="114"/>
      <c r="C790" s="114"/>
      <c r="D790" s="160">
        <v>1</v>
      </c>
      <c r="E790" s="161"/>
      <c r="F790" s="162">
        <v>0.2</v>
      </c>
      <c r="G790" s="162"/>
      <c r="H790" s="52">
        <v>5356</v>
      </c>
      <c r="I790" s="52">
        <f t="shared" si="295"/>
        <v>4734.7039999999997</v>
      </c>
      <c r="J790" s="52">
        <f t="shared" si="296"/>
        <v>3787.7631999999999</v>
      </c>
      <c r="K790" s="61"/>
      <c r="L790" s="160">
        <v>0</v>
      </c>
      <c r="M790" s="55">
        <f t="shared" si="297"/>
        <v>0</v>
      </c>
      <c r="N790" s="55">
        <f t="shared" si="298"/>
        <v>0</v>
      </c>
      <c r="O790" s="95"/>
      <c r="P790" s="160">
        <v>0</v>
      </c>
      <c r="Q790" s="55">
        <f t="shared" si="299"/>
        <v>0</v>
      </c>
      <c r="R790" s="65">
        <f t="shared" si="300"/>
        <v>0</v>
      </c>
      <c r="S790" s="118">
        <v>15</v>
      </c>
      <c r="T790" s="121" t="s">
        <v>201</v>
      </c>
      <c r="U790" s="73">
        <f>SUMIF('Avoided Costs 2013-2021'!$A:$A,'2013 Actuals'!T790&amp;'2013 Actuals'!S790,'Avoided Costs 2013-2021'!$E:$E)*J790</f>
        <v>8465.1301304084682</v>
      </c>
      <c r="V790" s="73">
        <f>SUMIF('Avoided Costs 2013-2021'!$A:$A,'2013 Actuals'!T790&amp;'2013 Actuals'!S790,'Avoided Costs 2013-2021'!$K:$K)*N790</f>
        <v>0</v>
      </c>
      <c r="W790" s="73">
        <f>SUMIF('Avoided Costs 2013-2021'!$A:$A,'2013 Actuals'!T790&amp;'2013 Actuals'!S790,'Avoided Costs 2013-2021'!$M:$M)*R790</f>
        <v>0</v>
      </c>
      <c r="X790" s="73">
        <f t="shared" si="301"/>
        <v>8465.1301304084682</v>
      </c>
      <c r="Y790" s="83">
        <v>2702</v>
      </c>
      <c r="Z790" s="74">
        <f t="shared" si="302"/>
        <v>2161.6</v>
      </c>
      <c r="AA790" s="74"/>
      <c r="AB790" s="74"/>
      <c r="AC790" s="74"/>
      <c r="AD790" s="74">
        <f t="shared" si="303"/>
        <v>2161.6</v>
      </c>
      <c r="AE790" s="74">
        <f t="shared" si="304"/>
        <v>6303.5301304084678</v>
      </c>
      <c r="AF790" s="52">
        <f t="shared" si="305"/>
        <v>56816.447999999997</v>
      </c>
      <c r="AG790" s="52">
        <f t="shared" si="306"/>
        <v>71020.56</v>
      </c>
    </row>
    <row r="791" spans="1:33" s="21" customFormat="1" x14ac:dyDescent="0.2">
      <c r="A791" s="114" t="s">
        <v>705</v>
      </c>
      <c r="B791" s="114"/>
      <c r="C791" s="114"/>
      <c r="D791" s="160">
        <v>1</v>
      </c>
      <c r="E791" s="161"/>
      <c r="F791" s="162">
        <v>0.2</v>
      </c>
      <c r="G791" s="162"/>
      <c r="H791" s="52">
        <v>2088</v>
      </c>
      <c r="I791" s="52">
        <f t="shared" si="295"/>
        <v>1845.7919999999999</v>
      </c>
      <c r="J791" s="52">
        <f t="shared" si="296"/>
        <v>1476.6336000000001</v>
      </c>
      <c r="K791" s="61"/>
      <c r="L791" s="160">
        <v>0</v>
      </c>
      <c r="M791" s="55">
        <f t="shared" si="297"/>
        <v>0</v>
      </c>
      <c r="N791" s="55">
        <f t="shared" si="298"/>
        <v>0</v>
      </c>
      <c r="O791" s="95"/>
      <c r="P791" s="160">
        <v>0</v>
      </c>
      <c r="Q791" s="55">
        <f t="shared" si="299"/>
        <v>0</v>
      </c>
      <c r="R791" s="65">
        <f t="shared" si="300"/>
        <v>0</v>
      </c>
      <c r="S791" s="118">
        <v>15</v>
      </c>
      <c r="T791" s="121" t="s">
        <v>201</v>
      </c>
      <c r="U791" s="73">
        <f>SUMIF('Avoided Costs 2013-2021'!$A:$A,'2013 Actuals'!T791&amp;'2013 Actuals'!S791,'Avoided Costs 2013-2021'!$E:$E)*J791</f>
        <v>3300.0731352301873</v>
      </c>
      <c r="V791" s="73">
        <f>SUMIF('Avoided Costs 2013-2021'!$A:$A,'2013 Actuals'!T791&amp;'2013 Actuals'!S791,'Avoided Costs 2013-2021'!$K:$K)*N791</f>
        <v>0</v>
      </c>
      <c r="W791" s="73">
        <f>SUMIF('Avoided Costs 2013-2021'!$A:$A,'2013 Actuals'!T791&amp;'2013 Actuals'!S791,'Avoided Costs 2013-2021'!$M:$M)*R791</f>
        <v>0</v>
      </c>
      <c r="X791" s="73">
        <f t="shared" si="301"/>
        <v>3300.0731352301873</v>
      </c>
      <c r="Y791" s="83">
        <v>772</v>
      </c>
      <c r="Z791" s="74">
        <f t="shared" si="302"/>
        <v>617.6</v>
      </c>
      <c r="AA791" s="74"/>
      <c r="AB791" s="74"/>
      <c r="AC791" s="74"/>
      <c r="AD791" s="74">
        <f t="shared" si="303"/>
        <v>617.6</v>
      </c>
      <c r="AE791" s="74">
        <f t="shared" si="304"/>
        <v>2682.4731352301874</v>
      </c>
      <c r="AF791" s="52">
        <f t="shared" si="305"/>
        <v>22149.504000000001</v>
      </c>
      <c r="AG791" s="52">
        <f t="shared" si="306"/>
        <v>27686.879999999997</v>
      </c>
    </row>
    <row r="792" spans="1:33" s="21" customFormat="1" x14ac:dyDescent="0.2">
      <c r="A792" s="114" t="s">
        <v>706</v>
      </c>
      <c r="B792" s="114"/>
      <c r="C792" s="114"/>
      <c r="D792" s="160">
        <v>1</v>
      </c>
      <c r="E792" s="161"/>
      <c r="F792" s="162">
        <v>0.2</v>
      </c>
      <c r="G792" s="162"/>
      <c r="H792" s="52">
        <v>2592</v>
      </c>
      <c r="I792" s="52">
        <f t="shared" si="295"/>
        <v>2291.328</v>
      </c>
      <c r="J792" s="52">
        <f t="shared" si="296"/>
        <v>1833.0624</v>
      </c>
      <c r="K792" s="61"/>
      <c r="L792" s="160">
        <v>0</v>
      </c>
      <c r="M792" s="55">
        <f t="shared" si="297"/>
        <v>0</v>
      </c>
      <c r="N792" s="55">
        <f t="shared" si="298"/>
        <v>0</v>
      </c>
      <c r="O792" s="95"/>
      <c r="P792" s="160">
        <v>0</v>
      </c>
      <c r="Q792" s="55">
        <f t="shared" si="299"/>
        <v>0</v>
      </c>
      <c r="R792" s="65">
        <f t="shared" si="300"/>
        <v>0</v>
      </c>
      <c r="S792" s="118">
        <v>15</v>
      </c>
      <c r="T792" s="121" t="s">
        <v>201</v>
      </c>
      <c r="U792" s="73">
        <f>SUMIF('Avoided Costs 2013-2021'!$A:$A,'2013 Actuals'!T792&amp;'2013 Actuals'!S792,'Avoided Costs 2013-2021'!$E:$E)*J792</f>
        <v>4096.6425126995427</v>
      </c>
      <c r="V792" s="73">
        <f>SUMIF('Avoided Costs 2013-2021'!$A:$A,'2013 Actuals'!T792&amp;'2013 Actuals'!S792,'Avoided Costs 2013-2021'!$K:$K)*N792</f>
        <v>0</v>
      </c>
      <c r="W792" s="73">
        <f>SUMIF('Avoided Costs 2013-2021'!$A:$A,'2013 Actuals'!T792&amp;'2013 Actuals'!S792,'Avoided Costs 2013-2021'!$M:$M)*R792</f>
        <v>0</v>
      </c>
      <c r="X792" s="73">
        <f t="shared" si="301"/>
        <v>4096.6425126995427</v>
      </c>
      <c r="Y792" s="83">
        <v>1351</v>
      </c>
      <c r="Z792" s="74">
        <f t="shared" si="302"/>
        <v>1080.8</v>
      </c>
      <c r="AA792" s="74"/>
      <c r="AB792" s="74"/>
      <c r="AC792" s="74"/>
      <c r="AD792" s="74">
        <f t="shared" si="303"/>
        <v>1080.8</v>
      </c>
      <c r="AE792" s="74">
        <f t="shared" si="304"/>
        <v>3015.8425126995426</v>
      </c>
      <c r="AF792" s="52">
        <f t="shared" si="305"/>
        <v>27495.936000000002</v>
      </c>
      <c r="AG792" s="52">
        <f t="shared" si="306"/>
        <v>34369.919999999998</v>
      </c>
    </row>
    <row r="793" spans="1:33" s="21" customFormat="1" x14ac:dyDescent="0.2">
      <c r="A793" s="114" t="s">
        <v>707</v>
      </c>
      <c r="B793" s="114"/>
      <c r="C793" s="114"/>
      <c r="D793" s="160">
        <v>1</v>
      </c>
      <c r="E793" s="161"/>
      <c r="F793" s="162">
        <v>0.2</v>
      </c>
      <c r="G793" s="162"/>
      <c r="H793" s="52">
        <v>4248</v>
      </c>
      <c r="I793" s="52">
        <f t="shared" si="295"/>
        <v>3755.232</v>
      </c>
      <c r="J793" s="52">
        <f t="shared" si="296"/>
        <v>3004.1856000000002</v>
      </c>
      <c r="K793" s="61"/>
      <c r="L793" s="160">
        <v>0</v>
      </c>
      <c r="M793" s="55">
        <f t="shared" si="297"/>
        <v>0</v>
      </c>
      <c r="N793" s="55">
        <f t="shared" si="298"/>
        <v>0</v>
      </c>
      <c r="O793" s="95"/>
      <c r="P793" s="160">
        <v>0</v>
      </c>
      <c r="Q793" s="55">
        <f t="shared" si="299"/>
        <v>0</v>
      </c>
      <c r="R793" s="65">
        <f t="shared" si="300"/>
        <v>0</v>
      </c>
      <c r="S793" s="118">
        <v>15</v>
      </c>
      <c r="T793" s="121" t="s">
        <v>201</v>
      </c>
      <c r="U793" s="73">
        <f>SUMIF('Avoided Costs 2013-2021'!$A:$A,'2013 Actuals'!T793&amp;'2013 Actuals'!S793,'Avoided Costs 2013-2021'!$E:$E)*J793</f>
        <v>6713.9418958131391</v>
      </c>
      <c r="V793" s="73">
        <f>SUMIF('Avoided Costs 2013-2021'!$A:$A,'2013 Actuals'!T793&amp;'2013 Actuals'!S793,'Avoided Costs 2013-2021'!$K:$K)*N793</f>
        <v>0</v>
      </c>
      <c r="W793" s="73">
        <f>SUMIF('Avoided Costs 2013-2021'!$A:$A,'2013 Actuals'!T793&amp;'2013 Actuals'!S793,'Avoided Costs 2013-2021'!$M:$M)*R793</f>
        <v>0</v>
      </c>
      <c r="X793" s="73">
        <f t="shared" si="301"/>
        <v>6713.9418958131391</v>
      </c>
      <c r="Y793" s="83">
        <v>1930</v>
      </c>
      <c r="Z793" s="74">
        <f t="shared" si="302"/>
        <v>1544</v>
      </c>
      <c r="AA793" s="74"/>
      <c r="AB793" s="74"/>
      <c r="AC793" s="74"/>
      <c r="AD793" s="74">
        <f t="shared" si="303"/>
        <v>1544</v>
      </c>
      <c r="AE793" s="74">
        <f t="shared" si="304"/>
        <v>5169.9418958131391</v>
      </c>
      <c r="AF793" s="52">
        <f t="shared" si="305"/>
        <v>45062.784000000007</v>
      </c>
      <c r="AG793" s="52">
        <f t="shared" si="306"/>
        <v>56328.479999999996</v>
      </c>
    </row>
    <row r="794" spans="1:33" s="21" customFormat="1" x14ac:dyDescent="0.2">
      <c r="A794" s="114" t="s">
        <v>708</v>
      </c>
      <c r="B794" s="114"/>
      <c r="C794" s="114"/>
      <c r="D794" s="160">
        <v>1</v>
      </c>
      <c r="E794" s="161"/>
      <c r="F794" s="162">
        <v>0.2</v>
      </c>
      <c r="G794" s="162"/>
      <c r="H794" s="52">
        <v>3476</v>
      </c>
      <c r="I794" s="52">
        <f t="shared" si="295"/>
        <v>3072.7840000000001</v>
      </c>
      <c r="J794" s="52">
        <f t="shared" si="296"/>
        <v>2458.2272000000003</v>
      </c>
      <c r="K794" s="61"/>
      <c r="L794" s="160">
        <v>0</v>
      </c>
      <c r="M794" s="55">
        <f t="shared" si="297"/>
        <v>0</v>
      </c>
      <c r="N794" s="55">
        <f t="shared" si="298"/>
        <v>0</v>
      </c>
      <c r="O794" s="95"/>
      <c r="P794" s="160">
        <v>0</v>
      </c>
      <c r="Q794" s="55">
        <f t="shared" si="299"/>
        <v>0</v>
      </c>
      <c r="R794" s="65">
        <f t="shared" si="300"/>
        <v>0</v>
      </c>
      <c r="S794" s="118">
        <v>15</v>
      </c>
      <c r="T794" s="121" t="s">
        <v>201</v>
      </c>
      <c r="U794" s="73">
        <f>SUMIF('Avoided Costs 2013-2021'!$A:$A,'2013 Actuals'!T794&amp;'2013 Actuals'!S794,'Avoided Costs 2013-2021'!$E:$E)*J794</f>
        <v>5493.7999128640477</v>
      </c>
      <c r="V794" s="73">
        <f>SUMIF('Avoided Costs 2013-2021'!$A:$A,'2013 Actuals'!T794&amp;'2013 Actuals'!S794,'Avoided Costs 2013-2021'!$K:$K)*N794</f>
        <v>0</v>
      </c>
      <c r="W794" s="73">
        <f>SUMIF('Avoided Costs 2013-2021'!$A:$A,'2013 Actuals'!T794&amp;'2013 Actuals'!S794,'Avoided Costs 2013-2021'!$M:$M)*R794</f>
        <v>0</v>
      </c>
      <c r="X794" s="73">
        <f t="shared" si="301"/>
        <v>5493.7999128640477</v>
      </c>
      <c r="Y794" s="83">
        <v>2123</v>
      </c>
      <c r="Z794" s="74">
        <f t="shared" si="302"/>
        <v>1698.4</v>
      </c>
      <c r="AA794" s="74"/>
      <c r="AB794" s="74"/>
      <c r="AC794" s="74"/>
      <c r="AD794" s="74">
        <f t="shared" si="303"/>
        <v>1698.4</v>
      </c>
      <c r="AE794" s="74">
        <f t="shared" si="304"/>
        <v>3795.3999128640476</v>
      </c>
      <c r="AF794" s="52">
        <f t="shared" si="305"/>
        <v>36873.408000000003</v>
      </c>
      <c r="AG794" s="52">
        <f t="shared" si="306"/>
        <v>46091.76</v>
      </c>
    </row>
    <row r="795" spans="1:33" s="21" customFormat="1" x14ac:dyDescent="0.2">
      <c r="A795" s="114" t="s">
        <v>709</v>
      </c>
      <c r="B795" s="114"/>
      <c r="C795" s="114"/>
      <c r="D795" s="160">
        <v>1</v>
      </c>
      <c r="E795" s="161"/>
      <c r="F795" s="162">
        <v>0.2</v>
      </c>
      <c r="G795" s="162"/>
      <c r="H795" s="52">
        <v>2450</v>
      </c>
      <c r="I795" s="52">
        <f t="shared" si="295"/>
        <v>2165.8000000000002</v>
      </c>
      <c r="J795" s="52">
        <f t="shared" si="296"/>
        <v>1732.6400000000003</v>
      </c>
      <c r="K795" s="61"/>
      <c r="L795" s="160">
        <v>0</v>
      </c>
      <c r="M795" s="55">
        <f t="shared" si="297"/>
        <v>0</v>
      </c>
      <c r="N795" s="55">
        <f t="shared" si="298"/>
        <v>0</v>
      </c>
      <c r="O795" s="95"/>
      <c r="P795" s="160">
        <v>0</v>
      </c>
      <c r="Q795" s="55">
        <f t="shared" si="299"/>
        <v>0</v>
      </c>
      <c r="R795" s="65">
        <f t="shared" si="300"/>
        <v>0</v>
      </c>
      <c r="S795" s="118">
        <v>15</v>
      </c>
      <c r="T795" s="121" t="s">
        <v>201</v>
      </c>
      <c r="U795" s="73">
        <f>SUMIF('Avoided Costs 2013-2021'!$A:$A,'2013 Actuals'!T795&amp;'2013 Actuals'!S795,'Avoided Costs 2013-2021'!$E:$E)*J795</f>
        <v>3872.2122515871451</v>
      </c>
      <c r="V795" s="73">
        <f>SUMIF('Avoided Costs 2013-2021'!$A:$A,'2013 Actuals'!T795&amp;'2013 Actuals'!S795,'Avoided Costs 2013-2021'!$K:$K)*N795</f>
        <v>0</v>
      </c>
      <c r="W795" s="73">
        <f>SUMIF('Avoided Costs 2013-2021'!$A:$A,'2013 Actuals'!T795&amp;'2013 Actuals'!S795,'Avoided Costs 2013-2021'!$M:$M)*R795</f>
        <v>0</v>
      </c>
      <c r="X795" s="73">
        <f t="shared" si="301"/>
        <v>3872.2122515871451</v>
      </c>
      <c r="Y795" s="83">
        <v>965</v>
      </c>
      <c r="Z795" s="74">
        <f t="shared" si="302"/>
        <v>772</v>
      </c>
      <c r="AA795" s="74"/>
      <c r="AB795" s="74"/>
      <c r="AC795" s="74"/>
      <c r="AD795" s="74">
        <f t="shared" si="303"/>
        <v>772</v>
      </c>
      <c r="AE795" s="74">
        <f t="shared" si="304"/>
        <v>3100.2122515871451</v>
      </c>
      <c r="AF795" s="52">
        <f t="shared" si="305"/>
        <v>25989.600000000006</v>
      </c>
      <c r="AG795" s="52">
        <f t="shared" si="306"/>
        <v>32487.000000000004</v>
      </c>
    </row>
    <row r="796" spans="1:33" s="21" customFormat="1" x14ac:dyDescent="0.2">
      <c r="A796" s="114" t="s">
        <v>710</v>
      </c>
      <c r="B796" s="114"/>
      <c r="C796" s="114"/>
      <c r="D796" s="160">
        <v>1</v>
      </c>
      <c r="E796" s="161"/>
      <c r="F796" s="162">
        <v>0.2</v>
      </c>
      <c r="G796" s="162"/>
      <c r="H796" s="52">
        <v>2663</v>
      </c>
      <c r="I796" s="52">
        <f t="shared" si="295"/>
        <v>2354.0920000000001</v>
      </c>
      <c r="J796" s="52">
        <f t="shared" si="296"/>
        <v>1883.2736000000002</v>
      </c>
      <c r="K796" s="61"/>
      <c r="L796" s="160">
        <v>0</v>
      </c>
      <c r="M796" s="55">
        <f t="shared" si="297"/>
        <v>0</v>
      </c>
      <c r="N796" s="55">
        <f t="shared" si="298"/>
        <v>0</v>
      </c>
      <c r="O796" s="95"/>
      <c r="P796" s="160">
        <v>0</v>
      </c>
      <c r="Q796" s="55">
        <f t="shared" si="299"/>
        <v>0</v>
      </c>
      <c r="R796" s="65">
        <f t="shared" si="300"/>
        <v>0</v>
      </c>
      <c r="S796" s="118">
        <v>15</v>
      </c>
      <c r="T796" s="121" t="s">
        <v>201</v>
      </c>
      <c r="U796" s="73">
        <f>SUMIF('Avoided Costs 2013-2021'!$A:$A,'2013 Actuals'!T796&amp;'2013 Actuals'!S796,'Avoided Costs 2013-2021'!$E:$E)*J796</f>
        <v>4208.857643255742</v>
      </c>
      <c r="V796" s="73">
        <f>SUMIF('Avoided Costs 2013-2021'!$A:$A,'2013 Actuals'!T796&amp;'2013 Actuals'!S796,'Avoided Costs 2013-2021'!$K:$K)*N796</f>
        <v>0</v>
      </c>
      <c r="W796" s="73">
        <f>SUMIF('Avoided Costs 2013-2021'!$A:$A,'2013 Actuals'!T796&amp;'2013 Actuals'!S796,'Avoided Costs 2013-2021'!$M:$M)*R796</f>
        <v>0</v>
      </c>
      <c r="X796" s="73">
        <f t="shared" si="301"/>
        <v>4208.857643255742</v>
      </c>
      <c r="Y796" s="83">
        <v>1158</v>
      </c>
      <c r="Z796" s="74">
        <f t="shared" si="302"/>
        <v>926.40000000000009</v>
      </c>
      <c r="AA796" s="74"/>
      <c r="AB796" s="74"/>
      <c r="AC796" s="74"/>
      <c r="AD796" s="74">
        <f t="shared" si="303"/>
        <v>926.40000000000009</v>
      </c>
      <c r="AE796" s="74">
        <f t="shared" si="304"/>
        <v>3282.4576432557419</v>
      </c>
      <c r="AF796" s="52">
        <f t="shared" si="305"/>
        <v>28249.104000000003</v>
      </c>
      <c r="AG796" s="52">
        <f t="shared" si="306"/>
        <v>35311.380000000005</v>
      </c>
    </row>
    <row r="797" spans="1:33" s="21" customFormat="1" x14ac:dyDescent="0.2">
      <c r="A797" s="114" t="s">
        <v>711</v>
      </c>
      <c r="B797" s="114"/>
      <c r="C797" s="114"/>
      <c r="D797" s="160">
        <v>1</v>
      </c>
      <c r="E797" s="161"/>
      <c r="F797" s="162">
        <v>0.2</v>
      </c>
      <c r="G797" s="162"/>
      <c r="H797" s="52">
        <v>1959</v>
      </c>
      <c r="I797" s="52">
        <f t="shared" si="295"/>
        <v>1731.7560000000001</v>
      </c>
      <c r="J797" s="52">
        <f t="shared" si="296"/>
        <v>1385.4048000000003</v>
      </c>
      <c r="K797" s="61"/>
      <c r="L797" s="160">
        <v>0</v>
      </c>
      <c r="M797" s="55">
        <f t="shared" si="297"/>
        <v>0</v>
      </c>
      <c r="N797" s="55">
        <f t="shared" si="298"/>
        <v>0</v>
      </c>
      <c r="O797" s="95"/>
      <c r="P797" s="160">
        <v>0</v>
      </c>
      <c r="Q797" s="55">
        <f t="shared" si="299"/>
        <v>0</v>
      </c>
      <c r="R797" s="65">
        <f t="shared" si="300"/>
        <v>0</v>
      </c>
      <c r="S797" s="118">
        <v>15</v>
      </c>
      <c r="T797" s="121" t="s">
        <v>201</v>
      </c>
      <c r="U797" s="73">
        <f>SUMIF('Avoided Costs 2013-2021'!$A:$A,'2013 Actuals'!T797&amp;'2013 Actuals'!S797,'Avoided Costs 2013-2021'!$E:$E)*J797</f>
        <v>3096.1893064731503</v>
      </c>
      <c r="V797" s="73">
        <f>SUMIF('Avoided Costs 2013-2021'!$A:$A,'2013 Actuals'!T797&amp;'2013 Actuals'!S797,'Avoided Costs 2013-2021'!$K:$K)*N797</f>
        <v>0</v>
      </c>
      <c r="W797" s="73">
        <f>SUMIF('Avoided Costs 2013-2021'!$A:$A,'2013 Actuals'!T797&amp;'2013 Actuals'!S797,'Avoided Costs 2013-2021'!$M:$M)*R797</f>
        <v>0</v>
      </c>
      <c r="X797" s="73">
        <f t="shared" si="301"/>
        <v>3096.1893064731503</v>
      </c>
      <c r="Y797" s="83">
        <v>965</v>
      </c>
      <c r="Z797" s="74">
        <f t="shared" si="302"/>
        <v>772</v>
      </c>
      <c r="AA797" s="74"/>
      <c r="AB797" s="74"/>
      <c r="AC797" s="74"/>
      <c r="AD797" s="74">
        <f t="shared" si="303"/>
        <v>772</v>
      </c>
      <c r="AE797" s="74">
        <f t="shared" si="304"/>
        <v>2324.1893064731503</v>
      </c>
      <c r="AF797" s="52">
        <f t="shared" si="305"/>
        <v>20781.072000000004</v>
      </c>
      <c r="AG797" s="52">
        <f t="shared" si="306"/>
        <v>25976.34</v>
      </c>
    </row>
    <row r="798" spans="1:33" s="21" customFormat="1" x14ac:dyDescent="0.2">
      <c r="A798" s="114" t="s">
        <v>712</v>
      </c>
      <c r="B798" s="114"/>
      <c r="C798" s="114"/>
      <c r="D798" s="160">
        <v>1</v>
      </c>
      <c r="E798" s="161"/>
      <c r="F798" s="162">
        <v>0.2</v>
      </c>
      <c r="G798" s="162"/>
      <c r="H798" s="52">
        <v>6322</v>
      </c>
      <c r="I798" s="52">
        <f t="shared" si="295"/>
        <v>5588.6480000000001</v>
      </c>
      <c r="J798" s="52">
        <f t="shared" si="296"/>
        <v>4470.9184000000005</v>
      </c>
      <c r="K798" s="61"/>
      <c r="L798" s="160">
        <v>0</v>
      </c>
      <c r="M798" s="55">
        <f t="shared" si="297"/>
        <v>0</v>
      </c>
      <c r="N798" s="55">
        <f t="shared" si="298"/>
        <v>0</v>
      </c>
      <c r="O798" s="95"/>
      <c r="P798" s="160">
        <v>0</v>
      </c>
      <c r="Q798" s="55">
        <f t="shared" si="299"/>
        <v>0</v>
      </c>
      <c r="R798" s="65">
        <f t="shared" si="300"/>
        <v>0</v>
      </c>
      <c r="S798" s="118">
        <v>15</v>
      </c>
      <c r="T798" s="121" t="s">
        <v>201</v>
      </c>
      <c r="U798" s="73">
        <f>SUMIF('Avoided Costs 2013-2021'!$A:$A,'2013 Actuals'!T798&amp;'2013 Actuals'!S798,'Avoided Costs 2013-2021'!$E:$E)*J798</f>
        <v>9991.8881038914005</v>
      </c>
      <c r="V798" s="73">
        <f>SUMIF('Avoided Costs 2013-2021'!$A:$A,'2013 Actuals'!T798&amp;'2013 Actuals'!S798,'Avoided Costs 2013-2021'!$K:$K)*N798</f>
        <v>0</v>
      </c>
      <c r="W798" s="73">
        <f>SUMIF('Avoided Costs 2013-2021'!$A:$A,'2013 Actuals'!T798&amp;'2013 Actuals'!S798,'Avoided Costs 2013-2021'!$M:$M)*R798</f>
        <v>0</v>
      </c>
      <c r="X798" s="73">
        <f t="shared" si="301"/>
        <v>9991.8881038914005</v>
      </c>
      <c r="Y798" s="83">
        <v>2895</v>
      </c>
      <c r="Z798" s="74">
        <f t="shared" si="302"/>
        <v>2316</v>
      </c>
      <c r="AA798" s="74"/>
      <c r="AB798" s="74"/>
      <c r="AC798" s="74"/>
      <c r="AD798" s="74">
        <f t="shared" si="303"/>
        <v>2316</v>
      </c>
      <c r="AE798" s="74">
        <f t="shared" si="304"/>
        <v>7675.8881038914005</v>
      </c>
      <c r="AF798" s="52">
        <f t="shared" si="305"/>
        <v>67063.776000000013</v>
      </c>
      <c r="AG798" s="52">
        <f t="shared" si="306"/>
        <v>83829.72</v>
      </c>
    </row>
    <row r="799" spans="1:33" s="21" customFormat="1" x14ac:dyDescent="0.2">
      <c r="A799" s="114" t="s">
        <v>713</v>
      </c>
      <c r="B799" s="114"/>
      <c r="C799" s="114"/>
      <c r="D799" s="160">
        <v>0</v>
      </c>
      <c r="E799" s="161"/>
      <c r="F799" s="162">
        <v>0.2</v>
      </c>
      <c r="G799" s="162"/>
      <c r="H799" s="52">
        <v>11196</v>
      </c>
      <c r="I799" s="52">
        <f t="shared" si="295"/>
        <v>9897.2639999999992</v>
      </c>
      <c r="J799" s="52">
        <f t="shared" si="296"/>
        <v>7917.8112000000001</v>
      </c>
      <c r="K799" s="61"/>
      <c r="L799" s="160">
        <v>0</v>
      </c>
      <c r="M799" s="55">
        <f t="shared" si="297"/>
        <v>0</v>
      </c>
      <c r="N799" s="55">
        <f t="shared" si="298"/>
        <v>0</v>
      </c>
      <c r="O799" s="95"/>
      <c r="P799" s="160">
        <v>0</v>
      </c>
      <c r="Q799" s="55">
        <f t="shared" si="299"/>
        <v>0</v>
      </c>
      <c r="R799" s="65">
        <f t="shared" si="300"/>
        <v>0</v>
      </c>
      <c r="S799" s="118">
        <v>25</v>
      </c>
      <c r="T799" s="121" t="s">
        <v>217</v>
      </c>
      <c r="U799" s="73">
        <f>SUMIF('Avoided Costs 2013-2021'!$A:$A,'2013 Actuals'!T799&amp;'2013 Actuals'!S799,'Avoided Costs 2013-2021'!$E:$E)*J799</f>
        <v>23310.597190920875</v>
      </c>
      <c r="V799" s="73">
        <f>SUMIF('Avoided Costs 2013-2021'!$A:$A,'2013 Actuals'!T799&amp;'2013 Actuals'!S799,'Avoided Costs 2013-2021'!$K:$K)*N799</f>
        <v>0</v>
      </c>
      <c r="W799" s="73">
        <f>SUMIF('Avoided Costs 2013-2021'!$A:$A,'2013 Actuals'!T799&amp;'2013 Actuals'!S799,'Avoided Costs 2013-2021'!$M:$M)*R799</f>
        <v>0</v>
      </c>
      <c r="X799" s="73">
        <f t="shared" si="301"/>
        <v>23310.597190920875</v>
      </c>
      <c r="Y799" s="83">
        <v>10030</v>
      </c>
      <c r="Z799" s="74">
        <f t="shared" si="302"/>
        <v>8024</v>
      </c>
      <c r="AA799" s="74"/>
      <c r="AB799" s="74"/>
      <c r="AC799" s="74"/>
      <c r="AD799" s="74">
        <f t="shared" si="303"/>
        <v>8024</v>
      </c>
      <c r="AE799" s="74">
        <f t="shared" si="304"/>
        <v>15286.597190920875</v>
      </c>
      <c r="AF799" s="52">
        <f t="shared" si="305"/>
        <v>197945.28</v>
      </c>
      <c r="AG799" s="52">
        <f t="shared" si="306"/>
        <v>247431.59999999998</v>
      </c>
    </row>
    <row r="800" spans="1:33" s="21" customFormat="1" x14ac:dyDescent="0.2">
      <c r="A800" s="114" t="s">
        <v>714</v>
      </c>
      <c r="B800" s="114"/>
      <c r="C800" s="114"/>
      <c r="D800" s="160">
        <v>1</v>
      </c>
      <c r="E800" s="161"/>
      <c r="F800" s="162">
        <v>0.2</v>
      </c>
      <c r="G800" s="162"/>
      <c r="H800" s="52">
        <v>50664</v>
      </c>
      <c r="I800" s="52">
        <f t="shared" si="295"/>
        <v>44786.976000000002</v>
      </c>
      <c r="J800" s="52">
        <f t="shared" si="296"/>
        <v>35829.580800000003</v>
      </c>
      <c r="K800" s="61"/>
      <c r="L800" s="160">
        <v>0</v>
      </c>
      <c r="M800" s="55">
        <f t="shared" si="297"/>
        <v>0</v>
      </c>
      <c r="N800" s="55">
        <f t="shared" si="298"/>
        <v>0</v>
      </c>
      <c r="O800" s="95"/>
      <c r="P800" s="160">
        <v>0</v>
      </c>
      <c r="Q800" s="55">
        <f t="shared" si="299"/>
        <v>0</v>
      </c>
      <c r="R800" s="65">
        <f t="shared" si="300"/>
        <v>0</v>
      </c>
      <c r="S800" s="118">
        <v>25</v>
      </c>
      <c r="T800" s="121" t="s">
        <v>201</v>
      </c>
      <c r="U800" s="73">
        <f>SUMIF('Avoided Costs 2013-2021'!$A:$A,'2013 Actuals'!T800&amp;'2013 Actuals'!S800,'Avoided Costs 2013-2021'!$E:$E)*J800</f>
        <v>112402.50595770142</v>
      </c>
      <c r="V800" s="73">
        <f>SUMIF('Avoided Costs 2013-2021'!$A:$A,'2013 Actuals'!T800&amp;'2013 Actuals'!S800,'Avoided Costs 2013-2021'!$K:$K)*N800</f>
        <v>0</v>
      </c>
      <c r="W800" s="73">
        <f>SUMIF('Avoided Costs 2013-2021'!$A:$A,'2013 Actuals'!T800&amp;'2013 Actuals'!S800,'Avoided Costs 2013-2021'!$M:$M)*R800</f>
        <v>0</v>
      </c>
      <c r="X800" s="73">
        <f t="shared" si="301"/>
        <v>112402.50595770142</v>
      </c>
      <c r="Y800" s="83">
        <v>43110</v>
      </c>
      <c r="Z800" s="74">
        <f t="shared" si="302"/>
        <v>34488</v>
      </c>
      <c r="AA800" s="74"/>
      <c r="AB800" s="74"/>
      <c r="AC800" s="74"/>
      <c r="AD800" s="74">
        <f t="shared" si="303"/>
        <v>34488</v>
      </c>
      <c r="AE800" s="74">
        <f t="shared" si="304"/>
        <v>77914.505957701418</v>
      </c>
      <c r="AF800" s="52">
        <f t="shared" si="305"/>
        <v>895739.52000000014</v>
      </c>
      <c r="AG800" s="52">
        <f t="shared" si="306"/>
        <v>1119674.4000000001</v>
      </c>
    </row>
    <row r="801" spans="1:33" s="21" customFormat="1" x14ac:dyDescent="0.2">
      <c r="A801" s="114" t="s">
        <v>715</v>
      </c>
      <c r="B801" s="114"/>
      <c r="C801" s="114"/>
      <c r="D801" s="160">
        <v>1</v>
      </c>
      <c r="E801" s="161"/>
      <c r="F801" s="162">
        <v>0.2</v>
      </c>
      <c r="G801" s="162"/>
      <c r="H801" s="52">
        <v>5369</v>
      </c>
      <c r="I801" s="52">
        <f t="shared" si="295"/>
        <v>4746.1959999999999</v>
      </c>
      <c r="J801" s="52">
        <f t="shared" si="296"/>
        <v>3796.9567999999999</v>
      </c>
      <c r="K801" s="61"/>
      <c r="L801" s="160">
        <v>0</v>
      </c>
      <c r="M801" s="55">
        <f t="shared" si="297"/>
        <v>0</v>
      </c>
      <c r="N801" s="55">
        <f t="shared" si="298"/>
        <v>0</v>
      </c>
      <c r="O801" s="95"/>
      <c r="P801" s="160">
        <v>0</v>
      </c>
      <c r="Q801" s="55">
        <f t="shared" si="299"/>
        <v>0</v>
      </c>
      <c r="R801" s="65">
        <f t="shared" si="300"/>
        <v>0</v>
      </c>
      <c r="S801" s="118">
        <v>25</v>
      </c>
      <c r="T801" s="121" t="s">
        <v>217</v>
      </c>
      <c r="U801" s="73">
        <f>SUMIF('Avoided Costs 2013-2021'!$A:$A,'2013 Actuals'!T801&amp;'2013 Actuals'!S801,'Avoided Costs 2013-2021'!$E:$E)*J801</f>
        <v>11178.509853345318</v>
      </c>
      <c r="V801" s="73">
        <f>SUMIF('Avoided Costs 2013-2021'!$A:$A,'2013 Actuals'!T801&amp;'2013 Actuals'!S801,'Avoided Costs 2013-2021'!$K:$K)*N801</f>
        <v>0</v>
      </c>
      <c r="W801" s="73">
        <f>SUMIF('Avoided Costs 2013-2021'!$A:$A,'2013 Actuals'!T801&amp;'2013 Actuals'!S801,'Avoided Costs 2013-2021'!$M:$M)*R801</f>
        <v>0</v>
      </c>
      <c r="X801" s="73">
        <f t="shared" si="301"/>
        <v>11178.509853345318</v>
      </c>
      <c r="Y801" s="83">
        <v>4712</v>
      </c>
      <c r="Z801" s="74">
        <f t="shared" si="302"/>
        <v>3769.6000000000004</v>
      </c>
      <c r="AA801" s="74"/>
      <c r="AB801" s="74"/>
      <c r="AC801" s="74"/>
      <c r="AD801" s="74">
        <f t="shared" si="303"/>
        <v>3769.6000000000004</v>
      </c>
      <c r="AE801" s="74">
        <f t="shared" si="304"/>
        <v>7408.909853345318</v>
      </c>
      <c r="AF801" s="52">
        <f t="shared" si="305"/>
        <v>94923.92</v>
      </c>
      <c r="AG801" s="52">
        <f t="shared" si="306"/>
        <v>118654.9</v>
      </c>
    </row>
    <row r="802" spans="1:33" s="21" customFormat="1" x14ac:dyDescent="0.2">
      <c r="A802" s="114" t="s">
        <v>716</v>
      </c>
      <c r="B802" s="114"/>
      <c r="C802" s="114"/>
      <c r="D802" s="160">
        <v>0</v>
      </c>
      <c r="E802" s="161"/>
      <c r="F802" s="162">
        <v>0.2</v>
      </c>
      <c r="G802" s="162"/>
      <c r="H802" s="52">
        <v>1396</v>
      </c>
      <c r="I802" s="52">
        <f t="shared" si="295"/>
        <v>1234.0640000000001</v>
      </c>
      <c r="J802" s="52">
        <f t="shared" si="296"/>
        <v>987.25120000000015</v>
      </c>
      <c r="K802" s="61"/>
      <c r="L802" s="160">
        <v>0</v>
      </c>
      <c r="M802" s="55">
        <f t="shared" si="297"/>
        <v>0</v>
      </c>
      <c r="N802" s="55">
        <f t="shared" si="298"/>
        <v>0</v>
      </c>
      <c r="O802" s="95"/>
      <c r="P802" s="160">
        <v>0</v>
      </c>
      <c r="Q802" s="55">
        <f t="shared" si="299"/>
        <v>0</v>
      </c>
      <c r="R802" s="65">
        <f t="shared" si="300"/>
        <v>0</v>
      </c>
      <c r="S802" s="118">
        <v>25</v>
      </c>
      <c r="T802" s="121" t="s">
        <v>217</v>
      </c>
      <c r="U802" s="73">
        <f>SUMIF('Avoided Costs 2013-2021'!$A:$A,'2013 Actuals'!T802&amp;'2013 Actuals'!S802,'Avoided Costs 2013-2021'!$E:$E)*J802</f>
        <v>2906.537484684311</v>
      </c>
      <c r="V802" s="73">
        <f>SUMIF('Avoided Costs 2013-2021'!$A:$A,'2013 Actuals'!T802&amp;'2013 Actuals'!S802,'Avoided Costs 2013-2021'!$K:$K)*N802</f>
        <v>0</v>
      </c>
      <c r="W802" s="73">
        <f>SUMIF('Avoided Costs 2013-2021'!$A:$A,'2013 Actuals'!T802&amp;'2013 Actuals'!S802,'Avoided Costs 2013-2021'!$M:$M)*R802</f>
        <v>0</v>
      </c>
      <c r="X802" s="73">
        <f t="shared" si="301"/>
        <v>2906.537484684311</v>
      </c>
      <c r="Y802" s="83">
        <v>4797</v>
      </c>
      <c r="Z802" s="74">
        <f t="shared" si="302"/>
        <v>3837.6000000000004</v>
      </c>
      <c r="AA802" s="74"/>
      <c r="AB802" s="74"/>
      <c r="AC802" s="74"/>
      <c r="AD802" s="74">
        <f t="shared" si="303"/>
        <v>3837.6000000000004</v>
      </c>
      <c r="AE802" s="74">
        <f t="shared" si="304"/>
        <v>-931.06251531568932</v>
      </c>
      <c r="AF802" s="52">
        <f t="shared" si="305"/>
        <v>24681.280000000002</v>
      </c>
      <c r="AG802" s="52">
        <f t="shared" si="306"/>
        <v>30851.600000000002</v>
      </c>
    </row>
    <row r="803" spans="1:33" s="21" customFormat="1" x14ac:dyDescent="0.2">
      <c r="A803" s="114" t="s">
        <v>717</v>
      </c>
      <c r="B803" s="114"/>
      <c r="C803" s="114"/>
      <c r="D803" s="160">
        <v>1</v>
      </c>
      <c r="E803" s="161"/>
      <c r="F803" s="162">
        <v>0.2</v>
      </c>
      <c r="G803" s="162"/>
      <c r="H803" s="52">
        <v>17662</v>
      </c>
      <c r="I803" s="52">
        <f t="shared" si="295"/>
        <v>15613.208000000001</v>
      </c>
      <c r="J803" s="52">
        <f t="shared" si="296"/>
        <v>12490.566400000002</v>
      </c>
      <c r="K803" s="61"/>
      <c r="L803" s="160">
        <v>0</v>
      </c>
      <c r="M803" s="55">
        <f t="shared" si="297"/>
        <v>0</v>
      </c>
      <c r="N803" s="55">
        <f t="shared" si="298"/>
        <v>0</v>
      </c>
      <c r="O803" s="95"/>
      <c r="P803" s="160">
        <v>0</v>
      </c>
      <c r="Q803" s="55">
        <f t="shared" si="299"/>
        <v>0</v>
      </c>
      <c r="R803" s="65">
        <f t="shared" si="300"/>
        <v>0</v>
      </c>
      <c r="S803" s="118">
        <v>25</v>
      </c>
      <c r="T803" s="121" t="s">
        <v>201</v>
      </c>
      <c r="U803" s="73">
        <f>SUMIF('Avoided Costs 2013-2021'!$A:$A,'2013 Actuals'!T803&amp;'2013 Actuals'!S803,'Avoided Costs 2013-2021'!$E:$E)*J803</f>
        <v>39184.688540678246</v>
      </c>
      <c r="V803" s="73">
        <f>SUMIF('Avoided Costs 2013-2021'!$A:$A,'2013 Actuals'!T803&amp;'2013 Actuals'!S803,'Avoided Costs 2013-2021'!$K:$K)*N803</f>
        <v>0</v>
      </c>
      <c r="W803" s="73">
        <f>SUMIF('Avoided Costs 2013-2021'!$A:$A,'2013 Actuals'!T803&amp;'2013 Actuals'!S803,'Avoided Costs 2013-2021'!$M:$M)*R803</f>
        <v>0</v>
      </c>
      <c r="X803" s="73">
        <f t="shared" si="301"/>
        <v>39184.688540678246</v>
      </c>
      <c r="Y803" s="83">
        <v>7166</v>
      </c>
      <c r="Z803" s="74">
        <f t="shared" si="302"/>
        <v>5732.8</v>
      </c>
      <c r="AA803" s="74"/>
      <c r="AB803" s="74"/>
      <c r="AC803" s="74"/>
      <c r="AD803" s="74">
        <f t="shared" si="303"/>
        <v>5732.8</v>
      </c>
      <c r="AE803" s="74">
        <f t="shared" si="304"/>
        <v>33451.888540678243</v>
      </c>
      <c r="AF803" s="52">
        <f t="shared" si="305"/>
        <v>312264.16000000003</v>
      </c>
      <c r="AG803" s="52">
        <f t="shared" si="306"/>
        <v>390330.2</v>
      </c>
    </row>
    <row r="804" spans="1:33" s="21" customFormat="1" x14ac:dyDescent="0.2">
      <c r="A804" s="114" t="s">
        <v>718</v>
      </c>
      <c r="B804" s="114"/>
      <c r="C804" s="114"/>
      <c r="D804" s="160">
        <v>1</v>
      </c>
      <c r="E804" s="161"/>
      <c r="F804" s="162">
        <v>0.2</v>
      </c>
      <c r="G804" s="162"/>
      <c r="H804" s="52">
        <v>49367</v>
      </c>
      <c r="I804" s="52">
        <f t="shared" si="295"/>
        <v>43640.428</v>
      </c>
      <c r="J804" s="52">
        <f t="shared" si="296"/>
        <v>34912.342400000001</v>
      </c>
      <c r="K804" s="61"/>
      <c r="L804" s="160">
        <v>52784</v>
      </c>
      <c r="M804" s="55">
        <f t="shared" si="297"/>
        <v>52784</v>
      </c>
      <c r="N804" s="55">
        <f t="shared" si="298"/>
        <v>42227.200000000004</v>
      </c>
      <c r="O804" s="95"/>
      <c r="P804" s="160">
        <v>0</v>
      </c>
      <c r="Q804" s="55">
        <f t="shared" si="299"/>
        <v>0</v>
      </c>
      <c r="R804" s="65">
        <f t="shared" si="300"/>
        <v>0</v>
      </c>
      <c r="S804" s="118">
        <v>15</v>
      </c>
      <c r="T804" s="121" t="s">
        <v>201</v>
      </c>
      <c r="U804" s="73">
        <f>SUMIF('Avoided Costs 2013-2021'!$A:$A,'2013 Actuals'!T804&amp;'2013 Actuals'!S804,'Avoided Costs 2013-2021'!$E:$E)*J804</f>
        <v>78024.286622082684</v>
      </c>
      <c r="V804" s="73">
        <f>SUMIF('Avoided Costs 2013-2021'!$A:$A,'2013 Actuals'!T804&amp;'2013 Actuals'!S804,'Avoided Costs 2013-2021'!$K:$K)*N804</f>
        <v>44207.388337577017</v>
      </c>
      <c r="W804" s="73">
        <f>SUMIF('Avoided Costs 2013-2021'!$A:$A,'2013 Actuals'!T804&amp;'2013 Actuals'!S804,'Avoided Costs 2013-2021'!$M:$M)*R804</f>
        <v>0</v>
      </c>
      <c r="X804" s="73">
        <f t="shared" si="301"/>
        <v>122231.67495965969</v>
      </c>
      <c r="Y804" s="83">
        <v>50556</v>
      </c>
      <c r="Z804" s="74">
        <f t="shared" si="302"/>
        <v>40444.800000000003</v>
      </c>
      <c r="AA804" s="74"/>
      <c r="AB804" s="74"/>
      <c r="AC804" s="74"/>
      <c r="AD804" s="74">
        <f t="shared" si="303"/>
        <v>40444.800000000003</v>
      </c>
      <c r="AE804" s="74">
        <f t="shared" si="304"/>
        <v>81786.87495965969</v>
      </c>
      <c r="AF804" s="52">
        <f t="shared" si="305"/>
        <v>523685.136</v>
      </c>
      <c r="AG804" s="52">
        <f t="shared" si="306"/>
        <v>654606.42000000004</v>
      </c>
    </row>
    <row r="805" spans="1:33" s="21" customFormat="1" x14ac:dyDescent="0.2">
      <c r="A805" s="114" t="s">
        <v>719</v>
      </c>
      <c r="B805" s="114"/>
      <c r="C805" s="114"/>
      <c r="D805" s="160">
        <v>1</v>
      </c>
      <c r="E805" s="161"/>
      <c r="F805" s="162">
        <v>0.2</v>
      </c>
      <c r="G805" s="162"/>
      <c r="H805" s="52">
        <v>5368</v>
      </c>
      <c r="I805" s="52">
        <f t="shared" si="295"/>
        <v>4745.3119999999999</v>
      </c>
      <c r="J805" s="52">
        <f t="shared" si="296"/>
        <v>3796.2496000000001</v>
      </c>
      <c r="K805" s="61"/>
      <c r="L805" s="160">
        <v>0</v>
      </c>
      <c r="M805" s="55">
        <f t="shared" si="297"/>
        <v>0</v>
      </c>
      <c r="N805" s="55">
        <f t="shared" si="298"/>
        <v>0</v>
      </c>
      <c r="O805" s="95"/>
      <c r="P805" s="160">
        <v>0</v>
      </c>
      <c r="Q805" s="55">
        <f t="shared" si="299"/>
        <v>0</v>
      </c>
      <c r="R805" s="65">
        <f t="shared" si="300"/>
        <v>0</v>
      </c>
      <c r="S805" s="118">
        <v>25</v>
      </c>
      <c r="T805" s="121" t="s">
        <v>217</v>
      </c>
      <c r="U805" s="73">
        <f>SUMIF('Avoided Costs 2013-2021'!$A:$A,'2013 Actuals'!T805&amp;'2013 Actuals'!S805,'Avoided Costs 2013-2021'!$E:$E)*J805</f>
        <v>11176.427806436519</v>
      </c>
      <c r="V805" s="73">
        <f>SUMIF('Avoided Costs 2013-2021'!$A:$A,'2013 Actuals'!T805&amp;'2013 Actuals'!S805,'Avoided Costs 2013-2021'!$K:$K)*N805</f>
        <v>0</v>
      </c>
      <c r="W805" s="73">
        <f>SUMIF('Avoided Costs 2013-2021'!$A:$A,'2013 Actuals'!T805&amp;'2013 Actuals'!S805,'Avoided Costs 2013-2021'!$M:$M)*R805</f>
        <v>0</v>
      </c>
      <c r="X805" s="73">
        <f t="shared" si="301"/>
        <v>11176.427806436519</v>
      </c>
      <c r="Y805" s="83">
        <v>8105</v>
      </c>
      <c r="Z805" s="74">
        <f t="shared" si="302"/>
        <v>6484</v>
      </c>
      <c r="AA805" s="74"/>
      <c r="AB805" s="74"/>
      <c r="AC805" s="74"/>
      <c r="AD805" s="74">
        <f t="shared" si="303"/>
        <v>6484</v>
      </c>
      <c r="AE805" s="74">
        <f t="shared" si="304"/>
        <v>4692.4278064365189</v>
      </c>
      <c r="AF805" s="52">
        <f t="shared" si="305"/>
        <v>94906.240000000005</v>
      </c>
      <c r="AG805" s="52">
        <f t="shared" si="306"/>
        <v>118632.8</v>
      </c>
    </row>
    <row r="806" spans="1:33" s="21" customFormat="1" x14ac:dyDescent="0.2">
      <c r="A806" s="114" t="s">
        <v>720</v>
      </c>
      <c r="B806" s="114"/>
      <c r="C806" s="114"/>
      <c r="D806" s="160">
        <v>1</v>
      </c>
      <c r="E806" s="161"/>
      <c r="F806" s="162">
        <v>0.2</v>
      </c>
      <c r="G806" s="162"/>
      <c r="H806" s="52">
        <v>34994</v>
      </c>
      <c r="I806" s="52">
        <f t="shared" si="295"/>
        <v>30934.696</v>
      </c>
      <c r="J806" s="52">
        <f t="shared" si="296"/>
        <v>24747.756800000003</v>
      </c>
      <c r="K806" s="61"/>
      <c r="L806" s="160">
        <v>0</v>
      </c>
      <c r="M806" s="55">
        <f t="shared" si="297"/>
        <v>0</v>
      </c>
      <c r="N806" s="55">
        <f t="shared" si="298"/>
        <v>0</v>
      </c>
      <c r="O806" s="95"/>
      <c r="P806" s="160">
        <v>0</v>
      </c>
      <c r="Q806" s="55">
        <f t="shared" si="299"/>
        <v>0</v>
      </c>
      <c r="R806" s="65">
        <f t="shared" si="300"/>
        <v>0</v>
      </c>
      <c r="S806" s="118">
        <v>25</v>
      </c>
      <c r="T806" s="121" t="s">
        <v>217</v>
      </c>
      <c r="U806" s="73">
        <f>SUMIF('Avoided Costs 2013-2021'!$A:$A,'2013 Actuals'!T806&amp;'2013 Actuals'!S806,'Avoided Costs 2013-2021'!$E:$E)*J806</f>
        <v>72859.149526534937</v>
      </c>
      <c r="V806" s="73">
        <f>SUMIF('Avoided Costs 2013-2021'!$A:$A,'2013 Actuals'!T806&amp;'2013 Actuals'!S806,'Avoided Costs 2013-2021'!$K:$K)*N806</f>
        <v>0</v>
      </c>
      <c r="W806" s="73">
        <f>SUMIF('Avoided Costs 2013-2021'!$A:$A,'2013 Actuals'!T806&amp;'2013 Actuals'!S806,'Avoided Costs 2013-2021'!$M:$M)*R806</f>
        <v>0</v>
      </c>
      <c r="X806" s="73">
        <f t="shared" si="301"/>
        <v>72859.149526534937</v>
      </c>
      <c r="Y806" s="83">
        <v>23325</v>
      </c>
      <c r="Z806" s="74">
        <f t="shared" si="302"/>
        <v>18660</v>
      </c>
      <c r="AA806" s="74"/>
      <c r="AB806" s="74"/>
      <c r="AC806" s="74"/>
      <c r="AD806" s="74">
        <f t="shared" si="303"/>
        <v>18660</v>
      </c>
      <c r="AE806" s="74">
        <f t="shared" si="304"/>
        <v>54199.149526534937</v>
      </c>
      <c r="AF806" s="52">
        <f t="shared" si="305"/>
        <v>618693.92000000004</v>
      </c>
      <c r="AG806" s="52">
        <f t="shared" si="306"/>
        <v>773367.4</v>
      </c>
    </row>
    <row r="807" spans="1:33" s="21" customFormat="1" x14ac:dyDescent="0.2">
      <c r="A807" s="114" t="s">
        <v>721</v>
      </c>
      <c r="B807" s="114"/>
      <c r="C807" s="114"/>
      <c r="D807" s="160">
        <v>1</v>
      </c>
      <c r="E807" s="161"/>
      <c r="F807" s="162">
        <v>0.2</v>
      </c>
      <c r="G807" s="162"/>
      <c r="H807" s="52">
        <v>818</v>
      </c>
      <c r="I807" s="52">
        <f t="shared" si="295"/>
        <v>723.11199999999997</v>
      </c>
      <c r="J807" s="52">
        <f t="shared" si="296"/>
        <v>578.4896</v>
      </c>
      <c r="K807" s="61"/>
      <c r="L807" s="160">
        <v>0</v>
      </c>
      <c r="M807" s="55">
        <f t="shared" si="297"/>
        <v>0</v>
      </c>
      <c r="N807" s="55">
        <f t="shared" si="298"/>
        <v>0</v>
      </c>
      <c r="O807" s="95"/>
      <c r="P807" s="160">
        <v>0</v>
      </c>
      <c r="Q807" s="55">
        <f t="shared" si="299"/>
        <v>0</v>
      </c>
      <c r="R807" s="65">
        <f t="shared" si="300"/>
        <v>0</v>
      </c>
      <c r="S807" s="118">
        <v>15</v>
      </c>
      <c r="T807" s="121" t="s">
        <v>201</v>
      </c>
      <c r="U807" s="73">
        <f>SUMIF('Avoided Costs 2013-2021'!$A:$A,'2013 Actuals'!T807&amp;'2013 Actuals'!S807,'Avoided Costs 2013-2021'!$E:$E)*J807</f>
        <v>1292.8447435911364</v>
      </c>
      <c r="V807" s="73">
        <f>SUMIF('Avoided Costs 2013-2021'!$A:$A,'2013 Actuals'!T807&amp;'2013 Actuals'!S807,'Avoided Costs 2013-2021'!$K:$K)*N807</f>
        <v>0</v>
      </c>
      <c r="W807" s="73">
        <f>SUMIF('Avoided Costs 2013-2021'!$A:$A,'2013 Actuals'!T807&amp;'2013 Actuals'!S807,'Avoided Costs 2013-2021'!$M:$M)*R807</f>
        <v>0</v>
      </c>
      <c r="X807" s="73">
        <f t="shared" si="301"/>
        <v>1292.8447435911364</v>
      </c>
      <c r="Y807" s="83">
        <v>579</v>
      </c>
      <c r="Z807" s="74">
        <f t="shared" si="302"/>
        <v>463.20000000000005</v>
      </c>
      <c r="AA807" s="74"/>
      <c r="AB807" s="74"/>
      <c r="AC807" s="74"/>
      <c r="AD807" s="74">
        <f t="shared" si="303"/>
        <v>463.20000000000005</v>
      </c>
      <c r="AE807" s="74">
        <f t="shared" si="304"/>
        <v>829.64474359113638</v>
      </c>
      <c r="AF807" s="52">
        <f t="shared" si="305"/>
        <v>8677.3439999999991</v>
      </c>
      <c r="AG807" s="52">
        <f t="shared" si="306"/>
        <v>10846.68</v>
      </c>
    </row>
    <row r="808" spans="1:33" s="21" customFormat="1" x14ac:dyDescent="0.2">
      <c r="A808" s="114" t="s">
        <v>722</v>
      </c>
      <c r="B808" s="114"/>
      <c r="C808" s="114"/>
      <c r="D808" s="160">
        <v>1</v>
      </c>
      <c r="E808" s="161"/>
      <c r="F808" s="162">
        <v>0.2</v>
      </c>
      <c r="G808" s="162"/>
      <c r="H808" s="52">
        <v>885</v>
      </c>
      <c r="I808" s="52">
        <f t="shared" si="295"/>
        <v>782.34</v>
      </c>
      <c r="J808" s="52">
        <f t="shared" si="296"/>
        <v>625.87200000000007</v>
      </c>
      <c r="K808" s="61"/>
      <c r="L808" s="160">
        <v>0</v>
      </c>
      <c r="M808" s="55">
        <f t="shared" si="297"/>
        <v>0</v>
      </c>
      <c r="N808" s="55">
        <f t="shared" si="298"/>
        <v>0</v>
      </c>
      <c r="O808" s="95"/>
      <c r="P808" s="160">
        <v>0</v>
      </c>
      <c r="Q808" s="55">
        <f t="shared" si="299"/>
        <v>0</v>
      </c>
      <c r="R808" s="65">
        <f t="shared" si="300"/>
        <v>0</v>
      </c>
      <c r="S808" s="118">
        <v>15</v>
      </c>
      <c r="T808" s="121" t="s">
        <v>201</v>
      </c>
      <c r="U808" s="73">
        <f>SUMIF('Avoided Costs 2013-2021'!$A:$A,'2013 Actuals'!T808&amp;'2013 Actuals'!S808,'Avoided Costs 2013-2021'!$E:$E)*J808</f>
        <v>1398.7378949610707</v>
      </c>
      <c r="V808" s="73">
        <f>SUMIF('Avoided Costs 2013-2021'!$A:$A,'2013 Actuals'!T808&amp;'2013 Actuals'!S808,'Avoided Costs 2013-2021'!$K:$K)*N808</f>
        <v>0</v>
      </c>
      <c r="W808" s="73">
        <f>SUMIF('Avoided Costs 2013-2021'!$A:$A,'2013 Actuals'!T808&amp;'2013 Actuals'!S808,'Avoided Costs 2013-2021'!$M:$M)*R808</f>
        <v>0</v>
      </c>
      <c r="X808" s="73">
        <f t="shared" si="301"/>
        <v>1398.7378949610707</v>
      </c>
      <c r="Y808" s="83">
        <v>579</v>
      </c>
      <c r="Z808" s="74">
        <f t="shared" si="302"/>
        <v>463.20000000000005</v>
      </c>
      <c r="AA808" s="74"/>
      <c r="AB808" s="74"/>
      <c r="AC808" s="74"/>
      <c r="AD808" s="74">
        <f t="shared" si="303"/>
        <v>463.20000000000005</v>
      </c>
      <c r="AE808" s="74">
        <f t="shared" si="304"/>
        <v>935.53789496107061</v>
      </c>
      <c r="AF808" s="52">
        <f t="shared" si="305"/>
        <v>9388.0800000000017</v>
      </c>
      <c r="AG808" s="52">
        <f t="shared" si="306"/>
        <v>11735.1</v>
      </c>
    </row>
    <row r="809" spans="1:33" s="21" customFormat="1" x14ac:dyDescent="0.2">
      <c r="A809" s="116" t="s">
        <v>723</v>
      </c>
      <c r="B809" s="116"/>
      <c r="C809" s="116"/>
      <c r="D809" s="151">
        <v>1</v>
      </c>
      <c r="E809" s="152"/>
      <c r="F809" s="153">
        <v>0.2</v>
      </c>
      <c r="G809" s="153"/>
      <c r="H809" s="52">
        <v>1651</v>
      </c>
      <c r="I809" s="52">
        <f t="shared" si="295"/>
        <v>1459.4839999999999</v>
      </c>
      <c r="J809" s="52">
        <f t="shared" si="296"/>
        <v>1167.5871999999999</v>
      </c>
      <c r="K809" s="152"/>
      <c r="L809" s="151">
        <v>0</v>
      </c>
      <c r="M809" s="55">
        <f t="shared" si="297"/>
        <v>0</v>
      </c>
      <c r="N809" s="55">
        <f t="shared" si="298"/>
        <v>0</v>
      </c>
      <c r="O809" s="154"/>
      <c r="P809" s="151">
        <v>0</v>
      </c>
      <c r="Q809" s="55">
        <f t="shared" si="299"/>
        <v>0</v>
      </c>
      <c r="R809" s="65">
        <f t="shared" si="300"/>
        <v>0</v>
      </c>
      <c r="S809" s="118">
        <v>15</v>
      </c>
      <c r="T809" s="123" t="s">
        <v>201</v>
      </c>
      <c r="U809" s="73">
        <f>SUMIF('Avoided Costs 2013-2021'!$A:$A,'2013 Actuals'!T809&amp;'2013 Actuals'!S809,'Avoided Costs 2013-2021'!$E:$E)*J809</f>
        <v>2609.3969091307654</v>
      </c>
      <c r="V809" s="73">
        <f>SUMIF('Avoided Costs 2013-2021'!$A:$A,'2013 Actuals'!T809&amp;'2013 Actuals'!S809,'Avoided Costs 2013-2021'!$K:$K)*N809</f>
        <v>0</v>
      </c>
      <c r="W809" s="73">
        <f>SUMIF('Avoided Costs 2013-2021'!$A:$A,'2013 Actuals'!T809&amp;'2013 Actuals'!S809,'Avoided Costs 2013-2021'!$M:$M)*R809</f>
        <v>0</v>
      </c>
      <c r="X809" s="73">
        <f t="shared" si="301"/>
        <v>2609.3969091307654</v>
      </c>
      <c r="Y809" s="83">
        <v>965</v>
      </c>
      <c r="Z809" s="74">
        <f t="shared" si="302"/>
        <v>772</v>
      </c>
      <c r="AA809" s="74"/>
      <c r="AB809" s="74"/>
      <c r="AC809" s="74"/>
      <c r="AD809" s="74">
        <f t="shared" si="303"/>
        <v>772</v>
      </c>
      <c r="AE809" s="74">
        <f t="shared" si="304"/>
        <v>1837.3969091307654</v>
      </c>
      <c r="AF809" s="52">
        <f t="shared" si="305"/>
        <v>17513.807999999997</v>
      </c>
      <c r="AG809" s="52">
        <f t="shared" si="306"/>
        <v>21892.26</v>
      </c>
    </row>
    <row r="810" spans="1:33" s="21" customFormat="1" x14ac:dyDescent="0.2">
      <c r="A810" s="114" t="s">
        <v>724</v>
      </c>
      <c r="B810" s="114"/>
      <c r="C810" s="114"/>
      <c r="D810" s="160">
        <v>1</v>
      </c>
      <c r="E810" s="161"/>
      <c r="F810" s="162">
        <v>0.2</v>
      </c>
      <c r="G810" s="162"/>
      <c r="H810" s="52">
        <v>2244</v>
      </c>
      <c r="I810" s="52">
        <f t="shared" si="295"/>
        <v>1983.6959999999999</v>
      </c>
      <c r="J810" s="52">
        <f t="shared" si="296"/>
        <v>1586.9567999999999</v>
      </c>
      <c r="K810" s="61"/>
      <c r="L810" s="160">
        <v>0</v>
      </c>
      <c r="M810" s="55">
        <f t="shared" si="297"/>
        <v>0</v>
      </c>
      <c r="N810" s="55">
        <f t="shared" si="298"/>
        <v>0</v>
      </c>
      <c r="O810" s="95"/>
      <c r="P810" s="160">
        <v>0</v>
      </c>
      <c r="Q810" s="55">
        <f t="shared" si="299"/>
        <v>0</v>
      </c>
      <c r="R810" s="65">
        <f t="shared" si="300"/>
        <v>0</v>
      </c>
      <c r="S810" s="118">
        <v>15</v>
      </c>
      <c r="T810" s="121" t="s">
        <v>201</v>
      </c>
      <c r="U810" s="73">
        <f>SUMIF('Avoided Costs 2013-2021'!$A:$A,'2013 Actuals'!T810&amp;'2013 Actuals'!S810,'Avoided Costs 2013-2021'!$E:$E)*J810</f>
        <v>3546.6303234945112</v>
      </c>
      <c r="V810" s="73">
        <f>SUMIF('Avoided Costs 2013-2021'!$A:$A,'2013 Actuals'!T810&amp;'2013 Actuals'!S810,'Avoided Costs 2013-2021'!$K:$K)*N810</f>
        <v>0</v>
      </c>
      <c r="W810" s="73">
        <f>SUMIF('Avoided Costs 2013-2021'!$A:$A,'2013 Actuals'!T810&amp;'2013 Actuals'!S810,'Avoided Costs 2013-2021'!$M:$M)*R810</f>
        <v>0</v>
      </c>
      <c r="X810" s="73">
        <f t="shared" si="301"/>
        <v>3546.6303234945112</v>
      </c>
      <c r="Y810" s="83">
        <v>1158</v>
      </c>
      <c r="Z810" s="74">
        <f t="shared" si="302"/>
        <v>926.40000000000009</v>
      </c>
      <c r="AA810" s="74"/>
      <c r="AB810" s="74"/>
      <c r="AC810" s="74"/>
      <c r="AD810" s="74">
        <f t="shared" si="303"/>
        <v>926.40000000000009</v>
      </c>
      <c r="AE810" s="74">
        <f t="shared" si="304"/>
        <v>2620.2303234945111</v>
      </c>
      <c r="AF810" s="52">
        <f t="shared" si="305"/>
        <v>23804.351999999999</v>
      </c>
      <c r="AG810" s="52">
        <f t="shared" si="306"/>
        <v>29755.439999999999</v>
      </c>
    </row>
    <row r="811" spans="1:33" s="21" customFormat="1" x14ac:dyDescent="0.2">
      <c r="A811" s="114" t="s">
        <v>725</v>
      </c>
      <c r="B811" s="114"/>
      <c r="C811" s="114"/>
      <c r="D811" s="160">
        <v>1</v>
      </c>
      <c r="E811" s="161"/>
      <c r="F811" s="162">
        <v>0.2</v>
      </c>
      <c r="G811" s="162"/>
      <c r="H811" s="52">
        <v>1370</v>
      </c>
      <c r="I811" s="52">
        <f t="shared" si="295"/>
        <v>1211.08</v>
      </c>
      <c r="J811" s="52">
        <f t="shared" si="296"/>
        <v>968.86400000000003</v>
      </c>
      <c r="K811" s="61"/>
      <c r="L811" s="160">
        <v>0</v>
      </c>
      <c r="M811" s="55">
        <f t="shared" si="297"/>
        <v>0</v>
      </c>
      <c r="N811" s="55">
        <f t="shared" si="298"/>
        <v>0</v>
      </c>
      <c r="O811" s="95"/>
      <c r="P811" s="160">
        <v>0</v>
      </c>
      <c r="Q811" s="55">
        <f t="shared" si="299"/>
        <v>0</v>
      </c>
      <c r="R811" s="65">
        <f t="shared" si="300"/>
        <v>0</v>
      </c>
      <c r="S811" s="118">
        <v>15</v>
      </c>
      <c r="T811" s="121" t="s">
        <v>201</v>
      </c>
      <c r="U811" s="73">
        <f>SUMIF('Avoided Costs 2013-2021'!$A:$A,'2013 Actuals'!T811&amp;'2013 Actuals'!S811,'Avoided Costs 2013-2021'!$E:$E)*J811</f>
        <v>2165.2778712956688</v>
      </c>
      <c r="V811" s="73">
        <f>SUMIF('Avoided Costs 2013-2021'!$A:$A,'2013 Actuals'!T811&amp;'2013 Actuals'!S811,'Avoided Costs 2013-2021'!$K:$K)*N811</f>
        <v>0</v>
      </c>
      <c r="W811" s="73">
        <f>SUMIF('Avoided Costs 2013-2021'!$A:$A,'2013 Actuals'!T811&amp;'2013 Actuals'!S811,'Avoided Costs 2013-2021'!$M:$M)*R811</f>
        <v>0</v>
      </c>
      <c r="X811" s="73">
        <f t="shared" si="301"/>
        <v>2165.2778712956688</v>
      </c>
      <c r="Y811" s="83">
        <v>772</v>
      </c>
      <c r="Z811" s="74">
        <f t="shared" si="302"/>
        <v>617.6</v>
      </c>
      <c r="AA811" s="74"/>
      <c r="AB811" s="74"/>
      <c r="AC811" s="74"/>
      <c r="AD811" s="74">
        <f t="shared" si="303"/>
        <v>617.6</v>
      </c>
      <c r="AE811" s="74">
        <f t="shared" si="304"/>
        <v>1547.6778712956689</v>
      </c>
      <c r="AF811" s="52">
        <f t="shared" si="305"/>
        <v>14532.960000000001</v>
      </c>
      <c r="AG811" s="52">
        <f t="shared" si="306"/>
        <v>18166.199999999997</v>
      </c>
    </row>
    <row r="812" spans="1:33" s="21" customFormat="1" x14ac:dyDescent="0.2">
      <c r="A812" s="114" t="s">
        <v>726</v>
      </c>
      <c r="B812" s="114"/>
      <c r="C812" s="114"/>
      <c r="D812" s="160">
        <v>1</v>
      </c>
      <c r="E812" s="161"/>
      <c r="F812" s="162">
        <v>0.2</v>
      </c>
      <c r="G812" s="162"/>
      <c r="H812" s="52">
        <v>32890</v>
      </c>
      <c r="I812" s="52">
        <f t="shared" si="295"/>
        <v>29074.760000000002</v>
      </c>
      <c r="J812" s="52">
        <f t="shared" si="296"/>
        <v>23259.808000000005</v>
      </c>
      <c r="K812" s="61"/>
      <c r="L812" s="160">
        <v>0</v>
      </c>
      <c r="M812" s="55">
        <f t="shared" si="297"/>
        <v>0</v>
      </c>
      <c r="N812" s="55">
        <f t="shared" si="298"/>
        <v>0</v>
      </c>
      <c r="O812" s="95"/>
      <c r="P812" s="160">
        <v>0</v>
      </c>
      <c r="Q812" s="55">
        <f t="shared" si="299"/>
        <v>0</v>
      </c>
      <c r="R812" s="65">
        <f t="shared" si="300"/>
        <v>0</v>
      </c>
      <c r="S812" s="118">
        <v>25</v>
      </c>
      <c r="T812" s="121" t="s">
        <v>201</v>
      </c>
      <c r="U812" s="73">
        <f>SUMIF('Avoided Costs 2013-2021'!$A:$A,'2013 Actuals'!T812&amp;'2013 Actuals'!S812,'Avoided Costs 2013-2021'!$E:$E)*J812</f>
        <v>72969.335641654834</v>
      </c>
      <c r="V812" s="73">
        <f>SUMIF('Avoided Costs 2013-2021'!$A:$A,'2013 Actuals'!T812&amp;'2013 Actuals'!S812,'Avoided Costs 2013-2021'!$K:$K)*N812</f>
        <v>0</v>
      </c>
      <c r="W812" s="73">
        <f>SUMIF('Avoided Costs 2013-2021'!$A:$A,'2013 Actuals'!T812&amp;'2013 Actuals'!S812,'Avoided Costs 2013-2021'!$M:$M)*R812</f>
        <v>0</v>
      </c>
      <c r="X812" s="73">
        <f t="shared" si="301"/>
        <v>72969.335641654834</v>
      </c>
      <c r="Y812" s="83">
        <v>27603</v>
      </c>
      <c r="Z812" s="74">
        <f t="shared" si="302"/>
        <v>22082.400000000001</v>
      </c>
      <c r="AA812" s="74"/>
      <c r="AB812" s="74"/>
      <c r="AC812" s="74"/>
      <c r="AD812" s="74">
        <f t="shared" si="303"/>
        <v>22082.400000000001</v>
      </c>
      <c r="AE812" s="74">
        <f t="shared" si="304"/>
        <v>50886.935641654833</v>
      </c>
      <c r="AF812" s="52">
        <f t="shared" si="305"/>
        <v>581495.20000000007</v>
      </c>
      <c r="AG812" s="52">
        <f t="shared" si="306"/>
        <v>726869</v>
      </c>
    </row>
    <row r="813" spans="1:33" s="21" customFormat="1" x14ac:dyDescent="0.2">
      <c r="A813" s="116" t="s">
        <v>727</v>
      </c>
      <c r="B813" s="116"/>
      <c r="C813" s="116"/>
      <c r="D813" s="151">
        <v>1</v>
      </c>
      <c r="E813" s="152"/>
      <c r="F813" s="153">
        <v>0.2</v>
      </c>
      <c r="G813" s="153"/>
      <c r="H813" s="52">
        <v>33277</v>
      </c>
      <c r="I813" s="52">
        <f t="shared" si="295"/>
        <v>29416.867999999999</v>
      </c>
      <c r="J813" s="52">
        <f t="shared" si="296"/>
        <v>23533.4944</v>
      </c>
      <c r="K813" s="152"/>
      <c r="L813" s="151">
        <v>0</v>
      </c>
      <c r="M813" s="55">
        <f t="shared" si="297"/>
        <v>0</v>
      </c>
      <c r="N813" s="55">
        <f t="shared" si="298"/>
        <v>0</v>
      </c>
      <c r="O813" s="154"/>
      <c r="P813" s="151">
        <v>0</v>
      </c>
      <c r="Q813" s="55">
        <f t="shared" si="299"/>
        <v>0</v>
      </c>
      <c r="R813" s="65">
        <f t="shared" si="300"/>
        <v>0</v>
      </c>
      <c r="S813" s="129">
        <v>25</v>
      </c>
      <c r="T813" s="123" t="s">
        <v>201</v>
      </c>
      <c r="U813" s="73">
        <f>SUMIF('Avoided Costs 2013-2021'!$A:$A,'2013 Actuals'!T813&amp;'2013 Actuals'!S813,'Avoided Costs 2013-2021'!$E:$E)*J813</f>
        <v>73827.928919043698</v>
      </c>
      <c r="V813" s="73">
        <f>SUMIF('Avoided Costs 2013-2021'!$A:$A,'2013 Actuals'!T813&amp;'2013 Actuals'!S813,'Avoided Costs 2013-2021'!$K:$K)*N813</f>
        <v>0</v>
      </c>
      <c r="W813" s="73">
        <f>SUMIF('Avoided Costs 2013-2021'!$A:$A,'2013 Actuals'!T813&amp;'2013 Actuals'!S813,'Avoided Costs 2013-2021'!$M:$M)*R813</f>
        <v>0</v>
      </c>
      <c r="X813" s="73">
        <f t="shared" si="301"/>
        <v>73827.928919043698</v>
      </c>
      <c r="Y813" s="83">
        <v>48040</v>
      </c>
      <c r="Z813" s="74">
        <f t="shared" si="302"/>
        <v>38432</v>
      </c>
      <c r="AA813" s="74"/>
      <c r="AB813" s="74"/>
      <c r="AC813" s="74"/>
      <c r="AD813" s="74">
        <f t="shared" si="303"/>
        <v>38432</v>
      </c>
      <c r="AE813" s="74">
        <f t="shared" si="304"/>
        <v>35395.928919043698</v>
      </c>
      <c r="AF813" s="52">
        <f t="shared" si="305"/>
        <v>588337.36</v>
      </c>
      <c r="AG813" s="52">
        <f t="shared" si="306"/>
        <v>735421.7</v>
      </c>
    </row>
    <row r="814" spans="1:33" s="21" customFormat="1" x14ac:dyDescent="0.2">
      <c r="A814" s="116" t="s">
        <v>728</v>
      </c>
      <c r="B814" s="116"/>
      <c r="C814" s="116"/>
      <c r="D814" s="151">
        <v>1</v>
      </c>
      <c r="E814" s="152"/>
      <c r="F814" s="153">
        <v>0.2</v>
      </c>
      <c r="G814" s="153"/>
      <c r="H814" s="52">
        <v>8086</v>
      </c>
      <c r="I814" s="52">
        <f t="shared" ref="I814:I851" si="307">+$H$39*H814</f>
        <v>7148.0240000000003</v>
      </c>
      <c r="J814" s="52">
        <f t="shared" ref="J814:J861" si="308">I814*(1-F814)</f>
        <v>5718.4192000000003</v>
      </c>
      <c r="K814" s="152"/>
      <c r="L814" s="151">
        <v>0</v>
      </c>
      <c r="M814" s="55">
        <f t="shared" ref="M814:M861" si="309">+$L$39*L814</f>
        <v>0</v>
      </c>
      <c r="N814" s="55">
        <f t="shared" ref="N814:N861" si="310">M814*(1-F814)</f>
        <v>0</v>
      </c>
      <c r="O814" s="154"/>
      <c r="P814" s="151">
        <v>0</v>
      </c>
      <c r="Q814" s="55">
        <f t="shared" ref="Q814:Q861" si="311">+P814*$P$39</f>
        <v>0</v>
      </c>
      <c r="R814" s="65">
        <f t="shared" ref="R814:R861" si="312">Q814*(1-F814)</f>
        <v>0</v>
      </c>
      <c r="S814" s="129">
        <v>15</v>
      </c>
      <c r="T814" s="123" t="s">
        <v>201</v>
      </c>
      <c r="U814" s="73">
        <f>SUMIF('Avoided Costs 2013-2021'!$A:$A,'2013 Actuals'!T814&amp;'2013 Actuals'!S814,'Avoided Costs 2013-2021'!$E:$E)*J814</f>
        <v>12779.880925034144</v>
      </c>
      <c r="V814" s="73">
        <f>SUMIF('Avoided Costs 2013-2021'!$A:$A,'2013 Actuals'!T814&amp;'2013 Actuals'!S814,'Avoided Costs 2013-2021'!$K:$K)*N814</f>
        <v>0</v>
      </c>
      <c r="W814" s="73">
        <f>SUMIF('Avoided Costs 2013-2021'!$A:$A,'2013 Actuals'!T814&amp;'2013 Actuals'!S814,'Avoided Costs 2013-2021'!$M:$M)*R814</f>
        <v>0</v>
      </c>
      <c r="X814" s="73">
        <f t="shared" ref="X814:X861" si="313">SUM(U814:W814)</f>
        <v>12779.880925034144</v>
      </c>
      <c r="Y814" s="83">
        <v>3800</v>
      </c>
      <c r="Z814" s="74">
        <f t="shared" ref="Z814:Z861" si="314">Y814*(1-F814)</f>
        <v>3040</v>
      </c>
      <c r="AA814" s="74"/>
      <c r="AB814" s="74"/>
      <c r="AC814" s="74"/>
      <c r="AD814" s="74">
        <f t="shared" ref="AD814:AD862" si="315">Z814+AB814</f>
        <v>3040</v>
      </c>
      <c r="AE814" s="74">
        <f t="shared" ref="AE814:AE862" si="316">X814-AD814</f>
        <v>9739.8809250341437</v>
      </c>
      <c r="AF814" s="52">
        <f t="shared" ref="AF814:AF861" si="317">J814*S814</f>
        <v>85776.288</v>
      </c>
      <c r="AG814" s="52">
        <f t="shared" ref="AG814:AG861" si="318">(I814*S814)</f>
        <v>107220.36</v>
      </c>
    </row>
    <row r="815" spans="1:33" s="21" customFormat="1" x14ac:dyDescent="0.2">
      <c r="A815" s="116" t="s">
        <v>729</v>
      </c>
      <c r="B815" s="116"/>
      <c r="C815" s="116"/>
      <c r="D815" s="151">
        <v>1</v>
      </c>
      <c r="E815" s="152"/>
      <c r="F815" s="153">
        <v>0.2</v>
      </c>
      <c r="G815" s="153"/>
      <c r="H815" s="52">
        <v>15981</v>
      </c>
      <c r="I815" s="52">
        <f t="shared" si="307"/>
        <v>14127.204</v>
      </c>
      <c r="J815" s="52">
        <f t="shared" si="308"/>
        <v>11301.763200000001</v>
      </c>
      <c r="K815" s="152"/>
      <c r="L815" s="151">
        <v>0</v>
      </c>
      <c r="M815" s="55">
        <f t="shared" si="309"/>
        <v>0</v>
      </c>
      <c r="N815" s="55">
        <f t="shared" si="310"/>
        <v>0</v>
      </c>
      <c r="O815" s="154"/>
      <c r="P815" s="151">
        <v>0</v>
      </c>
      <c r="Q815" s="55">
        <f t="shared" si="311"/>
        <v>0</v>
      </c>
      <c r="R815" s="65">
        <f t="shared" si="312"/>
        <v>0</v>
      </c>
      <c r="S815" s="129">
        <v>15</v>
      </c>
      <c r="T815" s="123" t="s">
        <v>201</v>
      </c>
      <c r="U815" s="73">
        <f>SUMIF('Avoided Costs 2013-2021'!$A:$A,'2013 Actuals'!T815&amp;'2013 Actuals'!S815,'Avoided Costs 2013-2021'!$E:$E)*J815</f>
        <v>25257.887343924151</v>
      </c>
      <c r="V815" s="73">
        <f>SUMIF('Avoided Costs 2013-2021'!$A:$A,'2013 Actuals'!T815&amp;'2013 Actuals'!S815,'Avoided Costs 2013-2021'!$K:$K)*N815</f>
        <v>0</v>
      </c>
      <c r="W815" s="73">
        <f>SUMIF('Avoided Costs 2013-2021'!$A:$A,'2013 Actuals'!T815&amp;'2013 Actuals'!S815,'Avoided Costs 2013-2021'!$M:$M)*R815</f>
        <v>0</v>
      </c>
      <c r="X815" s="73">
        <f t="shared" si="313"/>
        <v>25257.887343924151</v>
      </c>
      <c r="Y815" s="83">
        <v>4000</v>
      </c>
      <c r="Z815" s="74">
        <f t="shared" si="314"/>
        <v>3200</v>
      </c>
      <c r="AA815" s="74"/>
      <c r="AB815" s="74"/>
      <c r="AC815" s="74"/>
      <c r="AD815" s="74">
        <f t="shared" si="315"/>
        <v>3200</v>
      </c>
      <c r="AE815" s="74">
        <f t="shared" si="316"/>
        <v>22057.887343924151</v>
      </c>
      <c r="AF815" s="52">
        <f t="shared" si="317"/>
        <v>169526.44800000003</v>
      </c>
      <c r="AG815" s="52">
        <f t="shared" si="318"/>
        <v>211908.06</v>
      </c>
    </row>
    <row r="816" spans="1:33" s="21" customFormat="1" x14ac:dyDescent="0.2">
      <c r="A816" s="114" t="s">
        <v>730</v>
      </c>
      <c r="B816" s="114"/>
      <c r="C816" s="114"/>
      <c r="D816" s="160">
        <v>1</v>
      </c>
      <c r="E816" s="161"/>
      <c r="F816" s="162">
        <v>0.2</v>
      </c>
      <c r="G816" s="162"/>
      <c r="H816" s="52">
        <v>19239</v>
      </c>
      <c r="I816" s="52">
        <f t="shared" si="307"/>
        <v>17007.276000000002</v>
      </c>
      <c r="J816" s="52">
        <f t="shared" si="308"/>
        <v>13605.820800000001</v>
      </c>
      <c r="K816" s="61"/>
      <c r="L816" s="160">
        <v>0</v>
      </c>
      <c r="M816" s="55">
        <f t="shared" si="309"/>
        <v>0</v>
      </c>
      <c r="N816" s="55">
        <f t="shared" si="310"/>
        <v>0</v>
      </c>
      <c r="O816" s="95"/>
      <c r="P816" s="160">
        <v>0</v>
      </c>
      <c r="Q816" s="55">
        <f t="shared" si="311"/>
        <v>0</v>
      </c>
      <c r="R816" s="65">
        <f t="shared" si="312"/>
        <v>0</v>
      </c>
      <c r="S816" s="118">
        <v>15</v>
      </c>
      <c r="T816" s="121" t="s">
        <v>201</v>
      </c>
      <c r="U816" s="73">
        <f>SUMIF('Avoided Costs 2013-2021'!$A:$A,'2013 Actuals'!T816&amp;'2013 Actuals'!S816,'Avoided Costs 2013-2021'!$E:$E)*J816</f>
        <v>30407.139391136767</v>
      </c>
      <c r="V816" s="73">
        <f>SUMIF('Avoided Costs 2013-2021'!$A:$A,'2013 Actuals'!T816&amp;'2013 Actuals'!S816,'Avoided Costs 2013-2021'!$K:$K)*N816</f>
        <v>0</v>
      </c>
      <c r="W816" s="73">
        <f>SUMIF('Avoided Costs 2013-2021'!$A:$A,'2013 Actuals'!T816&amp;'2013 Actuals'!S816,'Avoided Costs 2013-2021'!$M:$M)*R816</f>
        <v>0</v>
      </c>
      <c r="X816" s="73">
        <f t="shared" si="313"/>
        <v>30407.139391136767</v>
      </c>
      <c r="Y816" s="83">
        <v>4000</v>
      </c>
      <c r="Z816" s="74">
        <f t="shared" si="314"/>
        <v>3200</v>
      </c>
      <c r="AA816" s="74"/>
      <c r="AB816" s="74"/>
      <c r="AC816" s="74"/>
      <c r="AD816" s="74">
        <f t="shared" si="315"/>
        <v>3200</v>
      </c>
      <c r="AE816" s="74">
        <f t="shared" si="316"/>
        <v>27207.139391136767</v>
      </c>
      <c r="AF816" s="52">
        <f t="shared" si="317"/>
        <v>204087.31200000003</v>
      </c>
      <c r="AG816" s="52">
        <f t="shared" si="318"/>
        <v>255109.14</v>
      </c>
    </row>
    <row r="817" spans="1:33" s="21" customFormat="1" x14ac:dyDescent="0.2">
      <c r="A817" s="114" t="s">
        <v>731</v>
      </c>
      <c r="B817" s="114"/>
      <c r="C817" s="114"/>
      <c r="D817" s="160">
        <v>1</v>
      </c>
      <c r="E817" s="161"/>
      <c r="F817" s="162">
        <v>0.2</v>
      </c>
      <c r="G817" s="162"/>
      <c r="H817" s="52">
        <v>36521</v>
      </c>
      <c r="I817" s="52">
        <f t="shared" si="307"/>
        <v>32284.563999999998</v>
      </c>
      <c r="J817" s="52">
        <f t="shared" si="308"/>
        <v>25827.6512</v>
      </c>
      <c r="K817" s="61"/>
      <c r="L817" s="160">
        <v>0</v>
      </c>
      <c r="M817" s="55">
        <f t="shared" si="309"/>
        <v>0</v>
      </c>
      <c r="N817" s="55">
        <f t="shared" si="310"/>
        <v>0</v>
      </c>
      <c r="O817" s="95"/>
      <c r="P817" s="160">
        <v>0</v>
      </c>
      <c r="Q817" s="55">
        <f t="shared" si="311"/>
        <v>0</v>
      </c>
      <c r="R817" s="65">
        <f t="shared" si="312"/>
        <v>0</v>
      </c>
      <c r="S817" s="118">
        <v>25</v>
      </c>
      <c r="T817" s="121" t="s">
        <v>201</v>
      </c>
      <c r="U817" s="73">
        <f>SUMIF('Avoided Costs 2013-2021'!$A:$A,'2013 Actuals'!T817&amp;'2013 Actuals'!S817,'Avoided Costs 2013-2021'!$E:$E)*J817</f>
        <v>81025.02605560582</v>
      </c>
      <c r="V817" s="73">
        <f>SUMIF('Avoided Costs 2013-2021'!$A:$A,'2013 Actuals'!T817&amp;'2013 Actuals'!S817,'Avoided Costs 2013-2021'!$K:$K)*N817</f>
        <v>0</v>
      </c>
      <c r="W817" s="73">
        <f>SUMIF('Avoided Costs 2013-2021'!$A:$A,'2013 Actuals'!T817&amp;'2013 Actuals'!S817,'Avoided Costs 2013-2021'!$M:$M)*R817</f>
        <v>0</v>
      </c>
      <c r="X817" s="73">
        <f t="shared" si="313"/>
        <v>81025.02605560582</v>
      </c>
      <c r="Y817" s="83">
        <v>16697</v>
      </c>
      <c r="Z817" s="74">
        <f t="shared" si="314"/>
        <v>13357.6</v>
      </c>
      <c r="AA817" s="74"/>
      <c r="AB817" s="74"/>
      <c r="AC817" s="74"/>
      <c r="AD817" s="74">
        <f t="shared" si="315"/>
        <v>13357.6</v>
      </c>
      <c r="AE817" s="74">
        <f t="shared" si="316"/>
        <v>67667.426055605814</v>
      </c>
      <c r="AF817" s="52">
        <f t="shared" si="317"/>
        <v>645691.28</v>
      </c>
      <c r="AG817" s="52">
        <f t="shared" si="318"/>
        <v>807114.1</v>
      </c>
    </row>
    <row r="818" spans="1:33" s="21" customFormat="1" x14ac:dyDescent="0.2">
      <c r="A818" s="114" t="s">
        <v>732</v>
      </c>
      <c r="B818" s="114"/>
      <c r="C818" s="114"/>
      <c r="D818" s="160">
        <v>0</v>
      </c>
      <c r="E818" s="161"/>
      <c r="F818" s="162">
        <v>0.2</v>
      </c>
      <c r="G818" s="162"/>
      <c r="H818" s="52">
        <v>4375</v>
      </c>
      <c r="I818" s="52">
        <f t="shared" si="307"/>
        <v>3867.5</v>
      </c>
      <c r="J818" s="52">
        <f t="shared" si="308"/>
        <v>3094</v>
      </c>
      <c r="K818" s="61"/>
      <c r="L818" s="160">
        <v>0</v>
      </c>
      <c r="M818" s="55">
        <f t="shared" si="309"/>
        <v>0</v>
      </c>
      <c r="N818" s="55">
        <f t="shared" si="310"/>
        <v>0</v>
      </c>
      <c r="O818" s="95"/>
      <c r="P818" s="160">
        <v>0</v>
      </c>
      <c r="Q818" s="55">
        <f t="shared" si="311"/>
        <v>0</v>
      </c>
      <c r="R818" s="65">
        <f t="shared" si="312"/>
        <v>0</v>
      </c>
      <c r="S818" s="118">
        <v>25</v>
      </c>
      <c r="T818" s="121" t="s">
        <v>217</v>
      </c>
      <c r="U818" s="73">
        <f>SUMIF('Avoided Costs 2013-2021'!$A:$A,'2013 Actuals'!T818&amp;'2013 Actuals'!S818,'Avoided Costs 2013-2021'!$E:$E)*J818</f>
        <v>9108.9552259984666</v>
      </c>
      <c r="V818" s="73">
        <f>SUMIF('Avoided Costs 2013-2021'!$A:$A,'2013 Actuals'!T818&amp;'2013 Actuals'!S818,'Avoided Costs 2013-2021'!$K:$K)*N818</f>
        <v>0</v>
      </c>
      <c r="W818" s="73">
        <f>SUMIF('Avoided Costs 2013-2021'!$A:$A,'2013 Actuals'!T818&amp;'2013 Actuals'!S818,'Avoided Costs 2013-2021'!$M:$M)*R818</f>
        <v>0</v>
      </c>
      <c r="X818" s="73">
        <f t="shared" si="313"/>
        <v>9108.9552259984666</v>
      </c>
      <c r="Y818" s="83">
        <v>5002</v>
      </c>
      <c r="Z818" s="74">
        <f t="shared" si="314"/>
        <v>4001.6000000000004</v>
      </c>
      <c r="AA818" s="74"/>
      <c r="AB818" s="74"/>
      <c r="AC818" s="74"/>
      <c r="AD818" s="74">
        <f t="shared" si="315"/>
        <v>4001.6000000000004</v>
      </c>
      <c r="AE818" s="74">
        <f t="shared" si="316"/>
        <v>5107.3552259984663</v>
      </c>
      <c r="AF818" s="52">
        <f t="shared" si="317"/>
        <v>77350</v>
      </c>
      <c r="AG818" s="52">
        <f t="shared" si="318"/>
        <v>96687.5</v>
      </c>
    </row>
    <row r="819" spans="1:33" s="21" customFormat="1" x14ac:dyDescent="0.2">
      <c r="A819" s="114" t="s">
        <v>733</v>
      </c>
      <c r="B819" s="114"/>
      <c r="C819" s="114"/>
      <c r="D819" s="160">
        <v>1</v>
      </c>
      <c r="E819" s="161"/>
      <c r="F819" s="162">
        <v>0.2</v>
      </c>
      <c r="G819" s="162"/>
      <c r="H819" s="52">
        <v>17188</v>
      </c>
      <c r="I819" s="52">
        <f t="shared" si="307"/>
        <v>15194.192000000001</v>
      </c>
      <c r="J819" s="52">
        <f t="shared" si="308"/>
        <v>12155.353600000002</v>
      </c>
      <c r="K819" s="61"/>
      <c r="L819" s="160">
        <v>0</v>
      </c>
      <c r="M819" s="55">
        <f t="shared" si="309"/>
        <v>0</v>
      </c>
      <c r="N819" s="55">
        <f t="shared" si="310"/>
        <v>0</v>
      </c>
      <c r="O819" s="95"/>
      <c r="P819" s="160">
        <v>0</v>
      </c>
      <c r="Q819" s="55">
        <f t="shared" si="311"/>
        <v>0</v>
      </c>
      <c r="R819" s="65">
        <f t="shared" si="312"/>
        <v>0</v>
      </c>
      <c r="S819" s="118">
        <v>25</v>
      </c>
      <c r="T819" s="121" t="s">
        <v>201</v>
      </c>
      <c r="U819" s="73">
        <f>SUMIF('Avoided Costs 2013-2021'!$A:$A,'2013 Actuals'!T819&amp;'2013 Actuals'!S819,'Avoided Costs 2013-2021'!$E:$E)*J819</f>
        <v>38133.078169922868</v>
      </c>
      <c r="V819" s="73">
        <f>SUMIF('Avoided Costs 2013-2021'!$A:$A,'2013 Actuals'!T819&amp;'2013 Actuals'!S819,'Avoided Costs 2013-2021'!$K:$K)*N819</f>
        <v>0</v>
      </c>
      <c r="W819" s="73">
        <f>SUMIF('Avoided Costs 2013-2021'!$A:$A,'2013 Actuals'!T819&amp;'2013 Actuals'!S819,'Avoided Costs 2013-2021'!$M:$M)*R819</f>
        <v>0</v>
      </c>
      <c r="X819" s="73">
        <f t="shared" si="313"/>
        <v>38133.078169922868</v>
      </c>
      <c r="Y819" s="83">
        <v>1091</v>
      </c>
      <c r="Z819" s="74">
        <f t="shared" si="314"/>
        <v>872.80000000000007</v>
      </c>
      <c r="AA819" s="74"/>
      <c r="AB819" s="74"/>
      <c r="AC819" s="74"/>
      <c r="AD819" s="74">
        <f t="shared" si="315"/>
        <v>872.80000000000007</v>
      </c>
      <c r="AE819" s="74">
        <f t="shared" si="316"/>
        <v>37260.278169922865</v>
      </c>
      <c r="AF819" s="52">
        <f t="shared" si="317"/>
        <v>303883.84000000008</v>
      </c>
      <c r="AG819" s="52">
        <f t="shared" si="318"/>
        <v>379854.80000000005</v>
      </c>
    </row>
    <row r="820" spans="1:33" s="21" customFormat="1" x14ac:dyDescent="0.2">
      <c r="A820" s="114" t="s">
        <v>734</v>
      </c>
      <c r="B820" s="114"/>
      <c r="C820" s="114"/>
      <c r="D820" s="160">
        <v>1</v>
      </c>
      <c r="E820" s="161"/>
      <c r="F820" s="162">
        <v>0.2</v>
      </c>
      <c r="G820" s="162"/>
      <c r="H820" s="52">
        <v>12875</v>
      </c>
      <c r="I820" s="52">
        <f t="shared" si="307"/>
        <v>11381.5</v>
      </c>
      <c r="J820" s="52">
        <f t="shared" si="308"/>
        <v>9105.2000000000007</v>
      </c>
      <c r="K820" s="61"/>
      <c r="L820" s="160">
        <v>0</v>
      </c>
      <c r="M820" s="55">
        <f t="shared" si="309"/>
        <v>0</v>
      </c>
      <c r="N820" s="55">
        <f t="shared" si="310"/>
        <v>0</v>
      </c>
      <c r="O820" s="95"/>
      <c r="P820" s="160">
        <v>0</v>
      </c>
      <c r="Q820" s="55">
        <f t="shared" si="311"/>
        <v>0</v>
      </c>
      <c r="R820" s="65">
        <f t="shared" si="312"/>
        <v>0</v>
      </c>
      <c r="S820" s="118">
        <v>25</v>
      </c>
      <c r="T820" s="121" t="s">
        <v>217</v>
      </c>
      <c r="U820" s="73">
        <f>SUMIF('Avoided Costs 2013-2021'!$A:$A,'2013 Actuals'!T820&amp;'2013 Actuals'!S820,'Avoided Costs 2013-2021'!$E:$E)*J820</f>
        <v>26806.353950795488</v>
      </c>
      <c r="V820" s="73">
        <f>SUMIF('Avoided Costs 2013-2021'!$A:$A,'2013 Actuals'!T820&amp;'2013 Actuals'!S820,'Avoided Costs 2013-2021'!$K:$K)*N820</f>
        <v>0</v>
      </c>
      <c r="W820" s="73">
        <f>SUMIF('Avoided Costs 2013-2021'!$A:$A,'2013 Actuals'!T820&amp;'2013 Actuals'!S820,'Avoided Costs 2013-2021'!$M:$M)*R820</f>
        <v>0</v>
      </c>
      <c r="X820" s="73">
        <f t="shared" si="313"/>
        <v>26806.353950795488</v>
      </c>
      <c r="Y820" s="83">
        <v>13326</v>
      </c>
      <c r="Z820" s="74">
        <f t="shared" si="314"/>
        <v>10660.800000000001</v>
      </c>
      <c r="AA820" s="74"/>
      <c r="AB820" s="74"/>
      <c r="AC820" s="74"/>
      <c r="AD820" s="74">
        <f t="shared" si="315"/>
        <v>10660.800000000001</v>
      </c>
      <c r="AE820" s="74">
        <f t="shared" si="316"/>
        <v>16145.553950795487</v>
      </c>
      <c r="AF820" s="52">
        <f t="shared" si="317"/>
        <v>227630.00000000003</v>
      </c>
      <c r="AG820" s="52">
        <f t="shared" si="318"/>
        <v>284537.5</v>
      </c>
    </row>
    <row r="821" spans="1:33" s="21" customFormat="1" x14ac:dyDescent="0.2">
      <c r="A821" s="114" t="s">
        <v>735</v>
      </c>
      <c r="B821" s="114"/>
      <c r="C821" s="114"/>
      <c r="D821" s="160">
        <v>0</v>
      </c>
      <c r="E821" s="161"/>
      <c r="F821" s="162">
        <v>0.2</v>
      </c>
      <c r="G821" s="162"/>
      <c r="H821" s="52">
        <v>5026</v>
      </c>
      <c r="I821" s="52">
        <f t="shared" si="307"/>
        <v>4442.9840000000004</v>
      </c>
      <c r="J821" s="52">
        <f t="shared" si="308"/>
        <v>3554.3872000000006</v>
      </c>
      <c r="K821" s="61"/>
      <c r="L821" s="160">
        <v>0</v>
      </c>
      <c r="M821" s="55">
        <f t="shared" si="309"/>
        <v>0</v>
      </c>
      <c r="N821" s="55">
        <f t="shared" si="310"/>
        <v>0</v>
      </c>
      <c r="O821" s="95"/>
      <c r="P821" s="160">
        <v>0</v>
      </c>
      <c r="Q821" s="55">
        <f t="shared" si="311"/>
        <v>0</v>
      </c>
      <c r="R821" s="65">
        <f t="shared" si="312"/>
        <v>0</v>
      </c>
      <c r="S821" s="118">
        <v>15</v>
      </c>
      <c r="T821" s="121" t="s">
        <v>201</v>
      </c>
      <c r="U821" s="73">
        <f>SUMIF('Avoided Costs 2013-2021'!$A:$A,'2013 Actuals'!T821&amp;'2013 Actuals'!S821,'Avoided Costs 2013-2021'!$E:$E)*J821</f>
        <v>7943.5668475416296</v>
      </c>
      <c r="V821" s="73">
        <f>SUMIF('Avoided Costs 2013-2021'!$A:$A,'2013 Actuals'!T821&amp;'2013 Actuals'!S821,'Avoided Costs 2013-2021'!$K:$K)*N821</f>
        <v>0</v>
      </c>
      <c r="W821" s="73">
        <f>SUMIF('Avoided Costs 2013-2021'!$A:$A,'2013 Actuals'!T821&amp;'2013 Actuals'!S821,'Avoided Costs 2013-2021'!$M:$M)*R821</f>
        <v>0</v>
      </c>
      <c r="X821" s="73">
        <f t="shared" si="313"/>
        <v>7943.5668475416296</v>
      </c>
      <c r="Y821" s="83">
        <v>2995</v>
      </c>
      <c r="Z821" s="74">
        <f t="shared" si="314"/>
        <v>2396</v>
      </c>
      <c r="AA821" s="74"/>
      <c r="AB821" s="74"/>
      <c r="AC821" s="74"/>
      <c r="AD821" s="74">
        <f t="shared" si="315"/>
        <v>2396</v>
      </c>
      <c r="AE821" s="74">
        <f t="shared" si="316"/>
        <v>5547.5668475416296</v>
      </c>
      <c r="AF821" s="52">
        <f t="shared" si="317"/>
        <v>53315.808000000012</v>
      </c>
      <c r="AG821" s="52">
        <f t="shared" si="318"/>
        <v>66644.760000000009</v>
      </c>
    </row>
    <row r="822" spans="1:33" s="21" customFormat="1" x14ac:dyDescent="0.2">
      <c r="A822" s="114" t="s">
        <v>736</v>
      </c>
      <c r="B822" s="114"/>
      <c r="C822" s="114"/>
      <c r="D822" s="160">
        <v>0</v>
      </c>
      <c r="E822" s="161"/>
      <c r="F822" s="162">
        <v>0.2</v>
      </c>
      <c r="G822" s="162"/>
      <c r="H822" s="52">
        <v>1027</v>
      </c>
      <c r="I822" s="52">
        <f t="shared" si="307"/>
        <v>907.86800000000005</v>
      </c>
      <c r="J822" s="52">
        <f t="shared" si="308"/>
        <v>726.29440000000011</v>
      </c>
      <c r="K822" s="61"/>
      <c r="L822" s="160">
        <v>0</v>
      </c>
      <c r="M822" s="55">
        <f t="shared" si="309"/>
        <v>0</v>
      </c>
      <c r="N822" s="55">
        <f t="shared" si="310"/>
        <v>0</v>
      </c>
      <c r="O822" s="95"/>
      <c r="P822" s="160">
        <v>0</v>
      </c>
      <c r="Q822" s="55">
        <f t="shared" si="311"/>
        <v>0</v>
      </c>
      <c r="R822" s="65">
        <f t="shared" si="312"/>
        <v>0</v>
      </c>
      <c r="S822" s="118">
        <v>15</v>
      </c>
      <c r="T822" s="121" t="s">
        <v>217</v>
      </c>
      <c r="U822" s="73">
        <f>SUMIF('Avoided Costs 2013-2021'!$A:$A,'2013 Actuals'!T822&amp;'2013 Actuals'!S822,'Avoided Costs 2013-2021'!$E:$E)*J822</f>
        <v>1523.5998970472417</v>
      </c>
      <c r="V822" s="73">
        <f>SUMIF('Avoided Costs 2013-2021'!$A:$A,'2013 Actuals'!T822&amp;'2013 Actuals'!S822,'Avoided Costs 2013-2021'!$K:$K)*N822</f>
        <v>0</v>
      </c>
      <c r="W822" s="73">
        <f>SUMIF('Avoided Costs 2013-2021'!$A:$A,'2013 Actuals'!T822&amp;'2013 Actuals'!S822,'Avoided Costs 2013-2021'!$M:$M)*R822</f>
        <v>0</v>
      </c>
      <c r="X822" s="73">
        <f t="shared" si="313"/>
        <v>1523.5998970472417</v>
      </c>
      <c r="Y822" s="83">
        <v>2000</v>
      </c>
      <c r="Z822" s="74">
        <f t="shared" si="314"/>
        <v>1600</v>
      </c>
      <c r="AA822" s="74"/>
      <c r="AB822" s="74"/>
      <c r="AC822" s="74"/>
      <c r="AD822" s="74">
        <f t="shared" si="315"/>
        <v>1600</v>
      </c>
      <c r="AE822" s="74">
        <f t="shared" si="316"/>
        <v>-76.400102952758289</v>
      </c>
      <c r="AF822" s="52">
        <f t="shared" si="317"/>
        <v>10894.416000000001</v>
      </c>
      <c r="AG822" s="52">
        <f t="shared" si="318"/>
        <v>13618.02</v>
      </c>
    </row>
    <row r="823" spans="1:33" s="21" customFormat="1" x14ac:dyDescent="0.2">
      <c r="A823" s="114" t="s">
        <v>737</v>
      </c>
      <c r="B823" s="114"/>
      <c r="C823" s="114"/>
      <c r="D823" s="160">
        <v>1</v>
      </c>
      <c r="E823" s="161"/>
      <c r="F823" s="162">
        <v>0.2</v>
      </c>
      <c r="G823" s="162"/>
      <c r="H823" s="52">
        <v>26175</v>
      </c>
      <c r="I823" s="52">
        <f t="shared" si="307"/>
        <v>23138.7</v>
      </c>
      <c r="J823" s="52">
        <f t="shared" si="308"/>
        <v>18510.960000000003</v>
      </c>
      <c r="K823" s="61"/>
      <c r="L823" s="160">
        <v>22890</v>
      </c>
      <c r="M823" s="55">
        <f t="shared" si="309"/>
        <v>22890</v>
      </c>
      <c r="N823" s="55">
        <f t="shared" si="310"/>
        <v>18312</v>
      </c>
      <c r="O823" s="95"/>
      <c r="P823" s="160">
        <v>0</v>
      </c>
      <c r="Q823" s="55">
        <f t="shared" si="311"/>
        <v>0</v>
      </c>
      <c r="R823" s="65">
        <f t="shared" si="312"/>
        <v>0</v>
      </c>
      <c r="S823" s="118">
        <v>15</v>
      </c>
      <c r="T823" s="121" t="s">
        <v>201</v>
      </c>
      <c r="U823" s="73">
        <f>SUMIF('Avoided Costs 2013-2021'!$A:$A,'2013 Actuals'!T823&amp;'2013 Actuals'!S823,'Avoided Costs 2013-2021'!$E:$E)*J823</f>
        <v>41369.451300119807</v>
      </c>
      <c r="V823" s="73">
        <f>SUMIF('Avoided Costs 2013-2021'!$A:$A,'2013 Actuals'!T823&amp;'2013 Actuals'!S823,'Avoided Costs 2013-2021'!$K:$K)*N823</f>
        <v>19170.716865852111</v>
      </c>
      <c r="W823" s="73">
        <f>SUMIF('Avoided Costs 2013-2021'!$A:$A,'2013 Actuals'!T823&amp;'2013 Actuals'!S823,'Avoided Costs 2013-2021'!$M:$M)*R823</f>
        <v>0</v>
      </c>
      <c r="X823" s="73">
        <f t="shared" si="313"/>
        <v>60540.168165971918</v>
      </c>
      <c r="Y823" s="83">
        <v>8995</v>
      </c>
      <c r="Z823" s="74">
        <f t="shared" si="314"/>
        <v>7196</v>
      </c>
      <c r="AA823" s="74"/>
      <c r="AB823" s="74"/>
      <c r="AC823" s="74"/>
      <c r="AD823" s="74">
        <f t="shared" si="315"/>
        <v>7196</v>
      </c>
      <c r="AE823" s="74">
        <f t="shared" si="316"/>
        <v>53344.168165971918</v>
      </c>
      <c r="AF823" s="52">
        <f t="shared" si="317"/>
        <v>277664.40000000002</v>
      </c>
      <c r="AG823" s="52">
        <f t="shared" si="318"/>
        <v>347080.5</v>
      </c>
    </row>
    <row r="824" spans="1:33" s="21" customFormat="1" x14ac:dyDescent="0.2">
      <c r="A824" s="114" t="s">
        <v>738</v>
      </c>
      <c r="B824" s="114"/>
      <c r="C824" s="114"/>
      <c r="D824" s="160">
        <v>1</v>
      </c>
      <c r="E824" s="161"/>
      <c r="F824" s="162">
        <v>0.2</v>
      </c>
      <c r="G824" s="162"/>
      <c r="H824" s="52">
        <v>45839</v>
      </c>
      <c r="I824" s="52">
        <f t="shared" si="307"/>
        <v>40521.675999999999</v>
      </c>
      <c r="J824" s="52">
        <f t="shared" si="308"/>
        <v>32417.340800000002</v>
      </c>
      <c r="K824" s="61"/>
      <c r="L824" s="160">
        <v>0</v>
      </c>
      <c r="M824" s="55">
        <f t="shared" si="309"/>
        <v>0</v>
      </c>
      <c r="N824" s="55">
        <f t="shared" si="310"/>
        <v>0</v>
      </c>
      <c r="O824" s="95"/>
      <c r="P824" s="160">
        <v>0</v>
      </c>
      <c r="Q824" s="55">
        <f t="shared" si="311"/>
        <v>0</v>
      </c>
      <c r="R824" s="65">
        <f t="shared" si="312"/>
        <v>0</v>
      </c>
      <c r="S824" s="118">
        <v>15</v>
      </c>
      <c r="T824" s="121" t="s">
        <v>201</v>
      </c>
      <c r="U824" s="73">
        <f>SUMIF('Avoided Costs 2013-2021'!$A:$A,'2013 Actuals'!T824&amp;'2013 Actuals'!S824,'Avoided Costs 2013-2021'!$E:$E)*J824</f>
        <v>72448.30097979719</v>
      </c>
      <c r="V824" s="73">
        <f>SUMIF('Avoided Costs 2013-2021'!$A:$A,'2013 Actuals'!T824&amp;'2013 Actuals'!S824,'Avoided Costs 2013-2021'!$K:$K)*N824</f>
        <v>0</v>
      </c>
      <c r="W824" s="73">
        <f>SUMIF('Avoided Costs 2013-2021'!$A:$A,'2013 Actuals'!T824&amp;'2013 Actuals'!S824,'Avoided Costs 2013-2021'!$M:$M)*R824</f>
        <v>0</v>
      </c>
      <c r="X824" s="73">
        <f t="shared" si="313"/>
        <v>72448.30097979719</v>
      </c>
      <c r="Y824" s="83">
        <v>1465.13</v>
      </c>
      <c r="Z824" s="74">
        <f t="shared" si="314"/>
        <v>1172.104</v>
      </c>
      <c r="AA824" s="74"/>
      <c r="AB824" s="74"/>
      <c r="AC824" s="74"/>
      <c r="AD824" s="74">
        <f t="shared" si="315"/>
        <v>1172.104</v>
      </c>
      <c r="AE824" s="74">
        <f t="shared" si="316"/>
        <v>71276.196979797183</v>
      </c>
      <c r="AF824" s="52">
        <f t="shared" si="317"/>
        <v>486260.11200000002</v>
      </c>
      <c r="AG824" s="52">
        <f t="shared" si="318"/>
        <v>607825.14</v>
      </c>
    </row>
    <row r="825" spans="1:33" s="21" customFormat="1" x14ac:dyDescent="0.2">
      <c r="A825" s="114" t="s">
        <v>739</v>
      </c>
      <c r="B825" s="114"/>
      <c r="C825" s="114"/>
      <c r="D825" s="160">
        <v>1</v>
      </c>
      <c r="E825" s="161"/>
      <c r="F825" s="162">
        <v>0.2</v>
      </c>
      <c r="G825" s="162"/>
      <c r="H825" s="52">
        <v>44495</v>
      </c>
      <c r="I825" s="52">
        <f t="shared" si="307"/>
        <v>39333.58</v>
      </c>
      <c r="J825" s="52">
        <f t="shared" si="308"/>
        <v>31466.864000000001</v>
      </c>
      <c r="K825" s="61"/>
      <c r="L825" s="160">
        <v>0</v>
      </c>
      <c r="M825" s="55">
        <f t="shared" si="309"/>
        <v>0</v>
      </c>
      <c r="N825" s="55">
        <f t="shared" si="310"/>
        <v>0</v>
      </c>
      <c r="O825" s="95"/>
      <c r="P825" s="160">
        <v>0</v>
      </c>
      <c r="Q825" s="55">
        <f t="shared" si="311"/>
        <v>0</v>
      </c>
      <c r="R825" s="65">
        <f t="shared" si="312"/>
        <v>0</v>
      </c>
      <c r="S825" s="118">
        <v>15</v>
      </c>
      <c r="T825" s="121" t="s">
        <v>201</v>
      </c>
      <c r="U825" s="73">
        <f>SUMIF('Avoided Costs 2013-2021'!$A:$A,'2013 Actuals'!T825&amp;'2013 Actuals'!S825,'Avoided Costs 2013-2021'!$E:$E)*J825</f>
        <v>70324.115973212247</v>
      </c>
      <c r="V825" s="73">
        <f>SUMIF('Avoided Costs 2013-2021'!$A:$A,'2013 Actuals'!T825&amp;'2013 Actuals'!S825,'Avoided Costs 2013-2021'!$K:$K)*N825</f>
        <v>0</v>
      </c>
      <c r="W825" s="73">
        <f>SUMIF('Avoided Costs 2013-2021'!$A:$A,'2013 Actuals'!T825&amp;'2013 Actuals'!S825,'Avoided Costs 2013-2021'!$M:$M)*R825</f>
        <v>0</v>
      </c>
      <c r="X825" s="73">
        <f t="shared" si="313"/>
        <v>70324.115973212247</v>
      </c>
      <c r="Y825" s="83">
        <v>1465</v>
      </c>
      <c r="Z825" s="74">
        <f t="shared" si="314"/>
        <v>1172</v>
      </c>
      <c r="AA825" s="74"/>
      <c r="AB825" s="74"/>
      <c r="AC825" s="74"/>
      <c r="AD825" s="74">
        <f t="shared" si="315"/>
        <v>1172</v>
      </c>
      <c r="AE825" s="74">
        <f t="shared" si="316"/>
        <v>69152.115973212247</v>
      </c>
      <c r="AF825" s="52">
        <f t="shared" si="317"/>
        <v>472002.96</v>
      </c>
      <c r="AG825" s="52">
        <f t="shared" si="318"/>
        <v>590003.70000000007</v>
      </c>
    </row>
    <row r="826" spans="1:33" s="21" customFormat="1" x14ac:dyDescent="0.2">
      <c r="A826" s="114" t="s">
        <v>740</v>
      </c>
      <c r="B826" s="114"/>
      <c r="C826" s="114"/>
      <c r="D826" s="160">
        <v>1</v>
      </c>
      <c r="E826" s="161"/>
      <c r="F826" s="162">
        <v>0.2</v>
      </c>
      <c r="G826" s="162"/>
      <c r="H826" s="52">
        <v>14867</v>
      </c>
      <c r="I826" s="52">
        <f t="shared" si="307"/>
        <v>13142.428</v>
      </c>
      <c r="J826" s="52">
        <f t="shared" si="308"/>
        <v>10513.9424</v>
      </c>
      <c r="K826" s="61"/>
      <c r="L826" s="160">
        <v>0</v>
      </c>
      <c r="M826" s="55">
        <f t="shared" si="309"/>
        <v>0</v>
      </c>
      <c r="N826" s="55">
        <f t="shared" si="310"/>
        <v>0</v>
      </c>
      <c r="O826" s="95"/>
      <c r="P826" s="160">
        <v>0</v>
      </c>
      <c r="Q826" s="55">
        <f t="shared" si="311"/>
        <v>0</v>
      </c>
      <c r="R826" s="65">
        <f t="shared" si="312"/>
        <v>0</v>
      </c>
      <c r="S826" s="118">
        <v>25</v>
      </c>
      <c r="T826" s="121" t="s">
        <v>217</v>
      </c>
      <c r="U826" s="73">
        <f>SUMIF('Avoided Costs 2013-2021'!$A:$A,'2013 Actuals'!T826&amp;'2013 Actuals'!S826,'Avoided Costs 2013-2021'!$E:$E)*J826</f>
        <v>30953.791393124389</v>
      </c>
      <c r="V826" s="73">
        <f>SUMIF('Avoided Costs 2013-2021'!$A:$A,'2013 Actuals'!T826&amp;'2013 Actuals'!S826,'Avoided Costs 2013-2021'!$K:$K)*N826</f>
        <v>0</v>
      </c>
      <c r="W826" s="73">
        <f>SUMIF('Avoided Costs 2013-2021'!$A:$A,'2013 Actuals'!T826&amp;'2013 Actuals'!S826,'Avoided Costs 2013-2021'!$M:$M)*R826</f>
        <v>0</v>
      </c>
      <c r="X826" s="73">
        <f t="shared" si="313"/>
        <v>30953.791393124389</v>
      </c>
      <c r="Y826" s="83">
        <v>45508</v>
      </c>
      <c r="Z826" s="74">
        <f t="shared" si="314"/>
        <v>36406.400000000001</v>
      </c>
      <c r="AA826" s="74"/>
      <c r="AB826" s="74"/>
      <c r="AC826" s="74"/>
      <c r="AD826" s="74">
        <f t="shared" si="315"/>
        <v>36406.400000000001</v>
      </c>
      <c r="AE826" s="74">
        <f t="shared" si="316"/>
        <v>-5452.6086068756122</v>
      </c>
      <c r="AF826" s="52">
        <f t="shared" si="317"/>
        <v>262848.56</v>
      </c>
      <c r="AG826" s="52">
        <f t="shared" si="318"/>
        <v>328560.7</v>
      </c>
    </row>
    <row r="827" spans="1:33" s="21" customFormat="1" x14ac:dyDescent="0.2">
      <c r="A827" s="116" t="s">
        <v>741</v>
      </c>
      <c r="B827" s="116"/>
      <c r="C827" s="116"/>
      <c r="D827" s="151">
        <v>1</v>
      </c>
      <c r="E827" s="152"/>
      <c r="F827" s="153">
        <v>0.2</v>
      </c>
      <c r="G827" s="153"/>
      <c r="H827" s="52">
        <v>33139</v>
      </c>
      <c r="I827" s="52">
        <f t="shared" si="307"/>
        <v>29294.876</v>
      </c>
      <c r="J827" s="52">
        <f t="shared" si="308"/>
        <v>23435.900800000003</v>
      </c>
      <c r="K827" s="152"/>
      <c r="L827" s="151">
        <v>21271</v>
      </c>
      <c r="M827" s="55">
        <f t="shared" si="309"/>
        <v>21271</v>
      </c>
      <c r="N827" s="55">
        <f t="shared" si="310"/>
        <v>17016.8</v>
      </c>
      <c r="O827" s="154"/>
      <c r="P827" s="151">
        <v>0</v>
      </c>
      <c r="Q827" s="55">
        <f t="shared" si="311"/>
        <v>0</v>
      </c>
      <c r="R827" s="65">
        <f t="shared" si="312"/>
        <v>0</v>
      </c>
      <c r="S827" s="129">
        <v>15</v>
      </c>
      <c r="T827" s="123" t="s">
        <v>201</v>
      </c>
      <c r="U827" s="73">
        <f>SUMIF('Avoided Costs 2013-2021'!$A:$A,'2013 Actuals'!T827&amp;'2013 Actuals'!S827,'Avoided Costs 2013-2021'!$E:$E)*J827</f>
        <v>52376.017063406696</v>
      </c>
      <c r="V827" s="73">
        <f>SUMIF('Avoided Costs 2013-2021'!$A:$A,'2013 Actuals'!T827&amp;'2013 Actuals'!S827,'Avoided Costs 2013-2021'!$K:$K)*N827</f>
        <v>17814.780185825261</v>
      </c>
      <c r="W827" s="73">
        <f>SUMIF('Avoided Costs 2013-2021'!$A:$A,'2013 Actuals'!T827&amp;'2013 Actuals'!S827,'Avoided Costs 2013-2021'!$M:$M)*R827</f>
        <v>0</v>
      </c>
      <c r="X827" s="73">
        <f t="shared" si="313"/>
        <v>70190.797249231953</v>
      </c>
      <c r="Y827" s="83">
        <v>7995</v>
      </c>
      <c r="Z827" s="74">
        <f t="shared" si="314"/>
        <v>6396</v>
      </c>
      <c r="AA827" s="74"/>
      <c r="AB827" s="74"/>
      <c r="AC827" s="74"/>
      <c r="AD827" s="74">
        <f t="shared" si="315"/>
        <v>6396</v>
      </c>
      <c r="AE827" s="74">
        <f t="shared" si="316"/>
        <v>63794.797249231953</v>
      </c>
      <c r="AF827" s="52">
        <f t="shared" si="317"/>
        <v>351538.51200000005</v>
      </c>
      <c r="AG827" s="52">
        <f t="shared" si="318"/>
        <v>439423.14</v>
      </c>
    </row>
    <row r="828" spans="1:33" s="21" customFormat="1" x14ac:dyDescent="0.2">
      <c r="A828" s="114" t="s">
        <v>742</v>
      </c>
      <c r="B828" s="114"/>
      <c r="C828" s="114"/>
      <c r="D828" s="160">
        <v>0</v>
      </c>
      <c r="E828" s="161"/>
      <c r="F828" s="162">
        <v>0.2</v>
      </c>
      <c r="G828" s="162"/>
      <c r="H828" s="52">
        <v>36182</v>
      </c>
      <c r="I828" s="52">
        <f t="shared" si="307"/>
        <v>31984.887999999999</v>
      </c>
      <c r="J828" s="52">
        <f t="shared" si="308"/>
        <v>25587.910400000001</v>
      </c>
      <c r="K828" s="61"/>
      <c r="L828" s="160">
        <v>22830</v>
      </c>
      <c r="M828" s="55">
        <f t="shared" si="309"/>
        <v>22830</v>
      </c>
      <c r="N828" s="55">
        <f t="shared" si="310"/>
        <v>18264</v>
      </c>
      <c r="O828" s="95"/>
      <c r="P828" s="160">
        <v>0</v>
      </c>
      <c r="Q828" s="55">
        <f t="shared" si="311"/>
        <v>0</v>
      </c>
      <c r="R828" s="65">
        <f t="shared" si="312"/>
        <v>0</v>
      </c>
      <c r="S828" s="118">
        <v>15</v>
      </c>
      <c r="T828" s="121" t="s">
        <v>201</v>
      </c>
      <c r="U828" s="73">
        <f>SUMIF('Avoided Costs 2013-2021'!$A:$A,'2013 Actuals'!T828&amp;'2013 Actuals'!S828,'Avoided Costs 2013-2021'!$E:$E)*J828</f>
        <v>57185.462729357583</v>
      </c>
      <c r="V828" s="73">
        <f>SUMIF('Avoided Costs 2013-2021'!$A:$A,'2013 Actuals'!T828&amp;'2013 Actuals'!S828,'Avoided Costs 2013-2021'!$K:$K)*N828</f>
        <v>19120.465969742407</v>
      </c>
      <c r="W828" s="73">
        <f>SUMIF('Avoided Costs 2013-2021'!$A:$A,'2013 Actuals'!T828&amp;'2013 Actuals'!S828,'Avoided Costs 2013-2021'!$M:$M)*R828</f>
        <v>0</v>
      </c>
      <c r="X828" s="73">
        <f t="shared" si="313"/>
        <v>76305.928699099983</v>
      </c>
      <c r="Y828" s="83">
        <v>6000</v>
      </c>
      <c r="Z828" s="74">
        <f t="shared" si="314"/>
        <v>4800</v>
      </c>
      <c r="AA828" s="74"/>
      <c r="AB828" s="74"/>
      <c r="AC828" s="74"/>
      <c r="AD828" s="74">
        <f t="shared" si="315"/>
        <v>4800</v>
      </c>
      <c r="AE828" s="74">
        <f t="shared" si="316"/>
        <v>71505.928699099983</v>
      </c>
      <c r="AF828" s="52">
        <f t="shared" si="317"/>
        <v>383818.65600000002</v>
      </c>
      <c r="AG828" s="52">
        <f t="shared" si="318"/>
        <v>479773.32</v>
      </c>
    </row>
    <row r="829" spans="1:33" s="21" customFormat="1" x14ac:dyDescent="0.2">
      <c r="A829" s="114" t="s">
        <v>743</v>
      </c>
      <c r="B829" s="114"/>
      <c r="C829" s="114"/>
      <c r="D829" s="160">
        <v>1</v>
      </c>
      <c r="E829" s="161"/>
      <c r="F829" s="162">
        <v>0.2</v>
      </c>
      <c r="G829" s="162"/>
      <c r="H829" s="52">
        <v>174541</v>
      </c>
      <c r="I829" s="52">
        <f t="shared" si="307"/>
        <v>154294.24400000001</v>
      </c>
      <c r="J829" s="52">
        <f t="shared" si="308"/>
        <v>123435.39520000001</v>
      </c>
      <c r="K829" s="61"/>
      <c r="L829" s="160">
        <v>0</v>
      </c>
      <c r="M829" s="55">
        <f t="shared" si="309"/>
        <v>0</v>
      </c>
      <c r="N829" s="55">
        <f t="shared" si="310"/>
        <v>0</v>
      </c>
      <c r="O829" s="95"/>
      <c r="P829" s="160">
        <v>0</v>
      </c>
      <c r="Q829" s="55">
        <f t="shared" si="311"/>
        <v>0</v>
      </c>
      <c r="R829" s="65">
        <f t="shared" si="312"/>
        <v>0</v>
      </c>
      <c r="S829" s="118">
        <v>25</v>
      </c>
      <c r="T829" s="121" t="s">
        <v>201</v>
      </c>
      <c r="U829" s="73">
        <f>SUMIF('Avoided Costs 2013-2021'!$A:$A,'2013 Actuals'!T829&amp;'2013 Actuals'!S829,'Avoided Costs 2013-2021'!$E:$E)*J829</f>
        <v>387234.44245150726</v>
      </c>
      <c r="V829" s="73">
        <f>SUMIF('Avoided Costs 2013-2021'!$A:$A,'2013 Actuals'!T829&amp;'2013 Actuals'!S829,'Avoided Costs 2013-2021'!$K:$K)*N829</f>
        <v>0</v>
      </c>
      <c r="W829" s="73">
        <f>SUMIF('Avoided Costs 2013-2021'!$A:$A,'2013 Actuals'!T829&amp;'2013 Actuals'!S829,'Avoided Costs 2013-2021'!$M:$M)*R829</f>
        <v>0</v>
      </c>
      <c r="X829" s="73">
        <f t="shared" si="313"/>
        <v>387234.44245150726</v>
      </c>
      <c r="Y829" s="83">
        <v>56588</v>
      </c>
      <c r="Z829" s="74">
        <f t="shared" si="314"/>
        <v>45270.400000000001</v>
      </c>
      <c r="AA829" s="74"/>
      <c r="AB829" s="74"/>
      <c r="AC829" s="74"/>
      <c r="AD829" s="74">
        <f t="shared" si="315"/>
        <v>45270.400000000001</v>
      </c>
      <c r="AE829" s="74">
        <f t="shared" si="316"/>
        <v>341964.04245150724</v>
      </c>
      <c r="AF829" s="52">
        <f t="shared" si="317"/>
        <v>3085884.8800000004</v>
      </c>
      <c r="AG829" s="52">
        <f t="shared" si="318"/>
        <v>3857356.1</v>
      </c>
    </row>
    <row r="830" spans="1:33" s="21" customFormat="1" x14ac:dyDescent="0.2">
      <c r="A830" s="114" t="s">
        <v>744</v>
      </c>
      <c r="B830" s="114"/>
      <c r="C830" s="114"/>
      <c r="D830" s="160">
        <v>1</v>
      </c>
      <c r="E830" s="161"/>
      <c r="F830" s="162">
        <v>0.2</v>
      </c>
      <c r="G830" s="162"/>
      <c r="H830" s="52">
        <v>108444</v>
      </c>
      <c r="I830" s="52">
        <f t="shared" si="307"/>
        <v>95864.495999999999</v>
      </c>
      <c r="J830" s="52">
        <f t="shared" si="308"/>
        <v>76691.596799999999</v>
      </c>
      <c r="K830" s="61"/>
      <c r="L830" s="160">
        <v>0</v>
      </c>
      <c r="M830" s="55">
        <f t="shared" si="309"/>
        <v>0</v>
      </c>
      <c r="N830" s="55">
        <f t="shared" si="310"/>
        <v>0</v>
      </c>
      <c r="O830" s="95"/>
      <c r="P830" s="160">
        <v>0</v>
      </c>
      <c r="Q830" s="55">
        <f t="shared" si="311"/>
        <v>0</v>
      </c>
      <c r="R830" s="65">
        <f t="shared" si="312"/>
        <v>0</v>
      </c>
      <c r="S830" s="118">
        <v>25</v>
      </c>
      <c r="T830" s="121" t="s">
        <v>201</v>
      </c>
      <c r="U830" s="73">
        <f>SUMIF('Avoided Costs 2013-2021'!$A:$A,'2013 Actuals'!T830&amp;'2013 Actuals'!S830,'Avoided Costs 2013-2021'!$E:$E)*J830</f>
        <v>240592.47900041394</v>
      </c>
      <c r="V830" s="73">
        <f>SUMIF('Avoided Costs 2013-2021'!$A:$A,'2013 Actuals'!T830&amp;'2013 Actuals'!S830,'Avoided Costs 2013-2021'!$K:$K)*N830</f>
        <v>0</v>
      </c>
      <c r="W830" s="73">
        <f>SUMIF('Avoided Costs 2013-2021'!$A:$A,'2013 Actuals'!T830&amp;'2013 Actuals'!S830,'Avoided Costs 2013-2021'!$M:$M)*R830</f>
        <v>0</v>
      </c>
      <c r="X830" s="73">
        <f t="shared" si="313"/>
        <v>240592.47900041394</v>
      </c>
      <c r="Y830" s="83">
        <v>0</v>
      </c>
      <c r="Z830" s="74">
        <f t="shared" si="314"/>
        <v>0</v>
      </c>
      <c r="AA830" s="74"/>
      <c r="AB830" s="74"/>
      <c r="AC830" s="74"/>
      <c r="AD830" s="74">
        <f t="shared" si="315"/>
        <v>0</v>
      </c>
      <c r="AE830" s="74">
        <f t="shared" si="316"/>
        <v>240592.47900041394</v>
      </c>
      <c r="AF830" s="52">
        <f t="shared" si="317"/>
        <v>1917289.92</v>
      </c>
      <c r="AG830" s="52">
        <f t="shared" si="318"/>
        <v>2396612.4</v>
      </c>
    </row>
    <row r="831" spans="1:33" s="21" customFormat="1" x14ac:dyDescent="0.2">
      <c r="A831" s="114" t="s">
        <v>745</v>
      </c>
      <c r="B831" s="114"/>
      <c r="C831" s="114"/>
      <c r="D831" s="160">
        <v>1</v>
      </c>
      <c r="E831" s="161"/>
      <c r="F831" s="162">
        <v>0.2</v>
      </c>
      <c r="G831" s="162"/>
      <c r="H831" s="52">
        <v>38000</v>
      </c>
      <c r="I831" s="52">
        <f t="shared" si="307"/>
        <v>33592</v>
      </c>
      <c r="J831" s="52">
        <f t="shared" si="308"/>
        <v>26873.600000000002</v>
      </c>
      <c r="K831" s="61"/>
      <c r="L831" s="160">
        <v>0</v>
      </c>
      <c r="M831" s="55">
        <f t="shared" si="309"/>
        <v>0</v>
      </c>
      <c r="N831" s="55">
        <f t="shared" si="310"/>
        <v>0</v>
      </c>
      <c r="O831" s="95"/>
      <c r="P831" s="160">
        <v>0</v>
      </c>
      <c r="Q831" s="55">
        <f t="shared" si="311"/>
        <v>0</v>
      </c>
      <c r="R831" s="65">
        <f t="shared" si="312"/>
        <v>0</v>
      </c>
      <c r="S831" s="118">
        <v>25</v>
      </c>
      <c r="T831" s="121" t="s">
        <v>201</v>
      </c>
      <c r="U831" s="73">
        <f>SUMIF('Avoided Costs 2013-2021'!$A:$A,'2013 Actuals'!T831&amp;'2013 Actuals'!S831,'Avoided Costs 2013-2021'!$E:$E)*J831</f>
        <v>84306.316642836216</v>
      </c>
      <c r="V831" s="73">
        <f>SUMIF('Avoided Costs 2013-2021'!$A:$A,'2013 Actuals'!T831&amp;'2013 Actuals'!S831,'Avoided Costs 2013-2021'!$K:$K)*N831</f>
        <v>0</v>
      </c>
      <c r="W831" s="73">
        <f>SUMIF('Avoided Costs 2013-2021'!$A:$A,'2013 Actuals'!T831&amp;'2013 Actuals'!S831,'Avoided Costs 2013-2021'!$M:$M)*R831</f>
        <v>0</v>
      </c>
      <c r="X831" s="73">
        <f t="shared" si="313"/>
        <v>84306.316642836216</v>
      </c>
      <c r="Y831" s="83">
        <v>10024</v>
      </c>
      <c r="Z831" s="74">
        <f t="shared" si="314"/>
        <v>8019.2000000000007</v>
      </c>
      <c r="AA831" s="74"/>
      <c r="AB831" s="74"/>
      <c r="AC831" s="74"/>
      <c r="AD831" s="74">
        <f t="shared" si="315"/>
        <v>8019.2000000000007</v>
      </c>
      <c r="AE831" s="74">
        <f t="shared" si="316"/>
        <v>76287.116642836219</v>
      </c>
      <c r="AF831" s="52">
        <f t="shared" si="317"/>
        <v>671840</v>
      </c>
      <c r="AG831" s="52">
        <f t="shared" si="318"/>
        <v>839800</v>
      </c>
    </row>
    <row r="832" spans="1:33" s="21" customFormat="1" x14ac:dyDescent="0.2">
      <c r="A832" s="114" t="s">
        <v>746</v>
      </c>
      <c r="B832" s="114"/>
      <c r="C832" s="114"/>
      <c r="D832" s="160">
        <v>1</v>
      </c>
      <c r="E832" s="161"/>
      <c r="F832" s="162">
        <v>0.2</v>
      </c>
      <c r="G832" s="162"/>
      <c r="H832" s="52">
        <v>478973</v>
      </c>
      <c r="I832" s="52">
        <f t="shared" si="307"/>
        <v>423412.13199999998</v>
      </c>
      <c r="J832" s="52">
        <f t="shared" si="308"/>
        <v>338729.70559999999</v>
      </c>
      <c r="K832" s="61"/>
      <c r="L832" s="160">
        <v>0</v>
      </c>
      <c r="M832" s="55">
        <f t="shared" si="309"/>
        <v>0</v>
      </c>
      <c r="N832" s="55">
        <f t="shared" si="310"/>
        <v>0</v>
      </c>
      <c r="O832" s="95"/>
      <c r="P832" s="160">
        <v>0</v>
      </c>
      <c r="Q832" s="55">
        <f t="shared" si="311"/>
        <v>0</v>
      </c>
      <c r="R832" s="65">
        <f t="shared" si="312"/>
        <v>0</v>
      </c>
      <c r="S832" s="118">
        <v>25</v>
      </c>
      <c r="T832" s="121" t="s">
        <v>201</v>
      </c>
      <c r="U832" s="73">
        <f>SUMIF('Avoided Costs 2013-2021'!$A:$A,'2013 Actuals'!T832&amp;'2013 Actuals'!S832,'Avoided Costs 2013-2021'!$E:$E)*J832</f>
        <v>1062643.405299189</v>
      </c>
      <c r="V832" s="73">
        <f>SUMIF('Avoided Costs 2013-2021'!$A:$A,'2013 Actuals'!T832&amp;'2013 Actuals'!S832,'Avoided Costs 2013-2021'!$K:$K)*N832</f>
        <v>0</v>
      </c>
      <c r="W832" s="73">
        <f>SUMIF('Avoided Costs 2013-2021'!$A:$A,'2013 Actuals'!T832&amp;'2013 Actuals'!S832,'Avoided Costs 2013-2021'!$M:$M)*R832</f>
        <v>0</v>
      </c>
      <c r="X832" s="73">
        <f t="shared" si="313"/>
        <v>1062643.405299189</v>
      </c>
      <c r="Y832" s="83">
        <v>6840</v>
      </c>
      <c r="Z832" s="74">
        <f t="shared" si="314"/>
        <v>5472</v>
      </c>
      <c r="AA832" s="74"/>
      <c r="AB832" s="74"/>
      <c r="AC832" s="74"/>
      <c r="AD832" s="74">
        <f t="shared" si="315"/>
        <v>5472</v>
      </c>
      <c r="AE832" s="74">
        <f t="shared" si="316"/>
        <v>1057171.405299189</v>
      </c>
      <c r="AF832" s="52">
        <f t="shared" si="317"/>
        <v>8468242.6400000006</v>
      </c>
      <c r="AG832" s="52">
        <f t="shared" si="318"/>
        <v>10585303.299999999</v>
      </c>
    </row>
    <row r="833" spans="1:33" s="21" customFormat="1" x14ac:dyDescent="0.2">
      <c r="A833" s="114" t="s">
        <v>747</v>
      </c>
      <c r="B833" s="114"/>
      <c r="C833" s="114"/>
      <c r="D833" s="160">
        <v>1</v>
      </c>
      <c r="E833" s="161"/>
      <c r="F833" s="162">
        <v>0.2</v>
      </c>
      <c r="G833" s="162"/>
      <c r="H833" s="52">
        <v>70335</v>
      </c>
      <c r="I833" s="52">
        <f t="shared" si="307"/>
        <v>62176.14</v>
      </c>
      <c r="J833" s="52">
        <f t="shared" si="308"/>
        <v>49740.912000000004</v>
      </c>
      <c r="K833" s="61"/>
      <c r="L833" s="160">
        <v>0</v>
      </c>
      <c r="M833" s="55">
        <f t="shared" si="309"/>
        <v>0</v>
      </c>
      <c r="N833" s="55">
        <f t="shared" si="310"/>
        <v>0</v>
      </c>
      <c r="O833" s="95"/>
      <c r="P833" s="160">
        <v>0</v>
      </c>
      <c r="Q833" s="55">
        <f t="shared" si="311"/>
        <v>0</v>
      </c>
      <c r="R833" s="65">
        <f t="shared" si="312"/>
        <v>0</v>
      </c>
      <c r="S833" s="118">
        <v>25</v>
      </c>
      <c r="T833" s="121" t="s">
        <v>201</v>
      </c>
      <c r="U833" s="73">
        <f>SUMIF('Avoided Costs 2013-2021'!$A:$A,'2013 Actuals'!T833&amp;'2013 Actuals'!S833,'Avoided Costs 2013-2021'!$E:$E)*J833</f>
        <v>156044.3363440496</v>
      </c>
      <c r="V833" s="73">
        <f>SUMIF('Avoided Costs 2013-2021'!$A:$A,'2013 Actuals'!T833&amp;'2013 Actuals'!S833,'Avoided Costs 2013-2021'!$K:$K)*N833</f>
        <v>0</v>
      </c>
      <c r="W833" s="73">
        <f>SUMIF('Avoided Costs 2013-2021'!$A:$A,'2013 Actuals'!T833&amp;'2013 Actuals'!S833,'Avoided Costs 2013-2021'!$M:$M)*R833</f>
        <v>0</v>
      </c>
      <c r="X833" s="73">
        <f t="shared" si="313"/>
        <v>156044.3363440496</v>
      </c>
      <c r="Y833" s="83">
        <v>21496</v>
      </c>
      <c r="Z833" s="74">
        <f t="shared" si="314"/>
        <v>17196.8</v>
      </c>
      <c r="AA833" s="74"/>
      <c r="AB833" s="74"/>
      <c r="AC833" s="74"/>
      <c r="AD833" s="74">
        <f t="shared" si="315"/>
        <v>17196.8</v>
      </c>
      <c r="AE833" s="74">
        <f t="shared" si="316"/>
        <v>138847.53634404961</v>
      </c>
      <c r="AF833" s="52">
        <f t="shared" si="317"/>
        <v>1243522.8</v>
      </c>
      <c r="AG833" s="52">
        <f t="shared" si="318"/>
        <v>1554403.5</v>
      </c>
    </row>
    <row r="834" spans="1:33" s="21" customFormat="1" x14ac:dyDescent="0.2">
      <c r="A834" s="114" t="s">
        <v>748</v>
      </c>
      <c r="B834" s="114"/>
      <c r="C834" s="114"/>
      <c r="D834" s="160">
        <v>1</v>
      </c>
      <c r="E834" s="161"/>
      <c r="F834" s="162">
        <v>0.2</v>
      </c>
      <c r="G834" s="162"/>
      <c r="H834" s="52">
        <v>38559</v>
      </c>
      <c r="I834" s="52">
        <f t="shared" si="307"/>
        <v>34086.156000000003</v>
      </c>
      <c r="J834" s="52">
        <f t="shared" si="308"/>
        <v>27268.924800000004</v>
      </c>
      <c r="K834" s="61"/>
      <c r="L834" s="160">
        <v>0</v>
      </c>
      <c r="M834" s="55">
        <f t="shared" si="309"/>
        <v>0</v>
      </c>
      <c r="N834" s="55">
        <f t="shared" si="310"/>
        <v>0</v>
      </c>
      <c r="O834" s="95"/>
      <c r="P834" s="160">
        <v>0</v>
      </c>
      <c r="Q834" s="55">
        <f t="shared" si="311"/>
        <v>0</v>
      </c>
      <c r="R834" s="65">
        <f t="shared" si="312"/>
        <v>0</v>
      </c>
      <c r="S834" s="118">
        <v>25</v>
      </c>
      <c r="T834" s="121" t="s">
        <v>201</v>
      </c>
      <c r="U834" s="73">
        <f>SUMIF('Avoided Costs 2013-2021'!$A:$A,'2013 Actuals'!T834&amp;'2013 Actuals'!S834,'Avoided Costs 2013-2021'!$E:$E)*J834</f>
        <v>85546.506932397941</v>
      </c>
      <c r="V834" s="73">
        <f>SUMIF('Avoided Costs 2013-2021'!$A:$A,'2013 Actuals'!T834&amp;'2013 Actuals'!S834,'Avoided Costs 2013-2021'!$K:$K)*N834</f>
        <v>0</v>
      </c>
      <c r="W834" s="73">
        <f>SUMIF('Avoided Costs 2013-2021'!$A:$A,'2013 Actuals'!T834&amp;'2013 Actuals'!S834,'Avoided Costs 2013-2021'!$M:$M)*R834</f>
        <v>0</v>
      </c>
      <c r="X834" s="73">
        <f t="shared" si="313"/>
        <v>85546.506932397941</v>
      </c>
      <c r="Y834" s="83">
        <v>5810</v>
      </c>
      <c r="Z834" s="74">
        <f t="shared" si="314"/>
        <v>4648</v>
      </c>
      <c r="AA834" s="74"/>
      <c r="AB834" s="74"/>
      <c r="AC834" s="74"/>
      <c r="AD834" s="74">
        <f t="shared" si="315"/>
        <v>4648</v>
      </c>
      <c r="AE834" s="74">
        <f t="shared" si="316"/>
        <v>80898.506932397941</v>
      </c>
      <c r="AF834" s="52">
        <f t="shared" si="317"/>
        <v>681723.12000000011</v>
      </c>
      <c r="AG834" s="52">
        <f t="shared" si="318"/>
        <v>852153.9</v>
      </c>
    </row>
    <row r="835" spans="1:33" s="21" customFormat="1" x14ac:dyDescent="0.2">
      <c r="A835" s="114" t="s">
        <v>749</v>
      </c>
      <c r="B835" s="114"/>
      <c r="C835" s="114"/>
      <c r="D835" s="160">
        <v>1</v>
      </c>
      <c r="E835" s="161"/>
      <c r="F835" s="162">
        <v>0.2</v>
      </c>
      <c r="G835" s="162"/>
      <c r="H835" s="52">
        <v>9223</v>
      </c>
      <c r="I835" s="52">
        <f t="shared" si="307"/>
        <v>8153.1320000000005</v>
      </c>
      <c r="J835" s="52">
        <f t="shared" si="308"/>
        <v>6522.5056000000004</v>
      </c>
      <c r="K835" s="61"/>
      <c r="L835" s="160">
        <v>0</v>
      </c>
      <c r="M835" s="55">
        <f t="shared" si="309"/>
        <v>0</v>
      </c>
      <c r="N835" s="55">
        <f t="shared" si="310"/>
        <v>0</v>
      </c>
      <c r="O835" s="95"/>
      <c r="P835" s="160">
        <v>0</v>
      </c>
      <c r="Q835" s="55">
        <f t="shared" si="311"/>
        <v>0</v>
      </c>
      <c r="R835" s="65">
        <f t="shared" si="312"/>
        <v>0</v>
      </c>
      <c r="S835" s="118">
        <v>25</v>
      </c>
      <c r="T835" s="121" t="s">
        <v>201</v>
      </c>
      <c r="U835" s="73">
        <f>SUMIF('Avoided Costs 2013-2021'!$A:$A,'2013 Actuals'!T835&amp;'2013 Actuals'!S835,'Avoided Costs 2013-2021'!$E:$E)*J835</f>
        <v>20462.03048412838</v>
      </c>
      <c r="V835" s="73">
        <f>SUMIF('Avoided Costs 2013-2021'!$A:$A,'2013 Actuals'!T835&amp;'2013 Actuals'!S835,'Avoided Costs 2013-2021'!$K:$K)*N835</f>
        <v>0</v>
      </c>
      <c r="W835" s="73">
        <f>SUMIF('Avoided Costs 2013-2021'!$A:$A,'2013 Actuals'!T835&amp;'2013 Actuals'!S835,'Avoided Costs 2013-2021'!$M:$M)*R835</f>
        <v>0</v>
      </c>
      <c r="X835" s="73">
        <f t="shared" si="313"/>
        <v>20462.03048412838</v>
      </c>
      <c r="Y835" s="83">
        <v>6551</v>
      </c>
      <c r="Z835" s="74">
        <f t="shared" si="314"/>
        <v>5240.8</v>
      </c>
      <c r="AA835" s="74"/>
      <c r="AB835" s="74"/>
      <c r="AC835" s="74"/>
      <c r="AD835" s="74">
        <f t="shared" si="315"/>
        <v>5240.8</v>
      </c>
      <c r="AE835" s="74">
        <f t="shared" si="316"/>
        <v>15221.23048412838</v>
      </c>
      <c r="AF835" s="52">
        <f t="shared" si="317"/>
        <v>163062.64000000001</v>
      </c>
      <c r="AG835" s="52">
        <f t="shared" si="318"/>
        <v>203828.30000000002</v>
      </c>
    </row>
    <row r="836" spans="1:33" s="21" customFormat="1" x14ac:dyDescent="0.2">
      <c r="A836" s="114" t="s">
        <v>750</v>
      </c>
      <c r="B836" s="114"/>
      <c r="C836" s="114"/>
      <c r="D836" s="160">
        <v>0</v>
      </c>
      <c r="E836" s="161"/>
      <c r="F836" s="162">
        <v>0.2</v>
      </c>
      <c r="G836" s="162"/>
      <c r="H836" s="52">
        <v>15330</v>
      </c>
      <c r="I836" s="52">
        <f t="shared" si="307"/>
        <v>13551.72</v>
      </c>
      <c r="J836" s="52">
        <f t="shared" si="308"/>
        <v>10841.376</v>
      </c>
      <c r="K836" s="61"/>
      <c r="L836" s="160">
        <v>16622</v>
      </c>
      <c r="M836" s="55">
        <f t="shared" si="309"/>
        <v>16622</v>
      </c>
      <c r="N836" s="55">
        <f t="shared" si="310"/>
        <v>13297.6</v>
      </c>
      <c r="O836" s="95"/>
      <c r="P836" s="160">
        <v>0</v>
      </c>
      <c r="Q836" s="55">
        <f t="shared" si="311"/>
        <v>0</v>
      </c>
      <c r="R836" s="65">
        <f t="shared" si="312"/>
        <v>0</v>
      </c>
      <c r="S836" s="118">
        <v>15</v>
      </c>
      <c r="T836" s="121" t="s">
        <v>201</v>
      </c>
      <c r="U836" s="73">
        <f>SUMIF('Avoided Costs 2013-2021'!$A:$A,'2013 Actuals'!T836&amp;'2013 Actuals'!S836,'Avoided Costs 2013-2021'!$E:$E)*J836</f>
        <v>24228.985231359562</v>
      </c>
      <c r="V836" s="73">
        <f>SUMIF('Avoided Costs 2013-2021'!$A:$A,'2013 Actuals'!T836&amp;'2013 Actuals'!S836,'Avoided Costs 2013-2021'!$K:$K)*N836</f>
        <v>13921.173252258357</v>
      </c>
      <c r="W836" s="73">
        <f>SUMIF('Avoided Costs 2013-2021'!$A:$A,'2013 Actuals'!T836&amp;'2013 Actuals'!S836,'Avoided Costs 2013-2021'!$M:$M)*R836</f>
        <v>0</v>
      </c>
      <c r="X836" s="73">
        <f t="shared" si="313"/>
        <v>38150.158483617917</v>
      </c>
      <c r="Y836" s="83">
        <v>11300</v>
      </c>
      <c r="Z836" s="74">
        <f t="shared" si="314"/>
        <v>9040</v>
      </c>
      <c r="AA836" s="74"/>
      <c r="AB836" s="74"/>
      <c r="AC836" s="74"/>
      <c r="AD836" s="74">
        <f t="shared" si="315"/>
        <v>9040</v>
      </c>
      <c r="AE836" s="74">
        <f t="shared" si="316"/>
        <v>29110.158483617917</v>
      </c>
      <c r="AF836" s="52">
        <f t="shared" si="317"/>
        <v>162620.64000000001</v>
      </c>
      <c r="AG836" s="52">
        <f t="shared" si="318"/>
        <v>203275.8</v>
      </c>
    </row>
    <row r="837" spans="1:33" s="21" customFormat="1" x14ac:dyDescent="0.2">
      <c r="A837" s="114" t="s">
        <v>751</v>
      </c>
      <c r="B837" s="114"/>
      <c r="C837" s="114"/>
      <c r="D837" s="160">
        <v>1</v>
      </c>
      <c r="E837" s="161"/>
      <c r="F837" s="162">
        <v>0.2</v>
      </c>
      <c r="G837" s="162"/>
      <c r="H837" s="52">
        <v>28272</v>
      </c>
      <c r="I837" s="52">
        <f t="shared" si="307"/>
        <v>24992.448</v>
      </c>
      <c r="J837" s="52">
        <f t="shared" si="308"/>
        <v>19993.958400000003</v>
      </c>
      <c r="K837" s="61"/>
      <c r="L837" s="160">
        <v>0</v>
      </c>
      <c r="M837" s="55">
        <f t="shared" si="309"/>
        <v>0</v>
      </c>
      <c r="N837" s="55">
        <f t="shared" si="310"/>
        <v>0</v>
      </c>
      <c r="O837" s="95"/>
      <c r="P837" s="160">
        <v>0</v>
      </c>
      <c r="Q837" s="55">
        <f t="shared" si="311"/>
        <v>0</v>
      </c>
      <c r="R837" s="65">
        <f t="shared" si="312"/>
        <v>0</v>
      </c>
      <c r="S837" s="118">
        <v>25</v>
      </c>
      <c r="T837" s="121" t="s">
        <v>201</v>
      </c>
      <c r="U837" s="73">
        <f>SUMIF('Avoided Costs 2013-2021'!$A:$A,'2013 Actuals'!T837&amp;'2013 Actuals'!S837,'Avoided Costs 2013-2021'!$E:$E)*J837</f>
        <v>62723.899582270147</v>
      </c>
      <c r="V837" s="73">
        <f>SUMIF('Avoided Costs 2013-2021'!$A:$A,'2013 Actuals'!T837&amp;'2013 Actuals'!S837,'Avoided Costs 2013-2021'!$K:$K)*N837</f>
        <v>0</v>
      </c>
      <c r="W837" s="73">
        <f>SUMIF('Avoided Costs 2013-2021'!$A:$A,'2013 Actuals'!T837&amp;'2013 Actuals'!S837,'Avoided Costs 2013-2021'!$M:$M)*R837</f>
        <v>0</v>
      </c>
      <c r="X837" s="73">
        <f t="shared" si="313"/>
        <v>62723.899582270147</v>
      </c>
      <c r="Y837" s="83">
        <v>23331</v>
      </c>
      <c r="Z837" s="74">
        <f t="shared" si="314"/>
        <v>18664.8</v>
      </c>
      <c r="AA837" s="74"/>
      <c r="AB837" s="74"/>
      <c r="AC837" s="74"/>
      <c r="AD837" s="74">
        <f t="shared" si="315"/>
        <v>18664.8</v>
      </c>
      <c r="AE837" s="74">
        <f t="shared" si="316"/>
        <v>44059.099582270152</v>
      </c>
      <c r="AF837" s="52">
        <f t="shared" si="317"/>
        <v>499848.96000000008</v>
      </c>
      <c r="AG837" s="52">
        <f t="shared" si="318"/>
        <v>624811.19999999995</v>
      </c>
    </row>
    <row r="838" spans="1:33" s="21" customFormat="1" x14ac:dyDescent="0.2">
      <c r="A838" s="114" t="s">
        <v>752</v>
      </c>
      <c r="B838" s="114"/>
      <c r="C838" s="114"/>
      <c r="D838" s="160">
        <v>1</v>
      </c>
      <c r="E838" s="161"/>
      <c r="F838" s="162">
        <v>0.2</v>
      </c>
      <c r="G838" s="162"/>
      <c r="H838" s="52">
        <v>2044</v>
      </c>
      <c r="I838" s="52">
        <f t="shared" si="307"/>
        <v>1806.896</v>
      </c>
      <c r="J838" s="52">
        <f t="shared" si="308"/>
        <v>1445.5168000000001</v>
      </c>
      <c r="K838" s="61"/>
      <c r="L838" s="160">
        <v>0</v>
      </c>
      <c r="M838" s="55">
        <f t="shared" si="309"/>
        <v>0</v>
      </c>
      <c r="N838" s="55">
        <f t="shared" si="310"/>
        <v>0</v>
      </c>
      <c r="O838" s="95"/>
      <c r="P838" s="160">
        <v>0</v>
      </c>
      <c r="Q838" s="55">
        <f t="shared" si="311"/>
        <v>0</v>
      </c>
      <c r="R838" s="65">
        <f t="shared" si="312"/>
        <v>0</v>
      </c>
      <c r="S838" s="118">
        <v>25</v>
      </c>
      <c r="T838" s="121" t="s">
        <v>217</v>
      </c>
      <c r="U838" s="73">
        <f>SUMIF('Avoided Costs 2013-2021'!$A:$A,'2013 Actuals'!T838&amp;'2013 Actuals'!S838,'Avoided Costs 2013-2021'!$E:$E)*J838</f>
        <v>4255.7038815864835</v>
      </c>
      <c r="V838" s="73">
        <f>SUMIF('Avoided Costs 2013-2021'!$A:$A,'2013 Actuals'!T838&amp;'2013 Actuals'!S838,'Avoided Costs 2013-2021'!$K:$K)*N838</f>
        <v>0</v>
      </c>
      <c r="W838" s="73">
        <f>SUMIF('Avoided Costs 2013-2021'!$A:$A,'2013 Actuals'!T838&amp;'2013 Actuals'!S838,'Avoided Costs 2013-2021'!$M:$M)*R838</f>
        <v>0</v>
      </c>
      <c r="X838" s="73">
        <f t="shared" si="313"/>
        <v>4255.7038815864835</v>
      </c>
      <c r="Y838" s="83">
        <v>11496</v>
      </c>
      <c r="Z838" s="74">
        <f t="shared" si="314"/>
        <v>9196.8000000000011</v>
      </c>
      <c r="AA838" s="74"/>
      <c r="AB838" s="74"/>
      <c r="AC838" s="74"/>
      <c r="AD838" s="74">
        <f t="shared" si="315"/>
        <v>9196.8000000000011</v>
      </c>
      <c r="AE838" s="74">
        <f t="shared" si="316"/>
        <v>-4941.0961184135176</v>
      </c>
      <c r="AF838" s="52">
        <f t="shared" si="317"/>
        <v>36137.920000000006</v>
      </c>
      <c r="AG838" s="52">
        <f t="shared" si="318"/>
        <v>45172.4</v>
      </c>
    </row>
    <row r="839" spans="1:33" s="21" customFormat="1" x14ac:dyDescent="0.2">
      <c r="A839" s="114" t="s">
        <v>753</v>
      </c>
      <c r="B839" s="114"/>
      <c r="C839" s="114"/>
      <c r="D839" s="160">
        <v>0</v>
      </c>
      <c r="E839" s="161"/>
      <c r="F839" s="162">
        <v>0.2</v>
      </c>
      <c r="G839" s="162"/>
      <c r="H839" s="52">
        <v>14103</v>
      </c>
      <c r="I839" s="52">
        <f t="shared" si="307"/>
        <v>12467.052</v>
      </c>
      <c r="J839" s="52">
        <f t="shared" si="308"/>
        <v>9973.6416000000008</v>
      </c>
      <c r="K839" s="61"/>
      <c r="L839" s="160">
        <v>0</v>
      </c>
      <c r="M839" s="55">
        <f t="shared" si="309"/>
        <v>0</v>
      </c>
      <c r="N839" s="55">
        <f t="shared" si="310"/>
        <v>0</v>
      </c>
      <c r="O839" s="95"/>
      <c r="P839" s="160">
        <v>0</v>
      </c>
      <c r="Q839" s="55">
        <f t="shared" si="311"/>
        <v>0</v>
      </c>
      <c r="R839" s="65">
        <f t="shared" si="312"/>
        <v>0</v>
      </c>
      <c r="S839" s="137">
        <v>21.09191431</v>
      </c>
      <c r="T839" s="121" t="s">
        <v>217</v>
      </c>
      <c r="U839" s="73">
        <f>SUMIF('Avoided Costs 2013-2021'!$A:$A,'2013 Actuals'!T839&amp;IF(T839="S",11,IF(T839="W",8,0)),'Avoided Costs 2013-2021'!$E:$E)*J839</f>
        <v>12073.079000012473</v>
      </c>
      <c r="V839" s="73">
        <f>SUMIF('Avoided Costs 2013-2021'!$A:$A,'2013 Actuals'!T839&amp;'2013 Actuals'!S839,'Avoided Costs 2013-2021'!$K:$K)*N839</f>
        <v>0</v>
      </c>
      <c r="W839" s="73">
        <f>SUMIF('Avoided Costs 2013-2021'!$A:$A,'2013 Actuals'!T839&amp;'2013 Actuals'!S839,'Avoided Costs 2013-2021'!$M:$M)*R839</f>
        <v>0</v>
      </c>
      <c r="X839" s="73">
        <f t="shared" si="313"/>
        <v>12073.079000012473</v>
      </c>
      <c r="Y839" s="83">
        <v>14814</v>
      </c>
      <c r="Z839" s="74">
        <f t="shared" si="314"/>
        <v>11851.2</v>
      </c>
      <c r="AA839" s="74"/>
      <c r="AB839" s="74"/>
      <c r="AC839" s="74"/>
      <c r="AD839" s="74">
        <f t="shared" si="315"/>
        <v>11851.2</v>
      </c>
      <c r="AE839" s="74">
        <f t="shared" si="316"/>
        <v>221.87900001247181</v>
      </c>
      <c r="AF839" s="52">
        <f t="shared" si="317"/>
        <v>210363.19398585131</v>
      </c>
      <c r="AG839" s="52">
        <f t="shared" si="318"/>
        <v>262953.99248231412</v>
      </c>
    </row>
    <row r="840" spans="1:33" s="21" customFormat="1" x14ac:dyDescent="0.2">
      <c r="A840" s="114" t="s">
        <v>754</v>
      </c>
      <c r="B840" s="114"/>
      <c r="C840" s="114"/>
      <c r="D840" s="160">
        <v>1</v>
      </c>
      <c r="E840" s="161"/>
      <c r="F840" s="162">
        <v>0.2</v>
      </c>
      <c r="G840" s="162"/>
      <c r="H840" s="52">
        <v>38290</v>
      </c>
      <c r="I840" s="52">
        <f t="shared" si="307"/>
        <v>33848.36</v>
      </c>
      <c r="J840" s="52">
        <f t="shared" si="308"/>
        <v>27078.688000000002</v>
      </c>
      <c r="K840" s="61"/>
      <c r="L840" s="160">
        <v>0</v>
      </c>
      <c r="M840" s="55">
        <f t="shared" si="309"/>
        <v>0</v>
      </c>
      <c r="N840" s="55">
        <f t="shared" si="310"/>
        <v>0</v>
      </c>
      <c r="O840" s="95"/>
      <c r="P840" s="160">
        <v>0</v>
      </c>
      <c r="Q840" s="55">
        <f t="shared" si="311"/>
        <v>0</v>
      </c>
      <c r="R840" s="65">
        <f t="shared" si="312"/>
        <v>0</v>
      </c>
      <c r="S840" s="137">
        <v>21.511627910000001</v>
      </c>
      <c r="T840" s="121" t="s">
        <v>201</v>
      </c>
      <c r="U840" s="73">
        <f>SUMIF('Avoided Costs 2013-2021'!$A:$A,'2013 Actuals'!T840&amp;IF(T840="S",11,IF(T840="W",8,0)),'Avoided Costs 2013-2021'!$E:$E)*J840</f>
        <v>46963.980501592632</v>
      </c>
      <c r="V840" s="73">
        <f>SUMIF('Avoided Costs 2013-2021'!$A:$A,'2013 Actuals'!T840&amp;'2013 Actuals'!S840,'Avoided Costs 2013-2021'!$K:$K)*N840</f>
        <v>0</v>
      </c>
      <c r="W840" s="73">
        <f>SUMIF('Avoided Costs 2013-2021'!$A:$A,'2013 Actuals'!T840&amp;'2013 Actuals'!S840,'Avoided Costs 2013-2021'!$M:$M)*R840</f>
        <v>0</v>
      </c>
      <c r="X840" s="73">
        <f t="shared" si="313"/>
        <v>46963.980501592632</v>
      </c>
      <c r="Y840" s="83">
        <v>31138</v>
      </c>
      <c r="Z840" s="74">
        <f t="shared" si="314"/>
        <v>24910.400000000001</v>
      </c>
      <c r="AA840" s="74"/>
      <c r="AB840" s="74"/>
      <c r="AC840" s="74"/>
      <c r="AD840" s="74">
        <f t="shared" si="315"/>
        <v>24910.400000000001</v>
      </c>
      <c r="AE840" s="74">
        <f t="shared" si="316"/>
        <v>22053.580501592631</v>
      </c>
      <c r="AF840" s="52">
        <f t="shared" si="317"/>
        <v>582506.6605469822</v>
      </c>
      <c r="AG840" s="52">
        <f t="shared" si="318"/>
        <v>728133.32568372763</v>
      </c>
    </row>
    <row r="841" spans="1:33" s="21" customFormat="1" x14ac:dyDescent="0.2">
      <c r="A841" s="114" t="s">
        <v>755</v>
      </c>
      <c r="B841" s="114"/>
      <c r="C841" s="114"/>
      <c r="D841" s="160">
        <v>1</v>
      </c>
      <c r="E841" s="161"/>
      <c r="F841" s="162">
        <v>0.2</v>
      </c>
      <c r="G841" s="162"/>
      <c r="H841" s="52">
        <v>3656</v>
      </c>
      <c r="I841" s="52">
        <f t="shared" si="307"/>
        <v>3231.904</v>
      </c>
      <c r="J841" s="52">
        <f t="shared" si="308"/>
        <v>2585.5232000000001</v>
      </c>
      <c r="K841" s="61"/>
      <c r="L841" s="160">
        <v>0</v>
      </c>
      <c r="M841" s="55">
        <f t="shared" si="309"/>
        <v>0</v>
      </c>
      <c r="N841" s="55">
        <f t="shared" si="310"/>
        <v>0</v>
      </c>
      <c r="O841" s="95"/>
      <c r="P841" s="160">
        <v>0</v>
      </c>
      <c r="Q841" s="55">
        <f t="shared" si="311"/>
        <v>0</v>
      </c>
      <c r="R841" s="65">
        <f t="shared" si="312"/>
        <v>0</v>
      </c>
      <c r="S841" s="118">
        <v>15</v>
      </c>
      <c r="T841" s="121" t="s">
        <v>201</v>
      </c>
      <c r="U841" s="73">
        <f>SUMIF('Avoided Costs 2013-2021'!$A:$A,'2013 Actuals'!T841&amp;'2013 Actuals'!S841,'Avoided Costs 2013-2021'!$E:$E)*J841</f>
        <v>5778.2889762459599</v>
      </c>
      <c r="V841" s="73">
        <f>SUMIF('Avoided Costs 2013-2021'!$A:$A,'2013 Actuals'!T841&amp;'2013 Actuals'!S841,'Avoided Costs 2013-2021'!$K:$K)*N841</f>
        <v>0</v>
      </c>
      <c r="W841" s="73">
        <f>SUMIF('Avoided Costs 2013-2021'!$A:$A,'2013 Actuals'!T841&amp;'2013 Actuals'!S841,'Avoided Costs 2013-2021'!$M:$M)*R841</f>
        <v>0</v>
      </c>
      <c r="X841" s="73">
        <f t="shared" si="313"/>
        <v>5778.2889762459599</v>
      </c>
      <c r="Y841" s="83">
        <v>1158</v>
      </c>
      <c r="Z841" s="74">
        <f t="shared" si="314"/>
        <v>926.40000000000009</v>
      </c>
      <c r="AA841" s="74"/>
      <c r="AB841" s="74"/>
      <c r="AC841" s="74"/>
      <c r="AD841" s="74">
        <f t="shared" si="315"/>
        <v>926.40000000000009</v>
      </c>
      <c r="AE841" s="74">
        <f t="shared" si="316"/>
        <v>4851.8889762459603</v>
      </c>
      <c r="AF841" s="52">
        <f t="shared" si="317"/>
        <v>38782.847999999998</v>
      </c>
      <c r="AG841" s="52">
        <f t="shared" si="318"/>
        <v>48478.559999999998</v>
      </c>
    </row>
    <row r="842" spans="1:33" s="21" customFormat="1" x14ac:dyDescent="0.2">
      <c r="A842" s="114" t="s">
        <v>756</v>
      </c>
      <c r="B842" s="114"/>
      <c r="C842" s="114"/>
      <c r="D842" s="160">
        <v>1</v>
      </c>
      <c r="E842" s="161"/>
      <c r="F842" s="162">
        <v>0.2</v>
      </c>
      <c r="G842" s="162"/>
      <c r="H842" s="52">
        <v>2854</v>
      </c>
      <c r="I842" s="52">
        <f t="shared" si="307"/>
        <v>2522.9360000000001</v>
      </c>
      <c r="J842" s="52">
        <f t="shared" si="308"/>
        <v>2018.3488000000002</v>
      </c>
      <c r="K842" s="61"/>
      <c r="L842" s="160">
        <v>0</v>
      </c>
      <c r="M842" s="55">
        <f t="shared" si="309"/>
        <v>0</v>
      </c>
      <c r="N842" s="55">
        <f t="shared" si="310"/>
        <v>0</v>
      </c>
      <c r="O842" s="95"/>
      <c r="P842" s="160">
        <v>0</v>
      </c>
      <c r="Q842" s="55">
        <f t="shared" si="311"/>
        <v>0</v>
      </c>
      <c r="R842" s="65">
        <f t="shared" si="312"/>
        <v>0</v>
      </c>
      <c r="S842" s="118">
        <v>15</v>
      </c>
      <c r="T842" s="121" t="s">
        <v>201</v>
      </c>
      <c r="U842" s="73">
        <f>SUMIF('Avoided Costs 2013-2021'!$A:$A,'2013 Actuals'!T842&amp;'2013 Actuals'!S842,'Avoided Costs 2013-2021'!$E:$E)*J842</f>
        <v>4510.7321493998825</v>
      </c>
      <c r="V842" s="73">
        <f>SUMIF('Avoided Costs 2013-2021'!$A:$A,'2013 Actuals'!T842&amp;'2013 Actuals'!S842,'Avoided Costs 2013-2021'!$K:$K)*N842</f>
        <v>0</v>
      </c>
      <c r="W842" s="73">
        <f>SUMIF('Avoided Costs 2013-2021'!$A:$A,'2013 Actuals'!T842&amp;'2013 Actuals'!S842,'Avoided Costs 2013-2021'!$M:$M)*R842</f>
        <v>0</v>
      </c>
      <c r="X842" s="73">
        <f t="shared" si="313"/>
        <v>4510.7321493998825</v>
      </c>
      <c r="Y842" s="83">
        <v>1158</v>
      </c>
      <c r="Z842" s="74">
        <f t="shared" si="314"/>
        <v>926.40000000000009</v>
      </c>
      <c r="AA842" s="74"/>
      <c r="AB842" s="74"/>
      <c r="AC842" s="74"/>
      <c r="AD842" s="74">
        <f t="shared" si="315"/>
        <v>926.40000000000009</v>
      </c>
      <c r="AE842" s="74">
        <f t="shared" si="316"/>
        <v>3584.3321493998824</v>
      </c>
      <c r="AF842" s="52">
        <f t="shared" si="317"/>
        <v>30275.232000000004</v>
      </c>
      <c r="AG842" s="52">
        <f t="shared" si="318"/>
        <v>37844.04</v>
      </c>
    </row>
    <row r="843" spans="1:33" s="21" customFormat="1" x14ac:dyDescent="0.2">
      <c r="A843" s="114" t="s">
        <v>757</v>
      </c>
      <c r="B843" s="114"/>
      <c r="C843" s="114"/>
      <c r="D843" s="160">
        <v>1</v>
      </c>
      <c r="E843" s="161"/>
      <c r="F843" s="162">
        <v>0.2</v>
      </c>
      <c r="G843" s="162"/>
      <c r="H843" s="52">
        <v>5364</v>
      </c>
      <c r="I843" s="52">
        <f t="shared" si="307"/>
        <v>4741.7759999999998</v>
      </c>
      <c r="J843" s="52">
        <f t="shared" si="308"/>
        <v>3793.4207999999999</v>
      </c>
      <c r="K843" s="61"/>
      <c r="L843" s="160">
        <v>0</v>
      </c>
      <c r="M843" s="55">
        <f t="shared" si="309"/>
        <v>0</v>
      </c>
      <c r="N843" s="55">
        <f t="shared" si="310"/>
        <v>0</v>
      </c>
      <c r="O843" s="95"/>
      <c r="P843" s="160">
        <v>0</v>
      </c>
      <c r="Q843" s="55">
        <f t="shared" si="311"/>
        <v>0</v>
      </c>
      <c r="R843" s="65">
        <f t="shared" si="312"/>
        <v>0</v>
      </c>
      <c r="S843" s="118">
        <v>15</v>
      </c>
      <c r="T843" s="121" t="s">
        <v>201</v>
      </c>
      <c r="U843" s="73">
        <f>SUMIF('Avoided Costs 2013-2021'!$A:$A,'2013 Actuals'!T843&amp;'2013 Actuals'!S843,'Avoided Costs 2013-2021'!$E:$E)*J843</f>
        <v>8477.7740887809978</v>
      </c>
      <c r="V843" s="73">
        <f>SUMIF('Avoided Costs 2013-2021'!$A:$A,'2013 Actuals'!T843&amp;'2013 Actuals'!S843,'Avoided Costs 2013-2021'!$K:$K)*N843</f>
        <v>0</v>
      </c>
      <c r="W843" s="73">
        <f>SUMIF('Avoided Costs 2013-2021'!$A:$A,'2013 Actuals'!T843&amp;'2013 Actuals'!S843,'Avoided Costs 2013-2021'!$M:$M)*R843</f>
        <v>0</v>
      </c>
      <c r="X843" s="73">
        <f t="shared" si="313"/>
        <v>8477.7740887809978</v>
      </c>
      <c r="Y843" s="83">
        <v>2123</v>
      </c>
      <c r="Z843" s="74">
        <f t="shared" si="314"/>
        <v>1698.4</v>
      </c>
      <c r="AA843" s="74"/>
      <c r="AB843" s="74"/>
      <c r="AC843" s="74"/>
      <c r="AD843" s="74">
        <f t="shared" si="315"/>
        <v>1698.4</v>
      </c>
      <c r="AE843" s="74">
        <f t="shared" si="316"/>
        <v>6779.3740887809981</v>
      </c>
      <c r="AF843" s="52">
        <f t="shared" si="317"/>
        <v>56901.311999999998</v>
      </c>
      <c r="AG843" s="52">
        <f t="shared" si="318"/>
        <v>71126.64</v>
      </c>
    </row>
    <row r="844" spans="1:33" s="21" customFormat="1" x14ac:dyDescent="0.2">
      <c r="A844" s="114" t="s">
        <v>758</v>
      </c>
      <c r="B844" s="114"/>
      <c r="C844" s="114"/>
      <c r="D844" s="160">
        <v>1</v>
      </c>
      <c r="E844" s="161"/>
      <c r="F844" s="162">
        <v>0.2</v>
      </c>
      <c r="G844" s="162"/>
      <c r="H844" s="52">
        <v>6378</v>
      </c>
      <c r="I844" s="52">
        <f t="shared" si="307"/>
        <v>5638.152</v>
      </c>
      <c r="J844" s="52">
        <f t="shared" si="308"/>
        <v>4510.5216</v>
      </c>
      <c r="K844" s="61"/>
      <c r="L844" s="160">
        <v>0</v>
      </c>
      <c r="M844" s="55">
        <f t="shared" si="309"/>
        <v>0</v>
      </c>
      <c r="N844" s="55">
        <f t="shared" si="310"/>
        <v>0</v>
      </c>
      <c r="O844" s="95"/>
      <c r="P844" s="160">
        <v>0</v>
      </c>
      <c r="Q844" s="55">
        <f t="shared" si="311"/>
        <v>0</v>
      </c>
      <c r="R844" s="65">
        <f t="shared" si="312"/>
        <v>0</v>
      </c>
      <c r="S844" s="118">
        <v>15</v>
      </c>
      <c r="T844" s="121" t="s">
        <v>201</v>
      </c>
      <c r="U844" s="73">
        <f>SUMIF('Avoided Costs 2013-2021'!$A:$A,'2013 Actuals'!T844&amp;'2013 Actuals'!S844,'Avoided Costs 2013-2021'!$E:$E)*J844</f>
        <v>10080.395812499106</v>
      </c>
      <c r="V844" s="73">
        <f>SUMIF('Avoided Costs 2013-2021'!$A:$A,'2013 Actuals'!T844&amp;'2013 Actuals'!S844,'Avoided Costs 2013-2021'!$K:$K)*N844</f>
        <v>0</v>
      </c>
      <c r="W844" s="73">
        <f>SUMIF('Avoided Costs 2013-2021'!$A:$A,'2013 Actuals'!T844&amp;'2013 Actuals'!S844,'Avoided Costs 2013-2021'!$M:$M)*R844</f>
        <v>0</v>
      </c>
      <c r="X844" s="73">
        <f t="shared" si="313"/>
        <v>10080.395812499106</v>
      </c>
      <c r="Y844" s="83">
        <v>2702</v>
      </c>
      <c r="Z844" s="74">
        <f t="shared" si="314"/>
        <v>2161.6</v>
      </c>
      <c r="AA844" s="74"/>
      <c r="AB844" s="74"/>
      <c r="AC844" s="74"/>
      <c r="AD844" s="74">
        <f t="shared" si="315"/>
        <v>2161.6</v>
      </c>
      <c r="AE844" s="74">
        <f t="shared" si="316"/>
        <v>7918.7958124991055</v>
      </c>
      <c r="AF844" s="52">
        <f t="shared" si="317"/>
        <v>67657.823999999993</v>
      </c>
      <c r="AG844" s="52">
        <f t="shared" si="318"/>
        <v>84572.28</v>
      </c>
    </row>
    <row r="845" spans="1:33" s="21" customFormat="1" x14ac:dyDescent="0.2">
      <c r="A845" s="114" t="s">
        <v>759</v>
      </c>
      <c r="B845" s="114"/>
      <c r="C845" s="114"/>
      <c r="D845" s="160">
        <v>1</v>
      </c>
      <c r="E845" s="161"/>
      <c r="F845" s="162">
        <v>0.2</v>
      </c>
      <c r="G845" s="162"/>
      <c r="H845" s="52">
        <v>16941</v>
      </c>
      <c r="I845" s="52">
        <f t="shared" si="307"/>
        <v>14975.844000000001</v>
      </c>
      <c r="J845" s="52">
        <f t="shared" si="308"/>
        <v>11980.675200000001</v>
      </c>
      <c r="K845" s="61"/>
      <c r="L845" s="160">
        <v>0</v>
      </c>
      <c r="M845" s="55">
        <f t="shared" si="309"/>
        <v>0</v>
      </c>
      <c r="N845" s="55">
        <f t="shared" si="310"/>
        <v>0</v>
      </c>
      <c r="O845" s="95"/>
      <c r="P845" s="160">
        <v>0</v>
      </c>
      <c r="Q845" s="55">
        <f t="shared" si="311"/>
        <v>0</v>
      </c>
      <c r="R845" s="65">
        <f t="shared" si="312"/>
        <v>0</v>
      </c>
      <c r="S845" s="118">
        <v>15</v>
      </c>
      <c r="T845" s="121" t="s">
        <v>201</v>
      </c>
      <c r="U845" s="73">
        <f>SUMIF('Avoided Costs 2013-2021'!$A:$A,'2013 Actuals'!T845&amp;'2013 Actuals'!S845,'Avoided Costs 2013-2021'!$E:$E)*J845</f>
        <v>26775.162348627684</v>
      </c>
      <c r="V845" s="73">
        <f>SUMIF('Avoided Costs 2013-2021'!$A:$A,'2013 Actuals'!T845&amp;'2013 Actuals'!S845,'Avoided Costs 2013-2021'!$K:$K)*N845</f>
        <v>0</v>
      </c>
      <c r="W845" s="73">
        <f>SUMIF('Avoided Costs 2013-2021'!$A:$A,'2013 Actuals'!T845&amp;'2013 Actuals'!S845,'Avoided Costs 2013-2021'!$M:$M)*R845</f>
        <v>0</v>
      </c>
      <c r="X845" s="73">
        <f t="shared" si="313"/>
        <v>26775.162348627684</v>
      </c>
      <c r="Y845" s="83">
        <v>2702</v>
      </c>
      <c r="Z845" s="74">
        <f t="shared" si="314"/>
        <v>2161.6</v>
      </c>
      <c r="AA845" s="74"/>
      <c r="AB845" s="74"/>
      <c r="AC845" s="74"/>
      <c r="AD845" s="74">
        <f t="shared" si="315"/>
        <v>2161.6</v>
      </c>
      <c r="AE845" s="74">
        <f t="shared" si="316"/>
        <v>24613.562348627685</v>
      </c>
      <c r="AF845" s="52">
        <f t="shared" si="317"/>
        <v>179710.12800000003</v>
      </c>
      <c r="AG845" s="52">
        <f t="shared" si="318"/>
        <v>224637.66</v>
      </c>
    </row>
    <row r="846" spans="1:33" s="21" customFormat="1" x14ac:dyDescent="0.2">
      <c r="A846" s="114" t="s">
        <v>760</v>
      </c>
      <c r="B846" s="114"/>
      <c r="C846" s="114"/>
      <c r="D846" s="160">
        <v>1</v>
      </c>
      <c r="E846" s="161"/>
      <c r="F846" s="162">
        <v>0.2</v>
      </c>
      <c r="G846" s="162"/>
      <c r="H846" s="52">
        <v>1784</v>
      </c>
      <c r="I846" s="52">
        <f t="shared" si="307"/>
        <v>1577.056</v>
      </c>
      <c r="J846" s="52">
        <f t="shared" si="308"/>
        <v>1261.6448</v>
      </c>
      <c r="K846" s="61"/>
      <c r="L846" s="160">
        <v>0</v>
      </c>
      <c r="M846" s="55">
        <f t="shared" si="309"/>
        <v>0</v>
      </c>
      <c r="N846" s="55">
        <f t="shared" si="310"/>
        <v>0</v>
      </c>
      <c r="O846" s="95"/>
      <c r="P846" s="160">
        <v>0</v>
      </c>
      <c r="Q846" s="55">
        <f t="shared" si="311"/>
        <v>0</v>
      </c>
      <c r="R846" s="65">
        <f t="shared" si="312"/>
        <v>0</v>
      </c>
      <c r="S846" s="118">
        <v>15</v>
      </c>
      <c r="T846" s="121" t="s">
        <v>201</v>
      </c>
      <c r="U846" s="73">
        <f>SUMIF('Avoided Costs 2013-2021'!$A:$A,'2013 Actuals'!T846&amp;'2013 Actuals'!S846,'Avoided Costs 2013-2021'!$E:$E)*J846</f>
        <v>2819.6027170740676</v>
      </c>
      <c r="V846" s="73">
        <f>SUMIF('Avoided Costs 2013-2021'!$A:$A,'2013 Actuals'!T846&amp;'2013 Actuals'!S846,'Avoided Costs 2013-2021'!$K:$K)*N846</f>
        <v>0</v>
      </c>
      <c r="W846" s="73">
        <f>SUMIF('Avoided Costs 2013-2021'!$A:$A,'2013 Actuals'!T846&amp;'2013 Actuals'!S846,'Avoided Costs 2013-2021'!$M:$M)*R846</f>
        <v>0</v>
      </c>
      <c r="X846" s="73">
        <f t="shared" si="313"/>
        <v>2819.6027170740676</v>
      </c>
      <c r="Y846" s="83">
        <v>2509</v>
      </c>
      <c r="Z846" s="74">
        <f t="shared" si="314"/>
        <v>2007.2</v>
      </c>
      <c r="AA846" s="74"/>
      <c r="AB846" s="74"/>
      <c r="AC846" s="74"/>
      <c r="AD846" s="74">
        <f t="shared" si="315"/>
        <v>2007.2</v>
      </c>
      <c r="AE846" s="74">
        <f t="shared" si="316"/>
        <v>812.4027170740676</v>
      </c>
      <c r="AF846" s="52">
        <f t="shared" si="317"/>
        <v>18924.671999999999</v>
      </c>
      <c r="AG846" s="52">
        <f t="shared" si="318"/>
        <v>23655.84</v>
      </c>
    </row>
    <row r="847" spans="1:33" s="21" customFormat="1" x14ac:dyDescent="0.2">
      <c r="A847" s="114" t="s">
        <v>761</v>
      </c>
      <c r="B847" s="114"/>
      <c r="C847" s="114"/>
      <c r="D847" s="160">
        <v>1</v>
      </c>
      <c r="E847" s="161"/>
      <c r="F847" s="162">
        <v>0.2</v>
      </c>
      <c r="G847" s="162"/>
      <c r="H847" s="52">
        <v>5394</v>
      </c>
      <c r="I847" s="52">
        <f t="shared" si="307"/>
        <v>4768.2960000000003</v>
      </c>
      <c r="J847" s="52">
        <f t="shared" si="308"/>
        <v>3814.6368000000002</v>
      </c>
      <c r="K847" s="61"/>
      <c r="L847" s="160">
        <v>0</v>
      </c>
      <c r="M847" s="55">
        <f t="shared" si="309"/>
        <v>0</v>
      </c>
      <c r="N847" s="55">
        <f t="shared" si="310"/>
        <v>0</v>
      </c>
      <c r="O847" s="95"/>
      <c r="P847" s="160">
        <v>0</v>
      </c>
      <c r="Q847" s="55">
        <f t="shared" si="311"/>
        <v>0</v>
      </c>
      <c r="R847" s="65">
        <f t="shared" si="312"/>
        <v>0</v>
      </c>
      <c r="S847" s="118">
        <v>15</v>
      </c>
      <c r="T847" s="121" t="s">
        <v>201</v>
      </c>
      <c r="U847" s="73">
        <f>SUMIF('Avoided Costs 2013-2021'!$A:$A,'2013 Actuals'!T847&amp;'2013 Actuals'!S847,'Avoided Costs 2013-2021'!$E:$E)*J847</f>
        <v>8525.1889326779838</v>
      </c>
      <c r="V847" s="73">
        <f>SUMIF('Avoided Costs 2013-2021'!$A:$A,'2013 Actuals'!T847&amp;'2013 Actuals'!S847,'Avoided Costs 2013-2021'!$K:$K)*N847</f>
        <v>0</v>
      </c>
      <c r="W847" s="73">
        <f>SUMIF('Avoided Costs 2013-2021'!$A:$A,'2013 Actuals'!T847&amp;'2013 Actuals'!S847,'Avoided Costs 2013-2021'!$M:$M)*R847</f>
        <v>0</v>
      </c>
      <c r="X847" s="73">
        <f t="shared" si="313"/>
        <v>8525.1889326779838</v>
      </c>
      <c r="Y847" s="83">
        <v>2509</v>
      </c>
      <c r="Z847" s="74">
        <f t="shared" si="314"/>
        <v>2007.2</v>
      </c>
      <c r="AA847" s="74"/>
      <c r="AB847" s="74"/>
      <c r="AC847" s="74"/>
      <c r="AD847" s="74">
        <f t="shared" si="315"/>
        <v>2007.2</v>
      </c>
      <c r="AE847" s="74">
        <f t="shared" si="316"/>
        <v>6517.9889326779839</v>
      </c>
      <c r="AF847" s="52">
        <f t="shared" si="317"/>
        <v>57219.552000000003</v>
      </c>
      <c r="AG847" s="52">
        <f t="shared" si="318"/>
        <v>71524.44</v>
      </c>
    </row>
    <row r="848" spans="1:33" s="21" customFormat="1" x14ac:dyDescent="0.2">
      <c r="A848" s="114" t="s">
        <v>762</v>
      </c>
      <c r="B848" s="114"/>
      <c r="C848" s="114"/>
      <c r="D848" s="160">
        <v>1</v>
      </c>
      <c r="E848" s="161"/>
      <c r="F848" s="162">
        <v>0.2</v>
      </c>
      <c r="G848" s="162"/>
      <c r="H848" s="52">
        <v>2194</v>
      </c>
      <c r="I848" s="52">
        <f t="shared" si="307"/>
        <v>1939.4960000000001</v>
      </c>
      <c r="J848" s="52">
        <f t="shared" si="308"/>
        <v>1551.5968000000003</v>
      </c>
      <c r="K848" s="61"/>
      <c r="L848" s="160">
        <v>0</v>
      </c>
      <c r="M848" s="55">
        <f t="shared" si="309"/>
        <v>0</v>
      </c>
      <c r="N848" s="55">
        <f t="shared" si="310"/>
        <v>0</v>
      </c>
      <c r="O848" s="95"/>
      <c r="P848" s="160">
        <v>0</v>
      </c>
      <c r="Q848" s="55">
        <f t="shared" si="311"/>
        <v>0</v>
      </c>
      <c r="R848" s="65">
        <f t="shared" si="312"/>
        <v>0</v>
      </c>
      <c r="S848" s="118">
        <v>15</v>
      </c>
      <c r="T848" s="121" t="s">
        <v>201</v>
      </c>
      <c r="U848" s="73">
        <f>SUMIF('Avoided Costs 2013-2021'!$A:$A,'2013 Actuals'!T848&amp;'2013 Actuals'!S848,'Avoided Costs 2013-2021'!$E:$E)*J848</f>
        <v>3467.6055836662026</v>
      </c>
      <c r="V848" s="73">
        <f>SUMIF('Avoided Costs 2013-2021'!$A:$A,'2013 Actuals'!T848&amp;'2013 Actuals'!S848,'Avoided Costs 2013-2021'!$K:$K)*N848</f>
        <v>0</v>
      </c>
      <c r="W848" s="73">
        <f>SUMIF('Avoided Costs 2013-2021'!$A:$A,'2013 Actuals'!T848&amp;'2013 Actuals'!S848,'Avoided Costs 2013-2021'!$M:$M)*R848</f>
        <v>0</v>
      </c>
      <c r="X848" s="73">
        <f t="shared" si="313"/>
        <v>3467.6055836662026</v>
      </c>
      <c r="Y848" s="83">
        <v>965</v>
      </c>
      <c r="Z848" s="74">
        <f t="shared" si="314"/>
        <v>772</v>
      </c>
      <c r="AA848" s="74"/>
      <c r="AB848" s="74"/>
      <c r="AC848" s="74"/>
      <c r="AD848" s="74">
        <f t="shared" si="315"/>
        <v>772</v>
      </c>
      <c r="AE848" s="74">
        <f t="shared" si="316"/>
        <v>2695.6055836662026</v>
      </c>
      <c r="AF848" s="52">
        <f t="shared" si="317"/>
        <v>23273.952000000005</v>
      </c>
      <c r="AG848" s="52">
        <f t="shared" si="318"/>
        <v>29092.440000000002</v>
      </c>
    </row>
    <row r="849" spans="1:33" s="21" customFormat="1" x14ac:dyDescent="0.2">
      <c r="A849" s="114" t="s">
        <v>763</v>
      </c>
      <c r="B849" s="114"/>
      <c r="C849" s="114"/>
      <c r="D849" s="160">
        <v>1</v>
      </c>
      <c r="E849" s="161"/>
      <c r="F849" s="162">
        <v>0.2</v>
      </c>
      <c r="G849" s="162"/>
      <c r="H849" s="52">
        <v>2401</v>
      </c>
      <c r="I849" s="52">
        <f t="shared" si="307"/>
        <v>2122.4839999999999</v>
      </c>
      <c r="J849" s="52">
        <f t="shared" si="308"/>
        <v>1697.9872</v>
      </c>
      <c r="K849" s="61"/>
      <c r="L849" s="160">
        <v>0</v>
      </c>
      <c r="M849" s="55">
        <f t="shared" si="309"/>
        <v>0</v>
      </c>
      <c r="N849" s="55">
        <f t="shared" si="310"/>
        <v>0</v>
      </c>
      <c r="O849" s="95"/>
      <c r="P849" s="160">
        <v>0</v>
      </c>
      <c r="Q849" s="55">
        <f t="shared" si="311"/>
        <v>0</v>
      </c>
      <c r="R849" s="65">
        <f t="shared" si="312"/>
        <v>0</v>
      </c>
      <c r="S849" s="118">
        <v>15</v>
      </c>
      <c r="T849" s="121" t="s">
        <v>201</v>
      </c>
      <c r="U849" s="73">
        <f>SUMIF('Avoided Costs 2013-2021'!$A:$A,'2013 Actuals'!T849&amp;'2013 Actuals'!S849,'Avoided Costs 2013-2021'!$E:$E)*J849</f>
        <v>3794.7680065554018</v>
      </c>
      <c r="V849" s="73">
        <f>SUMIF('Avoided Costs 2013-2021'!$A:$A,'2013 Actuals'!T849&amp;'2013 Actuals'!S849,'Avoided Costs 2013-2021'!$K:$K)*N849</f>
        <v>0</v>
      </c>
      <c r="W849" s="73">
        <f>SUMIF('Avoided Costs 2013-2021'!$A:$A,'2013 Actuals'!T849&amp;'2013 Actuals'!S849,'Avoided Costs 2013-2021'!$M:$M)*R849</f>
        <v>0</v>
      </c>
      <c r="X849" s="73">
        <f t="shared" si="313"/>
        <v>3794.7680065554018</v>
      </c>
      <c r="Y849" s="83">
        <v>965</v>
      </c>
      <c r="Z849" s="74">
        <f t="shared" si="314"/>
        <v>772</v>
      </c>
      <c r="AA849" s="74"/>
      <c r="AB849" s="74"/>
      <c r="AC849" s="74"/>
      <c r="AD849" s="74">
        <f t="shared" si="315"/>
        <v>772</v>
      </c>
      <c r="AE849" s="74">
        <f t="shared" si="316"/>
        <v>3022.7680065554018</v>
      </c>
      <c r="AF849" s="52">
        <f t="shared" si="317"/>
        <v>25469.808000000001</v>
      </c>
      <c r="AG849" s="52">
        <f t="shared" si="318"/>
        <v>31837.26</v>
      </c>
    </row>
    <row r="850" spans="1:33" s="21" customFormat="1" x14ac:dyDescent="0.2">
      <c r="A850" s="114" t="s">
        <v>764</v>
      </c>
      <c r="B850" s="114"/>
      <c r="C850" s="114"/>
      <c r="D850" s="160">
        <v>1</v>
      </c>
      <c r="E850" s="161"/>
      <c r="F850" s="162">
        <v>0.2</v>
      </c>
      <c r="G850" s="162"/>
      <c r="H850" s="52">
        <v>1709</v>
      </c>
      <c r="I850" s="52">
        <f t="shared" si="307"/>
        <v>1510.7560000000001</v>
      </c>
      <c r="J850" s="52">
        <f t="shared" si="308"/>
        <v>1208.6048000000001</v>
      </c>
      <c r="K850" s="61"/>
      <c r="L850" s="160">
        <v>0</v>
      </c>
      <c r="M850" s="55">
        <f t="shared" si="309"/>
        <v>0</v>
      </c>
      <c r="N850" s="55">
        <f t="shared" si="310"/>
        <v>0</v>
      </c>
      <c r="O850" s="95"/>
      <c r="P850" s="160">
        <v>0</v>
      </c>
      <c r="Q850" s="55">
        <f t="shared" si="311"/>
        <v>0</v>
      </c>
      <c r="R850" s="65">
        <f t="shared" si="312"/>
        <v>0</v>
      </c>
      <c r="S850" s="118">
        <v>15</v>
      </c>
      <c r="T850" s="121" t="s">
        <v>201</v>
      </c>
      <c r="U850" s="73">
        <f>SUMIF('Avoided Costs 2013-2021'!$A:$A,'2013 Actuals'!T850&amp;'2013 Actuals'!S850,'Avoided Costs 2013-2021'!$E:$E)*J850</f>
        <v>2701.0656073316045</v>
      </c>
      <c r="V850" s="73">
        <f>SUMIF('Avoided Costs 2013-2021'!$A:$A,'2013 Actuals'!T850&amp;'2013 Actuals'!S850,'Avoided Costs 2013-2021'!$K:$K)*N850</f>
        <v>0</v>
      </c>
      <c r="W850" s="73">
        <f>SUMIF('Avoided Costs 2013-2021'!$A:$A,'2013 Actuals'!T850&amp;'2013 Actuals'!S850,'Avoided Costs 2013-2021'!$M:$M)*R850</f>
        <v>0</v>
      </c>
      <c r="X850" s="73">
        <f t="shared" si="313"/>
        <v>2701.0656073316045</v>
      </c>
      <c r="Y850" s="83">
        <v>579</v>
      </c>
      <c r="Z850" s="74">
        <f t="shared" si="314"/>
        <v>463.20000000000005</v>
      </c>
      <c r="AA850" s="74"/>
      <c r="AB850" s="74"/>
      <c r="AC850" s="74"/>
      <c r="AD850" s="74">
        <f t="shared" si="315"/>
        <v>463.20000000000005</v>
      </c>
      <c r="AE850" s="74">
        <f t="shared" si="316"/>
        <v>2237.8656073316042</v>
      </c>
      <c r="AF850" s="52">
        <f t="shared" si="317"/>
        <v>18129.072</v>
      </c>
      <c r="AG850" s="52">
        <f t="shared" si="318"/>
        <v>22661.34</v>
      </c>
    </row>
    <row r="851" spans="1:33" s="21" customFormat="1" x14ac:dyDescent="0.2">
      <c r="A851" s="114" t="s">
        <v>765</v>
      </c>
      <c r="B851" s="114"/>
      <c r="C851" s="114"/>
      <c r="D851" s="160">
        <v>1</v>
      </c>
      <c r="E851" s="161"/>
      <c r="F851" s="162">
        <v>0.2</v>
      </c>
      <c r="G851" s="162"/>
      <c r="H851" s="52">
        <v>1482</v>
      </c>
      <c r="I851" s="52">
        <f t="shared" si="307"/>
        <v>1310.088</v>
      </c>
      <c r="J851" s="52">
        <f t="shared" si="308"/>
        <v>1048.0704000000001</v>
      </c>
      <c r="K851" s="61"/>
      <c r="L851" s="160">
        <v>0</v>
      </c>
      <c r="M851" s="55">
        <f t="shared" si="309"/>
        <v>0</v>
      </c>
      <c r="N851" s="55">
        <f t="shared" si="310"/>
        <v>0</v>
      </c>
      <c r="O851" s="95"/>
      <c r="P851" s="160">
        <v>0</v>
      </c>
      <c r="Q851" s="55">
        <f t="shared" si="311"/>
        <v>0</v>
      </c>
      <c r="R851" s="65">
        <f t="shared" si="312"/>
        <v>0</v>
      </c>
      <c r="S851" s="118">
        <v>15</v>
      </c>
      <c r="T851" s="121" t="s">
        <v>201</v>
      </c>
      <c r="U851" s="73">
        <f>SUMIF('Avoided Costs 2013-2021'!$A:$A,'2013 Actuals'!T851&amp;'2013 Actuals'!S851,'Avoided Costs 2013-2021'!$E:$E)*J851</f>
        <v>2342.2932885110813</v>
      </c>
      <c r="V851" s="73">
        <f>SUMIF('Avoided Costs 2013-2021'!$A:$A,'2013 Actuals'!T851&amp;'2013 Actuals'!S851,'Avoided Costs 2013-2021'!$K:$K)*N851</f>
        <v>0</v>
      </c>
      <c r="W851" s="73">
        <f>SUMIF('Avoided Costs 2013-2021'!$A:$A,'2013 Actuals'!T851&amp;'2013 Actuals'!S851,'Avoided Costs 2013-2021'!$M:$M)*R851</f>
        <v>0</v>
      </c>
      <c r="X851" s="73">
        <f t="shared" si="313"/>
        <v>2342.2932885110813</v>
      </c>
      <c r="Y851" s="83">
        <v>772</v>
      </c>
      <c r="Z851" s="74">
        <f t="shared" si="314"/>
        <v>617.6</v>
      </c>
      <c r="AA851" s="74"/>
      <c r="AB851" s="74"/>
      <c r="AC851" s="74"/>
      <c r="AD851" s="74">
        <f t="shared" si="315"/>
        <v>617.6</v>
      </c>
      <c r="AE851" s="74">
        <f t="shared" si="316"/>
        <v>1724.6932885110814</v>
      </c>
      <c r="AF851" s="52">
        <f t="shared" si="317"/>
        <v>15721.056</v>
      </c>
      <c r="AG851" s="52">
        <f t="shared" si="318"/>
        <v>19651.32</v>
      </c>
    </row>
    <row r="852" spans="1:33" s="21" customFormat="1" x14ac:dyDescent="0.2">
      <c r="A852" s="114" t="s">
        <v>766</v>
      </c>
      <c r="B852" s="114"/>
      <c r="C852" s="114"/>
      <c r="D852" s="160">
        <v>1</v>
      </c>
      <c r="E852" s="161"/>
      <c r="F852" s="162">
        <v>0.2</v>
      </c>
      <c r="G852" s="162"/>
      <c r="H852" s="52">
        <v>3496</v>
      </c>
      <c r="I852" s="52">
        <f t="shared" ref="I852:I861" si="319">H852</f>
        <v>3496</v>
      </c>
      <c r="J852" s="52">
        <f t="shared" si="308"/>
        <v>2796.8</v>
      </c>
      <c r="K852" s="61"/>
      <c r="L852" s="160">
        <v>0</v>
      </c>
      <c r="M852" s="55">
        <f t="shared" si="309"/>
        <v>0</v>
      </c>
      <c r="N852" s="55">
        <f t="shared" si="310"/>
        <v>0</v>
      </c>
      <c r="O852" s="95"/>
      <c r="P852" s="160">
        <v>0</v>
      </c>
      <c r="Q852" s="55">
        <f t="shared" si="311"/>
        <v>0</v>
      </c>
      <c r="R852" s="65">
        <f t="shared" si="312"/>
        <v>0</v>
      </c>
      <c r="S852" s="118">
        <v>25</v>
      </c>
      <c r="T852" s="121" t="s">
        <v>201</v>
      </c>
      <c r="U852" s="73">
        <f>SUMIF('Avoided Costs 2013-2021'!$A:$A,'2013 Actuals'!T852&amp;'2013 Actuals'!S852,'Avoided Costs 2013-2021'!$E:$E)*J852</f>
        <v>8773.9605555892886</v>
      </c>
      <c r="V852" s="73">
        <f>SUMIF('Avoided Costs 2013-2021'!$A:$A,'2013 Actuals'!T852&amp;'2013 Actuals'!S852,'Avoided Costs 2013-2021'!$K:$K)*N852</f>
        <v>0</v>
      </c>
      <c r="W852" s="73">
        <f>SUMIF('Avoided Costs 2013-2021'!$A:$A,'2013 Actuals'!T852&amp;'2013 Actuals'!S852,'Avoided Costs 2013-2021'!$M:$M)*R852</f>
        <v>0</v>
      </c>
      <c r="X852" s="73">
        <f t="shared" si="313"/>
        <v>8773.9605555892886</v>
      </c>
      <c r="Y852" s="83">
        <v>4500</v>
      </c>
      <c r="Z852" s="74">
        <f t="shared" si="314"/>
        <v>3600</v>
      </c>
      <c r="AA852" s="74"/>
      <c r="AB852" s="74"/>
      <c r="AC852" s="74"/>
      <c r="AD852" s="74">
        <f t="shared" si="315"/>
        <v>3600</v>
      </c>
      <c r="AE852" s="74">
        <f t="shared" si="316"/>
        <v>5173.9605555892886</v>
      </c>
      <c r="AF852" s="52">
        <f t="shared" si="317"/>
        <v>69920</v>
      </c>
      <c r="AG852" s="52">
        <f t="shared" si="318"/>
        <v>87400</v>
      </c>
    </row>
    <row r="853" spans="1:33" s="21" customFormat="1" x14ac:dyDescent="0.2">
      <c r="A853" s="114" t="s">
        <v>767</v>
      </c>
      <c r="B853" s="114"/>
      <c r="C853" s="114"/>
      <c r="D853" s="160">
        <v>1</v>
      </c>
      <c r="E853" s="161"/>
      <c r="F853" s="162">
        <v>0.2</v>
      </c>
      <c r="G853" s="162"/>
      <c r="H853" s="52">
        <v>1861</v>
      </c>
      <c r="I853" s="52">
        <f t="shared" si="319"/>
        <v>1861</v>
      </c>
      <c r="J853" s="52">
        <f t="shared" si="308"/>
        <v>1488.8000000000002</v>
      </c>
      <c r="K853" s="61"/>
      <c r="L853" s="160">
        <v>0</v>
      </c>
      <c r="M853" s="55">
        <f t="shared" si="309"/>
        <v>0</v>
      </c>
      <c r="N853" s="55">
        <f t="shared" si="310"/>
        <v>0</v>
      </c>
      <c r="O853" s="95"/>
      <c r="P853" s="160">
        <v>0</v>
      </c>
      <c r="Q853" s="55">
        <f t="shared" si="311"/>
        <v>0</v>
      </c>
      <c r="R853" s="65">
        <f t="shared" si="312"/>
        <v>0</v>
      </c>
      <c r="S853" s="118">
        <v>25</v>
      </c>
      <c r="T853" s="121" t="s">
        <v>201</v>
      </c>
      <c r="U853" s="73">
        <f>SUMIF('Avoided Costs 2013-2021'!$A:$A,'2013 Actuals'!T853&amp;'2013 Actuals'!S853,'Avoided Costs 2013-2021'!$E:$E)*J853</f>
        <v>4670.5779730983031</v>
      </c>
      <c r="V853" s="73">
        <f>SUMIF('Avoided Costs 2013-2021'!$A:$A,'2013 Actuals'!T853&amp;'2013 Actuals'!S853,'Avoided Costs 2013-2021'!$K:$K)*N853</f>
        <v>0</v>
      </c>
      <c r="W853" s="73">
        <f>SUMIF('Avoided Costs 2013-2021'!$A:$A,'2013 Actuals'!T853&amp;'2013 Actuals'!S853,'Avoided Costs 2013-2021'!$M:$M)*R853</f>
        <v>0</v>
      </c>
      <c r="X853" s="73">
        <f t="shared" si="313"/>
        <v>4670.5779730983031</v>
      </c>
      <c r="Y853" s="83">
        <v>4500</v>
      </c>
      <c r="Z853" s="74">
        <f t="shared" si="314"/>
        <v>3600</v>
      </c>
      <c r="AA853" s="74"/>
      <c r="AB853" s="74"/>
      <c r="AC853" s="74"/>
      <c r="AD853" s="74">
        <f t="shared" si="315"/>
        <v>3600</v>
      </c>
      <c r="AE853" s="74">
        <f t="shared" si="316"/>
        <v>1070.5779730983031</v>
      </c>
      <c r="AF853" s="52">
        <f t="shared" si="317"/>
        <v>37220.000000000007</v>
      </c>
      <c r="AG853" s="52">
        <f t="shared" si="318"/>
        <v>46525</v>
      </c>
    </row>
    <row r="854" spans="1:33" s="21" customFormat="1" x14ac:dyDescent="0.2">
      <c r="A854" s="114" t="s">
        <v>768</v>
      </c>
      <c r="B854" s="114"/>
      <c r="C854" s="114"/>
      <c r="D854" s="160">
        <v>1</v>
      </c>
      <c r="E854" s="161"/>
      <c r="F854" s="162">
        <v>0.2</v>
      </c>
      <c r="G854" s="162"/>
      <c r="H854" s="52">
        <v>13265</v>
      </c>
      <c r="I854" s="52">
        <f t="shared" si="319"/>
        <v>13265</v>
      </c>
      <c r="J854" s="52">
        <f t="shared" si="308"/>
        <v>10612</v>
      </c>
      <c r="K854" s="61"/>
      <c r="L854" s="160">
        <v>0</v>
      </c>
      <c r="M854" s="55">
        <f t="shared" si="309"/>
        <v>0</v>
      </c>
      <c r="N854" s="55">
        <f t="shared" si="310"/>
        <v>0</v>
      </c>
      <c r="O854" s="95"/>
      <c r="P854" s="160">
        <v>0</v>
      </c>
      <c r="Q854" s="55">
        <f t="shared" si="311"/>
        <v>0</v>
      </c>
      <c r="R854" s="65">
        <f t="shared" si="312"/>
        <v>0</v>
      </c>
      <c r="S854" s="118">
        <v>25</v>
      </c>
      <c r="T854" s="121" t="s">
        <v>201</v>
      </c>
      <c r="U854" s="73">
        <f>SUMIF('Avoided Costs 2013-2021'!$A:$A,'2013 Actuals'!T854&amp;'2013 Actuals'!S854,'Avoided Costs 2013-2021'!$E:$E)*J854</f>
        <v>33291.357771708215</v>
      </c>
      <c r="V854" s="73">
        <f>SUMIF('Avoided Costs 2013-2021'!$A:$A,'2013 Actuals'!T854&amp;'2013 Actuals'!S854,'Avoided Costs 2013-2021'!$K:$K)*N854</f>
        <v>0</v>
      </c>
      <c r="W854" s="73">
        <f>SUMIF('Avoided Costs 2013-2021'!$A:$A,'2013 Actuals'!T854&amp;'2013 Actuals'!S854,'Avoided Costs 2013-2021'!$M:$M)*R854</f>
        <v>0</v>
      </c>
      <c r="X854" s="73">
        <f t="shared" si="313"/>
        <v>33291.357771708215</v>
      </c>
      <c r="Y854" s="83">
        <v>12000</v>
      </c>
      <c r="Z854" s="74">
        <f t="shared" si="314"/>
        <v>9600</v>
      </c>
      <c r="AA854" s="74"/>
      <c r="AB854" s="74"/>
      <c r="AC854" s="74"/>
      <c r="AD854" s="74">
        <f t="shared" si="315"/>
        <v>9600</v>
      </c>
      <c r="AE854" s="74">
        <f t="shared" si="316"/>
        <v>23691.357771708215</v>
      </c>
      <c r="AF854" s="52">
        <f t="shared" si="317"/>
        <v>265300</v>
      </c>
      <c r="AG854" s="52">
        <f t="shared" si="318"/>
        <v>331625</v>
      </c>
    </row>
    <row r="855" spans="1:33" s="21" customFormat="1" x14ac:dyDescent="0.2">
      <c r="A855" s="114" t="s">
        <v>769</v>
      </c>
      <c r="B855" s="114"/>
      <c r="C855" s="114"/>
      <c r="D855" s="160">
        <v>1</v>
      </c>
      <c r="E855" s="161"/>
      <c r="F855" s="162">
        <v>0.2</v>
      </c>
      <c r="G855" s="162"/>
      <c r="H855" s="52">
        <v>1861</v>
      </c>
      <c r="I855" s="52">
        <f t="shared" si="319"/>
        <v>1861</v>
      </c>
      <c r="J855" s="52">
        <f t="shared" si="308"/>
        <v>1488.8000000000002</v>
      </c>
      <c r="K855" s="61"/>
      <c r="L855" s="160">
        <v>0</v>
      </c>
      <c r="M855" s="55">
        <f t="shared" si="309"/>
        <v>0</v>
      </c>
      <c r="N855" s="55">
        <f t="shared" si="310"/>
        <v>0</v>
      </c>
      <c r="O855" s="95"/>
      <c r="P855" s="160">
        <v>0</v>
      </c>
      <c r="Q855" s="55">
        <f t="shared" si="311"/>
        <v>0</v>
      </c>
      <c r="R855" s="65">
        <f t="shared" si="312"/>
        <v>0</v>
      </c>
      <c r="S855" s="118">
        <v>25</v>
      </c>
      <c r="T855" s="121" t="s">
        <v>201</v>
      </c>
      <c r="U855" s="73">
        <f>SUMIF('Avoided Costs 2013-2021'!$A:$A,'2013 Actuals'!T855&amp;'2013 Actuals'!S855,'Avoided Costs 2013-2021'!$E:$E)*J855</f>
        <v>4670.5779730983031</v>
      </c>
      <c r="V855" s="73">
        <f>SUMIF('Avoided Costs 2013-2021'!$A:$A,'2013 Actuals'!T855&amp;'2013 Actuals'!S855,'Avoided Costs 2013-2021'!$K:$K)*N855</f>
        <v>0</v>
      </c>
      <c r="W855" s="73">
        <f>SUMIF('Avoided Costs 2013-2021'!$A:$A,'2013 Actuals'!T855&amp;'2013 Actuals'!S855,'Avoided Costs 2013-2021'!$M:$M)*R855</f>
        <v>0</v>
      </c>
      <c r="X855" s="73">
        <f t="shared" si="313"/>
        <v>4670.5779730983031</v>
      </c>
      <c r="Y855" s="83">
        <v>4500</v>
      </c>
      <c r="Z855" s="74">
        <f t="shared" si="314"/>
        <v>3600</v>
      </c>
      <c r="AA855" s="74"/>
      <c r="AB855" s="74"/>
      <c r="AC855" s="74"/>
      <c r="AD855" s="74">
        <f t="shared" si="315"/>
        <v>3600</v>
      </c>
      <c r="AE855" s="74">
        <f t="shared" si="316"/>
        <v>1070.5779730983031</v>
      </c>
      <c r="AF855" s="52">
        <f t="shared" si="317"/>
        <v>37220.000000000007</v>
      </c>
      <c r="AG855" s="52">
        <f t="shared" si="318"/>
        <v>46525</v>
      </c>
    </row>
    <row r="856" spans="1:33" s="21" customFormat="1" x14ac:dyDescent="0.2">
      <c r="A856" s="114" t="s">
        <v>770</v>
      </c>
      <c r="B856" s="114"/>
      <c r="C856" s="114"/>
      <c r="D856" s="160">
        <v>1</v>
      </c>
      <c r="E856" s="161"/>
      <c r="F856" s="162">
        <v>0.2</v>
      </c>
      <c r="G856" s="162"/>
      <c r="H856" s="52">
        <v>24283</v>
      </c>
      <c r="I856" s="52">
        <f t="shared" si="319"/>
        <v>24283</v>
      </c>
      <c r="J856" s="52">
        <f t="shared" si="308"/>
        <v>19426.400000000001</v>
      </c>
      <c r="K856" s="61"/>
      <c r="L856" s="160">
        <v>0</v>
      </c>
      <c r="M856" s="55">
        <f t="shared" si="309"/>
        <v>0</v>
      </c>
      <c r="N856" s="55">
        <f t="shared" si="310"/>
        <v>0</v>
      </c>
      <c r="O856" s="95"/>
      <c r="P856" s="160">
        <v>0</v>
      </c>
      <c r="Q856" s="55">
        <f t="shared" si="311"/>
        <v>0</v>
      </c>
      <c r="R856" s="65">
        <f t="shared" si="312"/>
        <v>0</v>
      </c>
      <c r="S856" s="118">
        <v>25</v>
      </c>
      <c r="T856" s="121" t="s">
        <v>217</v>
      </c>
      <c r="U856" s="73">
        <f>SUMIF('Avoided Costs 2013-2021'!$A:$A,'2013 Actuals'!T856&amp;'2013 Actuals'!S856,'Avoided Costs 2013-2021'!$E:$E)*J856</f>
        <v>57192.698061517978</v>
      </c>
      <c r="V856" s="73">
        <f>SUMIF('Avoided Costs 2013-2021'!$A:$A,'2013 Actuals'!T856&amp;'2013 Actuals'!S856,'Avoided Costs 2013-2021'!$K:$K)*N856</f>
        <v>0</v>
      </c>
      <c r="W856" s="73">
        <f>SUMIF('Avoided Costs 2013-2021'!$A:$A,'2013 Actuals'!T856&amp;'2013 Actuals'!S856,'Avoided Costs 2013-2021'!$M:$M)*R856</f>
        <v>0</v>
      </c>
      <c r="X856" s="73">
        <f t="shared" si="313"/>
        <v>57192.698061517978</v>
      </c>
      <c r="Y856" s="83">
        <v>20600</v>
      </c>
      <c r="Z856" s="74">
        <f t="shared" si="314"/>
        <v>16480</v>
      </c>
      <c r="AA856" s="74"/>
      <c r="AB856" s="74"/>
      <c r="AC856" s="74"/>
      <c r="AD856" s="74">
        <f t="shared" si="315"/>
        <v>16480</v>
      </c>
      <c r="AE856" s="74">
        <f t="shared" si="316"/>
        <v>40712.698061517978</v>
      </c>
      <c r="AF856" s="52">
        <f t="shared" si="317"/>
        <v>485660.00000000006</v>
      </c>
      <c r="AG856" s="52">
        <f t="shared" si="318"/>
        <v>607075</v>
      </c>
    </row>
    <row r="857" spans="1:33" s="21" customFormat="1" x14ac:dyDescent="0.2">
      <c r="A857" s="114" t="s">
        <v>771</v>
      </c>
      <c r="B857" s="114"/>
      <c r="C857" s="114"/>
      <c r="D857" s="160">
        <v>1</v>
      </c>
      <c r="E857" s="161"/>
      <c r="F857" s="162">
        <v>0.2</v>
      </c>
      <c r="G857" s="162"/>
      <c r="H857" s="52">
        <v>27325</v>
      </c>
      <c r="I857" s="52">
        <f t="shared" si="319"/>
        <v>27325</v>
      </c>
      <c r="J857" s="52">
        <f t="shared" si="308"/>
        <v>21860</v>
      </c>
      <c r="K857" s="61"/>
      <c r="L857" s="160">
        <v>0</v>
      </c>
      <c r="M857" s="55">
        <f t="shared" si="309"/>
        <v>0</v>
      </c>
      <c r="N857" s="55">
        <f t="shared" si="310"/>
        <v>0</v>
      </c>
      <c r="O857" s="95"/>
      <c r="P857" s="160">
        <v>0</v>
      </c>
      <c r="Q857" s="55">
        <f t="shared" si="311"/>
        <v>0</v>
      </c>
      <c r="R857" s="65">
        <f t="shared" si="312"/>
        <v>0</v>
      </c>
      <c r="S857" s="118">
        <v>25</v>
      </c>
      <c r="T857" s="121" t="s">
        <v>201</v>
      </c>
      <c r="U857" s="73">
        <f>SUMIF('Avoided Costs 2013-2021'!$A:$A,'2013 Actuals'!T857&amp;'2013 Actuals'!S857,'Avoided Costs 2013-2021'!$E:$E)*J857</f>
        <v>68577.938267012956</v>
      </c>
      <c r="V857" s="73">
        <f>SUMIF('Avoided Costs 2013-2021'!$A:$A,'2013 Actuals'!T857&amp;'2013 Actuals'!S857,'Avoided Costs 2013-2021'!$K:$K)*N857</f>
        <v>0</v>
      </c>
      <c r="W857" s="73">
        <f>SUMIF('Avoided Costs 2013-2021'!$A:$A,'2013 Actuals'!T857&amp;'2013 Actuals'!S857,'Avoided Costs 2013-2021'!$M:$M)*R857</f>
        <v>0</v>
      </c>
      <c r="X857" s="73">
        <f t="shared" si="313"/>
        <v>68577.938267012956</v>
      </c>
      <c r="Y857" s="83">
        <v>7050</v>
      </c>
      <c r="Z857" s="74">
        <f t="shared" si="314"/>
        <v>5640</v>
      </c>
      <c r="AA857" s="74"/>
      <c r="AB857" s="74"/>
      <c r="AC857" s="74"/>
      <c r="AD857" s="74">
        <f t="shared" si="315"/>
        <v>5640</v>
      </c>
      <c r="AE857" s="74">
        <f t="shared" si="316"/>
        <v>62937.938267012956</v>
      </c>
      <c r="AF857" s="52">
        <f t="shared" si="317"/>
        <v>546500</v>
      </c>
      <c r="AG857" s="52">
        <f t="shared" si="318"/>
        <v>683125</v>
      </c>
    </row>
    <row r="858" spans="1:33" s="21" customFormat="1" x14ac:dyDescent="0.2">
      <c r="A858" s="114" t="s">
        <v>772</v>
      </c>
      <c r="B858" s="114"/>
      <c r="C858" s="114"/>
      <c r="D858" s="160">
        <v>1</v>
      </c>
      <c r="E858" s="161"/>
      <c r="F858" s="162">
        <v>0.2</v>
      </c>
      <c r="G858" s="162"/>
      <c r="H858" s="52">
        <v>76758</v>
      </c>
      <c r="I858" s="52">
        <f t="shared" si="319"/>
        <v>76758</v>
      </c>
      <c r="J858" s="52">
        <f t="shared" si="308"/>
        <v>61406.400000000001</v>
      </c>
      <c r="K858" s="61"/>
      <c r="L858" s="160">
        <v>0</v>
      </c>
      <c r="M858" s="55">
        <f t="shared" si="309"/>
        <v>0</v>
      </c>
      <c r="N858" s="55">
        <f t="shared" si="310"/>
        <v>0</v>
      </c>
      <c r="O858" s="95"/>
      <c r="P858" s="160">
        <v>0</v>
      </c>
      <c r="Q858" s="55">
        <f t="shared" si="311"/>
        <v>0</v>
      </c>
      <c r="R858" s="65">
        <f t="shared" si="312"/>
        <v>0</v>
      </c>
      <c r="S858" s="118">
        <v>25</v>
      </c>
      <c r="T858" s="121" t="s">
        <v>201</v>
      </c>
      <c r="U858" s="73">
        <f>SUMIF('Avoided Costs 2013-2021'!$A:$A,'2013 Actuals'!T858&amp;'2013 Actuals'!S858,'Avoided Costs 2013-2021'!$E:$E)*J858</f>
        <v>192640.6362488337</v>
      </c>
      <c r="V858" s="73">
        <f>SUMIF('Avoided Costs 2013-2021'!$A:$A,'2013 Actuals'!T858&amp;'2013 Actuals'!S858,'Avoided Costs 2013-2021'!$K:$K)*N858</f>
        <v>0</v>
      </c>
      <c r="W858" s="73">
        <f>SUMIF('Avoided Costs 2013-2021'!$A:$A,'2013 Actuals'!T858&amp;'2013 Actuals'!S858,'Avoided Costs 2013-2021'!$M:$M)*R858</f>
        <v>0</v>
      </c>
      <c r="X858" s="73">
        <f t="shared" si="313"/>
        <v>192640.6362488337</v>
      </c>
      <c r="Y858" s="83">
        <v>29600</v>
      </c>
      <c r="Z858" s="74">
        <f t="shared" si="314"/>
        <v>23680</v>
      </c>
      <c r="AA858" s="74"/>
      <c r="AB858" s="74"/>
      <c r="AC858" s="74"/>
      <c r="AD858" s="74">
        <f t="shared" si="315"/>
        <v>23680</v>
      </c>
      <c r="AE858" s="74">
        <f t="shared" si="316"/>
        <v>168960.6362488337</v>
      </c>
      <c r="AF858" s="52">
        <f t="shared" si="317"/>
        <v>1535160</v>
      </c>
      <c r="AG858" s="52">
        <f t="shared" si="318"/>
        <v>1918950</v>
      </c>
    </row>
    <row r="859" spans="1:33" s="21" customFormat="1" x14ac:dyDescent="0.2">
      <c r="A859" s="114" t="s">
        <v>773</v>
      </c>
      <c r="B859" s="114"/>
      <c r="C859" s="114"/>
      <c r="D859" s="160">
        <v>1</v>
      </c>
      <c r="E859" s="161"/>
      <c r="F859" s="162">
        <v>0.2</v>
      </c>
      <c r="G859" s="162"/>
      <c r="H859" s="52">
        <v>7475</v>
      </c>
      <c r="I859" s="52">
        <f t="shared" si="319"/>
        <v>7475</v>
      </c>
      <c r="J859" s="52">
        <f t="shared" si="308"/>
        <v>5980</v>
      </c>
      <c r="K859" s="61"/>
      <c r="L859" s="160">
        <v>0</v>
      </c>
      <c r="M859" s="55">
        <f t="shared" si="309"/>
        <v>0</v>
      </c>
      <c r="N859" s="55">
        <f t="shared" si="310"/>
        <v>0</v>
      </c>
      <c r="O859" s="95"/>
      <c r="P859" s="160">
        <v>0</v>
      </c>
      <c r="Q859" s="55">
        <f t="shared" si="311"/>
        <v>0</v>
      </c>
      <c r="R859" s="65">
        <f t="shared" si="312"/>
        <v>0</v>
      </c>
      <c r="S859" s="118">
        <v>25</v>
      </c>
      <c r="T859" s="121" t="s">
        <v>201</v>
      </c>
      <c r="U859" s="73">
        <f>SUMIF('Avoided Costs 2013-2021'!$A:$A,'2013 Actuals'!T859&amp;'2013 Actuals'!S859,'Avoided Costs 2013-2021'!$E:$E)*J859</f>
        <v>18760.113030042889</v>
      </c>
      <c r="V859" s="73">
        <f>SUMIF('Avoided Costs 2013-2021'!$A:$A,'2013 Actuals'!T859&amp;'2013 Actuals'!S859,'Avoided Costs 2013-2021'!$K:$K)*N859</f>
        <v>0</v>
      </c>
      <c r="W859" s="73">
        <f>SUMIF('Avoided Costs 2013-2021'!$A:$A,'2013 Actuals'!T859&amp;'2013 Actuals'!S859,'Avoided Costs 2013-2021'!$M:$M)*R859</f>
        <v>0</v>
      </c>
      <c r="X859" s="73">
        <f t="shared" si="313"/>
        <v>18760.113030042889</v>
      </c>
      <c r="Y859" s="83">
        <v>7400</v>
      </c>
      <c r="Z859" s="74">
        <f t="shared" si="314"/>
        <v>5920</v>
      </c>
      <c r="AA859" s="74"/>
      <c r="AB859" s="74"/>
      <c r="AC859" s="74"/>
      <c r="AD859" s="74">
        <f t="shared" si="315"/>
        <v>5920</v>
      </c>
      <c r="AE859" s="74">
        <f t="shared" si="316"/>
        <v>12840.113030042889</v>
      </c>
      <c r="AF859" s="52">
        <f t="shared" si="317"/>
        <v>149500</v>
      </c>
      <c r="AG859" s="52">
        <f t="shared" si="318"/>
        <v>186875</v>
      </c>
    </row>
    <row r="860" spans="1:33" s="21" customFormat="1" x14ac:dyDescent="0.2">
      <c r="A860" s="114" t="s">
        <v>774</v>
      </c>
      <c r="B860" s="114"/>
      <c r="C860" s="114"/>
      <c r="D860" s="160">
        <v>1</v>
      </c>
      <c r="E860" s="161"/>
      <c r="F860" s="162">
        <v>0.2</v>
      </c>
      <c r="G860" s="162"/>
      <c r="H860" s="52">
        <v>27325</v>
      </c>
      <c r="I860" s="52">
        <f t="shared" si="319"/>
        <v>27325</v>
      </c>
      <c r="J860" s="52">
        <f t="shared" si="308"/>
        <v>21860</v>
      </c>
      <c r="K860" s="61"/>
      <c r="L860" s="160">
        <v>0</v>
      </c>
      <c r="M860" s="55">
        <f t="shared" si="309"/>
        <v>0</v>
      </c>
      <c r="N860" s="55">
        <f t="shared" si="310"/>
        <v>0</v>
      </c>
      <c r="O860" s="95"/>
      <c r="P860" s="160">
        <v>0</v>
      </c>
      <c r="Q860" s="55">
        <f t="shared" si="311"/>
        <v>0</v>
      </c>
      <c r="R860" s="65">
        <f t="shared" si="312"/>
        <v>0</v>
      </c>
      <c r="S860" s="118">
        <v>25</v>
      </c>
      <c r="T860" s="121" t="s">
        <v>201</v>
      </c>
      <c r="U860" s="73">
        <f>SUMIF('Avoided Costs 2013-2021'!$A:$A,'2013 Actuals'!T860&amp;'2013 Actuals'!S860,'Avoided Costs 2013-2021'!$E:$E)*J860</f>
        <v>68577.938267012956</v>
      </c>
      <c r="V860" s="73">
        <f>SUMIF('Avoided Costs 2013-2021'!$A:$A,'2013 Actuals'!T860&amp;'2013 Actuals'!S860,'Avoided Costs 2013-2021'!$K:$K)*N860</f>
        <v>0</v>
      </c>
      <c r="W860" s="73">
        <f>SUMIF('Avoided Costs 2013-2021'!$A:$A,'2013 Actuals'!T860&amp;'2013 Actuals'!S860,'Avoided Costs 2013-2021'!$M:$M)*R860</f>
        <v>0</v>
      </c>
      <c r="X860" s="73">
        <f t="shared" si="313"/>
        <v>68577.938267012956</v>
      </c>
      <c r="Y860" s="83">
        <v>7050</v>
      </c>
      <c r="Z860" s="74">
        <f t="shared" si="314"/>
        <v>5640</v>
      </c>
      <c r="AA860" s="74"/>
      <c r="AB860" s="74"/>
      <c r="AC860" s="74"/>
      <c r="AD860" s="74">
        <f t="shared" si="315"/>
        <v>5640</v>
      </c>
      <c r="AE860" s="74">
        <f t="shared" si="316"/>
        <v>62937.938267012956</v>
      </c>
      <c r="AF860" s="52">
        <f t="shared" si="317"/>
        <v>546500</v>
      </c>
      <c r="AG860" s="52">
        <f t="shared" si="318"/>
        <v>683125</v>
      </c>
    </row>
    <row r="861" spans="1:33" s="21" customFormat="1" x14ac:dyDescent="0.2">
      <c r="A861" s="114" t="s">
        <v>775</v>
      </c>
      <c r="B861" s="114"/>
      <c r="C861" s="114"/>
      <c r="D861" s="160">
        <v>1</v>
      </c>
      <c r="E861" s="161"/>
      <c r="F861" s="162">
        <v>0.2</v>
      </c>
      <c r="G861" s="162"/>
      <c r="H861" s="52">
        <v>14951</v>
      </c>
      <c r="I861" s="52">
        <f t="shared" si="319"/>
        <v>14951</v>
      </c>
      <c r="J861" s="52">
        <f t="shared" si="308"/>
        <v>11960.800000000001</v>
      </c>
      <c r="K861" s="61"/>
      <c r="L861" s="160">
        <v>0</v>
      </c>
      <c r="M861" s="55">
        <f t="shared" si="309"/>
        <v>0</v>
      </c>
      <c r="N861" s="55">
        <f t="shared" si="310"/>
        <v>0</v>
      </c>
      <c r="O861" s="95"/>
      <c r="P861" s="160">
        <v>0</v>
      </c>
      <c r="Q861" s="55">
        <f t="shared" si="311"/>
        <v>0</v>
      </c>
      <c r="R861" s="65">
        <f t="shared" si="312"/>
        <v>0</v>
      </c>
      <c r="S861" s="118">
        <v>25</v>
      </c>
      <c r="T861" s="121" t="s">
        <v>201</v>
      </c>
      <c r="U861" s="73">
        <f>SUMIF('Avoided Costs 2013-2021'!$A:$A,'2013 Actuals'!T861&amp;'2013 Actuals'!S861,'Avoided Costs 2013-2021'!$E:$E)*J861</f>
        <v>37522.735774203509</v>
      </c>
      <c r="V861" s="73">
        <f>SUMIF('Avoided Costs 2013-2021'!$A:$A,'2013 Actuals'!T861&amp;'2013 Actuals'!S861,'Avoided Costs 2013-2021'!$K:$K)*N861</f>
        <v>0</v>
      </c>
      <c r="W861" s="73">
        <f>SUMIF('Avoided Costs 2013-2021'!$A:$A,'2013 Actuals'!T861&amp;'2013 Actuals'!S861,'Avoided Costs 2013-2021'!$M:$M)*R861</f>
        <v>0</v>
      </c>
      <c r="X861" s="73">
        <f t="shared" si="313"/>
        <v>37522.735774203509</v>
      </c>
      <c r="Y861" s="83">
        <v>14800</v>
      </c>
      <c r="Z861" s="74">
        <f t="shared" si="314"/>
        <v>11840</v>
      </c>
      <c r="AA861" s="74"/>
      <c r="AB861" s="74"/>
      <c r="AC861" s="74"/>
      <c r="AD861" s="74">
        <f t="shared" si="315"/>
        <v>11840</v>
      </c>
      <c r="AE861" s="74">
        <f t="shared" si="316"/>
        <v>25682.735774203509</v>
      </c>
      <c r="AF861" s="52">
        <f t="shared" si="317"/>
        <v>299020</v>
      </c>
      <c r="AG861" s="52">
        <f t="shared" si="318"/>
        <v>373775</v>
      </c>
    </row>
    <row r="862" spans="1:33" s="17" customFormat="1" collapsed="1" x14ac:dyDescent="0.2">
      <c r="A862" s="166" t="s">
        <v>4</v>
      </c>
      <c r="B862" s="166" t="s">
        <v>102</v>
      </c>
      <c r="C862" s="125"/>
      <c r="D862" s="65">
        <v>275</v>
      </c>
      <c r="E862" s="291"/>
      <c r="F862" s="168"/>
      <c r="G862" s="292"/>
      <c r="H862" s="52">
        <v>10827954</v>
      </c>
      <c r="I862" s="52">
        <f>SUM(I494:I861)</f>
        <v>9607970.7479999978</v>
      </c>
      <c r="J862" s="52">
        <f>SUM(J494:J861)</f>
        <v>7686376.5984000023</v>
      </c>
      <c r="K862" s="167"/>
      <c r="L862" s="52">
        <v>2001356</v>
      </c>
      <c r="M862" s="52">
        <f>SUM(M494:M861)</f>
        <v>2001356</v>
      </c>
      <c r="N862" s="52">
        <f>SUM(N494:N861)</f>
        <v>1601084.8</v>
      </c>
      <c r="O862" s="169"/>
      <c r="P862" s="52">
        <v>0</v>
      </c>
      <c r="Q862" s="52">
        <f>SUM(Q494:Q861)</f>
        <v>0</v>
      </c>
      <c r="R862" s="52">
        <f>SUM(R494:R861)</f>
        <v>0</v>
      </c>
      <c r="S862" s="133"/>
      <c r="T862" s="125" t="s">
        <v>215</v>
      </c>
      <c r="U862" s="74">
        <f>SUM(U494:U861)</f>
        <v>21577665.696607608</v>
      </c>
      <c r="V862" s="74">
        <f>SUM(V494:V861)</f>
        <v>1676165.5405755495</v>
      </c>
      <c r="W862" s="74">
        <f>SUM(W494:W861)</f>
        <v>0</v>
      </c>
      <c r="X862" s="74">
        <f>SUM(X494:X861)</f>
        <v>23253831.237183161</v>
      </c>
      <c r="Y862" s="83"/>
      <c r="Z862" s="74">
        <f t="shared" ref="Z862" si="320">SUM(Z494:Z861)</f>
        <v>4223937.0639999975</v>
      </c>
      <c r="AA862" s="74">
        <v>1595119.96</v>
      </c>
      <c r="AB862" s="74">
        <v>42244.62</v>
      </c>
      <c r="AC862" s="74">
        <f>AA862+AB862</f>
        <v>1637364.58</v>
      </c>
      <c r="AD862" s="74">
        <f t="shared" si="315"/>
        <v>4266181.6839999976</v>
      </c>
      <c r="AE862" s="293">
        <f t="shared" si="316"/>
        <v>18987649.553183164</v>
      </c>
      <c r="AF862" s="52">
        <f>SUM(AF494:AF861)</f>
        <v>167963203.95073119</v>
      </c>
      <c r="AG862" s="52">
        <f>SUM(AG494:AG861)</f>
        <v>209954004.93841392</v>
      </c>
    </row>
    <row r="863" spans="1:33" x14ac:dyDescent="0.2">
      <c r="A863" s="150"/>
      <c r="J863" s="44"/>
      <c r="O863" s="92"/>
      <c r="P863" s="44"/>
      <c r="R863" s="44"/>
      <c r="S863" s="4"/>
      <c r="Z863" s="72"/>
      <c r="AA863" s="72"/>
      <c r="AC863" s="72"/>
      <c r="AD863" s="72"/>
      <c r="AE863" s="72"/>
      <c r="AF863" s="79"/>
      <c r="AG863" s="79"/>
    </row>
    <row r="864" spans="1:33" x14ac:dyDescent="0.2">
      <c r="A864" s="150"/>
      <c r="B864" s="17" t="s">
        <v>74</v>
      </c>
      <c r="J864" s="44"/>
      <c r="O864" s="92"/>
      <c r="P864" s="44"/>
      <c r="R864" s="44"/>
      <c r="S864" s="4"/>
      <c r="Z864" s="72"/>
      <c r="AA864" s="72"/>
      <c r="AC864" s="72"/>
      <c r="AD864" s="72"/>
      <c r="AE864" s="72"/>
      <c r="AF864" s="79"/>
      <c r="AG864" s="79"/>
    </row>
    <row r="865" spans="1:33" s="17" customFormat="1" x14ac:dyDescent="0.2">
      <c r="A865" s="18" t="s">
        <v>776</v>
      </c>
      <c r="B865" s="17" t="s">
        <v>175</v>
      </c>
      <c r="C865" s="16"/>
      <c r="D865" s="104">
        <f>16322-545</f>
        <v>15777</v>
      </c>
      <c r="E865" s="105">
        <v>69</v>
      </c>
      <c r="F865" s="106">
        <v>0.1</v>
      </c>
      <c r="G865" s="107">
        <v>0.155</v>
      </c>
      <c r="H865" s="108">
        <f>D865*E865</f>
        <v>1088613</v>
      </c>
      <c r="I865" s="44">
        <f>+H865</f>
        <v>1088613</v>
      </c>
      <c r="J865" s="44">
        <f>(E865*D865)*(1-F865)*(1-G865)</f>
        <v>827890.18650000007</v>
      </c>
      <c r="K865" s="105">
        <v>0</v>
      </c>
      <c r="L865" s="44">
        <v>0</v>
      </c>
      <c r="M865" s="44"/>
      <c r="N865" s="44">
        <f>(K865*D865)*(1-F865)</f>
        <v>0</v>
      </c>
      <c r="O865" s="109">
        <v>15.71</v>
      </c>
      <c r="P865" s="44">
        <v>213039</v>
      </c>
      <c r="Q865" s="66">
        <f>+P865</f>
        <v>213039</v>
      </c>
      <c r="R865" s="44">
        <f>(O865*D865)*(1-F865)*(1-G865)</f>
        <v>188494.997535</v>
      </c>
      <c r="S865" s="110">
        <v>10</v>
      </c>
      <c r="T865" s="111" t="s">
        <v>217</v>
      </c>
      <c r="U865" s="72">
        <f>SUMIF('Avoided Costs 2013-2021'!$A:$A,'2013 Actuals'!T865&amp;'2013 Actuals'!S865,'Avoided Costs 2013-2021'!$E:$E)*J865</f>
        <v>1238709.1864208512</v>
      </c>
      <c r="V865" s="72">
        <f>SUMIF('Avoided Costs 2013-2021'!$A:$A,'2013 Actuals'!T865&amp;'2013 Actuals'!S865,'Avoided Costs 2013-2021'!$K:$K)*N865</f>
        <v>0</v>
      </c>
      <c r="W865" s="72">
        <f>SUMIF('Avoided Costs 2013-2021'!$A:$A,'2013 Actuals'!T865&amp;'2013 Actuals'!S865,'Avoided Costs 2013-2021'!$M:$M)*R865</f>
        <v>3740815.2256718674</v>
      </c>
      <c r="X865" s="72">
        <f>SUM(U865:W865)</f>
        <v>4979524.4120927183</v>
      </c>
      <c r="Y865" s="87">
        <v>12.5</v>
      </c>
      <c r="Z865" s="72">
        <f>(Y865*D865)*(1-F865)</f>
        <v>177491.25</v>
      </c>
      <c r="AA865" s="76">
        <v>0</v>
      </c>
      <c r="AB865" s="76"/>
      <c r="AC865" s="72"/>
      <c r="AD865" s="77">
        <f>Z865+AB865</f>
        <v>177491.25</v>
      </c>
      <c r="AE865" s="112">
        <f>X865-AD865</f>
        <v>4802033.1620927183</v>
      </c>
      <c r="AF865" s="113">
        <f>J865*S865</f>
        <v>8278901.8650000002</v>
      </c>
      <c r="AG865" s="113">
        <f>(I865*S865)</f>
        <v>10886130</v>
      </c>
    </row>
    <row r="866" spans="1:33" s="17" customFormat="1" x14ac:dyDescent="0.2">
      <c r="A866" s="166" t="s">
        <v>4</v>
      </c>
      <c r="B866" s="166" t="s">
        <v>777</v>
      </c>
      <c r="C866" s="125"/>
      <c r="D866" s="52">
        <f>D865</f>
        <v>15777</v>
      </c>
      <c r="E866" s="291"/>
      <c r="F866" s="168"/>
      <c r="G866" s="292"/>
      <c r="H866" s="322">
        <f>H865</f>
        <v>1088613</v>
      </c>
      <c r="I866" s="52">
        <f>SUM(I865:I865)</f>
        <v>1088613</v>
      </c>
      <c r="J866" s="52">
        <f>SUM(J865:J865)</f>
        <v>827890.18650000007</v>
      </c>
      <c r="K866" s="167"/>
      <c r="L866" s="52">
        <v>0</v>
      </c>
      <c r="M866" s="52">
        <f>SUM(M865:M865)</f>
        <v>0</v>
      </c>
      <c r="N866" s="52">
        <f>SUM(N865:N865)</f>
        <v>0</v>
      </c>
      <c r="O866" s="169"/>
      <c r="P866" s="52">
        <v>213039</v>
      </c>
      <c r="Q866" s="52">
        <f>SUM(Q865:Q865)</f>
        <v>213039</v>
      </c>
      <c r="R866" s="52">
        <f>SUM(R865:R865)</f>
        <v>188494.997535</v>
      </c>
      <c r="S866" s="127"/>
      <c r="T866" s="125" t="s">
        <v>215</v>
      </c>
      <c r="U866" s="74">
        <f>SUM(U865:U865)</f>
        <v>1238709.1864208512</v>
      </c>
      <c r="V866" s="74">
        <f>SUM(V865:V865)</f>
        <v>0</v>
      </c>
      <c r="W866" s="74">
        <f>SUM(W865:W865)</f>
        <v>3740815.2256718674</v>
      </c>
      <c r="X866" s="74">
        <f>SUM(X865:X865)</f>
        <v>4979524.4120927183</v>
      </c>
      <c r="Y866" s="83"/>
      <c r="Z866" s="74">
        <f t="shared" ref="Z866" si="321">SUM(Z865:Z865)</f>
        <v>177491.25</v>
      </c>
      <c r="AA866" s="74">
        <v>0</v>
      </c>
      <c r="AB866" s="74">
        <v>0</v>
      </c>
      <c r="AC866" s="74">
        <f>AA866+AB866</f>
        <v>0</v>
      </c>
      <c r="AD866" s="323">
        <f>SUM(AD865:AD865)</f>
        <v>177491.25</v>
      </c>
      <c r="AE866" s="323">
        <f>SUM(AE865:AE865)</f>
        <v>4802033.1620927183</v>
      </c>
      <c r="AF866" s="324">
        <f>SUM(AF865:AF865)</f>
        <v>8278901.8650000002</v>
      </c>
      <c r="AG866" s="324">
        <f>SUM(AG865:AG865)</f>
        <v>10886130</v>
      </c>
    </row>
    <row r="867" spans="1:33" s="17" customFormat="1" x14ac:dyDescent="0.2">
      <c r="A867" s="18"/>
      <c r="B867" s="18"/>
      <c r="C867" s="16"/>
      <c r="D867" s="67"/>
      <c r="E867" s="105"/>
      <c r="F867" s="190"/>
      <c r="G867" s="301"/>
      <c r="H867" s="49"/>
      <c r="I867" s="49"/>
      <c r="J867" s="49"/>
      <c r="K867" s="189"/>
      <c r="L867" s="49"/>
      <c r="M867" s="49"/>
      <c r="N867" s="67"/>
      <c r="O867" s="191"/>
      <c r="P867" s="49"/>
      <c r="Q867" s="49"/>
      <c r="R867" s="67"/>
      <c r="S867" s="40"/>
      <c r="T867" s="16"/>
      <c r="U867" s="76"/>
      <c r="V867" s="76"/>
      <c r="W867" s="76"/>
      <c r="X867" s="76"/>
      <c r="Y867" s="87"/>
      <c r="Z867" s="76"/>
      <c r="AA867" s="76"/>
      <c r="AB867" s="76"/>
      <c r="AC867" s="76"/>
      <c r="AD867" s="76"/>
      <c r="AE867" s="76"/>
      <c r="AF867" s="81"/>
      <c r="AG867" s="81"/>
    </row>
    <row r="868" spans="1:33" x14ac:dyDescent="0.2">
      <c r="A868" s="308" t="s">
        <v>46</v>
      </c>
      <c r="B868" s="283"/>
      <c r="C868" s="147"/>
      <c r="D868" s="284">
        <f>D866+D862</f>
        <v>16052</v>
      </c>
      <c r="E868" s="142"/>
      <c r="F868" s="143"/>
      <c r="G868" s="144"/>
      <c r="H868" s="284">
        <f>H866+H862</f>
        <v>11916567</v>
      </c>
      <c r="I868" s="284">
        <f>I866+I862</f>
        <v>10696583.747999998</v>
      </c>
      <c r="J868" s="284">
        <f>J866+J862</f>
        <v>8514266.7849000022</v>
      </c>
      <c r="K868" s="142"/>
      <c r="L868" s="284">
        <f>L866+L862</f>
        <v>2001356</v>
      </c>
      <c r="M868" s="284">
        <f>M866+M862</f>
        <v>2001356</v>
      </c>
      <c r="N868" s="284">
        <f>N866+N862</f>
        <v>1601084.8</v>
      </c>
      <c r="O868" s="145"/>
      <c r="P868" s="284">
        <f>P866+P862</f>
        <v>213039</v>
      </c>
      <c r="Q868" s="284">
        <f>Q866+Q862</f>
        <v>213039</v>
      </c>
      <c r="R868" s="284">
        <f>R866+R862</f>
        <v>188494.997535</v>
      </c>
      <c r="S868" s="146"/>
      <c r="T868" s="325"/>
      <c r="U868" s="285">
        <f>U866+U862</f>
        <v>22816374.883028459</v>
      </c>
      <c r="V868" s="285">
        <f>V866+V862</f>
        <v>1676165.5405755495</v>
      </c>
      <c r="W868" s="285">
        <f>W866+W862</f>
        <v>3740815.2256718674</v>
      </c>
      <c r="X868" s="285">
        <f>X866+X862</f>
        <v>28233355.64927588</v>
      </c>
      <c r="Y868" s="148"/>
      <c r="Z868" s="285">
        <f>Z866+Z862</f>
        <v>4401428.3139999975</v>
      </c>
      <c r="AA868" s="285">
        <f>AA866+AA862</f>
        <v>1595119.96</v>
      </c>
      <c r="AB868" s="285">
        <f t="shared" ref="AB868:AC868" si="322">AB866+AB862</f>
        <v>42244.62</v>
      </c>
      <c r="AC868" s="285">
        <f t="shared" si="322"/>
        <v>1637364.58</v>
      </c>
      <c r="AD868" s="285">
        <f t="shared" ref="AD868:AE868" si="323">AD866+AD862</f>
        <v>4443672.9339999976</v>
      </c>
      <c r="AE868" s="286">
        <f t="shared" si="323"/>
        <v>23789682.715275884</v>
      </c>
      <c r="AF868" s="284">
        <f>AF866+AF862</f>
        <v>176242105.8157312</v>
      </c>
      <c r="AG868" s="284">
        <f>AG866+AG862</f>
        <v>220840134.93841392</v>
      </c>
    </row>
    <row r="869" spans="1:33" s="17" customFormat="1" x14ac:dyDescent="0.2">
      <c r="A869" s="18"/>
      <c r="B869" s="2"/>
      <c r="C869" s="3"/>
      <c r="D869" s="44"/>
      <c r="E869" s="58"/>
      <c r="F869" s="5"/>
      <c r="G869" s="6"/>
      <c r="H869" s="44"/>
      <c r="I869" s="44"/>
      <c r="J869" s="44"/>
      <c r="K869" s="58"/>
      <c r="L869" s="44"/>
      <c r="M869" s="44"/>
      <c r="N869" s="44"/>
      <c r="O869" s="92"/>
      <c r="P869" s="44"/>
      <c r="Q869" s="44"/>
      <c r="R869" s="44"/>
      <c r="S869" s="4"/>
      <c r="T869" s="16"/>
      <c r="U869" s="72"/>
      <c r="V869" s="72"/>
      <c r="W869" s="72"/>
      <c r="X869" s="72"/>
      <c r="Y869" s="84"/>
      <c r="Z869" s="72"/>
      <c r="AA869" s="72"/>
      <c r="AB869" s="72"/>
      <c r="AC869" s="72"/>
      <c r="AD869" s="72"/>
      <c r="AE869" s="72"/>
      <c r="AF869" s="79"/>
      <c r="AG869" s="79"/>
    </row>
    <row r="870" spans="1:33" x14ac:dyDescent="0.2">
      <c r="A870" s="326" t="s">
        <v>48</v>
      </c>
      <c r="B870" s="2" t="s">
        <v>27</v>
      </c>
      <c r="H870" s="13"/>
      <c r="L870" s="48">
        <v>0</v>
      </c>
      <c r="O870" s="92"/>
      <c r="P870" s="48">
        <v>0</v>
      </c>
      <c r="AF870" s="79"/>
      <c r="AG870" s="79"/>
    </row>
    <row r="871" spans="1:33" s="21" customFormat="1" x14ac:dyDescent="0.2">
      <c r="A871" s="114" t="s">
        <v>1029</v>
      </c>
      <c r="B871" s="114"/>
      <c r="C871" s="114"/>
      <c r="D871" s="160">
        <v>1</v>
      </c>
      <c r="E871" s="161"/>
      <c r="F871" s="162">
        <v>0.26</v>
      </c>
      <c r="G871" s="162"/>
      <c r="H871" s="52">
        <v>28158</v>
      </c>
      <c r="I871" s="52">
        <f t="shared" ref="I871:I887" si="324">+$H$39*H871</f>
        <v>24891.671999999999</v>
      </c>
      <c r="J871" s="52">
        <f t="shared" ref="J871:J887" si="325">I871*(1-F871)</f>
        <v>18419.83728</v>
      </c>
      <c r="K871" s="61"/>
      <c r="L871" s="160">
        <v>184272</v>
      </c>
      <c r="M871" s="55">
        <f t="shared" ref="M871:M887" si="326">+$L$39*L871</f>
        <v>184272</v>
      </c>
      <c r="N871" s="55">
        <f t="shared" ref="N871:N887" si="327">M871*(1-F871)</f>
        <v>136361.28</v>
      </c>
      <c r="O871" s="95"/>
      <c r="P871" s="160">
        <v>0</v>
      </c>
      <c r="Q871" s="55">
        <f t="shared" ref="Q871:Q887" si="328">+P871*$P$39</f>
        <v>0</v>
      </c>
      <c r="R871" s="65">
        <f t="shared" ref="R871:R887" si="329">Q871*(1-F871)</f>
        <v>0</v>
      </c>
      <c r="S871" s="118">
        <v>25</v>
      </c>
      <c r="T871" s="121" t="s">
        <v>1217</v>
      </c>
      <c r="U871" s="73">
        <f>SUMIF('Avoided Costs 2013-2021'!$A:$A,'2013 Actuals'!T871&amp;'2013 Actuals'!S871,'Avoided Costs 2013-2021'!$E:$E)*J871</f>
        <v>57187.660614883891</v>
      </c>
      <c r="V871" s="73">
        <f>SUMIF('Avoided Costs 2013-2021'!$A:$A,'2013 Actuals'!T871&amp;'2013 Actuals'!S871,'Avoided Costs 2013-2021'!$K:$K)*N871</f>
        <v>194464.42123705268</v>
      </c>
      <c r="W871" s="73">
        <f>SUMIF('Avoided Costs 2013-2021'!$A:$A,'2013 Actuals'!T871&amp;'2013 Actuals'!S871,'Avoided Costs 2013-2021'!$M:$M)*R871</f>
        <v>0</v>
      </c>
      <c r="X871" s="73">
        <f t="shared" ref="X871:X887" si="330">SUM(U871:W871)</f>
        <v>251652.08185193659</v>
      </c>
      <c r="Y871" s="83">
        <v>502755</v>
      </c>
      <c r="Z871" s="74">
        <f t="shared" ref="Z871:Z887" si="331">Y871*(1-F871)</f>
        <v>372038.7</v>
      </c>
      <c r="AA871" s="74"/>
      <c r="AB871" s="74"/>
      <c r="AC871" s="74"/>
      <c r="AD871" s="74">
        <f t="shared" ref="AD871:AD888" si="332">Z871+AB871</f>
        <v>372038.7</v>
      </c>
      <c r="AE871" s="74">
        <f t="shared" ref="AE871:AE888" si="333">X871-AD871</f>
        <v>-120386.61814806343</v>
      </c>
      <c r="AF871" s="52">
        <f t="shared" ref="AF871:AF887" si="334">J871*S871</f>
        <v>460495.93199999997</v>
      </c>
      <c r="AG871" s="52">
        <f t="shared" ref="AG871:AG887" si="335">(I871*S871)</f>
        <v>622291.79999999993</v>
      </c>
    </row>
    <row r="872" spans="1:33" s="21" customFormat="1" x14ac:dyDescent="0.2">
      <c r="A872" s="114" t="s">
        <v>1030</v>
      </c>
      <c r="B872" s="114"/>
      <c r="C872" s="114"/>
      <c r="D872" s="160">
        <v>1</v>
      </c>
      <c r="E872" s="161"/>
      <c r="F872" s="162">
        <v>0.26</v>
      </c>
      <c r="G872" s="162"/>
      <c r="H872" s="52">
        <v>12292</v>
      </c>
      <c r="I872" s="52">
        <f t="shared" si="324"/>
        <v>10866.128000000001</v>
      </c>
      <c r="J872" s="52">
        <f t="shared" si="325"/>
        <v>8040.9347200000002</v>
      </c>
      <c r="K872" s="61"/>
      <c r="L872" s="160">
        <v>93990</v>
      </c>
      <c r="M872" s="55">
        <f t="shared" si="326"/>
        <v>93990</v>
      </c>
      <c r="N872" s="55">
        <f t="shared" si="327"/>
        <v>69552.600000000006</v>
      </c>
      <c r="O872" s="95"/>
      <c r="P872" s="160">
        <v>0</v>
      </c>
      <c r="Q872" s="55">
        <f t="shared" si="328"/>
        <v>0</v>
      </c>
      <c r="R872" s="65">
        <f t="shared" si="329"/>
        <v>0</v>
      </c>
      <c r="S872" s="118">
        <v>25</v>
      </c>
      <c r="T872" s="121" t="s">
        <v>1217</v>
      </c>
      <c r="U872" s="73">
        <f>SUMIF('Avoided Costs 2013-2021'!$A:$A,'2013 Actuals'!T872&amp;'2013 Actuals'!S872,'Avoided Costs 2013-2021'!$E:$E)*J872</f>
        <v>24964.511836002301</v>
      </c>
      <c r="V872" s="73">
        <f>SUMIF('Avoided Costs 2013-2021'!$A:$A,'2013 Actuals'!T872&amp;'2013 Actuals'!S872,'Avoided Costs 2013-2021'!$K:$K)*N872</f>
        <v>99188.758748320863</v>
      </c>
      <c r="W872" s="73">
        <f>SUMIF('Avoided Costs 2013-2021'!$A:$A,'2013 Actuals'!T872&amp;'2013 Actuals'!S872,'Avoided Costs 2013-2021'!$M:$M)*R872</f>
        <v>0</v>
      </c>
      <c r="X872" s="73">
        <f t="shared" si="330"/>
        <v>124153.27058432317</v>
      </c>
      <c r="Y872" s="83">
        <v>137711.29</v>
      </c>
      <c r="Z872" s="74">
        <f t="shared" si="331"/>
        <v>101906.35460000001</v>
      </c>
      <c r="AA872" s="74"/>
      <c r="AB872" s="74"/>
      <c r="AC872" s="74"/>
      <c r="AD872" s="74">
        <f t="shared" si="332"/>
        <v>101906.35460000001</v>
      </c>
      <c r="AE872" s="74">
        <f t="shared" si="333"/>
        <v>22246.915984323161</v>
      </c>
      <c r="AF872" s="52">
        <f t="shared" si="334"/>
        <v>201023.36800000002</v>
      </c>
      <c r="AG872" s="52">
        <f t="shared" si="335"/>
        <v>271653.2</v>
      </c>
    </row>
    <row r="873" spans="1:33" s="21" customFormat="1" x14ac:dyDescent="0.2">
      <c r="A873" s="114" t="s">
        <v>1031</v>
      </c>
      <c r="B873" s="114"/>
      <c r="C873" s="114"/>
      <c r="D873" s="160">
        <v>1</v>
      </c>
      <c r="E873" s="161"/>
      <c r="F873" s="162">
        <v>0.26</v>
      </c>
      <c r="G873" s="162"/>
      <c r="H873" s="52">
        <v>28185</v>
      </c>
      <c r="I873" s="52">
        <f t="shared" si="324"/>
        <v>24915.54</v>
      </c>
      <c r="J873" s="52">
        <f t="shared" si="325"/>
        <v>18437.499599999999</v>
      </c>
      <c r="K873" s="61"/>
      <c r="L873" s="160">
        <v>41500</v>
      </c>
      <c r="M873" s="55">
        <f t="shared" si="326"/>
        <v>41500</v>
      </c>
      <c r="N873" s="55">
        <f t="shared" si="327"/>
        <v>30710</v>
      </c>
      <c r="O873" s="95"/>
      <c r="P873" s="160">
        <v>0</v>
      </c>
      <c r="Q873" s="55">
        <f t="shared" si="328"/>
        <v>0</v>
      </c>
      <c r="R873" s="65">
        <f t="shared" si="329"/>
        <v>0</v>
      </c>
      <c r="S873" s="118">
        <v>25</v>
      </c>
      <c r="T873" s="121" t="s">
        <v>1217</v>
      </c>
      <c r="U873" s="73">
        <f>SUMIF('Avoided Costs 2013-2021'!$A:$A,'2013 Actuals'!T873&amp;'2013 Actuals'!S873,'Avoided Costs 2013-2021'!$E:$E)*J873</f>
        <v>57242.49642838633</v>
      </c>
      <c r="V873" s="73">
        <f>SUMIF('Avoided Costs 2013-2021'!$A:$A,'2013 Actuals'!T873&amp;'2013 Actuals'!S873,'Avoided Costs 2013-2021'!$K:$K)*N873</f>
        <v>43795.440877277535</v>
      </c>
      <c r="W873" s="73">
        <f>SUMIF('Avoided Costs 2013-2021'!$A:$A,'2013 Actuals'!T873&amp;'2013 Actuals'!S873,'Avoided Costs 2013-2021'!$M:$M)*R873</f>
        <v>0</v>
      </c>
      <c r="X873" s="73">
        <f t="shared" si="330"/>
        <v>101037.93730566386</v>
      </c>
      <c r="Y873" s="83">
        <v>211360.87</v>
      </c>
      <c r="Z873" s="74">
        <f t="shared" si="331"/>
        <v>156407.04379999998</v>
      </c>
      <c r="AA873" s="74"/>
      <c r="AB873" s="74"/>
      <c r="AC873" s="74"/>
      <c r="AD873" s="74">
        <f t="shared" si="332"/>
        <v>156407.04379999998</v>
      </c>
      <c r="AE873" s="74">
        <f t="shared" si="333"/>
        <v>-55369.106494336127</v>
      </c>
      <c r="AF873" s="52">
        <f t="shared" si="334"/>
        <v>460937.49</v>
      </c>
      <c r="AG873" s="52">
        <f t="shared" si="335"/>
        <v>622888.5</v>
      </c>
    </row>
    <row r="874" spans="1:33" s="21" customFormat="1" x14ac:dyDescent="0.2">
      <c r="A874" s="114" t="s">
        <v>1032</v>
      </c>
      <c r="B874" s="114"/>
      <c r="C874" s="114"/>
      <c r="D874" s="160">
        <v>1</v>
      </c>
      <c r="E874" s="161"/>
      <c r="F874" s="162">
        <v>0.26</v>
      </c>
      <c r="G874" s="162"/>
      <c r="H874" s="52">
        <v>119180</v>
      </c>
      <c r="I874" s="52">
        <f t="shared" si="324"/>
        <v>105355.12</v>
      </c>
      <c r="J874" s="52">
        <f t="shared" si="325"/>
        <v>77962.788799999995</v>
      </c>
      <c r="K874" s="61"/>
      <c r="L874" s="160">
        <v>-46352</v>
      </c>
      <c r="M874" s="55">
        <f t="shared" si="326"/>
        <v>-46352</v>
      </c>
      <c r="N874" s="55">
        <f t="shared" si="327"/>
        <v>-34300.480000000003</v>
      </c>
      <c r="O874" s="95"/>
      <c r="P874" s="160">
        <v>0</v>
      </c>
      <c r="Q874" s="55">
        <f t="shared" si="328"/>
        <v>0</v>
      </c>
      <c r="R874" s="65">
        <f t="shared" si="329"/>
        <v>0</v>
      </c>
      <c r="S874" s="118">
        <v>25</v>
      </c>
      <c r="T874" s="121" t="s">
        <v>1217</v>
      </c>
      <c r="U874" s="73">
        <f>SUMIF('Avoided Costs 2013-2021'!$A:$A,'2013 Actuals'!T874&amp;'2013 Actuals'!S874,'Avoided Costs 2013-2021'!$E:$E)*J874</f>
        <v>242049.34271190644</v>
      </c>
      <c r="V874" s="73">
        <f>SUMIF('Avoided Costs 2013-2021'!$A:$A,'2013 Actuals'!T874&amp;'2013 Actuals'!S874,'Avoided Costs 2013-2021'!$K:$K)*N874</f>
        <v>-48915.813868519719</v>
      </c>
      <c r="W874" s="73">
        <f>SUMIF('Avoided Costs 2013-2021'!$A:$A,'2013 Actuals'!T874&amp;'2013 Actuals'!S874,'Avoided Costs 2013-2021'!$M:$M)*R874</f>
        <v>0</v>
      </c>
      <c r="X874" s="73">
        <f t="shared" si="330"/>
        <v>193133.52884338674</v>
      </c>
      <c r="Y874" s="83">
        <v>425500</v>
      </c>
      <c r="Z874" s="74">
        <f t="shared" si="331"/>
        <v>314870</v>
      </c>
      <c r="AA874" s="74"/>
      <c r="AB874" s="74"/>
      <c r="AC874" s="74"/>
      <c r="AD874" s="74">
        <f t="shared" si="332"/>
        <v>314870</v>
      </c>
      <c r="AE874" s="74">
        <f t="shared" si="333"/>
        <v>-121736.47115661326</v>
      </c>
      <c r="AF874" s="52">
        <f t="shared" si="334"/>
        <v>1949069.72</v>
      </c>
      <c r="AG874" s="52">
        <f t="shared" si="335"/>
        <v>2633878</v>
      </c>
    </row>
    <row r="875" spans="1:33" s="21" customFormat="1" x14ac:dyDescent="0.2">
      <c r="A875" s="114" t="s">
        <v>1033</v>
      </c>
      <c r="B875" s="114"/>
      <c r="C875" s="114"/>
      <c r="D875" s="160">
        <v>1</v>
      </c>
      <c r="E875" s="161"/>
      <c r="F875" s="162">
        <v>0.26</v>
      </c>
      <c r="G875" s="162"/>
      <c r="H875" s="52">
        <v>40836</v>
      </c>
      <c r="I875" s="52">
        <f t="shared" si="324"/>
        <v>36099.023999999998</v>
      </c>
      <c r="J875" s="52">
        <f t="shared" si="325"/>
        <v>26713.277759999997</v>
      </c>
      <c r="K875" s="61"/>
      <c r="L875" s="160">
        <v>357504</v>
      </c>
      <c r="M875" s="55">
        <f t="shared" si="326"/>
        <v>357504</v>
      </c>
      <c r="N875" s="55">
        <f t="shared" si="327"/>
        <v>264552.96000000002</v>
      </c>
      <c r="O875" s="95"/>
      <c r="P875" s="160">
        <v>0</v>
      </c>
      <c r="Q875" s="55">
        <f t="shared" si="328"/>
        <v>0</v>
      </c>
      <c r="R875" s="65">
        <f t="shared" si="329"/>
        <v>0</v>
      </c>
      <c r="S875" s="118">
        <v>25</v>
      </c>
      <c r="T875" s="121" t="s">
        <v>1217</v>
      </c>
      <c r="U875" s="73">
        <f>SUMIF('Avoided Costs 2013-2021'!$A:$A,'2013 Actuals'!T875&amp;'2013 Actuals'!S875,'Avoided Costs 2013-2021'!$E:$E)*J875</f>
        <v>82936.121488365592</v>
      </c>
      <c r="V875" s="73">
        <f>SUMIF('Avoided Costs 2013-2021'!$A:$A,'2013 Actuals'!T875&amp;'2013 Actuals'!S875,'Avoided Costs 2013-2021'!$K:$K)*N875</f>
        <v>377278.19988892117</v>
      </c>
      <c r="W875" s="73">
        <f>SUMIF('Avoided Costs 2013-2021'!$A:$A,'2013 Actuals'!T875&amp;'2013 Actuals'!S875,'Avoided Costs 2013-2021'!$M:$M)*R875</f>
        <v>0</v>
      </c>
      <c r="X875" s="73">
        <f t="shared" si="330"/>
        <v>460214.32137728675</v>
      </c>
      <c r="Y875" s="83">
        <v>112772.85</v>
      </c>
      <c r="Z875" s="74">
        <f t="shared" si="331"/>
        <v>83451.909</v>
      </c>
      <c r="AA875" s="74"/>
      <c r="AB875" s="74"/>
      <c r="AC875" s="74"/>
      <c r="AD875" s="74">
        <f t="shared" si="332"/>
        <v>83451.909</v>
      </c>
      <c r="AE875" s="74">
        <f t="shared" si="333"/>
        <v>376762.41237728676</v>
      </c>
      <c r="AF875" s="52">
        <f t="shared" si="334"/>
        <v>667831.9439999999</v>
      </c>
      <c r="AG875" s="52">
        <f t="shared" si="335"/>
        <v>902475.6</v>
      </c>
    </row>
    <row r="876" spans="1:33" s="21" customFormat="1" x14ac:dyDescent="0.2">
      <c r="A876" s="114" t="s">
        <v>1034</v>
      </c>
      <c r="B876" s="114"/>
      <c r="C876" s="114"/>
      <c r="D876" s="160">
        <v>1</v>
      </c>
      <c r="E876" s="161"/>
      <c r="F876" s="162">
        <v>0.26</v>
      </c>
      <c r="G876" s="162"/>
      <c r="H876" s="52">
        <v>126573</v>
      </c>
      <c r="I876" s="52">
        <f>+$H$39*H876</f>
        <v>111890.53200000001</v>
      </c>
      <c r="J876" s="52">
        <f t="shared" si="325"/>
        <v>82798.99368</v>
      </c>
      <c r="K876" s="61"/>
      <c r="L876" s="160">
        <v>2022</v>
      </c>
      <c r="M876" s="55">
        <f t="shared" si="326"/>
        <v>2022</v>
      </c>
      <c r="N876" s="55">
        <f t="shared" si="327"/>
        <v>1496.28</v>
      </c>
      <c r="O876" s="95"/>
      <c r="P876" s="160">
        <v>0</v>
      </c>
      <c r="Q876" s="55">
        <f t="shared" si="328"/>
        <v>0</v>
      </c>
      <c r="R876" s="65">
        <f t="shared" si="329"/>
        <v>0</v>
      </c>
      <c r="S876" s="118">
        <v>25</v>
      </c>
      <c r="T876" s="121" t="s">
        <v>1217</v>
      </c>
      <c r="U876" s="73">
        <f>SUMIF('Avoided Costs 2013-2021'!$A:$A,'2013 Actuals'!T876&amp;'2013 Actuals'!S876,'Avoided Costs 2013-2021'!$E:$E)*J876</f>
        <v>257064.20083129834</v>
      </c>
      <c r="V876" s="73">
        <f>SUMIF('Avoided Costs 2013-2021'!$A:$A,'2013 Actuals'!T876&amp;'2013 Actuals'!S876,'Avoided Costs 2013-2021'!$K:$K)*N876</f>
        <v>2133.8405169603657</v>
      </c>
      <c r="W876" s="73">
        <f>SUMIF('Avoided Costs 2013-2021'!$A:$A,'2013 Actuals'!T876&amp;'2013 Actuals'!S876,'Avoided Costs 2013-2021'!$M:$M)*R876</f>
        <v>0</v>
      </c>
      <c r="X876" s="73">
        <f t="shared" si="330"/>
        <v>259198.0413482587</v>
      </c>
      <c r="Y876" s="83">
        <v>351330</v>
      </c>
      <c r="Z876" s="74">
        <f t="shared" si="331"/>
        <v>259984.19999999998</v>
      </c>
      <c r="AA876" s="74"/>
      <c r="AB876" s="74"/>
      <c r="AC876" s="74"/>
      <c r="AD876" s="74">
        <f t="shared" si="332"/>
        <v>259984.19999999998</v>
      </c>
      <c r="AE876" s="74">
        <f t="shared" si="333"/>
        <v>-786.15865174127975</v>
      </c>
      <c r="AF876" s="52">
        <f t="shared" si="334"/>
        <v>2069974.8419999999</v>
      </c>
      <c r="AG876" s="52">
        <f t="shared" si="335"/>
        <v>2797263.3000000003</v>
      </c>
    </row>
    <row r="877" spans="1:33" s="21" customFormat="1" x14ac:dyDescent="0.2">
      <c r="A877" s="114" t="s">
        <v>1035</v>
      </c>
      <c r="B877" s="114"/>
      <c r="C877" s="114"/>
      <c r="D877" s="160">
        <v>1</v>
      </c>
      <c r="E877" s="161"/>
      <c r="F877" s="162">
        <v>0.26</v>
      </c>
      <c r="G877" s="162"/>
      <c r="H877" s="52">
        <v>18838</v>
      </c>
      <c r="I877" s="52">
        <f t="shared" si="324"/>
        <v>16652.792000000001</v>
      </c>
      <c r="J877" s="52">
        <f t="shared" si="325"/>
        <v>12323.066080000001</v>
      </c>
      <c r="K877" s="61"/>
      <c r="L877" s="160">
        <v>4864</v>
      </c>
      <c r="M877" s="55">
        <f t="shared" si="326"/>
        <v>4864</v>
      </c>
      <c r="N877" s="55">
        <f t="shared" si="327"/>
        <v>3599.36</v>
      </c>
      <c r="O877" s="95"/>
      <c r="P877" s="160">
        <v>0</v>
      </c>
      <c r="Q877" s="55">
        <f t="shared" si="328"/>
        <v>0</v>
      </c>
      <c r="R877" s="65">
        <f t="shared" si="329"/>
        <v>0</v>
      </c>
      <c r="S877" s="118">
        <v>25</v>
      </c>
      <c r="T877" s="121" t="s">
        <v>1217</v>
      </c>
      <c r="U877" s="73">
        <f>SUMIF('Avoided Costs 2013-2021'!$A:$A,'2013 Actuals'!T877&amp;'2013 Actuals'!S877,'Avoided Costs 2013-2021'!$E:$E)*J877</f>
        <v>38259.150176261908</v>
      </c>
      <c r="V877" s="73">
        <f>SUMIF('Avoided Costs 2013-2021'!$A:$A,'2013 Actuals'!T877&amp;'2013 Actuals'!S877,'Avoided Costs 2013-2021'!$K:$K)*N877</f>
        <v>5133.036733182601</v>
      </c>
      <c r="W877" s="73">
        <f>SUMIF('Avoided Costs 2013-2021'!$A:$A,'2013 Actuals'!T877&amp;'2013 Actuals'!S877,'Avoided Costs 2013-2021'!$M:$M)*R877</f>
        <v>0</v>
      </c>
      <c r="X877" s="73">
        <f t="shared" si="330"/>
        <v>43392.186909444506</v>
      </c>
      <c r="Y877" s="83">
        <v>44375</v>
      </c>
      <c r="Z877" s="74">
        <f t="shared" si="331"/>
        <v>32837.5</v>
      </c>
      <c r="AA877" s="74"/>
      <c r="AB877" s="74"/>
      <c r="AC877" s="74"/>
      <c r="AD877" s="74">
        <f t="shared" si="332"/>
        <v>32837.5</v>
      </c>
      <c r="AE877" s="74">
        <f t="shared" si="333"/>
        <v>10554.686909444506</v>
      </c>
      <c r="AF877" s="52">
        <f t="shared" si="334"/>
        <v>308076.652</v>
      </c>
      <c r="AG877" s="52">
        <f t="shared" si="335"/>
        <v>416319.80000000005</v>
      </c>
    </row>
    <row r="878" spans="1:33" s="21" customFormat="1" x14ac:dyDescent="0.2">
      <c r="A878" s="114" t="s">
        <v>1036</v>
      </c>
      <c r="B878" s="114"/>
      <c r="C878" s="114"/>
      <c r="D878" s="160">
        <v>1</v>
      </c>
      <c r="E878" s="161"/>
      <c r="F878" s="162">
        <v>0.26</v>
      </c>
      <c r="G878" s="162"/>
      <c r="H878" s="52">
        <v>22610</v>
      </c>
      <c r="I878" s="52">
        <f t="shared" si="324"/>
        <v>19987.240000000002</v>
      </c>
      <c r="J878" s="52">
        <f t="shared" si="325"/>
        <v>14790.557600000002</v>
      </c>
      <c r="K878" s="61"/>
      <c r="L878" s="160">
        <v>245541</v>
      </c>
      <c r="M878" s="55">
        <f t="shared" si="326"/>
        <v>245541</v>
      </c>
      <c r="N878" s="55">
        <f t="shared" si="327"/>
        <v>181700.34</v>
      </c>
      <c r="O878" s="95"/>
      <c r="P878" s="160">
        <v>0</v>
      </c>
      <c r="Q878" s="55">
        <f t="shared" si="328"/>
        <v>0</v>
      </c>
      <c r="R878" s="65">
        <f t="shared" si="329"/>
        <v>0</v>
      </c>
      <c r="S878" s="118">
        <v>25</v>
      </c>
      <c r="T878" s="121" t="s">
        <v>1217</v>
      </c>
      <c r="U878" s="73">
        <f>SUMIF('Avoided Costs 2013-2021'!$A:$A,'2013 Actuals'!T878&amp;'2013 Actuals'!S878,'Avoided Costs 2013-2021'!$E:$E)*J878</f>
        <v>45919.916418159133</v>
      </c>
      <c r="V878" s="73">
        <f>SUMIF('Avoided Costs 2013-2021'!$A:$A,'2013 Actuals'!T878&amp;'2013 Actuals'!S878,'Avoided Costs 2013-2021'!$K:$K)*N878</f>
        <v>259122.32164933984</v>
      </c>
      <c r="W878" s="73">
        <f>SUMIF('Avoided Costs 2013-2021'!$A:$A,'2013 Actuals'!T878&amp;'2013 Actuals'!S878,'Avoided Costs 2013-2021'!$M:$M)*R878</f>
        <v>0</v>
      </c>
      <c r="X878" s="73">
        <f t="shared" si="330"/>
        <v>305042.23806749895</v>
      </c>
      <c r="Y878" s="83">
        <v>35000</v>
      </c>
      <c r="Z878" s="74">
        <f t="shared" si="331"/>
        <v>25900</v>
      </c>
      <c r="AA878" s="74"/>
      <c r="AB878" s="74"/>
      <c r="AC878" s="74"/>
      <c r="AD878" s="74">
        <f t="shared" si="332"/>
        <v>25900</v>
      </c>
      <c r="AE878" s="74">
        <f t="shared" si="333"/>
        <v>279142.23806749895</v>
      </c>
      <c r="AF878" s="52">
        <f t="shared" si="334"/>
        <v>369763.94000000006</v>
      </c>
      <c r="AG878" s="52">
        <f t="shared" si="335"/>
        <v>499681.00000000006</v>
      </c>
    </row>
    <row r="879" spans="1:33" s="21" customFormat="1" x14ac:dyDescent="0.2">
      <c r="A879" s="114" t="s">
        <v>1037</v>
      </c>
      <c r="B879" s="114"/>
      <c r="C879" s="114"/>
      <c r="D879" s="160">
        <v>1</v>
      </c>
      <c r="E879" s="161"/>
      <c r="F879" s="162">
        <v>0.26</v>
      </c>
      <c r="G879" s="162"/>
      <c r="H879" s="52">
        <v>153232</v>
      </c>
      <c r="I879" s="52">
        <f t="shared" si="324"/>
        <v>135457.08799999999</v>
      </c>
      <c r="J879" s="52">
        <f t="shared" si="325"/>
        <v>100238.24511999999</v>
      </c>
      <c r="K879" s="61"/>
      <c r="L879" s="160">
        <v>1734092</v>
      </c>
      <c r="M879" s="55">
        <f t="shared" si="326"/>
        <v>1734092</v>
      </c>
      <c r="N879" s="55">
        <f t="shared" si="327"/>
        <v>1283228.08</v>
      </c>
      <c r="O879" s="95"/>
      <c r="P879" s="160">
        <v>0</v>
      </c>
      <c r="Q879" s="55">
        <f t="shared" si="328"/>
        <v>0</v>
      </c>
      <c r="R879" s="65">
        <f t="shared" si="329"/>
        <v>0</v>
      </c>
      <c r="S879" s="118">
        <v>25</v>
      </c>
      <c r="T879" s="121" t="s">
        <v>1217</v>
      </c>
      <c r="U879" s="73">
        <f>SUMIF('Avoided Costs 2013-2021'!$A:$A,'2013 Actuals'!T879&amp;'2013 Actuals'!S879,'Avoided Costs 2013-2021'!$E:$E)*J879</f>
        <v>311207.45831876865</v>
      </c>
      <c r="V879" s="73">
        <f>SUMIF('Avoided Costs 2013-2021'!$A:$A,'2013 Actuals'!T879&amp;'2013 Actuals'!S879,'Avoided Costs 2013-2021'!$K:$K)*N879</f>
        <v>1830007.7990785532</v>
      </c>
      <c r="W879" s="73">
        <f>SUMIF('Avoided Costs 2013-2021'!$A:$A,'2013 Actuals'!T879&amp;'2013 Actuals'!S879,'Avoided Costs 2013-2021'!$M:$M)*R879</f>
        <v>0</v>
      </c>
      <c r="X879" s="73">
        <f t="shared" si="330"/>
        <v>2141215.257397322</v>
      </c>
      <c r="Y879" s="83">
        <v>120000</v>
      </c>
      <c r="Z879" s="74">
        <f t="shared" si="331"/>
        <v>88800</v>
      </c>
      <c r="AA879" s="74"/>
      <c r="AB879" s="74"/>
      <c r="AC879" s="74"/>
      <c r="AD879" s="74">
        <f t="shared" si="332"/>
        <v>88800</v>
      </c>
      <c r="AE879" s="74">
        <f t="shared" si="333"/>
        <v>2052415.257397322</v>
      </c>
      <c r="AF879" s="52">
        <f t="shared" si="334"/>
        <v>2505956.128</v>
      </c>
      <c r="AG879" s="52">
        <f t="shared" si="335"/>
        <v>3386427.1999999997</v>
      </c>
    </row>
    <row r="880" spans="1:33" s="21" customFormat="1" x14ac:dyDescent="0.2">
      <c r="A880" s="114" t="s">
        <v>1038</v>
      </c>
      <c r="B880" s="114"/>
      <c r="C880" s="114"/>
      <c r="D880" s="160">
        <v>1</v>
      </c>
      <c r="E880" s="161"/>
      <c r="F880" s="162">
        <v>0.26</v>
      </c>
      <c r="G880" s="162"/>
      <c r="H880" s="52">
        <v>121538</v>
      </c>
      <c r="I880" s="52">
        <f t="shared" si="324"/>
        <v>107439.592</v>
      </c>
      <c r="J880" s="52">
        <f t="shared" si="325"/>
        <v>79505.298080000008</v>
      </c>
      <c r="K880" s="61"/>
      <c r="L880" s="160">
        <v>2073689</v>
      </c>
      <c r="M880" s="55">
        <f t="shared" si="326"/>
        <v>2073689</v>
      </c>
      <c r="N880" s="55">
        <f t="shared" si="327"/>
        <v>1534529.8599999999</v>
      </c>
      <c r="O880" s="95"/>
      <c r="P880" s="160">
        <v>0</v>
      </c>
      <c r="Q880" s="55">
        <f t="shared" si="328"/>
        <v>0</v>
      </c>
      <c r="R880" s="65">
        <f t="shared" si="329"/>
        <v>0</v>
      </c>
      <c r="S880" s="118">
        <v>25</v>
      </c>
      <c r="T880" s="121" t="s">
        <v>1217</v>
      </c>
      <c r="U880" s="73">
        <f>SUMIF('Avoided Costs 2013-2021'!$A:$A,'2013 Actuals'!T880&amp;'2013 Actuals'!S880,'Avoided Costs 2013-2021'!$E:$E)*J880</f>
        <v>246838.33709112008</v>
      </c>
      <c r="V880" s="73">
        <f>SUMIF('Avoided Costs 2013-2021'!$A:$A,'2013 Actuals'!T880&amp;'2013 Actuals'!S880,'Avoided Costs 2013-2021'!$K:$K)*N880</f>
        <v>2188388.5300568859</v>
      </c>
      <c r="W880" s="73">
        <f>SUMIF('Avoided Costs 2013-2021'!$A:$A,'2013 Actuals'!T880&amp;'2013 Actuals'!S880,'Avoided Costs 2013-2021'!$M:$M)*R880</f>
        <v>0</v>
      </c>
      <c r="X880" s="73">
        <f t="shared" si="330"/>
        <v>2435226.8671480059</v>
      </c>
      <c r="Y880" s="83">
        <v>521116</v>
      </c>
      <c r="Z880" s="74">
        <f t="shared" si="331"/>
        <v>385625.83999999997</v>
      </c>
      <c r="AA880" s="74"/>
      <c r="AB880" s="74"/>
      <c r="AC880" s="74"/>
      <c r="AD880" s="74">
        <f t="shared" si="332"/>
        <v>385625.83999999997</v>
      </c>
      <c r="AE880" s="74">
        <f t="shared" si="333"/>
        <v>2049601.027148006</v>
      </c>
      <c r="AF880" s="52">
        <f t="shared" si="334"/>
        <v>1987632.4520000003</v>
      </c>
      <c r="AG880" s="52">
        <f t="shared" si="335"/>
        <v>2685989.8000000003</v>
      </c>
    </row>
    <row r="881" spans="1:33" s="21" customFormat="1" x14ac:dyDescent="0.2">
      <c r="A881" s="114" t="s">
        <v>1039</v>
      </c>
      <c r="B881" s="114"/>
      <c r="C881" s="114"/>
      <c r="D881" s="160">
        <v>1</v>
      </c>
      <c r="E881" s="161"/>
      <c r="F881" s="162">
        <v>0.26</v>
      </c>
      <c r="G881" s="162"/>
      <c r="H881" s="52">
        <v>162268</v>
      </c>
      <c r="I881" s="52">
        <f t="shared" si="324"/>
        <v>143444.91200000001</v>
      </c>
      <c r="J881" s="52">
        <f t="shared" si="325"/>
        <v>106149.23488</v>
      </c>
      <c r="K881" s="61"/>
      <c r="L881" s="160">
        <v>143745</v>
      </c>
      <c r="M881" s="55">
        <f t="shared" si="326"/>
        <v>143745</v>
      </c>
      <c r="N881" s="55">
        <f t="shared" si="327"/>
        <v>106371.3</v>
      </c>
      <c r="O881" s="95"/>
      <c r="P881" s="160">
        <v>0</v>
      </c>
      <c r="Q881" s="55">
        <f t="shared" si="328"/>
        <v>0</v>
      </c>
      <c r="R881" s="65">
        <f t="shared" si="329"/>
        <v>0</v>
      </c>
      <c r="S881" s="118">
        <v>25</v>
      </c>
      <c r="T881" s="121" t="s">
        <v>1217</v>
      </c>
      <c r="U881" s="73">
        <f>SUMIF('Avoided Costs 2013-2021'!$A:$A,'2013 Actuals'!T881&amp;'2013 Actuals'!S881,'Avoided Costs 2013-2021'!$E:$E)*J881</f>
        <v>329559.17723758717</v>
      </c>
      <c r="V881" s="73">
        <f>SUMIF('Avoided Costs 2013-2021'!$A:$A,'2013 Actuals'!T881&amp;'2013 Actuals'!S881,'Avoided Costs 2013-2021'!$K:$K)*N881</f>
        <v>151695.79876877734</v>
      </c>
      <c r="W881" s="73">
        <f>SUMIF('Avoided Costs 2013-2021'!$A:$A,'2013 Actuals'!T881&amp;'2013 Actuals'!S881,'Avoided Costs 2013-2021'!$M:$M)*R881</f>
        <v>0</v>
      </c>
      <c r="X881" s="73">
        <f t="shared" si="330"/>
        <v>481254.97600636451</v>
      </c>
      <c r="Y881" s="83">
        <v>410990</v>
      </c>
      <c r="Z881" s="74">
        <f t="shared" si="331"/>
        <v>304132.59999999998</v>
      </c>
      <c r="AA881" s="74"/>
      <c r="AB881" s="74"/>
      <c r="AC881" s="74"/>
      <c r="AD881" s="74">
        <f t="shared" si="332"/>
        <v>304132.59999999998</v>
      </c>
      <c r="AE881" s="74">
        <f t="shared" si="333"/>
        <v>177122.37600636453</v>
      </c>
      <c r="AF881" s="52">
        <f t="shared" si="334"/>
        <v>2653730.872</v>
      </c>
      <c r="AG881" s="52">
        <f t="shared" si="335"/>
        <v>3586122.8000000003</v>
      </c>
    </row>
    <row r="882" spans="1:33" s="21" customFormat="1" x14ac:dyDescent="0.2">
      <c r="A882" s="116" t="s">
        <v>1040</v>
      </c>
      <c r="B882" s="116"/>
      <c r="C882" s="116"/>
      <c r="D882" s="151">
        <v>1</v>
      </c>
      <c r="E882" s="152"/>
      <c r="F882" s="153">
        <v>0.26</v>
      </c>
      <c r="G882" s="153"/>
      <c r="H882" s="52">
        <v>13295</v>
      </c>
      <c r="I882" s="52">
        <f t="shared" si="324"/>
        <v>11752.78</v>
      </c>
      <c r="J882" s="52">
        <f t="shared" si="325"/>
        <v>8697.0572000000011</v>
      </c>
      <c r="K882" s="152"/>
      <c r="L882" s="151">
        <v>33555</v>
      </c>
      <c r="M882" s="55">
        <f t="shared" si="326"/>
        <v>33555</v>
      </c>
      <c r="N882" s="55">
        <f t="shared" si="327"/>
        <v>24830.7</v>
      </c>
      <c r="O882" s="154"/>
      <c r="P882" s="151">
        <v>0</v>
      </c>
      <c r="Q882" s="55">
        <f t="shared" si="328"/>
        <v>0</v>
      </c>
      <c r="R882" s="65">
        <f t="shared" si="329"/>
        <v>0</v>
      </c>
      <c r="S882" s="129">
        <v>25</v>
      </c>
      <c r="T882" s="123" t="s">
        <v>1217</v>
      </c>
      <c r="U882" s="73">
        <f>SUMIF('Avoided Costs 2013-2021'!$A:$A,'2013 Actuals'!T882&amp;'2013 Actuals'!S882,'Avoided Costs 2013-2021'!$E:$E)*J882</f>
        <v>27001.560759815377</v>
      </c>
      <c r="V882" s="73">
        <f>SUMIF('Avoided Costs 2013-2021'!$A:$A,'2013 Actuals'!T882&amp;'2013 Actuals'!S882,'Avoided Costs 2013-2021'!$K:$K)*N882</f>
        <v>35410.988400892718</v>
      </c>
      <c r="W882" s="73">
        <f>SUMIF('Avoided Costs 2013-2021'!$A:$A,'2013 Actuals'!T882&amp;'2013 Actuals'!S882,'Avoided Costs 2013-2021'!$M:$M)*R882</f>
        <v>0</v>
      </c>
      <c r="X882" s="73">
        <f t="shared" si="330"/>
        <v>62412.549160708091</v>
      </c>
      <c r="Y882" s="83">
        <v>48780</v>
      </c>
      <c r="Z882" s="74">
        <f t="shared" si="331"/>
        <v>36097.199999999997</v>
      </c>
      <c r="AA882" s="74"/>
      <c r="AB882" s="74"/>
      <c r="AC882" s="74"/>
      <c r="AD882" s="74">
        <f t="shared" si="332"/>
        <v>36097.199999999997</v>
      </c>
      <c r="AE882" s="74">
        <f t="shared" si="333"/>
        <v>26315.349160708094</v>
      </c>
      <c r="AF882" s="52">
        <f t="shared" si="334"/>
        <v>217426.43000000002</v>
      </c>
      <c r="AG882" s="52">
        <f t="shared" si="335"/>
        <v>293819.5</v>
      </c>
    </row>
    <row r="883" spans="1:33" s="21" customFormat="1" x14ac:dyDescent="0.2">
      <c r="A883" s="114" t="s">
        <v>1041</v>
      </c>
      <c r="B883" s="114"/>
      <c r="C883" s="114"/>
      <c r="D883" s="160">
        <v>1</v>
      </c>
      <c r="E883" s="161"/>
      <c r="F883" s="162">
        <v>0.26</v>
      </c>
      <c r="G883" s="162"/>
      <c r="H883" s="52">
        <v>62047</v>
      </c>
      <c r="I883" s="52">
        <f t="shared" si="324"/>
        <v>54849.548000000003</v>
      </c>
      <c r="J883" s="52">
        <f t="shared" si="325"/>
        <v>40588.665520000002</v>
      </c>
      <c r="K883" s="61"/>
      <c r="L883" s="160">
        <v>1673572</v>
      </c>
      <c r="M883" s="55">
        <f t="shared" si="326"/>
        <v>1673572</v>
      </c>
      <c r="N883" s="55">
        <f t="shared" si="327"/>
        <v>1238443.28</v>
      </c>
      <c r="O883" s="95"/>
      <c r="P883" s="160">
        <v>0</v>
      </c>
      <c r="Q883" s="55">
        <f t="shared" si="328"/>
        <v>0</v>
      </c>
      <c r="R883" s="65">
        <f t="shared" si="329"/>
        <v>0</v>
      </c>
      <c r="S883" s="118">
        <v>25</v>
      </c>
      <c r="T883" s="121" t="s">
        <v>1217</v>
      </c>
      <c r="U883" s="73">
        <f>SUMIF('Avoided Costs 2013-2021'!$A:$A,'2013 Actuals'!T883&amp;'2013 Actuals'!S883,'Avoided Costs 2013-2021'!$E:$E)*J883</f>
        <v>126014.73038467579</v>
      </c>
      <c r="V883" s="73">
        <f>SUMIF('Avoided Costs 2013-2021'!$A:$A,'2013 Actuals'!T883&amp;'2013 Actuals'!S883,'Avoided Costs 2013-2021'!$K:$K)*N883</f>
        <v>1766140.3272257138</v>
      </c>
      <c r="W883" s="73">
        <f>SUMIF('Avoided Costs 2013-2021'!$A:$A,'2013 Actuals'!T883&amp;'2013 Actuals'!S883,'Avoided Costs 2013-2021'!$M:$M)*R883</f>
        <v>0</v>
      </c>
      <c r="X883" s="73">
        <f t="shared" si="330"/>
        <v>1892155.0576103895</v>
      </c>
      <c r="Y883" s="83">
        <v>1371000</v>
      </c>
      <c r="Z883" s="74">
        <f t="shared" si="331"/>
        <v>1014540</v>
      </c>
      <c r="AA883" s="74"/>
      <c r="AB883" s="74"/>
      <c r="AC883" s="74"/>
      <c r="AD883" s="74">
        <f t="shared" si="332"/>
        <v>1014540</v>
      </c>
      <c r="AE883" s="74">
        <f t="shared" si="333"/>
        <v>877615.05761038954</v>
      </c>
      <c r="AF883" s="52">
        <f t="shared" si="334"/>
        <v>1014716.638</v>
      </c>
      <c r="AG883" s="52">
        <f t="shared" si="335"/>
        <v>1371238.7</v>
      </c>
    </row>
    <row r="884" spans="1:33" s="21" customFormat="1" x14ac:dyDescent="0.2">
      <c r="A884" s="115" t="s">
        <v>1042</v>
      </c>
      <c r="B884" s="115"/>
      <c r="C884" s="115"/>
      <c r="D884" s="163">
        <v>1</v>
      </c>
      <c r="E884" s="164"/>
      <c r="F884" s="165">
        <v>0.26</v>
      </c>
      <c r="G884" s="165"/>
      <c r="H884" s="51">
        <v>78030</v>
      </c>
      <c r="I884" s="52">
        <f t="shared" si="324"/>
        <v>68978.52</v>
      </c>
      <c r="J884" s="52">
        <f t="shared" si="325"/>
        <v>51044.104800000001</v>
      </c>
      <c r="K884" s="62"/>
      <c r="L884" s="163">
        <v>181645</v>
      </c>
      <c r="M884" s="55">
        <f t="shared" si="326"/>
        <v>181645</v>
      </c>
      <c r="N884" s="55">
        <f t="shared" si="327"/>
        <v>134417.29999999999</v>
      </c>
      <c r="O884" s="96"/>
      <c r="P884" s="163">
        <v>0</v>
      </c>
      <c r="Q884" s="55">
        <f t="shared" si="328"/>
        <v>0</v>
      </c>
      <c r="R884" s="65">
        <f t="shared" si="329"/>
        <v>0</v>
      </c>
      <c r="S884" s="119">
        <v>25</v>
      </c>
      <c r="T884" s="122" t="s">
        <v>1217</v>
      </c>
      <c r="U884" s="73">
        <f>SUMIF('Avoided Costs 2013-2021'!$A:$A,'2013 Actuals'!T884&amp;'2013 Actuals'!S884,'Avoided Costs 2013-2021'!$E:$E)*J884</f>
        <v>158475.50102206797</v>
      </c>
      <c r="V884" s="73">
        <f>SUMIF('Avoided Costs 2013-2021'!$A:$A,'2013 Actuals'!T884&amp;'2013 Actuals'!S884,'Avoided Costs 2013-2021'!$K:$K)*N884</f>
        <v>191692.11706392956</v>
      </c>
      <c r="W884" s="73">
        <f>SUMIF('Avoided Costs 2013-2021'!$A:$A,'2013 Actuals'!T884&amp;'2013 Actuals'!S884,'Avoided Costs 2013-2021'!$M:$M)*R884</f>
        <v>0</v>
      </c>
      <c r="X884" s="73">
        <f t="shared" si="330"/>
        <v>350167.61808599753</v>
      </c>
      <c r="Y884" s="89">
        <v>184168.94</v>
      </c>
      <c r="Z884" s="74">
        <f t="shared" si="331"/>
        <v>136285.01560000001</v>
      </c>
      <c r="AA884" s="75"/>
      <c r="AB884" s="75"/>
      <c r="AC884" s="75"/>
      <c r="AD884" s="74">
        <f t="shared" si="332"/>
        <v>136285.01560000001</v>
      </c>
      <c r="AE884" s="74">
        <f t="shared" si="333"/>
        <v>213882.60248599752</v>
      </c>
      <c r="AF884" s="52">
        <f t="shared" si="334"/>
        <v>1276102.6200000001</v>
      </c>
      <c r="AG884" s="52">
        <f t="shared" si="335"/>
        <v>1724463</v>
      </c>
    </row>
    <row r="885" spans="1:33" s="21" customFormat="1" x14ac:dyDescent="0.2">
      <c r="A885" s="116" t="s">
        <v>1043</v>
      </c>
      <c r="B885" s="116"/>
      <c r="C885" s="116"/>
      <c r="D885" s="151">
        <v>1</v>
      </c>
      <c r="E885" s="152"/>
      <c r="F885" s="153">
        <v>0.26</v>
      </c>
      <c r="G885" s="153"/>
      <c r="H885" s="52">
        <v>17069</v>
      </c>
      <c r="I885" s="52">
        <f t="shared" si="324"/>
        <v>15088.996000000001</v>
      </c>
      <c r="J885" s="52">
        <f t="shared" si="325"/>
        <v>11165.857040000001</v>
      </c>
      <c r="K885" s="152"/>
      <c r="L885" s="151">
        <v>500656</v>
      </c>
      <c r="M885" s="55">
        <f t="shared" si="326"/>
        <v>500656</v>
      </c>
      <c r="N885" s="55">
        <f t="shared" si="327"/>
        <v>370485.44</v>
      </c>
      <c r="O885" s="154"/>
      <c r="P885" s="151">
        <v>0</v>
      </c>
      <c r="Q885" s="55">
        <f t="shared" si="328"/>
        <v>0</v>
      </c>
      <c r="R885" s="65">
        <f t="shared" si="329"/>
        <v>0</v>
      </c>
      <c r="S885" s="129">
        <v>25</v>
      </c>
      <c r="T885" s="123" t="s">
        <v>1217</v>
      </c>
      <c r="U885" s="73">
        <f>SUMIF('Avoided Costs 2013-2021'!$A:$A,'2013 Actuals'!T885&amp;'2013 Actuals'!S885,'Avoided Costs 2013-2021'!$E:$E)*J885</f>
        <v>34666.388913823896</v>
      </c>
      <c r="V885" s="73">
        <f>SUMIF('Avoided Costs 2013-2021'!$A:$A,'2013 Actuals'!T885&amp;'2013 Actuals'!S885,'Avoided Costs 2013-2021'!$K:$K)*N885</f>
        <v>528348.19874347618</v>
      </c>
      <c r="W885" s="73">
        <f>SUMIF('Avoided Costs 2013-2021'!$A:$A,'2013 Actuals'!T885&amp;'2013 Actuals'!S885,'Avoided Costs 2013-2021'!$M:$M)*R885</f>
        <v>0</v>
      </c>
      <c r="X885" s="73">
        <f t="shared" si="330"/>
        <v>563014.58765730006</v>
      </c>
      <c r="Y885" s="83">
        <v>100174.46</v>
      </c>
      <c r="Z885" s="74">
        <f t="shared" si="331"/>
        <v>74129.10040000001</v>
      </c>
      <c r="AA885" s="74"/>
      <c r="AB885" s="74"/>
      <c r="AC885" s="74"/>
      <c r="AD885" s="74">
        <f t="shared" si="332"/>
        <v>74129.10040000001</v>
      </c>
      <c r="AE885" s="74">
        <f t="shared" si="333"/>
        <v>488885.48725730006</v>
      </c>
      <c r="AF885" s="52">
        <f t="shared" si="334"/>
        <v>279146.42600000004</v>
      </c>
      <c r="AG885" s="52">
        <f t="shared" si="335"/>
        <v>377224.9</v>
      </c>
    </row>
    <row r="886" spans="1:33" s="21" customFormat="1" x14ac:dyDescent="0.2">
      <c r="A886" s="116" t="s">
        <v>1044</v>
      </c>
      <c r="B886" s="116"/>
      <c r="C886" s="116"/>
      <c r="D886" s="151">
        <v>1</v>
      </c>
      <c r="E886" s="152"/>
      <c r="F886" s="153">
        <v>0.26</v>
      </c>
      <c r="G886" s="153"/>
      <c r="H886" s="52">
        <v>166018</v>
      </c>
      <c r="I886" s="52">
        <f t="shared" si="324"/>
        <v>146759.91200000001</v>
      </c>
      <c r="J886" s="52">
        <f t="shared" si="325"/>
        <v>108602.33488000001</v>
      </c>
      <c r="K886" s="152"/>
      <c r="L886" s="151">
        <v>2440809</v>
      </c>
      <c r="M886" s="55">
        <f t="shared" si="326"/>
        <v>2440809</v>
      </c>
      <c r="N886" s="55">
        <f t="shared" si="327"/>
        <v>1806198.66</v>
      </c>
      <c r="O886" s="154"/>
      <c r="P886" s="151">
        <v>0</v>
      </c>
      <c r="Q886" s="55">
        <f t="shared" si="328"/>
        <v>0</v>
      </c>
      <c r="R886" s="65">
        <f t="shared" si="329"/>
        <v>0</v>
      </c>
      <c r="S886" s="129">
        <v>25</v>
      </c>
      <c r="T886" s="123" t="s">
        <v>1217</v>
      </c>
      <c r="U886" s="73">
        <f>SUMIF('Avoided Costs 2013-2021'!$A:$A,'2013 Actuals'!T886&amp;'2013 Actuals'!S886,'Avoided Costs 2013-2021'!$E:$E)*J886</f>
        <v>337175.2624462602</v>
      </c>
      <c r="V886" s="73">
        <f>SUMIF('Avoided Costs 2013-2021'!$A:$A,'2013 Actuals'!T886&amp;'2013 Actuals'!S886,'Avoided Costs 2013-2021'!$K:$K)*N886</f>
        <v>2575814.6084873951</v>
      </c>
      <c r="W886" s="73">
        <f>SUMIF('Avoided Costs 2013-2021'!$A:$A,'2013 Actuals'!T886&amp;'2013 Actuals'!S886,'Avoided Costs 2013-2021'!$M:$M)*R886</f>
        <v>0</v>
      </c>
      <c r="X886" s="73">
        <f t="shared" si="330"/>
        <v>2912989.8709336552</v>
      </c>
      <c r="Y886" s="83">
        <v>700162</v>
      </c>
      <c r="Z886" s="74">
        <f t="shared" si="331"/>
        <v>518119.88</v>
      </c>
      <c r="AA886" s="74"/>
      <c r="AB886" s="74"/>
      <c r="AC886" s="74"/>
      <c r="AD886" s="74">
        <f t="shared" si="332"/>
        <v>518119.88</v>
      </c>
      <c r="AE886" s="74">
        <f t="shared" si="333"/>
        <v>2394869.9909336553</v>
      </c>
      <c r="AF886" s="52">
        <f t="shared" si="334"/>
        <v>2715058.3720000004</v>
      </c>
      <c r="AG886" s="52">
        <f t="shared" si="335"/>
        <v>3668997.8000000003</v>
      </c>
    </row>
    <row r="887" spans="1:33" s="21" customFormat="1" x14ac:dyDescent="0.2">
      <c r="A887" s="116" t="s">
        <v>1045</v>
      </c>
      <c r="B887" s="116"/>
      <c r="C887" s="116"/>
      <c r="D887" s="151">
        <v>1</v>
      </c>
      <c r="E887" s="152"/>
      <c r="F887" s="153">
        <v>0.26</v>
      </c>
      <c r="G887" s="153"/>
      <c r="H887" s="52">
        <v>84965</v>
      </c>
      <c r="I887" s="52">
        <f t="shared" si="324"/>
        <v>75109.06</v>
      </c>
      <c r="J887" s="52">
        <f t="shared" si="325"/>
        <v>55580.704399999995</v>
      </c>
      <c r="K887" s="152"/>
      <c r="L887" s="151">
        <v>254906</v>
      </c>
      <c r="M887" s="55">
        <f t="shared" si="326"/>
        <v>254906</v>
      </c>
      <c r="N887" s="55">
        <f t="shared" si="327"/>
        <v>188630.44</v>
      </c>
      <c r="O887" s="154"/>
      <c r="P887" s="151">
        <v>0</v>
      </c>
      <c r="Q887" s="55">
        <f t="shared" si="328"/>
        <v>0</v>
      </c>
      <c r="R887" s="65">
        <f t="shared" si="329"/>
        <v>0</v>
      </c>
      <c r="S887" s="129">
        <v>25</v>
      </c>
      <c r="T887" s="123" t="s">
        <v>1217</v>
      </c>
      <c r="U887" s="73">
        <f>SUMIF('Avoided Costs 2013-2021'!$A:$A,'2013 Actuals'!T887&amp;'2013 Actuals'!S887,'Avoided Costs 2013-2021'!$E:$E)*J887</f>
        <v>172560.18126797391</v>
      </c>
      <c r="V887" s="73">
        <f>SUMIF('Avoided Costs 2013-2021'!$A:$A,'2013 Actuals'!T887&amp;'2013 Actuals'!S887,'Avoided Costs 2013-2021'!$K:$K)*N887</f>
        <v>269005.31692200742</v>
      </c>
      <c r="W887" s="73">
        <f>SUMIF('Avoided Costs 2013-2021'!$A:$A,'2013 Actuals'!T887&amp;'2013 Actuals'!S887,'Avoided Costs 2013-2021'!$M:$M)*R887</f>
        <v>0</v>
      </c>
      <c r="X887" s="73">
        <f t="shared" si="330"/>
        <v>441565.49818998133</v>
      </c>
      <c r="Y887" s="83">
        <v>52797</v>
      </c>
      <c r="Z887" s="74">
        <f t="shared" si="331"/>
        <v>39069.78</v>
      </c>
      <c r="AA887" s="74"/>
      <c r="AB887" s="74"/>
      <c r="AC887" s="74"/>
      <c r="AD887" s="74">
        <f t="shared" si="332"/>
        <v>39069.78</v>
      </c>
      <c r="AE887" s="74">
        <f t="shared" si="333"/>
        <v>402495.7181899813</v>
      </c>
      <c r="AF887" s="52">
        <f t="shared" si="334"/>
        <v>1389517.6099999999</v>
      </c>
      <c r="AG887" s="52">
        <f t="shared" si="335"/>
        <v>1877726.5</v>
      </c>
    </row>
    <row r="888" spans="1:33" collapsed="1" x14ac:dyDescent="0.2">
      <c r="A888" s="308" t="s">
        <v>4</v>
      </c>
      <c r="B888" s="283" t="s">
        <v>187</v>
      </c>
      <c r="C888" s="147"/>
      <c r="D888" s="284">
        <v>17</v>
      </c>
      <c r="E888" s="142"/>
      <c r="F888" s="143"/>
      <c r="G888" s="144"/>
      <c r="H888" s="284">
        <v>1169680</v>
      </c>
      <c r="I888" s="284">
        <f>SUM(I871:I887)</f>
        <v>1109538.456</v>
      </c>
      <c r="J888" s="284">
        <f>SUM(J871:J887)</f>
        <v>821058.45744000014</v>
      </c>
      <c r="K888" s="142"/>
      <c r="L888" s="284">
        <v>9920010</v>
      </c>
      <c r="M888" s="284">
        <f>SUM(M871:M887)</f>
        <v>9920010</v>
      </c>
      <c r="N888" s="284">
        <f>SUM(N871:N887)</f>
        <v>7340807.4000000004</v>
      </c>
      <c r="O888" s="145"/>
      <c r="P888" s="284">
        <v>0</v>
      </c>
      <c r="Q888" s="284">
        <f>SUM(Q871:Q887)</f>
        <v>0</v>
      </c>
      <c r="R888" s="284">
        <f>SUM(R871:R887)</f>
        <v>0</v>
      </c>
      <c r="S888" s="146"/>
      <c r="T888" s="325" t="s">
        <v>215</v>
      </c>
      <c r="U888" s="286">
        <f>SUM(U871:U887)</f>
        <v>2549121.9979473571</v>
      </c>
      <c r="V888" s="286">
        <f>SUM(V871:V887)</f>
        <v>10468703.890530167</v>
      </c>
      <c r="W888" s="286">
        <f>SUM(W871:W887)</f>
        <v>0</v>
      </c>
      <c r="X888" s="286">
        <f>SUM(X871:X887)</f>
        <v>13017825.888477523</v>
      </c>
      <c r="Y888" s="148"/>
      <c r="Z888" s="286">
        <f t="shared" ref="Z888" si="336">SUM(Z871:Z887)</f>
        <v>3944195.1233999999</v>
      </c>
      <c r="AA888" s="286">
        <v>137306.84</v>
      </c>
      <c r="AB888" s="286">
        <v>1222.3</v>
      </c>
      <c r="AC888" s="286">
        <v>138529.14000000001</v>
      </c>
      <c r="AD888" s="286">
        <f t="shared" si="332"/>
        <v>3945417.4233999997</v>
      </c>
      <c r="AE888" s="286">
        <f t="shared" si="333"/>
        <v>9072408.4650775231</v>
      </c>
      <c r="AF888" s="287">
        <f>SUM(AF871:AF887)</f>
        <v>20526461.436000001</v>
      </c>
      <c r="AG888" s="287">
        <f>SUM(AG871:AG887)</f>
        <v>27738461.399999999</v>
      </c>
    </row>
    <row r="889" spans="1:33" x14ac:dyDescent="0.2">
      <c r="A889" s="18"/>
      <c r="B889" s="17"/>
      <c r="C889" s="16"/>
      <c r="D889" s="44"/>
      <c r="E889" s="58"/>
      <c r="F889" s="5"/>
      <c r="G889" s="6"/>
      <c r="H889" s="44"/>
      <c r="I889" s="44"/>
      <c r="J889" s="44"/>
      <c r="K889" s="58"/>
      <c r="L889" s="44"/>
      <c r="M889" s="44"/>
      <c r="N889" s="44"/>
      <c r="O889" s="92"/>
      <c r="P889" s="44"/>
      <c r="Q889" s="44"/>
      <c r="R889" s="44"/>
      <c r="S889" s="4"/>
      <c r="T889" s="111"/>
      <c r="U889" s="72"/>
      <c r="V889" s="72"/>
      <c r="W889" s="72"/>
      <c r="X889" s="72"/>
      <c r="Y889" s="84"/>
      <c r="Z889" s="72"/>
      <c r="AA889" s="72"/>
      <c r="AB889" s="72"/>
      <c r="AC889" s="72"/>
      <c r="AD889" s="72"/>
      <c r="AE889" s="72"/>
      <c r="AF889" s="79"/>
      <c r="AG889" s="79"/>
    </row>
    <row r="890" spans="1:33" ht="13.5" thickBot="1" x14ac:dyDescent="0.25">
      <c r="A890" s="327" t="s">
        <v>135</v>
      </c>
      <c r="B890" s="26"/>
      <c r="C890" s="27"/>
      <c r="D890" s="328">
        <f>D888+D868+D484+D36+D490</f>
        <v>17796</v>
      </c>
      <c r="E890" s="90"/>
      <c r="F890" s="29"/>
      <c r="G890" s="30"/>
      <c r="H890" s="328">
        <f>H888+H868+H484+H36+H490</f>
        <v>38020243</v>
      </c>
      <c r="I890" s="328">
        <f>I888+I868+I484+I36+I490</f>
        <v>34765830.684</v>
      </c>
      <c r="J890" s="328">
        <f>J888+J868+J484+J36+J490</f>
        <v>29753147.334740002</v>
      </c>
      <c r="K890" s="90"/>
      <c r="L890" s="328">
        <f>L888+L868+L484+L36+L490</f>
        <v>22537535</v>
      </c>
      <c r="M890" s="328">
        <f>M888+M868+M484+M36+M490</f>
        <v>22537535</v>
      </c>
      <c r="N890" s="328">
        <f>N888+N868+N484+N36+N490</f>
        <v>18311487.690000001</v>
      </c>
      <c r="O890" s="101"/>
      <c r="P890" s="328">
        <f>P888+P868+P484+P36+P490</f>
        <v>335718</v>
      </c>
      <c r="Q890" s="328">
        <f>Q888+Q868+Q484+Q36+Q490</f>
        <v>335718</v>
      </c>
      <c r="R890" s="328">
        <f>R888+R868+R484+R36+R490</f>
        <v>296216.673335</v>
      </c>
      <c r="S890" s="28"/>
      <c r="T890" s="27"/>
      <c r="U890" s="329">
        <f>U888+U868+U484+U36+U490</f>
        <v>68156082.507100046</v>
      </c>
      <c r="V890" s="329">
        <f>V888+V868+V484+V36+V490</f>
        <v>22028178.522258066</v>
      </c>
      <c r="W890" s="329">
        <f>W888+W868+W484+W36+W490</f>
        <v>6684489.1472444329</v>
      </c>
      <c r="X890" s="329">
        <f>X888+X868+X484+X36+X490</f>
        <v>96868750.176602542</v>
      </c>
      <c r="Y890" s="85"/>
      <c r="Z890" s="329">
        <f>Z888+Z868+Z484+Z36+Z490</f>
        <v>35485776.914114006</v>
      </c>
      <c r="AA890" s="329">
        <f t="shared" ref="AA890:AG890" si="337">AA888+AA868+AA484+AA36+AA490</f>
        <v>5278822.75</v>
      </c>
      <c r="AB890" s="329">
        <f t="shared" si="337"/>
        <v>1174681.73</v>
      </c>
      <c r="AC890" s="329">
        <f t="shared" si="337"/>
        <v>6453504.4800000004</v>
      </c>
      <c r="AD890" s="329">
        <f t="shared" si="337"/>
        <v>36660458.644114003</v>
      </c>
      <c r="AE890" s="330">
        <f t="shared" si="337"/>
        <v>60208291.532488547</v>
      </c>
      <c r="AF890" s="328">
        <f t="shared" si="337"/>
        <v>505133591.02295375</v>
      </c>
      <c r="AG890" s="328">
        <f t="shared" si="337"/>
        <v>599500376.44207597</v>
      </c>
    </row>
    <row r="891" spans="1:33" ht="13.5" thickTop="1" x14ac:dyDescent="0.2">
      <c r="A891" s="150"/>
      <c r="AF891" s="79"/>
      <c r="AG891" s="79"/>
    </row>
    <row r="892" spans="1:33" s="17" customFormat="1" x14ac:dyDescent="0.2">
      <c r="A892" s="150" t="s">
        <v>1186</v>
      </c>
      <c r="B892" s="2" t="s">
        <v>24</v>
      </c>
      <c r="C892" s="16"/>
      <c r="D892" s="44"/>
      <c r="E892" s="58"/>
      <c r="F892" s="5"/>
      <c r="G892" s="6"/>
      <c r="H892" s="13">
        <v>1.069</v>
      </c>
      <c r="I892" s="290"/>
      <c r="J892" s="290"/>
      <c r="K892" s="331"/>
      <c r="L892" s="290">
        <v>1</v>
      </c>
      <c r="M892" s="290"/>
      <c r="N892" s="290"/>
      <c r="O892" s="332"/>
      <c r="P892" s="333">
        <v>1</v>
      </c>
      <c r="Q892" s="48"/>
      <c r="R892" s="44"/>
      <c r="S892" s="4"/>
      <c r="T892" s="16"/>
      <c r="U892" s="72"/>
      <c r="V892" s="72"/>
      <c r="W892" s="72"/>
      <c r="X892" s="72"/>
      <c r="Y892" s="82"/>
      <c r="Z892" s="72"/>
      <c r="AA892" s="72"/>
      <c r="AB892" s="72"/>
      <c r="AC892" s="72"/>
      <c r="AD892" s="72"/>
      <c r="AE892" s="72"/>
      <c r="AF892" s="79"/>
      <c r="AG892" s="79"/>
    </row>
    <row r="893" spans="1:33" s="21" customFormat="1" x14ac:dyDescent="0.2">
      <c r="A893" s="114" t="s">
        <v>1046</v>
      </c>
      <c r="B893" s="114"/>
      <c r="C893" s="114"/>
      <c r="D893" s="160">
        <v>1</v>
      </c>
      <c r="E893" s="161"/>
      <c r="F893" s="162">
        <v>0.4</v>
      </c>
      <c r="G893" s="162"/>
      <c r="H893" s="52">
        <v>41736</v>
      </c>
      <c r="I893" s="52">
        <f>+$H$892*H893</f>
        <v>44615.784</v>
      </c>
      <c r="J893" s="52">
        <f>I893*(1-F893)</f>
        <v>26769.470399999998</v>
      </c>
      <c r="K893" s="61"/>
      <c r="L893" s="160">
        <v>0</v>
      </c>
      <c r="M893" s="55">
        <f>+$L$892*L893</f>
        <v>0</v>
      </c>
      <c r="N893" s="55">
        <f>M893*(1-F893)</f>
        <v>0</v>
      </c>
      <c r="O893" s="95"/>
      <c r="P893" s="160">
        <v>0</v>
      </c>
      <c r="Q893" s="55">
        <f>+P893*$P$892</f>
        <v>0</v>
      </c>
      <c r="R893" s="65">
        <f>Q893*(1-F893)</f>
        <v>0</v>
      </c>
      <c r="S893" s="118">
        <v>15</v>
      </c>
      <c r="T893" s="121" t="s">
        <v>1047</v>
      </c>
      <c r="U893" s="73">
        <f>SUMIF('Avoided Costs 2013-2021'!$A:$A,'2013 Actuals'!T893&amp;'2013 Actuals'!S893,'Avoided Costs 2013-2021'!$E:$E)*J893</f>
        <v>56491.678490835649</v>
      </c>
      <c r="V893" s="73">
        <f>SUMIF('Avoided Costs 2013-2021'!$A:$A,'2013 Actuals'!T893&amp;'2013 Actuals'!S893,'Avoided Costs 2013-2021'!$K:$K)*N893</f>
        <v>0</v>
      </c>
      <c r="W893" s="73">
        <f>SUMIF('Avoided Costs 2013-2021'!$A:$A,'2013 Actuals'!T893&amp;'2013 Actuals'!S893,'Avoided Costs 2013-2021'!$M:$M)*R893</f>
        <v>0</v>
      </c>
      <c r="X893" s="73">
        <f>SUM(U893:W893)</f>
        <v>56491.678490835649</v>
      </c>
      <c r="Y893" s="83">
        <v>9657</v>
      </c>
      <c r="Z893" s="74">
        <f>Y893*(1-F893)</f>
        <v>5794.2</v>
      </c>
      <c r="AA893" s="74"/>
      <c r="AB893" s="74"/>
      <c r="AC893" s="74"/>
      <c r="AD893" s="74">
        <f t="shared" ref="AD893:AD898" si="338">Z893+AB893</f>
        <v>5794.2</v>
      </c>
      <c r="AE893" s="74">
        <f t="shared" ref="AE893:AE898" si="339">X893-AD893</f>
        <v>50697.478490835652</v>
      </c>
      <c r="AF893" s="52">
        <f>J893*S893</f>
        <v>401542.05599999998</v>
      </c>
      <c r="AG893" s="52">
        <f>(I893*S893)</f>
        <v>669236.76</v>
      </c>
    </row>
    <row r="894" spans="1:33" s="21" customFormat="1" x14ac:dyDescent="0.2">
      <c r="A894" s="114" t="s">
        <v>1048</v>
      </c>
      <c r="B894" s="114"/>
      <c r="C894" s="114"/>
      <c r="D894" s="160">
        <v>1</v>
      </c>
      <c r="E894" s="161"/>
      <c r="F894" s="162">
        <v>0.4</v>
      </c>
      <c r="G894" s="162"/>
      <c r="H894" s="52">
        <v>32554</v>
      </c>
      <c r="I894" s="52">
        <f>+$H$892*H894</f>
        <v>34800.225999999995</v>
      </c>
      <c r="J894" s="52">
        <f>I894*(1-F894)</f>
        <v>20880.135599999998</v>
      </c>
      <c r="K894" s="61"/>
      <c r="L894" s="160">
        <v>0</v>
      </c>
      <c r="M894" s="55">
        <f>+$L$892*L894</f>
        <v>0</v>
      </c>
      <c r="N894" s="55">
        <f>M894*(1-F894)</f>
        <v>0</v>
      </c>
      <c r="O894" s="95"/>
      <c r="P894" s="160">
        <v>0</v>
      </c>
      <c r="Q894" s="55">
        <f>+P894*$P$892</f>
        <v>0</v>
      </c>
      <c r="R894" s="65">
        <f>Q894*(1-F894)</f>
        <v>0</v>
      </c>
      <c r="S894" s="118">
        <v>15</v>
      </c>
      <c r="T894" s="121" t="s">
        <v>1047</v>
      </c>
      <c r="U894" s="73">
        <f>SUMIF('Avoided Costs 2013-2021'!$A:$A,'2013 Actuals'!T894&amp;'2013 Actuals'!S894,'Avoided Costs 2013-2021'!$E:$E)*J894</f>
        <v>44063.400939013409</v>
      </c>
      <c r="V894" s="73">
        <f>SUMIF('Avoided Costs 2013-2021'!$A:$A,'2013 Actuals'!T894&amp;'2013 Actuals'!S894,'Avoided Costs 2013-2021'!$K:$K)*N894</f>
        <v>0</v>
      </c>
      <c r="W894" s="73">
        <f>SUMIF('Avoided Costs 2013-2021'!$A:$A,'2013 Actuals'!T894&amp;'2013 Actuals'!S894,'Avoided Costs 2013-2021'!$M:$M)*R894</f>
        <v>0</v>
      </c>
      <c r="X894" s="73">
        <f>SUM(U894:W894)</f>
        <v>44063.400939013409</v>
      </c>
      <c r="Y894" s="83">
        <v>6998</v>
      </c>
      <c r="Z894" s="74">
        <f>Y894*(1-F894)</f>
        <v>4198.8</v>
      </c>
      <c r="AA894" s="74"/>
      <c r="AB894" s="74"/>
      <c r="AC894" s="74"/>
      <c r="AD894" s="74">
        <f t="shared" si="338"/>
        <v>4198.8</v>
      </c>
      <c r="AE894" s="74">
        <f t="shared" si="339"/>
        <v>39864.600939013406</v>
      </c>
      <c r="AF894" s="52">
        <f>J894*S894</f>
        <v>313202.03399999999</v>
      </c>
      <c r="AG894" s="52">
        <f>(I894*S894)</f>
        <v>522003.3899999999</v>
      </c>
    </row>
    <row r="895" spans="1:33" s="21" customFormat="1" x14ac:dyDescent="0.2">
      <c r="A895" s="114" t="s">
        <v>1049</v>
      </c>
      <c r="B895" s="114"/>
      <c r="C895" s="114"/>
      <c r="D895" s="160">
        <v>1</v>
      </c>
      <c r="E895" s="161"/>
      <c r="F895" s="162">
        <v>0.4</v>
      </c>
      <c r="G895" s="162"/>
      <c r="H895" s="52">
        <v>15377</v>
      </c>
      <c r="I895" s="52">
        <f>+$H$892*H895</f>
        <v>16438.012999999999</v>
      </c>
      <c r="J895" s="52">
        <f>I895*(1-F895)</f>
        <v>9862.8077999999987</v>
      </c>
      <c r="K895" s="61"/>
      <c r="L895" s="160">
        <v>0</v>
      </c>
      <c r="M895" s="55">
        <f>+$L$892*L895</f>
        <v>0</v>
      </c>
      <c r="N895" s="55">
        <f>M895*(1-F895)</f>
        <v>0</v>
      </c>
      <c r="O895" s="95"/>
      <c r="P895" s="160">
        <v>0</v>
      </c>
      <c r="Q895" s="55">
        <f>+P895*$P$892</f>
        <v>0</v>
      </c>
      <c r="R895" s="65">
        <f>Q895*(1-F895)</f>
        <v>0</v>
      </c>
      <c r="S895" s="118">
        <v>10</v>
      </c>
      <c r="T895" s="121" t="s">
        <v>1047</v>
      </c>
      <c r="U895" s="73">
        <f>SUMIF('Avoided Costs 2013-2021'!$A:$A,'2013 Actuals'!T895&amp;'2013 Actuals'!S895,'Avoided Costs 2013-2021'!$E:$E)*J895</f>
        <v>14838.207855531895</v>
      </c>
      <c r="V895" s="73">
        <f>SUMIF('Avoided Costs 2013-2021'!$A:$A,'2013 Actuals'!T895&amp;'2013 Actuals'!S895,'Avoided Costs 2013-2021'!$K:$K)*N895</f>
        <v>0</v>
      </c>
      <c r="W895" s="73">
        <f>SUMIF('Avoided Costs 2013-2021'!$A:$A,'2013 Actuals'!T895&amp;'2013 Actuals'!S895,'Avoided Costs 2013-2021'!$M:$M)*R895</f>
        <v>0</v>
      </c>
      <c r="X895" s="73">
        <f>SUM(U895:W895)</f>
        <v>14838.207855531895</v>
      </c>
      <c r="Y895" s="83">
        <v>15388</v>
      </c>
      <c r="Z895" s="74">
        <f>Y895*(1-F895)</f>
        <v>9232.7999999999993</v>
      </c>
      <c r="AA895" s="74"/>
      <c r="AB895" s="74"/>
      <c r="AC895" s="74"/>
      <c r="AD895" s="74">
        <f t="shared" si="338"/>
        <v>9232.7999999999993</v>
      </c>
      <c r="AE895" s="74">
        <f t="shared" si="339"/>
        <v>5605.4078555318956</v>
      </c>
      <c r="AF895" s="52">
        <f>J895*S895</f>
        <v>98628.07799999998</v>
      </c>
      <c r="AG895" s="52">
        <f>(I895*S895)</f>
        <v>164380.13</v>
      </c>
    </row>
    <row r="896" spans="1:33" s="21" customFormat="1" x14ac:dyDescent="0.2">
      <c r="A896" s="114" t="s">
        <v>1050</v>
      </c>
      <c r="B896" s="114"/>
      <c r="C896" s="114"/>
      <c r="D896" s="160">
        <v>1</v>
      </c>
      <c r="E896" s="161"/>
      <c r="F896" s="162">
        <v>0.4</v>
      </c>
      <c r="G896" s="162"/>
      <c r="H896" s="52">
        <v>52622</v>
      </c>
      <c r="I896" s="52">
        <f>+$H$892*H896</f>
        <v>56252.917999999998</v>
      </c>
      <c r="J896" s="52">
        <f>I896*(1-F896)</f>
        <v>33751.750799999994</v>
      </c>
      <c r="K896" s="61"/>
      <c r="L896" s="160">
        <v>0</v>
      </c>
      <c r="M896" s="55">
        <f>+$L$892*L896</f>
        <v>0</v>
      </c>
      <c r="N896" s="55">
        <f>M896*(1-F896)</f>
        <v>0</v>
      </c>
      <c r="O896" s="95"/>
      <c r="P896" s="160">
        <v>0</v>
      </c>
      <c r="Q896" s="55">
        <f>+P896*$P$892</f>
        <v>0</v>
      </c>
      <c r="R896" s="65">
        <f>Q896*(1-F896)</f>
        <v>0</v>
      </c>
      <c r="S896" s="118">
        <v>10</v>
      </c>
      <c r="T896" s="121" t="s">
        <v>1047</v>
      </c>
      <c r="U896" s="73">
        <f>SUMIF('Avoided Costs 2013-2021'!$A:$A,'2013 Actuals'!T896&amp;'2013 Actuals'!S896,'Avoided Costs 2013-2021'!$E:$E)*J896</f>
        <v>50778.186497613278</v>
      </c>
      <c r="V896" s="73">
        <f>SUMIF('Avoided Costs 2013-2021'!$A:$A,'2013 Actuals'!T896&amp;'2013 Actuals'!S896,'Avoided Costs 2013-2021'!$K:$K)*N896</f>
        <v>0</v>
      </c>
      <c r="W896" s="73">
        <f>SUMIF('Avoided Costs 2013-2021'!$A:$A,'2013 Actuals'!T896&amp;'2013 Actuals'!S896,'Avoided Costs 2013-2021'!$M:$M)*R896</f>
        <v>0</v>
      </c>
      <c r="X896" s="73">
        <f>SUM(U896:W896)</f>
        <v>50778.186497613278</v>
      </c>
      <c r="Y896" s="83">
        <v>7777</v>
      </c>
      <c r="Z896" s="74">
        <f>Y896*(1-F896)</f>
        <v>4666.2</v>
      </c>
      <c r="AA896" s="74"/>
      <c r="AB896" s="74"/>
      <c r="AC896" s="74"/>
      <c r="AD896" s="74">
        <f t="shared" si="338"/>
        <v>4666.2</v>
      </c>
      <c r="AE896" s="74">
        <f t="shared" si="339"/>
        <v>46111.986497613281</v>
      </c>
      <c r="AF896" s="52">
        <f>J896*S896</f>
        <v>337517.50799999991</v>
      </c>
      <c r="AG896" s="52">
        <f>(I896*S896)</f>
        <v>562529.17999999993</v>
      </c>
    </row>
    <row r="897" spans="1:33" s="21" customFormat="1" x14ac:dyDescent="0.2">
      <c r="A897" s="114" t="s">
        <v>1051</v>
      </c>
      <c r="B897" s="114"/>
      <c r="C897" s="114"/>
      <c r="D897" s="160">
        <v>1</v>
      </c>
      <c r="E897" s="161"/>
      <c r="F897" s="162">
        <v>0.4</v>
      </c>
      <c r="G897" s="162"/>
      <c r="H897" s="52">
        <v>354</v>
      </c>
      <c r="I897" s="52">
        <f>+$H$892*H897</f>
        <v>378.42599999999999</v>
      </c>
      <c r="J897" s="52">
        <f>I897*(1-F897)</f>
        <v>227.0556</v>
      </c>
      <c r="K897" s="61"/>
      <c r="L897" s="160">
        <v>0</v>
      </c>
      <c r="M897" s="55">
        <f>+$L$892*L897</f>
        <v>0</v>
      </c>
      <c r="N897" s="55">
        <f>M897*(1-F897)</f>
        <v>0</v>
      </c>
      <c r="O897" s="95"/>
      <c r="P897" s="160">
        <v>0</v>
      </c>
      <c r="Q897" s="55">
        <f>+P897*$P$892</f>
        <v>0</v>
      </c>
      <c r="R897" s="65">
        <f>Q897*(1-F897)</f>
        <v>0</v>
      </c>
      <c r="S897" s="118">
        <v>10</v>
      </c>
      <c r="T897" s="121" t="s">
        <v>1047</v>
      </c>
      <c r="U897" s="73">
        <f>SUMIF('Avoided Costs 2013-2021'!$A:$A,'2013 Actuals'!T897&amp;'2013 Actuals'!S897,'Avoided Costs 2013-2021'!$E:$E)*J897</f>
        <v>341.59625290097495</v>
      </c>
      <c r="V897" s="73">
        <f>SUMIF('Avoided Costs 2013-2021'!$A:$A,'2013 Actuals'!T897&amp;'2013 Actuals'!S897,'Avoided Costs 2013-2021'!$K:$K)*N897</f>
        <v>0</v>
      </c>
      <c r="W897" s="73">
        <f>SUMIF('Avoided Costs 2013-2021'!$A:$A,'2013 Actuals'!T897&amp;'2013 Actuals'!S897,'Avoided Costs 2013-2021'!$M:$M)*R897</f>
        <v>0</v>
      </c>
      <c r="X897" s="73">
        <f>SUM(U897:W897)</f>
        <v>341.59625290097495</v>
      </c>
      <c r="Y897" s="83">
        <v>5366</v>
      </c>
      <c r="Z897" s="74">
        <f>Y897*(1-F897)</f>
        <v>3219.6</v>
      </c>
      <c r="AA897" s="74"/>
      <c r="AB897" s="74"/>
      <c r="AC897" s="74"/>
      <c r="AD897" s="74">
        <f t="shared" si="338"/>
        <v>3219.6</v>
      </c>
      <c r="AE897" s="74">
        <f t="shared" si="339"/>
        <v>-2878.0037470990251</v>
      </c>
      <c r="AF897" s="52">
        <f>J897*S897</f>
        <v>2270.556</v>
      </c>
      <c r="AG897" s="52">
        <f>(I897*S897)</f>
        <v>3784.2599999999998</v>
      </c>
    </row>
    <row r="898" spans="1:33" s="17" customFormat="1" collapsed="1" x14ac:dyDescent="0.2">
      <c r="A898" s="166" t="s">
        <v>4</v>
      </c>
      <c r="B898" s="166" t="s">
        <v>1185</v>
      </c>
      <c r="C898" s="125"/>
      <c r="D898" s="65">
        <f>SUM(D893:D897)</f>
        <v>5</v>
      </c>
      <c r="E898" s="291"/>
      <c r="F898" s="168"/>
      <c r="G898" s="292"/>
      <c r="H898" s="52">
        <v>142643</v>
      </c>
      <c r="I898" s="52">
        <f>SUM(I893:I897)</f>
        <v>152485.367</v>
      </c>
      <c r="J898" s="52">
        <f>SUM(J893:J897)</f>
        <v>91491.220199999996</v>
      </c>
      <c r="K898" s="167"/>
      <c r="L898" s="52">
        <v>0</v>
      </c>
      <c r="M898" s="52">
        <f>SUM(M893:M897)</f>
        <v>0</v>
      </c>
      <c r="N898" s="52">
        <f>SUM(N893:N897)</f>
        <v>0</v>
      </c>
      <c r="O898" s="169"/>
      <c r="P898" s="52">
        <v>0</v>
      </c>
      <c r="Q898" s="52">
        <f>SUM(Q893:Q897)</f>
        <v>0</v>
      </c>
      <c r="R898" s="52">
        <f>SUM(R893:R897)</f>
        <v>0</v>
      </c>
      <c r="S898" s="127"/>
      <c r="T898" s="125" t="s">
        <v>1047</v>
      </c>
      <c r="U898" s="74">
        <f>SUM(U893:U897)</f>
        <v>166513.07003589519</v>
      </c>
      <c r="V898" s="74">
        <f>SUM(V893:V897)</f>
        <v>0</v>
      </c>
      <c r="W898" s="74">
        <f>SUM(W893:W897)</f>
        <v>0</v>
      </c>
      <c r="X898" s="74">
        <f>SUM(X893:X897)</f>
        <v>166513.07003589519</v>
      </c>
      <c r="Y898" s="74">
        <v>45186</v>
      </c>
      <c r="Z898" s="74">
        <f t="shared" ref="Z898" si="340">SUM(Z893:Z897)</f>
        <v>27111.599999999999</v>
      </c>
      <c r="AA898" s="74">
        <v>15959.6</v>
      </c>
      <c r="AB898" s="74">
        <v>0</v>
      </c>
      <c r="AC898" s="74">
        <f>AA898+AB898</f>
        <v>15959.6</v>
      </c>
      <c r="AD898" s="74">
        <f t="shared" si="338"/>
        <v>27111.599999999999</v>
      </c>
      <c r="AE898" s="293">
        <f t="shared" si="339"/>
        <v>139401.47003589518</v>
      </c>
      <c r="AF898" s="52">
        <f>SUM(AF893:AF897)</f>
        <v>1153160.2320000001</v>
      </c>
      <c r="AG898" s="52">
        <f>SUM(AG893:AG897)</f>
        <v>1921933.7199999997</v>
      </c>
    </row>
    <row r="899" spans="1:33" s="17" customFormat="1" x14ac:dyDescent="0.2">
      <c r="A899" s="18"/>
      <c r="C899" s="16"/>
      <c r="D899" s="44"/>
      <c r="E899" s="58"/>
      <c r="F899" s="5"/>
      <c r="G899" s="6"/>
      <c r="H899" s="44"/>
      <c r="I899" s="44"/>
      <c r="J899" s="44"/>
      <c r="K899" s="58"/>
      <c r="L899" s="44"/>
      <c r="M899" s="44"/>
      <c r="N899" s="44"/>
      <c r="O899" s="92"/>
      <c r="P899" s="44"/>
      <c r="Q899" s="44"/>
      <c r="R899" s="44"/>
      <c r="S899" s="4"/>
      <c r="T899" s="16"/>
      <c r="U899" s="72"/>
      <c r="V899" s="72"/>
      <c r="W899" s="72"/>
      <c r="X899" s="72"/>
      <c r="Y899" s="68"/>
      <c r="Z899" s="72"/>
      <c r="AA899" s="72"/>
      <c r="AB899" s="72"/>
      <c r="AC899" s="72"/>
      <c r="AD899" s="72"/>
      <c r="AE899" s="72"/>
      <c r="AF899" s="79"/>
      <c r="AG899" s="79"/>
    </row>
    <row r="900" spans="1:33" s="17" customFormat="1" x14ac:dyDescent="0.2">
      <c r="A900" s="150" t="s">
        <v>1188</v>
      </c>
      <c r="B900" s="2" t="s">
        <v>24</v>
      </c>
      <c r="C900" s="16"/>
      <c r="D900" s="44"/>
      <c r="E900" s="58"/>
      <c r="F900" s="5"/>
      <c r="G900" s="6"/>
      <c r="H900" s="13"/>
      <c r="I900" s="48"/>
      <c r="J900" s="48"/>
      <c r="K900" s="57"/>
      <c r="L900" s="48">
        <v>1</v>
      </c>
      <c r="M900" s="48"/>
      <c r="N900" s="48"/>
      <c r="O900" s="92"/>
      <c r="P900" s="334">
        <v>1</v>
      </c>
      <c r="Q900" s="48"/>
      <c r="R900" s="44"/>
      <c r="S900" s="4"/>
      <c r="T900" s="16"/>
      <c r="U900" s="72"/>
      <c r="V900" s="72"/>
      <c r="W900" s="72"/>
      <c r="X900" s="72"/>
      <c r="Y900" s="68"/>
      <c r="Z900" s="72"/>
      <c r="AA900" s="72"/>
      <c r="AB900" s="72"/>
      <c r="AC900" s="72"/>
      <c r="AD900" s="72"/>
      <c r="AE900" s="72"/>
      <c r="AF900" s="79"/>
      <c r="AG900" s="79"/>
    </row>
    <row r="901" spans="1:33" s="21" customFormat="1" x14ac:dyDescent="0.2">
      <c r="A901" s="114" t="s">
        <v>1052</v>
      </c>
      <c r="B901" s="114"/>
      <c r="C901" s="114"/>
      <c r="D901" s="160">
        <v>1</v>
      </c>
      <c r="E901" s="161"/>
      <c r="F901" s="162">
        <v>0.4</v>
      </c>
      <c r="G901" s="162"/>
      <c r="H901" s="52">
        <v>107270</v>
      </c>
      <c r="I901" s="52">
        <f>+$H$892*H901</f>
        <v>114671.62999999999</v>
      </c>
      <c r="J901" s="52">
        <f>I901*(1-F901)</f>
        <v>68802.977999999988</v>
      </c>
      <c r="K901" s="61"/>
      <c r="L901" s="160">
        <v>0</v>
      </c>
      <c r="M901" s="55">
        <f>+$L$892*L901</f>
        <v>0</v>
      </c>
      <c r="N901" s="55">
        <f>M901*(1-F901)</f>
        <v>0</v>
      </c>
      <c r="O901" s="95"/>
      <c r="P901" s="160">
        <v>0</v>
      </c>
      <c r="Q901" s="55">
        <f>+P901*$P$892</f>
        <v>0</v>
      </c>
      <c r="R901" s="65">
        <f>Q901*(1-F901)</f>
        <v>0</v>
      </c>
      <c r="S901" s="118">
        <v>15</v>
      </c>
      <c r="T901" s="121" t="s">
        <v>1047</v>
      </c>
      <c r="U901" s="73">
        <f>SUMIF('Avoided Costs 2013-2021'!$A:$A,'2013 Actuals'!T901&amp;'2013 Actuals'!S901,'Avoided Costs 2013-2021'!$E:$E)*J901</f>
        <v>145195.09180831752</v>
      </c>
      <c r="V901" s="73">
        <f>SUMIF('Avoided Costs 2013-2021'!$A:$A,'2013 Actuals'!T901&amp;'2013 Actuals'!S901,'Avoided Costs 2013-2021'!$K:$K)*N901</f>
        <v>0</v>
      </c>
      <c r="W901" s="73">
        <f>SUMIF('Avoided Costs 2013-2021'!$A:$A,'2013 Actuals'!T901&amp;'2013 Actuals'!S901,'Avoided Costs 2013-2021'!$M:$M)*R901</f>
        <v>0</v>
      </c>
      <c r="X901" s="73">
        <f>SUM(U901:W901)</f>
        <v>145195.09180831752</v>
      </c>
      <c r="Y901" s="74">
        <v>95872</v>
      </c>
      <c r="Z901" s="74">
        <f>Y901*(1-F901)</f>
        <v>57523.199999999997</v>
      </c>
      <c r="AA901" s="74"/>
      <c r="AB901" s="74"/>
      <c r="AC901" s="74"/>
      <c r="AD901" s="74">
        <f>Z901+AB901</f>
        <v>57523.199999999997</v>
      </c>
      <c r="AE901" s="74">
        <f>X901-AD901</f>
        <v>87671.891808317523</v>
      </c>
      <c r="AF901" s="52">
        <f>J901*S901</f>
        <v>1032044.6699999998</v>
      </c>
      <c r="AG901" s="52">
        <f>(I901*S901)</f>
        <v>1720074.45</v>
      </c>
    </row>
    <row r="902" spans="1:33" s="21" customFormat="1" x14ac:dyDescent="0.2">
      <c r="A902" s="114" t="s">
        <v>1053</v>
      </c>
      <c r="B902" s="114"/>
      <c r="C902" s="114"/>
      <c r="D902" s="160">
        <v>0</v>
      </c>
      <c r="E902" s="161"/>
      <c r="F902" s="162">
        <v>0.4</v>
      </c>
      <c r="G902" s="162"/>
      <c r="H902" s="52">
        <v>163878</v>
      </c>
      <c r="I902" s="52">
        <f>+$H$892*H902</f>
        <v>175185.58199999999</v>
      </c>
      <c r="J902" s="52">
        <f>I902*(1-F902)</f>
        <v>105111.3492</v>
      </c>
      <c r="K902" s="61"/>
      <c r="L902" s="160">
        <v>0</v>
      </c>
      <c r="M902" s="55">
        <f>+$L$892*L902</f>
        <v>0</v>
      </c>
      <c r="N902" s="55">
        <f>M902*(1-F902)</f>
        <v>0</v>
      </c>
      <c r="O902" s="95"/>
      <c r="P902" s="160">
        <v>0</v>
      </c>
      <c r="Q902" s="55">
        <f>+P902*$P$892</f>
        <v>0</v>
      </c>
      <c r="R902" s="65">
        <f>Q902*(1-F902)</f>
        <v>0</v>
      </c>
      <c r="S902" s="118">
        <v>25</v>
      </c>
      <c r="T902" s="121" t="s">
        <v>1047</v>
      </c>
      <c r="U902" s="73">
        <f>SUMIF('Avoided Costs 2013-2021'!$A:$A,'2013 Actuals'!T902&amp;'2013 Actuals'!S902,'Avoided Costs 2013-2021'!$E:$E)*J902</f>
        <v>311407.34061527217</v>
      </c>
      <c r="V902" s="73">
        <f>SUMIF('Avoided Costs 2013-2021'!$A:$A,'2013 Actuals'!T902&amp;'2013 Actuals'!S902,'Avoided Costs 2013-2021'!$K:$K)*N902</f>
        <v>0</v>
      </c>
      <c r="W902" s="73">
        <f>SUMIF('Avoided Costs 2013-2021'!$A:$A,'2013 Actuals'!T902&amp;'2013 Actuals'!S902,'Avoided Costs 2013-2021'!$M:$M)*R902</f>
        <v>0</v>
      </c>
      <c r="X902" s="73">
        <f>SUM(U902:W902)</f>
        <v>311407.34061527217</v>
      </c>
      <c r="Y902" s="74">
        <v>479054</v>
      </c>
      <c r="Z902" s="74">
        <f>Y902*(1-F902)</f>
        <v>287432.39999999997</v>
      </c>
      <c r="AA902" s="74"/>
      <c r="AB902" s="74"/>
      <c r="AC902" s="74"/>
      <c r="AD902" s="74">
        <f>Z902+AB902</f>
        <v>287432.39999999997</v>
      </c>
      <c r="AE902" s="74">
        <f>X902-AD902</f>
        <v>23974.940615272208</v>
      </c>
      <c r="AF902" s="52">
        <f>J902*S902</f>
        <v>2627783.73</v>
      </c>
      <c r="AG902" s="52">
        <f>(I902*S902)</f>
        <v>4379639.55</v>
      </c>
    </row>
    <row r="903" spans="1:33" s="21" customFormat="1" x14ac:dyDescent="0.2">
      <c r="A903" s="114" t="s">
        <v>1054</v>
      </c>
      <c r="B903" s="114"/>
      <c r="C903" s="114"/>
      <c r="D903" s="160">
        <v>1</v>
      </c>
      <c r="E903" s="161"/>
      <c r="F903" s="162">
        <v>0.4</v>
      </c>
      <c r="G903" s="162"/>
      <c r="H903" s="52">
        <v>263887</v>
      </c>
      <c r="I903" s="52">
        <f>+$H$892*H903</f>
        <v>282095.20299999998</v>
      </c>
      <c r="J903" s="52">
        <f>I903*(1-F903)</f>
        <v>169257.12179999999</v>
      </c>
      <c r="K903" s="61"/>
      <c r="L903" s="160">
        <v>0</v>
      </c>
      <c r="M903" s="55">
        <f>+$L$892*L903</f>
        <v>0</v>
      </c>
      <c r="N903" s="55">
        <f>M903*(1-F903)</f>
        <v>0</v>
      </c>
      <c r="O903" s="95"/>
      <c r="P903" s="160">
        <v>0</v>
      </c>
      <c r="Q903" s="55">
        <f>+P903*$P$892</f>
        <v>0</v>
      </c>
      <c r="R903" s="65">
        <f>Q903*(1-F903)</f>
        <v>0</v>
      </c>
      <c r="S903" s="118">
        <v>15</v>
      </c>
      <c r="T903" s="121" t="s">
        <v>1047</v>
      </c>
      <c r="U903" s="73">
        <f>SUMIF('Avoided Costs 2013-2021'!$A:$A,'2013 Actuals'!T903&amp;'2013 Actuals'!S903,'Avoided Costs 2013-2021'!$E:$E)*J903</f>
        <v>357183.71578280494</v>
      </c>
      <c r="V903" s="73">
        <f>SUMIF('Avoided Costs 2013-2021'!$A:$A,'2013 Actuals'!T903&amp;'2013 Actuals'!S903,'Avoided Costs 2013-2021'!$K:$K)*N903</f>
        <v>0</v>
      </c>
      <c r="W903" s="73">
        <f>SUMIF('Avoided Costs 2013-2021'!$A:$A,'2013 Actuals'!T903&amp;'2013 Actuals'!S903,'Avoided Costs 2013-2021'!$M:$M)*R903</f>
        <v>0</v>
      </c>
      <c r="X903" s="73">
        <f>SUM(U903:W903)</f>
        <v>357183.71578280494</v>
      </c>
      <c r="Y903" s="74">
        <v>373532</v>
      </c>
      <c r="Z903" s="74">
        <f>Y903*(1-F903)</f>
        <v>224119.19999999998</v>
      </c>
      <c r="AA903" s="74"/>
      <c r="AB903" s="74"/>
      <c r="AC903" s="74"/>
      <c r="AD903" s="74">
        <f>Z903+AB903</f>
        <v>224119.19999999998</v>
      </c>
      <c r="AE903" s="74">
        <f>X903-AD903</f>
        <v>133064.51578280496</v>
      </c>
      <c r="AF903" s="52">
        <f>J903*S903</f>
        <v>2538856.827</v>
      </c>
      <c r="AG903" s="52">
        <f>(I903*S903)</f>
        <v>4231428.0449999999</v>
      </c>
    </row>
    <row r="904" spans="1:33" s="17" customFormat="1" collapsed="1" x14ac:dyDescent="0.2">
      <c r="A904" s="166" t="s">
        <v>4</v>
      </c>
      <c r="B904" s="166" t="s">
        <v>1187</v>
      </c>
      <c r="C904" s="125"/>
      <c r="D904" s="65">
        <f>SUM(D901:D903)</f>
        <v>2</v>
      </c>
      <c r="E904" s="291"/>
      <c r="F904" s="168"/>
      <c r="G904" s="292"/>
      <c r="H904" s="52">
        <v>535035</v>
      </c>
      <c r="I904" s="52">
        <f>SUM(I901:I903)</f>
        <v>571952.41500000004</v>
      </c>
      <c r="J904" s="52">
        <f>SUM(J901:J903)</f>
        <v>343171.44900000002</v>
      </c>
      <c r="K904" s="167"/>
      <c r="L904" s="52">
        <v>0</v>
      </c>
      <c r="M904" s="52">
        <f>SUM(M901:M903)</f>
        <v>0</v>
      </c>
      <c r="N904" s="52">
        <f>SUM(N901:N903)</f>
        <v>0</v>
      </c>
      <c r="O904" s="169"/>
      <c r="P904" s="52">
        <v>0</v>
      </c>
      <c r="Q904" s="52">
        <f>SUM(Q901:Q903)</f>
        <v>0</v>
      </c>
      <c r="R904" s="52">
        <f>SUM(R901:R903)</f>
        <v>0</v>
      </c>
      <c r="S904" s="133"/>
      <c r="T904" s="125" t="s">
        <v>1047</v>
      </c>
      <c r="U904" s="74">
        <f>SUM(U901:U903)</f>
        <v>813786.14820639463</v>
      </c>
      <c r="V904" s="74">
        <f>SUM(V901:V903)</f>
        <v>0</v>
      </c>
      <c r="W904" s="74">
        <f>SUM(W901:W903)</f>
        <v>0</v>
      </c>
      <c r="X904" s="74">
        <f>SUM(X901:X903)</f>
        <v>813786.14820639463</v>
      </c>
      <c r="Y904" s="74">
        <v>948458</v>
      </c>
      <c r="Z904" s="74">
        <f t="shared" ref="Z904" si="341">SUM(Z901:Z903)</f>
        <v>569074.79999999993</v>
      </c>
      <c r="AA904" s="74">
        <v>7509</v>
      </c>
      <c r="AB904" s="74">
        <v>275</v>
      </c>
      <c r="AC904" s="74">
        <f>AA904+AB904</f>
        <v>7784</v>
      </c>
      <c r="AD904" s="74">
        <f>Z904+AB904</f>
        <v>569349.79999999993</v>
      </c>
      <c r="AE904" s="293">
        <f>X904-AD904</f>
        <v>244436.3482063947</v>
      </c>
      <c r="AF904" s="52">
        <f>SUM(AF901:AF903)</f>
        <v>6198685.227</v>
      </c>
      <c r="AG904" s="52">
        <f>SUM(AG901:AG903)</f>
        <v>10331142.045</v>
      </c>
    </row>
    <row r="905" spans="1:33" s="17" customFormat="1" x14ac:dyDescent="0.2">
      <c r="A905" s="18"/>
      <c r="C905" s="16"/>
      <c r="D905" s="44"/>
      <c r="E905" s="58"/>
      <c r="F905" s="5"/>
      <c r="G905" s="6"/>
      <c r="H905" s="44"/>
      <c r="I905" s="44"/>
      <c r="J905" s="44"/>
      <c r="K905" s="58"/>
      <c r="L905" s="44"/>
      <c r="M905" s="44"/>
      <c r="N905" s="44"/>
      <c r="O905" s="92"/>
      <c r="P905" s="44"/>
      <c r="Q905" s="44"/>
      <c r="R905" s="44"/>
      <c r="S905" s="4"/>
      <c r="T905" s="16"/>
      <c r="U905" s="72"/>
      <c r="V905" s="72"/>
      <c r="W905" s="72"/>
      <c r="X905" s="72"/>
      <c r="Y905" s="82"/>
      <c r="Z905" s="72"/>
      <c r="AA905" s="72"/>
      <c r="AB905" s="72"/>
      <c r="AC905" s="72"/>
      <c r="AD905" s="72"/>
      <c r="AE905" s="72"/>
      <c r="AF905" s="79"/>
      <c r="AG905" s="79"/>
    </row>
    <row r="906" spans="1:33" s="17" customFormat="1" x14ac:dyDescent="0.2">
      <c r="A906" s="326" t="s">
        <v>1210</v>
      </c>
      <c r="B906" s="2" t="s">
        <v>171</v>
      </c>
      <c r="C906" s="22"/>
      <c r="D906" s="50"/>
      <c r="E906" s="100"/>
      <c r="F906" s="24"/>
      <c r="G906" s="25"/>
      <c r="H906" s="48"/>
      <c r="I906" s="48"/>
      <c r="J906" s="48"/>
      <c r="K906" s="57"/>
      <c r="L906" s="48"/>
      <c r="M906" s="48"/>
      <c r="N906" s="48"/>
      <c r="O906" s="92"/>
      <c r="P906" s="48"/>
      <c r="Q906" s="48"/>
      <c r="R906" s="50"/>
      <c r="S906" s="23"/>
      <c r="T906" s="22"/>
      <c r="U906" s="77"/>
      <c r="V906" s="77"/>
      <c r="W906" s="77"/>
      <c r="X906" s="77"/>
      <c r="Y906" s="86"/>
      <c r="Z906" s="77"/>
      <c r="AA906" s="77"/>
      <c r="AB906" s="77"/>
      <c r="AC906" s="77"/>
      <c r="AD906" s="77"/>
      <c r="AE906" s="77"/>
      <c r="AF906" s="80"/>
      <c r="AG906" s="80"/>
    </row>
    <row r="907" spans="1:33" s="21" customFormat="1" x14ac:dyDescent="0.2">
      <c r="A907" s="114" t="s">
        <v>1055</v>
      </c>
      <c r="B907" s="114"/>
      <c r="C907" s="114"/>
      <c r="D907" s="160">
        <v>1</v>
      </c>
      <c r="E907" s="161"/>
      <c r="F907" s="162">
        <v>0.5</v>
      </c>
      <c r="G907" s="162"/>
      <c r="H907" s="52">
        <v>32790</v>
      </c>
      <c r="I907" s="52">
        <f t="shared" ref="I907:I938" si="342">+$H$892*H907</f>
        <v>35052.509999999995</v>
      </c>
      <c r="J907" s="52">
        <f t="shared" ref="J907:J938" si="343">I907*(1-F907)</f>
        <v>17526.254999999997</v>
      </c>
      <c r="K907" s="61"/>
      <c r="L907" s="160">
        <v>1116131</v>
      </c>
      <c r="M907" s="55">
        <f t="shared" ref="M907:M938" si="344">+$L$892*L907</f>
        <v>1116131</v>
      </c>
      <c r="N907" s="55">
        <f t="shared" ref="N907:N938" si="345">M907*(1-F907)</f>
        <v>558065.5</v>
      </c>
      <c r="O907" s="95"/>
      <c r="P907" s="160">
        <v>0</v>
      </c>
      <c r="Q907" s="55">
        <f t="shared" ref="Q907:Q938" si="346">+P907*$P$892</f>
        <v>0</v>
      </c>
      <c r="R907" s="65">
        <f t="shared" ref="R907:R938" si="347">Q907*(1-F907)</f>
        <v>0</v>
      </c>
      <c r="S907" s="118">
        <v>25</v>
      </c>
      <c r="T907" s="121" t="s">
        <v>1047</v>
      </c>
      <c r="U907" s="73">
        <f>SUMIF('Avoided Costs 2013-2021'!$A:$A,'2013 Actuals'!T907&amp;'2013 Actuals'!S907,'Avoided Costs 2013-2021'!$E:$E)*J907</f>
        <v>51924.026301958227</v>
      </c>
      <c r="V907" s="73">
        <f>SUMIF('Avoided Costs 2013-2021'!$A:$A,'2013 Actuals'!T907&amp;'2013 Actuals'!S907,'Avoided Costs 2013-2021'!$K:$K)*N907</f>
        <v>795855.57182996825</v>
      </c>
      <c r="W907" s="73">
        <f>SUMIF('Avoided Costs 2013-2021'!$A:$A,'2013 Actuals'!T907&amp;'2013 Actuals'!S907,'Avoided Costs 2013-2021'!$M:$M)*R907</f>
        <v>0</v>
      </c>
      <c r="X907" s="73">
        <f t="shared" ref="X907:X938" si="348">SUM(U907:W907)</f>
        <v>847779.5981319265</v>
      </c>
      <c r="Y907" s="83">
        <v>330911.53000000003</v>
      </c>
      <c r="Z907" s="74">
        <f t="shared" ref="Z907:Z938" si="349">Y907*(1-F907)</f>
        <v>165455.76500000001</v>
      </c>
      <c r="AA907" s="74"/>
      <c r="AB907" s="74"/>
      <c r="AC907" s="74"/>
      <c r="AD907" s="74">
        <f t="shared" ref="AD907:AD938" si="350">Z907+AB907</f>
        <v>165455.76500000001</v>
      </c>
      <c r="AE907" s="74">
        <f t="shared" ref="AE907:AE938" si="351">X907-AD907</f>
        <v>682323.83313192648</v>
      </c>
      <c r="AF907" s="52">
        <f t="shared" ref="AF907:AF938" si="352">J907*S907</f>
        <v>438156.37499999994</v>
      </c>
      <c r="AG907" s="52">
        <f t="shared" ref="AG907:AG938" si="353">(I907*S907)</f>
        <v>876312.74999999988</v>
      </c>
    </row>
    <row r="908" spans="1:33" s="21" customFormat="1" x14ac:dyDescent="0.2">
      <c r="A908" s="115" t="s">
        <v>1056</v>
      </c>
      <c r="B908" s="115"/>
      <c r="C908" s="115"/>
      <c r="D908" s="163">
        <v>1</v>
      </c>
      <c r="E908" s="164"/>
      <c r="F908" s="165">
        <v>0.5</v>
      </c>
      <c r="G908" s="165"/>
      <c r="H908" s="51">
        <v>55152</v>
      </c>
      <c r="I908" s="52">
        <f t="shared" si="342"/>
        <v>58957.487999999998</v>
      </c>
      <c r="J908" s="52">
        <f t="shared" si="343"/>
        <v>29478.743999999999</v>
      </c>
      <c r="K908" s="62"/>
      <c r="L908" s="163">
        <v>-11524</v>
      </c>
      <c r="M908" s="55">
        <f t="shared" si="344"/>
        <v>-11524</v>
      </c>
      <c r="N908" s="55">
        <f t="shared" si="345"/>
        <v>-5762</v>
      </c>
      <c r="O908" s="96"/>
      <c r="P908" s="163">
        <v>0</v>
      </c>
      <c r="Q908" s="55">
        <f t="shared" si="346"/>
        <v>0</v>
      </c>
      <c r="R908" s="65">
        <f t="shared" si="347"/>
        <v>0</v>
      </c>
      <c r="S908" s="119">
        <v>15</v>
      </c>
      <c r="T908" s="122" t="s">
        <v>1047</v>
      </c>
      <c r="U908" s="73">
        <f>SUMIF('Avoided Costs 2013-2021'!$A:$A,'2013 Actuals'!T908&amp;'2013 Actuals'!S908,'Avoided Costs 2013-2021'!$E:$E)*J908</f>
        <v>62209.065158108264</v>
      </c>
      <c r="V908" s="73">
        <f>SUMIF('Avoided Costs 2013-2021'!$A:$A,'2013 Actuals'!T908&amp;'2013 Actuals'!S908,'Avoided Costs 2013-2021'!$K:$K)*N908</f>
        <v>-6032.2013205023959</v>
      </c>
      <c r="W908" s="73">
        <f>SUMIF('Avoided Costs 2013-2021'!$A:$A,'2013 Actuals'!T908&amp;'2013 Actuals'!S908,'Avoided Costs 2013-2021'!$M:$M)*R908</f>
        <v>0</v>
      </c>
      <c r="X908" s="73">
        <f t="shared" si="348"/>
        <v>56176.863837605866</v>
      </c>
      <c r="Y908" s="89">
        <v>59875</v>
      </c>
      <c r="Z908" s="74">
        <f t="shared" si="349"/>
        <v>29937.5</v>
      </c>
      <c r="AA908" s="75"/>
      <c r="AB908" s="75"/>
      <c r="AC908" s="75"/>
      <c r="AD908" s="74">
        <f t="shared" si="350"/>
        <v>29937.5</v>
      </c>
      <c r="AE908" s="74">
        <f t="shared" si="351"/>
        <v>26239.363837605866</v>
      </c>
      <c r="AF908" s="52">
        <f t="shared" si="352"/>
        <v>442181.16</v>
      </c>
      <c r="AG908" s="52">
        <f t="shared" si="353"/>
        <v>884362.32</v>
      </c>
    </row>
    <row r="909" spans="1:33" s="21" customFormat="1" x14ac:dyDescent="0.2">
      <c r="A909" s="115" t="s">
        <v>1057</v>
      </c>
      <c r="B909" s="115"/>
      <c r="C909" s="115"/>
      <c r="D909" s="163">
        <v>1</v>
      </c>
      <c r="E909" s="164"/>
      <c r="F909" s="165">
        <v>0.5</v>
      </c>
      <c r="G909" s="165"/>
      <c r="H909" s="51">
        <v>196528</v>
      </c>
      <c r="I909" s="52">
        <f t="shared" si="342"/>
        <v>210088.432</v>
      </c>
      <c r="J909" s="52">
        <f t="shared" si="343"/>
        <v>105044.216</v>
      </c>
      <c r="K909" s="62"/>
      <c r="L909" s="163">
        <v>0</v>
      </c>
      <c r="M909" s="55">
        <f t="shared" si="344"/>
        <v>0</v>
      </c>
      <c r="N909" s="55">
        <f t="shared" si="345"/>
        <v>0</v>
      </c>
      <c r="O909" s="96"/>
      <c r="P909" s="163">
        <v>0</v>
      </c>
      <c r="Q909" s="55">
        <f t="shared" si="346"/>
        <v>0</v>
      </c>
      <c r="R909" s="65">
        <f t="shared" si="347"/>
        <v>0</v>
      </c>
      <c r="S909" s="119">
        <v>15</v>
      </c>
      <c r="T909" s="122" t="s">
        <v>1047</v>
      </c>
      <c r="U909" s="73">
        <f>SUMIF('Avoided Costs 2013-2021'!$A:$A,'2013 Actuals'!T909&amp;'2013 Actuals'!S909,'Avoided Costs 2013-2021'!$E:$E)*J909</f>
        <v>221675.06450160831</v>
      </c>
      <c r="V909" s="73">
        <f>SUMIF('Avoided Costs 2013-2021'!$A:$A,'2013 Actuals'!T909&amp;'2013 Actuals'!S909,'Avoided Costs 2013-2021'!$K:$K)*N909</f>
        <v>0</v>
      </c>
      <c r="W909" s="73">
        <f>SUMIF('Avoided Costs 2013-2021'!$A:$A,'2013 Actuals'!T909&amp;'2013 Actuals'!S909,'Avoided Costs 2013-2021'!$M:$M)*R909</f>
        <v>0</v>
      </c>
      <c r="X909" s="73">
        <f t="shared" si="348"/>
        <v>221675.06450160831</v>
      </c>
      <c r="Y909" s="89">
        <v>57462.96</v>
      </c>
      <c r="Z909" s="74">
        <f t="shared" si="349"/>
        <v>28731.48</v>
      </c>
      <c r="AA909" s="75"/>
      <c r="AB909" s="75"/>
      <c r="AC909" s="75"/>
      <c r="AD909" s="74">
        <f t="shared" si="350"/>
        <v>28731.48</v>
      </c>
      <c r="AE909" s="74">
        <f t="shared" si="351"/>
        <v>192943.5845016083</v>
      </c>
      <c r="AF909" s="52">
        <f t="shared" si="352"/>
        <v>1575663.24</v>
      </c>
      <c r="AG909" s="52">
        <f t="shared" si="353"/>
        <v>3151326.48</v>
      </c>
    </row>
    <row r="910" spans="1:33" s="21" customFormat="1" x14ac:dyDescent="0.2">
      <c r="A910" s="115" t="s">
        <v>1058</v>
      </c>
      <c r="B910" s="115"/>
      <c r="C910" s="115"/>
      <c r="D910" s="163">
        <v>1</v>
      </c>
      <c r="E910" s="164"/>
      <c r="F910" s="165">
        <v>0.5</v>
      </c>
      <c r="G910" s="165"/>
      <c r="H910" s="51">
        <v>98781</v>
      </c>
      <c r="I910" s="52">
        <f t="shared" si="342"/>
        <v>105596.889</v>
      </c>
      <c r="J910" s="52">
        <f t="shared" si="343"/>
        <v>52798.444499999998</v>
      </c>
      <c r="K910" s="62"/>
      <c r="L910" s="163">
        <v>0</v>
      </c>
      <c r="M910" s="55">
        <f t="shared" si="344"/>
        <v>0</v>
      </c>
      <c r="N910" s="55">
        <f t="shared" si="345"/>
        <v>0</v>
      </c>
      <c r="O910" s="96"/>
      <c r="P910" s="163">
        <v>0</v>
      </c>
      <c r="Q910" s="55">
        <f t="shared" si="346"/>
        <v>0</v>
      </c>
      <c r="R910" s="65">
        <f t="shared" si="347"/>
        <v>0</v>
      </c>
      <c r="S910" s="119">
        <v>15</v>
      </c>
      <c r="T910" s="122" t="s">
        <v>1047</v>
      </c>
      <c r="U910" s="73">
        <f>SUMIF('Avoided Costs 2013-2021'!$A:$A,'2013 Actuals'!T910&amp;'2013 Actuals'!S910,'Avoided Costs 2013-2021'!$E:$E)*J910</f>
        <v>111420.68583882893</v>
      </c>
      <c r="V910" s="73">
        <f>SUMIF('Avoided Costs 2013-2021'!$A:$A,'2013 Actuals'!T910&amp;'2013 Actuals'!S910,'Avoided Costs 2013-2021'!$K:$K)*N910</f>
        <v>0</v>
      </c>
      <c r="W910" s="73">
        <f>SUMIF('Avoided Costs 2013-2021'!$A:$A,'2013 Actuals'!T910&amp;'2013 Actuals'!S910,'Avoided Costs 2013-2021'!$M:$M)*R910</f>
        <v>0</v>
      </c>
      <c r="X910" s="73">
        <f t="shared" si="348"/>
        <v>111420.68583882893</v>
      </c>
      <c r="Y910" s="89">
        <v>18900</v>
      </c>
      <c r="Z910" s="74">
        <f t="shared" si="349"/>
        <v>9450</v>
      </c>
      <c r="AA910" s="75"/>
      <c r="AB910" s="75"/>
      <c r="AC910" s="75"/>
      <c r="AD910" s="74">
        <f t="shared" si="350"/>
        <v>9450</v>
      </c>
      <c r="AE910" s="74">
        <f t="shared" si="351"/>
        <v>101970.68583882893</v>
      </c>
      <c r="AF910" s="52">
        <f t="shared" si="352"/>
        <v>791976.66749999998</v>
      </c>
      <c r="AG910" s="52">
        <f t="shared" si="353"/>
        <v>1583953.335</v>
      </c>
    </row>
    <row r="911" spans="1:33" s="21" customFormat="1" x14ac:dyDescent="0.2">
      <c r="A911" s="115" t="s">
        <v>1059</v>
      </c>
      <c r="B911" s="115"/>
      <c r="C911" s="115"/>
      <c r="D911" s="163">
        <v>1</v>
      </c>
      <c r="E911" s="164"/>
      <c r="F911" s="165">
        <v>0.5</v>
      </c>
      <c r="G911" s="165"/>
      <c r="H911" s="51">
        <v>35995</v>
      </c>
      <c r="I911" s="52">
        <f t="shared" si="342"/>
        <v>38478.654999999999</v>
      </c>
      <c r="J911" s="52">
        <f t="shared" si="343"/>
        <v>19239.327499999999</v>
      </c>
      <c r="K911" s="62"/>
      <c r="L911" s="163">
        <v>-24815</v>
      </c>
      <c r="M911" s="55">
        <f t="shared" si="344"/>
        <v>-24815</v>
      </c>
      <c r="N911" s="55">
        <f t="shared" si="345"/>
        <v>-12407.5</v>
      </c>
      <c r="O911" s="96"/>
      <c r="P911" s="163">
        <v>0</v>
      </c>
      <c r="Q911" s="55">
        <f t="shared" si="346"/>
        <v>0</v>
      </c>
      <c r="R911" s="65">
        <f t="shared" si="347"/>
        <v>0</v>
      </c>
      <c r="S911" s="119">
        <v>15</v>
      </c>
      <c r="T911" s="122" t="s">
        <v>1047</v>
      </c>
      <c r="U911" s="73">
        <f>SUMIF('Avoided Costs 2013-2021'!$A:$A,'2013 Actuals'!T911&amp;'2013 Actuals'!S911,'Avoided Costs 2013-2021'!$E:$E)*J911</f>
        <v>40600.799614993237</v>
      </c>
      <c r="V911" s="73">
        <f>SUMIF('Avoided Costs 2013-2021'!$A:$A,'2013 Actuals'!T911&amp;'2013 Actuals'!S911,'Avoided Costs 2013-2021'!$K:$K)*N911</f>
        <v>-12989.333197524033</v>
      </c>
      <c r="W911" s="73">
        <f>SUMIF('Avoided Costs 2013-2021'!$A:$A,'2013 Actuals'!T911&amp;'2013 Actuals'!S911,'Avoided Costs 2013-2021'!$M:$M)*R911</f>
        <v>0</v>
      </c>
      <c r="X911" s="73">
        <f t="shared" si="348"/>
        <v>27611.466417469204</v>
      </c>
      <c r="Y911" s="89">
        <v>44449</v>
      </c>
      <c r="Z911" s="74">
        <f t="shared" si="349"/>
        <v>22224.5</v>
      </c>
      <c r="AA911" s="75"/>
      <c r="AB911" s="75"/>
      <c r="AC911" s="75"/>
      <c r="AD911" s="74">
        <f t="shared" si="350"/>
        <v>22224.5</v>
      </c>
      <c r="AE911" s="74">
        <f t="shared" si="351"/>
        <v>5386.9664174692043</v>
      </c>
      <c r="AF911" s="52">
        <f t="shared" si="352"/>
        <v>288589.91249999998</v>
      </c>
      <c r="AG911" s="52">
        <f t="shared" si="353"/>
        <v>577179.82499999995</v>
      </c>
    </row>
    <row r="912" spans="1:33" s="21" customFormat="1" x14ac:dyDescent="0.2">
      <c r="A912" s="115" t="s">
        <v>1060</v>
      </c>
      <c r="B912" s="115"/>
      <c r="C912" s="115"/>
      <c r="D912" s="163">
        <v>1</v>
      </c>
      <c r="E912" s="164"/>
      <c r="F912" s="165">
        <v>0.5</v>
      </c>
      <c r="G912" s="165"/>
      <c r="H912" s="51">
        <v>375430</v>
      </c>
      <c r="I912" s="52">
        <f t="shared" si="342"/>
        <v>401334.67</v>
      </c>
      <c r="J912" s="52">
        <f t="shared" si="343"/>
        <v>200667.33499999999</v>
      </c>
      <c r="K912" s="62"/>
      <c r="L912" s="163">
        <v>0</v>
      </c>
      <c r="M912" s="55">
        <f t="shared" si="344"/>
        <v>0</v>
      </c>
      <c r="N912" s="55">
        <f t="shared" si="345"/>
        <v>0</v>
      </c>
      <c r="O912" s="96"/>
      <c r="P912" s="163">
        <v>0</v>
      </c>
      <c r="Q912" s="55">
        <f t="shared" si="346"/>
        <v>0</v>
      </c>
      <c r="R912" s="65">
        <f t="shared" si="347"/>
        <v>0</v>
      </c>
      <c r="S912" s="119">
        <v>15</v>
      </c>
      <c r="T912" s="122" t="s">
        <v>1047</v>
      </c>
      <c r="U912" s="73">
        <f>SUMIF('Avoided Costs 2013-2021'!$A:$A,'2013 Actuals'!T912&amp;'2013 Actuals'!S912,'Avoided Costs 2013-2021'!$E:$E)*J912</f>
        <v>423468.76509117684</v>
      </c>
      <c r="V912" s="73">
        <f>SUMIF('Avoided Costs 2013-2021'!$A:$A,'2013 Actuals'!T912&amp;'2013 Actuals'!S912,'Avoided Costs 2013-2021'!$K:$K)*N912</f>
        <v>0</v>
      </c>
      <c r="W912" s="73">
        <f>SUMIF('Avoided Costs 2013-2021'!$A:$A,'2013 Actuals'!T912&amp;'2013 Actuals'!S912,'Avoided Costs 2013-2021'!$M:$M)*R912</f>
        <v>0</v>
      </c>
      <c r="X912" s="73">
        <f t="shared" si="348"/>
        <v>423468.76509117684</v>
      </c>
      <c r="Y912" s="89">
        <v>11280</v>
      </c>
      <c r="Z912" s="74">
        <f t="shared" si="349"/>
        <v>5640</v>
      </c>
      <c r="AA912" s="75"/>
      <c r="AB912" s="75"/>
      <c r="AC912" s="75"/>
      <c r="AD912" s="74">
        <f t="shared" si="350"/>
        <v>5640</v>
      </c>
      <c r="AE912" s="74">
        <f t="shared" si="351"/>
        <v>417828.76509117684</v>
      </c>
      <c r="AF912" s="52">
        <f t="shared" si="352"/>
        <v>3010010.0249999999</v>
      </c>
      <c r="AG912" s="52">
        <f t="shared" si="353"/>
        <v>6020020.0499999998</v>
      </c>
    </row>
    <row r="913" spans="1:33" s="21" customFormat="1" x14ac:dyDescent="0.2">
      <c r="A913" s="115" t="s">
        <v>1061</v>
      </c>
      <c r="B913" s="115"/>
      <c r="C913" s="115"/>
      <c r="D913" s="163">
        <v>1</v>
      </c>
      <c r="E913" s="164"/>
      <c r="F913" s="165">
        <v>0.5</v>
      </c>
      <c r="G913" s="165"/>
      <c r="H913" s="51">
        <v>192755</v>
      </c>
      <c r="I913" s="52">
        <f t="shared" si="342"/>
        <v>206055.095</v>
      </c>
      <c r="J913" s="52">
        <f t="shared" si="343"/>
        <v>103027.5475</v>
      </c>
      <c r="K913" s="62"/>
      <c r="L913" s="163">
        <v>0</v>
      </c>
      <c r="M913" s="55">
        <f t="shared" si="344"/>
        <v>0</v>
      </c>
      <c r="N913" s="55">
        <f t="shared" si="345"/>
        <v>0</v>
      </c>
      <c r="O913" s="96"/>
      <c r="P913" s="163">
        <v>0</v>
      </c>
      <c r="Q913" s="55">
        <f t="shared" si="346"/>
        <v>0</v>
      </c>
      <c r="R913" s="65">
        <f t="shared" si="347"/>
        <v>0</v>
      </c>
      <c r="S913" s="119">
        <v>20</v>
      </c>
      <c r="T913" s="122" t="s">
        <v>1047</v>
      </c>
      <c r="U913" s="73">
        <f>SUMIF('Avoided Costs 2013-2021'!$A:$A,'2013 Actuals'!T913&amp;'2013 Actuals'!S913,'Avoided Costs 2013-2021'!$E:$E)*J913</f>
        <v>266554.67724722478</v>
      </c>
      <c r="V913" s="73">
        <f>SUMIF('Avoided Costs 2013-2021'!$A:$A,'2013 Actuals'!T913&amp;'2013 Actuals'!S913,'Avoided Costs 2013-2021'!$K:$K)*N913</f>
        <v>0</v>
      </c>
      <c r="W913" s="73">
        <f>SUMIF('Avoided Costs 2013-2021'!$A:$A,'2013 Actuals'!T913&amp;'2013 Actuals'!S913,'Avoided Costs 2013-2021'!$M:$M)*R913</f>
        <v>0</v>
      </c>
      <c r="X913" s="73">
        <f t="shared" si="348"/>
        <v>266554.67724722478</v>
      </c>
      <c r="Y913" s="89">
        <v>42616.13</v>
      </c>
      <c r="Z913" s="74">
        <f t="shared" si="349"/>
        <v>21308.064999999999</v>
      </c>
      <c r="AA913" s="75"/>
      <c r="AB913" s="75"/>
      <c r="AC913" s="75"/>
      <c r="AD913" s="74">
        <f t="shared" si="350"/>
        <v>21308.064999999999</v>
      </c>
      <c r="AE913" s="74">
        <f t="shared" si="351"/>
        <v>245246.61224722478</v>
      </c>
      <c r="AF913" s="52">
        <f t="shared" si="352"/>
        <v>2060550.95</v>
      </c>
      <c r="AG913" s="52">
        <f t="shared" si="353"/>
        <v>4121101.9</v>
      </c>
    </row>
    <row r="914" spans="1:33" s="21" customFormat="1" x14ac:dyDescent="0.2">
      <c r="A914" s="115" t="s">
        <v>1062</v>
      </c>
      <c r="B914" s="115"/>
      <c r="C914" s="115"/>
      <c r="D914" s="163">
        <v>1</v>
      </c>
      <c r="E914" s="164"/>
      <c r="F914" s="165">
        <v>0.5</v>
      </c>
      <c r="G914" s="165"/>
      <c r="H914" s="51">
        <v>51180</v>
      </c>
      <c r="I914" s="52">
        <f t="shared" si="342"/>
        <v>54711.42</v>
      </c>
      <c r="J914" s="52">
        <f t="shared" si="343"/>
        <v>27355.71</v>
      </c>
      <c r="K914" s="62"/>
      <c r="L914" s="163">
        <v>0</v>
      </c>
      <c r="M914" s="55">
        <f t="shared" si="344"/>
        <v>0</v>
      </c>
      <c r="N914" s="55">
        <f t="shared" si="345"/>
        <v>0</v>
      </c>
      <c r="O914" s="96"/>
      <c r="P914" s="163">
        <v>0</v>
      </c>
      <c r="Q914" s="55">
        <f t="shared" si="346"/>
        <v>0</v>
      </c>
      <c r="R914" s="65">
        <f t="shared" si="347"/>
        <v>0</v>
      </c>
      <c r="S914" s="119">
        <v>25</v>
      </c>
      <c r="T914" s="122" t="s">
        <v>1047</v>
      </c>
      <c r="U914" s="73">
        <f>SUMIF('Avoided Costs 2013-2021'!$A:$A,'2013 Actuals'!T914&amp;'2013 Actuals'!S914,'Avoided Costs 2013-2021'!$E:$E)*J914</f>
        <v>81045.186524373974</v>
      </c>
      <c r="V914" s="73">
        <f>SUMIF('Avoided Costs 2013-2021'!$A:$A,'2013 Actuals'!T914&amp;'2013 Actuals'!S914,'Avoided Costs 2013-2021'!$K:$K)*N914</f>
        <v>0</v>
      </c>
      <c r="W914" s="73">
        <f>SUMIF('Avoided Costs 2013-2021'!$A:$A,'2013 Actuals'!T914&amp;'2013 Actuals'!S914,'Avoided Costs 2013-2021'!$M:$M)*R914</f>
        <v>0</v>
      </c>
      <c r="X914" s="73">
        <f t="shared" si="348"/>
        <v>81045.186524373974</v>
      </c>
      <c r="Y914" s="89">
        <v>80570</v>
      </c>
      <c r="Z914" s="74">
        <f t="shared" si="349"/>
        <v>40285</v>
      </c>
      <c r="AA914" s="75"/>
      <c r="AB914" s="75"/>
      <c r="AC914" s="75"/>
      <c r="AD914" s="74">
        <f t="shared" si="350"/>
        <v>40285</v>
      </c>
      <c r="AE914" s="74">
        <f t="shared" si="351"/>
        <v>40760.186524373974</v>
      </c>
      <c r="AF914" s="52">
        <f t="shared" si="352"/>
        <v>683892.75</v>
      </c>
      <c r="AG914" s="52">
        <f t="shared" si="353"/>
        <v>1367785.5</v>
      </c>
    </row>
    <row r="915" spans="1:33" s="21" customFormat="1" x14ac:dyDescent="0.2">
      <c r="A915" s="115" t="s">
        <v>1063</v>
      </c>
      <c r="B915" s="115"/>
      <c r="C915" s="115"/>
      <c r="D915" s="163">
        <v>1</v>
      </c>
      <c r="E915" s="164"/>
      <c r="F915" s="165">
        <v>0.5</v>
      </c>
      <c r="G915" s="165"/>
      <c r="H915" s="51">
        <v>8603</v>
      </c>
      <c r="I915" s="52">
        <f t="shared" si="342"/>
        <v>9196.607</v>
      </c>
      <c r="J915" s="52">
        <f t="shared" si="343"/>
        <v>4598.3035</v>
      </c>
      <c r="K915" s="62"/>
      <c r="L915" s="163">
        <v>0</v>
      </c>
      <c r="M915" s="55">
        <f t="shared" si="344"/>
        <v>0</v>
      </c>
      <c r="N915" s="55">
        <f t="shared" si="345"/>
        <v>0</v>
      </c>
      <c r="O915" s="96"/>
      <c r="P915" s="163">
        <v>0</v>
      </c>
      <c r="Q915" s="55">
        <f t="shared" si="346"/>
        <v>0</v>
      </c>
      <c r="R915" s="65">
        <f t="shared" si="347"/>
        <v>0</v>
      </c>
      <c r="S915" s="119">
        <v>15</v>
      </c>
      <c r="T915" s="122" t="s">
        <v>1047</v>
      </c>
      <c r="U915" s="73">
        <f>SUMIF('Avoided Costs 2013-2021'!$A:$A,'2013 Actuals'!T915&amp;'2013 Actuals'!S915,'Avoided Costs 2013-2021'!$E:$E)*J915</f>
        <v>9703.8110595301241</v>
      </c>
      <c r="V915" s="73">
        <f>SUMIF('Avoided Costs 2013-2021'!$A:$A,'2013 Actuals'!T915&amp;'2013 Actuals'!S915,'Avoided Costs 2013-2021'!$K:$K)*N915</f>
        <v>0</v>
      </c>
      <c r="W915" s="73">
        <f>SUMIF('Avoided Costs 2013-2021'!$A:$A,'2013 Actuals'!T915&amp;'2013 Actuals'!S915,'Avoided Costs 2013-2021'!$M:$M)*R915</f>
        <v>0</v>
      </c>
      <c r="X915" s="73">
        <f t="shared" si="348"/>
        <v>9703.8110595301241</v>
      </c>
      <c r="Y915" s="89">
        <v>55053</v>
      </c>
      <c r="Z915" s="74">
        <f t="shared" si="349"/>
        <v>27526.5</v>
      </c>
      <c r="AA915" s="75"/>
      <c r="AB915" s="75"/>
      <c r="AC915" s="75"/>
      <c r="AD915" s="74">
        <f t="shared" si="350"/>
        <v>27526.5</v>
      </c>
      <c r="AE915" s="74">
        <f t="shared" si="351"/>
        <v>-17822.688940469874</v>
      </c>
      <c r="AF915" s="52">
        <f t="shared" si="352"/>
        <v>68974.552500000005</v>
      </c>
      <c r="AG915" s="52">
        <f t="shared" si="353"/>
        <v>137949.10500000001</v>
      </c>
    </row>
    <row r="916" spans="1:33" s="21" customFormat="1" x14ac:dyDescent="0.2">
      <c r="A916" s="115" t="s">
        <v>1064</v>
      </c>
      <c r="B916" s="115"/>
      <c r="C916" s="115"/>
      <c r="D916" s="163">
        <v>1</v>
      </c>
      <c r="E916" s="164"/>
      <c r="F916" s="165">
        <v>0.5</v>
      </c>
      <c r="G916" s="165"/>
      <c r="H916" s="51">
        <v>129833</v>
      </c>
      <c r="I916" s="52">
        <f t="shared" si="342"/>
        <v>138791.47699999998</v>
      </c>
      <c r="J916" s="52">
        <f t="shared" si="343"/>
        <v>69395.738499999992</v>
      </c>
      <c r="K916" s="62"/>
      <c r="L916" s="163">
        <v>0</v>
      </c>
      <c r="M916" s="55">
        <f t="shared" si="344"/>
        <v>0</v>
      </c>
      <c r="N916" s="55">
        <f t="shared" si="345"/>
        <v>0</v>
      </c>
      <c r="O916" s="96"/>
      <c r="P916" s="163">
        <v>0</v>
      </c>
      <c r="Q916" s="55">
        <f t="shared" si="346"/>
        <v>0</v>
      </c>
      <c r="R916" s="65">
        <f t="shared" si="347"/>
        <v>0</v>
      </c>
      <c r="S916" s="119">
        <v>20</v>
      </c>
      <c r="T916" s="122" t="s">
        <v>1047</v>
      </c>
      <c r="U916" s="73">
        <f>SUMIF('Avoided Costs 2013-2021'!$A:$A,'2013 Actuals'!T916&amp;'2013 Actuals'!S916,'Avoided Costs 2013-2021'!$E:$E)*J916</f>
        <v>179541.87134465479</v>
      </c>
      <c r="V916" s="73">
        <f>SUMIF('Avoided Costs 2013-2021'!$A:$A,'2013 Actuals'!T916&amp;'2013 Actuals'!S916,'Avoided Costs 2013-2021'!$K:$K)*N916</f>
        <v>0</v>
      </c>
      <c r="W916" s="73">
        <f>SUMIF('Avoided Costs 2013-2021'!$A:$A,'2013 Actuals'!T916&amp;'2013 Actuals'!S916,'Avoided Costs 2013-2021'!$M:$M)*R916</f>
        <v>0</v>
      </c>
      <c r="X916" s="73">
        <f t="shared" si="348"/>
        <v>179541.87134465479</v>
      </c>
      <c r="Y916" s="89">
        <v>48983.49</v>
      </c>
      <c r="Z916" s="74">
        <f t="shared" si="349"/>
        <v>24491.744999999999</v>
      </c>
      <c r="AA916" s="75"/>
      <c r="AB916" s="75"/>
      <c r="AC916" s="75"/>
      <c r="AD916" s="74">
        <f t="shared" si="350"/>
        <v>24491.744999999999</v>
      </c>
      <c r="AE916" s="74">
        <f t="shared" si="351"/>
        <v>155050.1263446548</v>
      </c>
      <c r="AF916" s="52">
        <f t="shared" si="352"/>
        <v>1387914.7699999998</v>
      </c>
      <c r="AG916" s="52">
        <f t="shared" si="353"/>
        <v>2775829.5399999996</v>
      </c>
    </row>
    <row r="917" spans="1:33" s="21" customFormat="1" x14ac:dyDescent="0.2">
      <c r="A917" s="115" t="s">
        <v>1065</v>
      </c>
      <c r="B917" s="115"/>
      <c r="C917" s="115"/>
      <c r="D917" s="163">
        <v>1</v>
      </c>
      <c r="E917" s="164"/>
      <c r="F917" s="165">
        <v>0.5</v>
      </c>
      <c r="G917" s="165"/>
      <c r="H917" s="51">
        <v>88173</v>
      </c>
      <c r="I917" s="52">
        <f t="shared" si="342"/>
        <v>94256.936999999991</v>
      </c>
      <c r="J917" s="52">
        <f t="shared" si="343"/>
        <v>47128.468499999995</v>
      </c>
      <c r="K917" s="62"/>
      <c r="L917" s="163">
        <v>0</v>
      </c>
      <c r="M917" s="55">
        <f t="shared" si="344"/>
        <v>0</v>
      </c>
      <c r="N917" s="55">
        <f t="shared" si="345"/>
        <v>0</v>
      </c>
      <c r="O917" s="96"/>
      <c r="P917" s="163">
        <v>0</v>
      </c>
      <c r="Q917" s="55">
        <f t="shared" si="346"/>
        <v>0</v>
      </c>
      <c r="R917" s="65">
        <f t="shared" si="347"/>
        <v>0</v>
      </c>
      <c r="S917" s="119">
        <v>20</v>
      </c>
      <c r="T917" s="122" t="s">
        <v>1047</v>
      </c>
      <c r="U917" s="73">
        <f>SUMIF('Avoided Costs 2013-2021'!$A:$A,'2013 Actuals'!T917&amp;'2013 Actuals'!S917,'Avoided Costs 2013-2021'!$E:$E)*J917</f>
        <v>121931.5999943947</v>
      </c>
      <c r="V917" s="73">
        <f>SUMIF('Avoided Costs 2013-2021'!$A:$A,'2013 Actuals'!T917&amp;'2013 Actuals'!S917,'Avoided Costs 2013-2021'!$K:$K)*N917</f>
        <v>0</v>
      </c>
      <c r="W917" s="73">
        <f>SUMIF('Avoided Costs 2013-2021'!$A:$A,'2013 Actuals'!T917&amp;'2013 Actuals'!S917,'Avoided Costs 2013-2021'!$M:$M)*R917</f>
        <v>0</v>
      </c>
      <c r="X917" s="73">
        <f t="shared" si="348"/>
        <v>121931.5999943947</v>
      </c>
      <c r="Y917" s="89">
        <v>30800</v>
      </c>
      <c r="Z917" s="74">
        <f t="shared" si="349"/>
        <v>15400</v>
      </c>
      <c r="AA917" s="75"/>
      <c r="AB917" s="75"/>
      <c r="AC917" s="75"/>
      <c r="AD917" s="74">
        <f t="shared" si="350"/>
        <v>15400</v>
      </c>
      <c r="AE917" s="74">
        <f t="shared" si="351"/>
        <v>106531.5999943947</v>
      </c>
      <c r="AF917" s="52">
        <f t="shared" si="352"/>
        <v>942569.36999999988</v>
      </c>
      <c r="AG917" s="52">
        <f t="shared" si="353"/>
        <v>1885138.7399999998</v>
      </c>
    </row>
    <row r="918" spans="1:33" s="21" customFormat="1" x14ac:dyDescent="0.2">
      <c r="A918" s="115" t="s">
        <v>1066</v>
      </c>
      <c r="B918" s="115"/>
      <c r="C918" s="115"/>
      <c r="D918" s="163">
        <v>1</v>
      </c>
      <c r="E918" s="164"/>
      <c r="F918" s="165">
        <v>0.5</v>
      </c>
      <c r="G918" s="165"/>
      <c r="H918" s="51">
        <v>54947</v>
      </c>
      <c r="I918" s="52">
        <f t="shared" si="342"/>
        <v>58738.343000000001</v>
      </c>
      <c r="J918" s="52">
        <f t="shared" si="343"/>
        <v>29369.1715</v>
      </c>
      <c r="K918" s="62"/>
      <c r="L918" s="163">
        <v>0</v>
      </c>
      <c r="M918" s="55">
        <f t="shared" si="344"/>
        <v>0</v>
      </c>
      <c r="N918" s="55">
        <f t="shared" si="345"/>
        <v>0</v>
      </c>
      <c r="O918" s="96"/>
      <c r="P918" s="163">
        <v>0</v>
      </c>
      <c r="Q918" s="55">
        <f t="shared" si="346"/>
        <v>0</v>
      </c>
      <c r="R918" s="65">
        <f t="shared" si="347"/>
        <v>0</v>
      </c>
      <c r="S918" s="119">
        <v>15</v>
      </c>
      <c r="T918" s="122" t="s">
        <v>1047</v>
      </c>
      <c r="U918" s="73">
        <f>SUMIF('Avoided Costs 2013-2021'!$A:$A,'2013 Actuals'!T918&amp;'2013 Actuals'!S918,'Avoided Costs 2013-2021'!$E:$E)*J918</f>
        <v>61977.834044868272</v>
      </c>
      <c r="V918" s="73">
        <f>SUMIF('Avoided Costs 2013-2021'!$A:$A,'2013 Actuals'!T918&amp;'2013 Actuals'!S918,'Avoided Costs 2013-2021'!$K:$K)*N918</f>
        <v>0</v>
      </c>
      <c r="W918" s="73">
        <f>SUMIF('Avoided Costs 2013-2021'!$A:$A,'2013 Actuals'!T918&amp;'2013 Actuals'!S918,'Avoided Costs 2013-2021'!$M:$M)*R918</f>
        <v>0</v>
      </c>
      <c r="X918" s="73">
        <f t="shared" si="348"/>
        <v>61977.834044868272</v>
      </c>
      <c r="Y918" s="89">
        <v>23036.17</v>
      </c>
      <c r="Z918" s="74">
        <f t="shared" si="349"/>
        <v>11518.084999999999</v>
      </c>
      <c r="AA918" s="75"/>
      <c r="AB918" s="75"/>
      <c r="AC918" s="75"/>
      <c r="AD918" s="74">
        <f t="shared" si="350"/>
        <v>11518.084999999999</v>
      </c>
      <c r="AE918" s="74">
        <f t="shared" si="351"/>
        <v>50459.749044868273</v>
      </c>
      <c r="AF918" s="52">
        <f t="shared" si="352"/>
        <v>440537.57250000001</v>
      </c>
      <c r="AG918" s="52">
        <f t="shared" si="353"/>
        <v>881075.14500000002</v>
      </c>
    </row>
    <row r="919" spans="1:33" s="21" customFormat="1" x14ac:dyDescent="0.2">
      <c r="A919" s="115" t="s">
        <v>1067</v>
      </c>
      <c r="B919" s="115"/>
      <c r="C919" s="115"/>
      <c r="D919" s="163">
        <v>1</v>
      </c>
      <c r="E919" s="164"/>
      <c r="F919" s="165">
        <v>0.5</v>
      </c>
      <c r="G919" s="165"/>
      <c r="H919" s="51">
        <v>100887</v>
      </c>
      <c r="I919" s="52">
        <f t="shared" si="342"/>
        <v>107848.20299999999</v>
      </c>
      <c r="J919" s="52">
        <f t="shared" si="343"/>
        <v>53924.101499999997</v>
      </c>
      <c r="K919" s="62"/>
      <c r="L919" s="163">
        <v>0</v>
      </c>
      <c r="M919" s="55">
        <f t="shared" si="344"/>
        <v>0</v>
      </c>
      <c r="N919" s="55">
        <f t="shared" si="345"/>
        <v>0</v>
      </c>
      <c r="O919" s="96"/>
      <c r="P919" s="163">
        <v>0</v>
      </c>
      <c r="Q919" s="55">
        <f t="shared" si="346"/>
        <v>0</v>
      </c>
      <c r="R919" s="65">
        <f t="shared" si="347"/>
        <v>0</v>
      </c>
      <c r="S919" s="119">
        <v>20</v>
      </c>
      <c r="T919" s="122" t="s">
        <v>1047</v>
      </c>
      <c r="U919" s="73">
        <f>SUMIF('Avoided Costs 2013-2021'!$A:$A,'2013 Actuals'!T919&amp;'2013 Actuals'!S919,'Avoided Costs 2013-2021'!$E:$E)*J919</f>
        <v>139513.38083806264</v>
      </c>
      <c r="V919" s="73">
        <f>SUMIF('Avoided Costs 2013-2021'!$A:$A,'2013 Actuals'!T919&amp;'2013 Actuals'!S919,'Avoided Costs 2013-2021'!$K:$K)*N919</f>
        <v>0</v>
      </c>
      <c r="W919" s="73">
        <f>SUMIF('Avoided Costs 2013-2021'!$A:$A,'2013 Actuals'!T919&amp;'2013 Actuals'!S919,'Avoided Costs 2013-2021'!$M:$M)*R919</f>
        <v>0</v>
      </c>
      <c r="X919" s="73">
        <f t="shared" si="348"/>
        <v>139513.38083806264</v>
      </c>
      <c r="Y919" s="89">
        <v>12600</v>
      </c>
      <c r="Z919" s="74">
        <f t="shared" si="349"/>
        <v>6300</v>
      </c>
      <c r="AA919" s="75"/>
      <c r="AB919" s="75"/>
      <c r="AC919" s="75"/>
      <c r="AD919" s="74">
        <f t="shared" si="350"/>
        <v>6300</v>
      </c>
      <c r="AE919" s="74">
        <f t="shared" si="351"/>
        <v>133213.38083806264</v>
      </c>
      <c r="AF919" s="52">
        <f t="shared" si="352"/>
        <v>1078482.03</v>
      </c>
      <c r="AG919" s="52">
        <f t="shared" si="353"/>
        <v>2156964.06</v>
      </c>
    </row>
    <row r="920" spans="1:33" s="21" customFormat="1" x14ac:dyDescent="0.2">
      <c r="A920" s="115" t="s">
        <v>1068</v>
      </c>
      <c r="B920" s="115"/>
      <c r="C920" s="115"/>
      <c r="D920" s="163">
        <v>1</v>
      </c>
      <c r="E920" s="164"/>
      <c r="F920" s="165">
        <v>0.5</v>
      </c>
      <c r="G920" s="165"/>
      <c r="H920" s="51">
        <v>95996</v>
      </c>
      <c r="I920" s="52">
        <f t="shared" si="342"/>
        <v>102619.724</v>
      </c>
      <c r="J920" s="52">
        <f t="shared" si="343"/>
        <v>51309.862000000001</v>
      </c>
      <c r="K920" s="62"/>
      <c r="L920" s="163">
        <v>0</v>
      </c>
      <c r="M920" s="55">
        <f t="shared" si="344"/>
        <v>0</v>
      </c>
      <c r="N920" s="55">
        <f t="shared" si="345"/>
        <v>0</v>
      </c>
      <c r="O920" s="96"/>
      <c r="P920" s="163">
        <v>0</v>
      </c>
      <c r="Q920" s="55">
        <f t="shared" si="346"/>
        <v>0</v>
      </c>
      <c r="R920" s="65">
        <f t="shared" si="347"/>
        <v>0</v>
      </c>
      <c r="S920" s="119">
        <v>20</v>
      </c>
      <c r="T920" s="122" t="s">
        <v>1047</v>
      </c>
      <c r="U920" s="73">
        <f>SUMIF('Avoided Costs 2013-2021'!$A:$A,'2013 Actuals'!T920&amp;'2013 Actuals'!S920,'Avoided Costs 2013-2021'!$E:$E)*J920</f>
        <v>132749.77456888068</v>
      </c>
      <c r="V920" s="73">
        <f>SUMIF('Avoided Costs 2013-2021'!$A:$A,'2013 Actuals'!T920&amp;'2013 Actuals'!S920,'Avoided Costs 2013-2021'!$K:$K)*N920</f>
        <v>0</v>
      </c>
      <c r="W920" s="73">
        <f>SUMIF('Avoided Costs 2013-2021'!$A:$A,'2013 Actuals'!T920&amp;'2013 Actuals'!S920,'Avoided Costs 2013-2021'!$M:$M)*R920</f>
        <v>0</v>
      </c>
      <c r="X920" s="73">
        <f t="shared" si="348"/>
        <v>132749.77456888068</v>
      </c>
      <c r="Y920" s="89">
        <v>65000</v>
      </c>
      <c r="Z920" s="74">
        <f t="shared" si="349"/>
        <v>32500</v>
      </c>
      <c r="AA920" s="75"/>
      <c r="AB920" s="75"/>
      <c r="AC920" s="75"/>
      <c r="AD920" s="74">
        <f t="shared" si="350"/>
        <v>32500</v>
      </c>
      <c r="AE920" s="74">
        <f t="shared" si="351"/>
        <v>100249.77456888068</v>
      </c>
      <c r="AF920" s="52">
        <f t="shared" si="352"/>
        <v>1026197.24</v>
      </c>
      <c r="AG920" s="52">
        <f t="shared" si="353"/>
        <v>2052394.48</v>
      </c>
    </row>
    <row r="921" spans="1:33" s="21" customFormat="1" x14ac:dyDescent="0.2">
      <c r="A921" s="115" t="s">
        <v>1069</v>
      </c>
      <c r="B921" s="115"/>
      <c r="C921" s="115"/>
      <c r="D921" s="163">
        <v>1</v>
      </c>
      <c r="E921" s="164"/>
      <c r="F921" s="165">
        <v>0.5</v>
      </c>
      <c r="G921" s="165"/>
      <c r="H921" s="51">
        <v>127512</v>
      </c>
      <c r="I921" s="52">
        <f t="shared" si="342"/>
        <v>136310.32799999998</v>
      </c>
      <c r="J921" s="52">
        <f t="shared" si="343"/>
        <v>68155.16399999999</v>
      </c>
      <c r="K921" s="62"/>
      <c r="L921" s="163">
        <v>0</v>
      </c>
      <c r="M921" s="55">
        <f t="shared" si="344"/>
        <v>0</v>
      </c>
      <c r="N921" s="55">
        <f t="shared" si="345"/>
        <v>0</v>
      </c>
      <c r="O921" s="96"/>
      <c r="P921" s="163">
        <v>0</v>
      </c>
      <c r="Q921" s="55">
        <f t="shared" si="346"/>
        <v>0</v>
      </c>
      <c r="R921" s="65">
        <f t="shared" si="347"/>
        <v>0</v>
      </c>
      <c r="S921" s="119">
        <v>20</v>
      </c>
      <c r="T921" s="122" t="s">
        <v>1047</v>
      </c>
      <c r="U921" s="73">
        <f>SUMIF('Avoided Costs 2013-2021'!$A:$A,'2013 Actuals'!T921&amp;'2013 Actuals'!S921,'Avoided Costs 2013-2021'!$E:$E)*J921</f>
        <v>176332.23524758435</v>
      </c>
      <c r="V921" s="73">
        <f>SUMIF('Avoided Costs 2013-2021'!$A:$A,'2013 Actuals'!T921&amp;'2013 Actuals'!S921,'Avoided Costs 2013-2021'!$K:$K)*N921</f>
        <v>0</v>
      </c>
      <c r="W921" s="73">
        <f>SUMIF('Avoided Costs 2013-2021'!$A:$A,'2013 Actuals'!T921&amp;'2013 Actuals'!S921,'Avoided Costs 2013-2021'!$M:$M)*R921</f>
        <v>0</v>
      </c>
      <c r="X921" s="73">
        <f t="shared" si="348"/>
        <v>176332.23524758435</v>
      </c>
      <c r="Y921" s="89">
        <v>153679</v>
      </c>
      <c r="Z921" s="74">
        <f t="shared" si="349"/>
        <v>76839.5</v>
      </c>
      <c r="AA921" s="75"/>
      <c r="AB921" s="75"/>
      <c r="AC921" s="75"/>
      <c r="AD921" s="74">
        <f t="shared" si="350"/>
        <v>76839.5</v>
      </c>
      <c r="AE921" s="74">
        <f t="shared" si="351"/>
        <v>99492.735247584351</v>
      </c>
      <c r="AF921" s="52">
        <f t="shared" si="352"/>
        <v>1363103.2799999998</v>
      </c>
      <c r="AG921" s="52">
        <f t="shared" si="353"/>
        <v>2726206.5599999996</v>
      </c>
    </row>
    <row r="922" spans="1:33" s="21" customFormat="1" x14ac:dyDescent="0.2">
      <c r="A922" s="115" t="s">
        <v>1070</v>
      </c>
      <c r="B922" s="115"/>
      <c r="C922" s="115"/>
      <c r="D922" s="163">
        <v>1</v>
      </c>
      <c r="E922" s="164"/>
      <c r="F922" s="165">
        <v>0.5</v>
      </c>
      <c r="G922" s="165"/>
      <c r="H922" s="51">
        <v>12428</v>
      </c>
      <c r="I922" s="52">
        <f t="shared" si="342"/>
        <v>13285.531999999999</v>
      </c>
      <c r="J922" s="52">
        <f t="shared" si="343"/>
        <v>6642.7659999999996</v>
      </c>
      <c r="K922" s="62"/>
      <c r="L922" s="163">
        <v>0</v>
      </c>
      <c r="M922" s="55">
        <f t="shared" si="344"/>
        <v>0</v>
      </c>
      <c r="N922" s="55">
        <f t="shared" si="345"/>
        <v>0</v>
      </c>
      <c r="O922" s="96"/>
      <c r="P922" s="163">
        <v>0</v>
      </c>
      <c r="Q922" s="55">
        <f t="shared" si="346"/>
        <v>0</v>
      </c>
      <c r="R922" s="65">
        <f t="shared" si="347"/>
        <v>0</v>
      </c>
      <c r="S922" s="119">
        <v>5</v>
      </c>
      <c r="T922" s="122" t="s">
        <v>1047</v>
      </c>
      <c r="U922" s="73">
        <f>SUMIF('Avoided Costs 2013-2021'!$A:$A,'2013 Actuals'!T922&amp;'2013 Actuals'!S922,'Avoided Costs 2013-2021'!$E:$E)*J922</f>
        <v>4949.2722039628479</v>
      </c>
      <c r="V922" s="73">
        <f>SUMIF('Avoided Costs 2013-2021'!$A:$A,'2013 Actuals'!T922&amp;'2013 Actuals'!S922,'Avoided Costs 2013-2021'!$K:$K)*N922</f>
        <v>0</v>
      </c>
      <c r="W922" s="73">
        <f>SUMIF('Avoided Costs 2013-2021'!$A:$A,'2013 Actuals'!T922&amp;'2013 Actuals'!S922,'Avoided Costs 2013-2021'!$M:$M)*R922</f>
        <v>0</v>
      </c>
      <c r="X922" s="73">
        <f t="shared" si="348"/>
        <v>4949.2722039628479</v>
      </c>
      <c r="Y922" s="89">
        <v>4395</v>
      </c>
      <c r="Z922" s="74">
        <f t="shared" si="349"/>
        <v>2197.5</v>
      </c>
      <c r="AA922" s="75"/>
      <c r="AB922" s="75"/>
      <c r="AC922" s="75"/>
      <c r="AD922" s="74">
        <f t="shared" si="350"/>
        <v>2197.5</v>
      </c>
      <c r="AE922" s="74">
        <f t="shared" si="351"/>
        <v>2751.7722039628479</v>
      </c>
      <c r="AF922" s="52">
        <f t="shared" si="352"/>
        <v>33213.83</v>
      </c>
      <c r="AG922" s="52">
        <f t="shared" si="353"/>
        <v>66427.66</v>
      </c>
    </row>
    <row r="923" spans="1:33" s="21" customFormat="1" x14ac:dyDescent="0.2">
      <c r="A923" s="115" t="s">
        <v>1071</v>
      </c>
      <c r="B923" s="115"/>
      <c r="C923" s="115"/>
      <c r="D923" s="163">
        <v>1</v>
      </c>
      <c r="E923" s="164"/>
      <c r="F923" s="165">
        <v>0.5</v>
      </c>
      <c r="G923" s="165"/>
      <c r="H923" s="51">
        <v>343590</v>
      </c>
      <c r="I923" s="52">
        <f t="shared" si="342"/>
        <v>367297.70999999996</v>
      </c>
      <c r="J923" s="52">
        <f t="shared" si="343"/>
        <v>183648.85499999998</v>
      </c>
      <c r="K923" s="62"/>
      <c r="L923" s="163">
        <v>0</v>
      </c>
      <c r="M923" s="55">
        <f t="shared" si="344"/>
        <v>0</v>
      </c>
      <c r="N923" s="55">
        <f t="shared" si="345"/>
        <v>0</v>
      </c>
      <c r="O923" s="96"/>
      <c r="P923" s="163">
        <v>0</v>
      </c>
      <c r="Q923" s="55">
        <f t="shared" si="346"/>
        <v>0</v>
      </c>
      <c r="R923" s="65">
        <f t="shared" si="347"/>
        <v>0</v>
      </c>
      <c r="S923" s="119">
        <v>18</v>
      </c>
      <c r="T923" s="122" t="s">
        <v>1047</v>
      </c>
      <c r="U923" s="73">
        <f>SUMIF('Avoided Costs 2013-2021'!$A:$A,'2013 Actuals'!T923&amp;'2013 Actuals'!S923,'Avoided Costs 2013-2021'!$E:$E)*J923</f>
        <v>442597.55036579125</v>
      </c>
      <c r="V923" s="73">
        <f>SUMIF('Avoided Costs 2013-2021'!$A:$A,'2013 Actuals'!T923&amp;'2013 Actuals'!S923,'Avoided Costs 2013-2021'!$K:$K)*N923</f>
        <v>0</v>
      </c>
      <c r="W923" s="73">
        <f>SUMIF('Avoided Costs 2013-2021'!$A:$A,'2013 Actuals'!T923&amp;'2013 Actuals'!S923,'Avoided Costs 2013-2021'!$M:$M)*R923</f>
        <v>0</v>
      </c>
      <c r="X923" s="73">
        <f t="shared" si="348"/>
        <v>442597.55036579125</v>
      </c>
      <c r="Y923" s="89">
        <v>158607</v>
      </c>
      <c r="Z923" s="74">
        <f t="shared" si="349"/>
        <v>79303.5</v>
      </c>
      <c r="AA923" s="75"/>
      <c r="AB923" s="75"/>
      <c r="AC923" s="75"/>
      <c r="AD923" s="74">
        <f t="shared" si="350"/>
        <v>79303.5</v>
      </c>
      <c r="AE923" s="74">
        <f t="shared" si="351"/>
        <v>363294.05036579125</v>
      </c>
      <c r="AF923" s="52">
        <f t="shared" si="352"/>
        <v>3305679.3899999997</v>
      </c>
      <c r="AG923" s="52">
        <f t="shared" si="353"/>
        <v>6611358.7799999993</v>
      </c>
    </row>
    <row r="924" spans="1:33" s="21" customFormat="1" x14ac:dyDescent="0.2">
      <c r="A924" s="115" t="s">
        <v>1072</v>
      </c>
      <c r="B924" s="115"/>
      <c r="C924" s="115"/>
      <c r="D924" s="163">
        <v>1</v>
      </c>
      <c r="E924" s="164"/>
      <c r="F924" s="165">
        <v>0.5</v>
      </c>
      <c r="G924" s="165"/>
      <c r="H924" s="51">
        <v>293784</v>
      </c>
      <c r="I924" s="52">
        <f t="shared" si="342"/>
        <v>314055.09599999996</v>
      </c>
      <c r="J924" s="52">
        <f t="shared" si="343"/>
        <v>157027.54799999998</v>
      </c>
      <c r="K924" s="62"/>
      <c r="L924" s="163">
        <v>0</v>
      </c>
      <c r="M924" s="55">
        <f t="shared" si="344"/>
        <v>0</v>
      </c>
      <c r="N924" s="55">
        <f t="shared" si="345"/>
        <v>0</v>
      </c>
      <c r="O924" s="96"/>
      <c r="P924" s="163">
        <v>0</v>
      </c>
      <c r="Q924" s="55">
        <f t="shared" si="346"/>
        <v>0</v>
      </c>
      <c r="R924" s="65">
        <f t="shared" si="347"/>
        <v>0</v>
      </c>
      <c r="S924" s="119">
        <v>20</v>
      </c>
      <c r="T924" s="122" t="s">
        <v>1047</v>
      </c>
      <c r="U924" s="73">
        <f>SUMIF('Avoided Costs 2013-2021'!$A:$A,'2013 Actuals'!T924&amp;'2013 Actuals'!S924,'Avoided Costs 2013-2021'!$E:$E)*J924</f>
        <v>406264.42530880484</v>
      </c>
      <c r="V924" s="73">
        <f>SUMIF('Avoided Costs 2013-2021'!$A:$A,'2013 Actuals'!T924&amp;'2013 Actuals'!S924,'Avoided Costs 2013-2021'!$K:$K)*N924</f>
        <v>0</v>
      </c>
      <c r="W924" s="73">
        <f>SUMIF('Avoided Costs 2013-2021'!$A:$A,'2013 Actuals'!T924&amp;'2013 Actuals'!S924,'Avoided Costs 2013-2021'!$M:$M)*R924</f>
        <v>0</v>
      </c>
      <c r="X924" s="73">
        <f t="shared" si="348"/>
        <v>406264.42530880484</v>
      </c>
      <c r="Y924" s="89">
        <v>87614.66</v>
      </c>
      <c r="Z924" s="74">
        <f t="shared" si="349"/>
        <v>43807.33</v>
      </c>
      <c r="AA924" s="75"/>
      <c r="AB924" s="75"/>
      <c r="AC924" s="75"/>
      <c r="AD924" s="74">
        <f t="shared" si="350"/>
        <v>43807.33</v>
      </c>
      <c r="AE924" s="74">
        <f t="shared" si="351"/>
        <v>362457.09530880483</v>
      </c>
      <c r="AF924" s="52">
        <f t="shared" si="352"/>
        <v>3140550.9599999995</v>
      </c>
      <c r="AG924" s="52">
        <f t="shared" si="353"/>
        <v>6281101.919999999</v>
      </c>
    </row>
    <row r="925" spans="1:33" s="21" customFormat="1" x14ac:dyDescent="0.2">
      <c r="A925" s="115" t="s">
        <v>1073</v>
      </c>
      <c r="B925" s="115"/>
      <c r="C925" s="115"/>
      <c r="D925" s="163">
        <v>1</v>
      </c>
      <c r="E925" s="164"/>
      <c r="F925" s="165">
        <v>0.5</v>
      </c>
      <c r="G925" s="165"/>
      <c r="H925" s="51">
        <v>86092</v>
      </c>
      <c r="I925" s="52">
        <f t="shared" si="342"/>
        <v>92032.347999999998</v>
      </c>
      <c r="J925" s="52">
        <f t="shared" si="343"/>
        <v>46016.173999999999</v>
      </c>
      <c r="K925" s="62"/>
      <c r="L925" s="163">
        <v>0</v>
      </c>
      <c r="M925" s="55">
        <f t="shared" si="344"/>
        <v>0</v>
      </c>
      <c r="N925" s="55">
        <f t="shared" si="345"/>
        <v>0</v>
      </c>
      <c r="O925" s="96"/>
      <c r="P925" s="163">
        <v>0</v>
      </c>
      <c r="Q925" s="55">
        <f t="shared" si="346"/>
        <v>0</v>
      </c>
      <c r="R925" s="65">
        <f t="shared" si="347"/>
        <v>0</v>
      </c>
      <c r="S925" s="119">
        <v>25</v>
      </c>
      <c r="T925" s="122" t="s">
        <v>1047</v>
      </c>
      <c r="U925" s="73">
        <f>SUMIF('Avoided Costs 2013-2021'!$A:$A,'2013 Actuals'!T925&amp;'2013 Actuals'!S925,'Avoided Costs 2013-2021'!$E:$E)*J925</f>
        <v>136329.46850833145</v>
      </c>
      <c r="V925" s="73">
        <f>SUMIF('Avoided Costs 2013-2021'!$A:$A,'2013 Actuals'!T925&amp;'2013 Actuals'!S925,'Avoided Costs 2013-2021'!$K:$K)*N925</f>
        <v>0</v>
      </c>
      <c r="W925" s="73">
        <f>SUMIF('Avoided Costs 2013-2021'!$A:$A,'2013 Actuals'!T925&amp;'2013 Actuals'!S925,'Avoided Costs 2013-2021'!$M:$M)*R925</f>
        <v>0</v>
      </c>
      <c r="X925" s="73">
        <f t="shared" si="348"/>
        <v>136329.46850833145</v>
      </c>
      <c r="Y925" s="89">
        <v>41144</v>
      </c>
      <c r="Z925" s="74">
        <f t="shared" si="349"/>
        <v>20572</v>
      </c>
      <c r="AA925" s="75"/>
      <c r="AB925" s="75"/>
      <c r="AC925" s="75"/>
      <c r="AD925" s="74">
        <f t="shared" si="350"/>
        <v>20572</v>
      </c>
      <c r="AE925" s="74">
        <f t="shared" si="351"/>
        <v>115757.46850833145</v>
      </c>
      <c r="AF925" s="52">
        <f t="shared" si="352"/>
        <v>1150404.3500000001</v>
      </c>
      <c r="AG925" s="52">
        <f t="shared" si="353"/>
        <v>2300808.7000000002</v>
      </c>
    </row>
    <row r="926" spans="1:33" s="21" customFormat="1" x14ac:dyDescent="0.2">
      <c r="A926" s="115" t="s">
        <v>1074</v>
      </c>
      <c r="B926" s="115"/>
      <c r="C926" s="115"/>
      <c r="D926" s="163">
        <v>1</v>
      </c>
      <c r="E926" s="164"/>
      <c r="F926" s="165">
        <v>0.5</v>
      </c>
      <c r="G926" s="165"/>
      <c r="H926" s="51">
        <v>352606</v>
      </c>
      <c r="I926" s="52">
        <f t="shared" si="342"/>
        <v>376935.81399999995</v>
      </c>
      <c r="J926" s="52">
        <f t="shared" si="343"/>
        <v>188467.90699999998</v>
      </c>
      <c r="K926" s="62"/>
      <c r="L926" s="163">
        <v>0</v>
      </c>
      <c r="M926" s="55">
        <f t="shared" si="344"/>
        <v>0</v>
      </c>
      <c r="N926" s="55">
        <f t="shared" si="345"/>
        <v>0</v>
      </c>
      <c r="O926" s="96"/>
      <c r="P926" s="163">
        <v>0</v>
      </c>
      <c r="Q926" s="55">
        <f t="shared" si="346"/>
        <v>0</v>
      </c>
      <c r="R926" s="65">
        <f t="shared" si="347"/>
        <v>0</v>
      </c>
      <c r="S926" s="119">
        <v>15</v>
      </c>
      <c r="T926" s="122" t="s">
        <v>1047</v>
      </c>
      <c r="U926" s="73">
        <f>SUMIF('Avoided Costs 2013-2021'!$A:$A,'2013 Actuals'!T926&amp;'2013 Actuals'!S926,'Avoided Costs 2013-2021'!$E:$E)*J926</f>
        <v>397724.28251269076</v>
      </c>
      <c r="V926" s="73">
        <f>SUMIF('Avoided Costs 2013-2021'!$A:$A,'2013 Actuals'!T926&amp;'2013 Actuals'!S926,'Avoided Costs 2013-2021'!$K:$K)*N926</f>
        <v>0</v>
      </c>
      <c r="W926" s="73">
        <f>SUMIF('Avoided Costs 2013-2021'!$A:$A,'2013 Actuals'!T926&amp;'2013 Actuals'!S926,'Avoided Costs 2013-2021'!$M:$M)*R926</f>
        <v>0</v>
      </c>
      <c r="X926" s="73">
        <f t="shared" si="348"/>
        <v>397724.28251269076</v>
      </c>
      <c r="Y926" s="89">
        <v>113250</v>
      </c>
      <c r="Z926" s="74">
        <f t="shared" si="349"/>
        <v>56625</v>
      </c>
      <c r="AA926" s="75"/>
      <c r="AB926" s="75"/>
      <c r="AC926" s="75"/>
      <c r="AD926" s="74">
        <f t="shared" si="350"/>
        <v>56625</v>
      </c>
      <c r="AE926" s="74">
        <f t="shared" si="351"/>
        <v>341099.28251269076</v>
      </c>
      <c r="AF926" s="52">
        <f t="shared" si="352"/>
        <v>2827018.6049999995</v>
      </c>
      <c r="AG926" s="52">
        <f t="shared" si="353"/>
        <v>5654037.209999999</v>
      </c>
    </row>
    <row r="927" spans="1:33" s="21" customFormat="1" x14ac:dyDescent="0.2">
      <c r="A927" s="115" t="s">
        <v>1075</v>
      </c>
      <c r="B927" s="115"/>
      <c r="C927" s="115"/>
      <c r="D927" s="163">
        <v>1</v>
      </c>
      <c r="E927" s="164"/>
      <c r="F927" s="165">
        <v>0.5</v>
      </c>
      <c r="G927" s="165"/>
      <c r="H927" s="51">
        <v>872743</v>
      </c>
      <c r="I927" s="52">
        <f t="shared" si="342"/>
        <v>932962.26699999999</v>
      </c>
      <c r="J927" s="52">
        <f t="shared" si="343"/>
        <v>466481.1335</v>
      </c>
      <c r="K927" s="62"/>
      <c r="L927" s="163">
        <v>0</v>
      </c>
      <c r="M927" s="55">
        <f t="shared" si="344"/>
        <v>0</v>
      </c>
      <c r="N927" s="55">
        <f t="shared" si="345"/>
        <v>0</v>
      </c>
      <c r="O927" s="96"/>
      <c r="P927" s="163">
        <v>0</v>
      </c>
      <c r="Q927" s="55">
        <f t="shared" si="346"/>
        <v>0</v>
      </c>
      <c r="R927" s="65">
        <f t="shared" si="347"/>
        <v>0</v>
      </c>
      <c r="S927" s="119">
        <v>18</v>
      </c>
      <c r="T927" s="122" t="s">
        <v>1047</v>
      </c>
      <c r="U927" s="73">
        <f>SUMIF('Avoided Costs 2013-2021'!$A:$A,'2013 Actuals'!T927&amp;'2013 Actuals'!S927,'Avoided Costs 2013-2021'!$E:$E)*J927</f>
        <v>1124229.2089376634</v>
      </c>
      <c r="V927" s="73">
        <f>SUMIF('Avoided Costs 2013-2021'!$A:$A,'2013 Actuals'!T927&amp;'2013 Actuals'!S927,'Avoided Costs 2013-2021'!$K:$K)*N927</f>
        <v>0</v>
      </c>
      <c r="W927" s="73">
        <f>SUMIF('Avoided Costs 2013-2021'!$A:$A,'2013 Actuals'!T927&amp;'2013 Actuals'!S927,'Avoided Costs 2013-2021'!$M:$M)*R927</f>
        <v>0</v>
      </c>
      <c r="X927" s="73">
        <f t="shared" si="348"/>
        <v>1124229.2089376634</v>
      </c>
      <c r="Y927" s="89">
        <v>500000</v>
      </c>
      <c r="Z927" s="74">
        <f t="shared" si="349"/>
        <v>250000</v>
      </c>
      <c r="AA927" s="75"/>
      <c r="AB927" s="75"/>
      <c r="AC927" s="75"/>
      <c r="AD927" s="74">
        <f t="shared" si="350"/>
        <v>250000</v>
      </c>
      <c r="AE927" s="74">
        <f t="shared" si="351"/>
        <v>874229.20893766335</v>
      </c>
      <c r="AF927" s="52">
        <f t="shared" si="352"/>
        <v>8396660.4030000009</v>
      </c>
      <c r="AG927" s="52">
        <f t="shared" si="353"/>
        <v>16793320.806000002</v>
      </c>
    </row>
    <row r="928" spans="1:33" s="21" customFormat="1" x14ac:dyDescent="0.2">
      <c r="A928" s="115" t="s">
        <v>1076</v>
      </c>
      <c r="B928" s="115"/>
      <c r="C928" s="115"/>
      <c r="D928" s="163">
        <v>1</v>
      </c>
      <c r="E928" s="164"/>
      <c r="F928" s="165">
        <v>0.5</v>
      </c>
      <c r="G928" s="165"/>
      <c r="H928" s="51">
        <v>1031423</v>
      </c>
      <c r="I928" s="52">
        <f t="shared" si="342"/>
        <v>1102591.1869999999</v>
      </c>
      <c r="J928" s="52">
        <f t="shared" si="343"/>
        <v>551295.59349999996</v>
      </c>
      <c r="K928" s="62"/>
      <c r="L928" s="163">
        <v>0</v>
      </c>
      <c r="M928" s="55">
        <f t="shared" si="344"/>
        <v>0</v>
      </c>
      <c r="N928" s="55">
        <f t="shared" si="345"/>
        <v>0</v>
      </c>
      <c r="O928" s="96"/>
      <c r="P928" s="163">
        <v>0</v>
      </c>
      <c r="Q928" s="55">
        <f t="shared" si="346"/>
        <v>0</v>
      </c>
      <c r="R928" s="65">
        <f t="shared" si="347"/>
        <v>0</v>
      </c>
      <c r="S928" s="119">
        <v>18</v>
      </c>
      <c r="T928" s="122" t="s">
        <v>1047</v>
      </c>
      <c r="U928" s="73">
        <f>SUMIF('Avoided Costs 2013-2021'!$A:$A,'2013 Actuals'!T928&amp;'2013 Actuals'!S928,'Avoided Costs 2013-2021'!$E:$E)*J928</f>
        <v>1328633.8170230086</v>
      </c>
      <c r="V928" s="73">
        <f>SUMIF('Avoided Costs 2013-2021'!$A:$A,'2013 Actuals'!T928&amp;'2013 Actuals'!S928,'Avoided Costs 2013-2021'!$K:$K)*N928</f>
        <v>0</v>
      </c>
      <c r="W928" s="73">
        <f>SUMIF('Avoided Costs 2013-2021'!$A:$A,'2013 Actuals'!T928&amp;'2013 Actuals'!S928,'Avoided Costs 2013-2021'!$M:$M)*R928</f>
        <v>0</v>
      </c>
      <c r="X928" s="73">
        <f t="shared" si="348"/>
        <v>1328633.8170230086</v>
      </c>
      <c r="Y928" s="89">
        <v>500000</v>
      </c>
      <c r="Z928" s="74">
        <f t="shared" si="349"/>
        <v>250000</v>
      </c>
      <c r="AA928" s="75"/>
      <c r="AB928" s="75"/>
      <c r="AC928" s="75"/>
      <c r="AD928" s="74">
        <f t="shared" si="350"/>
        <v>250000</v>
      </c>
      <c r="AE928" s="74">
        <f t="shared" si="351"/>
        <v>1078633.8170230086</v>
      </c>
      <c r="AF928" s="52">
        <f t="shared" si="352"/>
        <v>9923320.6829999983</v>
      </c>
      <c r="AG928" s="52">
        <f t="shared" si="353"/>
        <v>19846641.365999997</v>
      </c>
    </row>
    <row r="929" spans="1:33" s="21" customFormat="1" x14ac:dyDescent="0.2">
      <c r="A929" s="115" t="s">
        <v>1077</v>
      </c>
      <c r="B929" s="115"/>
      <c r="C929" s="115"/>
      <c r="D929" s="163">
        <v>1</v>
      </c>
      <c r="E929" s="164"/>
      <c r="F929" s="165">
        <v>0.5</v>
      </c>
      <c r="G929" s="165"/>
      <c r="H929" s="51">
        <v>96922</v>
      </c>
      <c r="I929" s="52">
        <f t="shared" si="342"/>
        <v>103609.618</v>
      </c>
      <c r="J929" s="52">
        <f t="shared" si="343"/>
        <v>51804.809000000001</v>
      </c>
      <c r="K929" s="62"/>
      <c r="L929" s="163">
        <v>0</v>
      </c>
      <c r="M929" s="55">
        <f t="shared" si="344"/>
        <v>0</v>
      </c>
      <c r="N929" s="55">
        <f t="shared" si="345"/>
        <v>0</v>
      </c>
      <c r="O929" s="96"/>
      <c r="P929" s="163">
        <v>0</v>
      </c>
      <c r="Q929" s="55">
        <f t="shared" si="346"/>
        <v>0</v>
      </c>
      <c r="R929" s="65">
        <f t="shared" si="347"/>
        <v>0</v>
      </c>
      <c r="S929" s="119">
        <v>5</v>
      </c>
      <c r="T929" s="122" t="s">
        <v>1047</v>
      </c>
      <c r="U929" s="73">
        <f>SUMIF('Avoided Costs 2013-2021'!$A:$A,'2013 Actuals'!T929&amp;'2013 Actuals'!S929,'Avoided Costs 2013-2021'!$E:$E)*J929</f>
        <v>38597.792126849628</v>
      </c>
      <c r="V929" s="73">
        <f>SUMIF('Avoided Costs 2013-2021'!$A:$A,'2013 Actuals'!T929&amp;'2013 Actuals'!S929,'Avoided Costs 2013-2021'!$K:$K)*N929</f>
        <v>0</v>
      </c>
      <c r="W929" s="73">
        <f>SUMIF('Avoided Costs 2013-2021'!$A:$A,'2013 Actuals'!T929&amp;'2013 Actuals'!S929,'Avoided Costs 2013-2021'!$M:$M)*R929</f>
        <v>0</v>
      </c>
      <c r="X929" s="73">
        <f t="shared" si="348"/>
        <v>38597.792126849628</v>
      </c>
      <c r="Y929" s="89">
        <v>13074.97</v>
      </c>
      <c r="Z929" s="74">
        <f t="shared" si="349"/>
        <v>6537.4849999999997</v>
      </c>
      <c r="AA929" s="75"/>
      <c r="AB929" s="75"/>
      <c r="AC929" s="75"/>
      <c r="AD929" s="74">
        <f t="shared" si="350"/>
        <v>6537.4849999999997</v>
      </c>
      <c r="AE929" s="74">
        <f t="shared" si="351"/>
        <v>32060.307126849628</v>
      </c>
      <c r="AF929" s="52">
        <f t="shared" si="352"/>
        <v>259024.04500000001</v>
      </c>
      <c r="AG929" s="52">
        <f t="shared" si="353"/>
        <v>518048.09</v>
      </c>
    </row>
    <row r="930" spans="1:33" s="21" customFormat="1" x14ac:dyDescent="0.2">
      <c r="A930" s="115" t="s">
        <v>1078</v>
      </c>
      <c r="B930" s="115"/>
      <c r="C930" s="115"/>
      <c r="D930" s="163">
        <v>1</v>
      </c>
      <c r="E930" s="164"/>
      <c r="F930" s="165">
        <v>0.5</v>
      </c>
      <c r="G930" s="165"/>
      <c r="H930" s="51">
        <v>14190</v>
      </c>
      <c r="I930" s="52">
        <f t="shared" si="342"/>
        <v>15169.109999999999</v>
      </c>
      <c r="J930" s="52">
        <f t="shared" si="343"/>
        <v>7584.5549999999994</v>
      </c>
      <c r="K930" s="62"/>
      <c r="L930" s="163">
        <v>0</v>
      </c>
      <c r="M930" s="55">
        <f t="shared" si="344"/>
        <v>0</v>
      </c>
      <c r="N930" s="55">
        <f t="shared" si="345"/>
        <v>0</v>
      </c>
      <c r="O930" s="96"/>
      <c r="P930" s="163">
        <v>0</v>
      </c>
      <c r="Q930" s="55">
        <f t="shared" si="346"/>
        <v>0</v>
      </c>
      <c r="R930" s="65">
        <f t="shared" si="347"/>
        <v>0</v>
      </c>
      <c r="S930" s="119">
        <v>20</v>
      </c>
      <c r="T930" s="122" t="s">
        <v>1047</v>
      </c>
      <c r="U930" s="73">
        <f>SUMIF('Avoided Costs 2013-2021'!$A:$A,'2013 Actuals'!T930&amp;'2013 Actuals'!S930,'Avoided Costs 2013-2021'!$E:$E)*J930</f>
        <v>19622.893674032421</v>
      </c>
      <c r="V930" s="73">
        <f>SUMIF('Avoided Costs 2013-2021'!$A:$A,'2013 Actuals'!T930&amp;'2013 Actuals'!S930,'Avoided Costs 2013-2021'!$K:$K)*N930</f>
        <v>0</v>
      </c>
      <c r="W930" s="73">
        <f>SUMIF('Avoided Costs 2013-2021'!$A:$A,'2013 Actuals'!T930&amp;'2013 Actuals'!S930,'Avoided Costs 2013-2021'!$M:$M)*R930</f>
        <v>0</v>
      </c>
      <c r="X930" s="73">
        <f t="shared" si="348"/>
        <v>19622.893674032421</v>
      </c>
      <c r="Y930" s="89">
        <v>40000</v>
      </c>
      <c r="Z930" s="74">
        <f t="shared" si="349"/>
        <v>20000</v>
      </c>
      <c r="AA930" s="75"/>
      <c r="AB930" s="75"/>
      <c r="AC930" s="75"/>
      <c r="AD930" s="74">
        <f t="shared" si="350"/>
        <v>20000</v>
      </c>
      <c r="AE930" s="74">
        <f t="shared" si="351"/>
        <v>-377.10632596757932</v>
      </c>
      <c r="AF930" s="52">
        <f t="shared" si="352"/>
        <v>151691.09999999998</v>
      </c>
      <c r="AG930" s="52">
        <f t="shared" si="353"/>
        <v>303382.19999999995</v>
      </c>
    </row>
    <row r="931" spans="1:33" s="21" customFormat="1" x14ac:dyDescent="0.2">
      <c r="A931" s="115" t="s">
        <v>1079</v>
      </c>
      <c r="B931" s="115"/>
      <c r="C931" s="115"/>
      <c r="D931" s="163">
        <v>1</v>
      </c>
      <c r="E931" s="164"/>
      <c r="F931" s="165">
        <v>0.5</v>
      </c>
      <c r="G931" s="165"/>
      <c r="H931" s="51">
        <v>7216</v>
      </c>
      <c r="I931" s="52">
        <f t="shared" si="342"/>
        <v>7713.9039999999995</v>
      </c>
      <c r="J931" s="52">
        <f t="shared" si="343"/>
        <v>3856.9519999999998</v>
      </c>
      <c r="K931" s="62"/>
      <c r="L931" s="163">
        <v>0</v>
      </c>
      <c r="M931" s="55">
        <f t="shared" si="344"/>
        <v>0</v>
      </c>
      <c r="N931" s="55">
        <f t="shared" si="345"/>
        <v>0</v>
      </c>
      <c r="O931" s="96"/>
      <c r="P931" s="163">
        <v>0</v>
      </c>
      <c r="Q931" s="55">
        <f t="shared" si="346"/>
        <v>0</v>
      </c>
      <c r="R931" s="65">
        <f t="shared" si="347"/>
        <v>0</v>
      </c>
      <c r="S931" s="119">
        <v>5</v>
      </c>
      <c r="T931" s="122" t="s">
        <v>1047</v>
      </c>
      <c r="U931" s="73">
        <f>SUMIF('Avoided Costs 2013-2021'!$A:$A,'2013 Actuals'!T931&amp;'2013 Actuals'!S931,'Avoided Costs 2013-2021'!$E:$E)*J931</f>
        <v>2873.6681866588274</v>
      </c>
      <c r="V931" s="73">
        <f>SUMIF('Avoided Costs 2013-2021'!$A:$A,'2013 Actuals'!T931&amp;'2013 Actuals'!S931,'Avoided Costs 2013-2021'!$K:$K)*N931</f>
        <v>0</v>
      </c>
      <c r="W931" s="73">
        <f>SUMIF('Avoided Costs 2013-2021'!$A:$A,'2013 Actuals'!T931&amp;'2013 Actuals'!S931,'Avoided Costs 2013-2021'!$M:$M)*R931</f>
        <v>0</v>
      </c>
      <c r="X931" s="73">
        <f t="shared" si="348"/>
        <v>2873.6681866588274</v>
      </c>
      <c r="Y931" s="89">
        <v>140</v>
      </c>
      <c r="Z931" s="74">
        <f t="shared" si="349"/>
        <v>70</v>
      </c>
      <c r="AA931" s="75"/>
      <c r="AB931" s="75"/>
      <c r="AC931" s="75"/>
      <c r="AD931" s="74">
        <f t="shared" si="350"/>
        <v>70</v>
      </c>
      <c r="AE931" s="74">
        <f t="shared" si="351"/>
        <v>2803.6681866588274</v>
      </c>
      <c r="AF931" s="52">
        <f t="shared" si="352"/>
        <v>19284.759999999998</v>
      </c>
      <c r="AG931" s="52">
        <f t="shared" si="353"/>
        <v>38569.519999999997</v>
      </c>
    </row>
    <row r="932" spans="1:33" s="21" customFormat="1" x14ac:dyDescent="0.2">
      <c r="A932" s="115" t="s">
        <v>1080</v>
      </c>
      <c r="B932" s="115"/>
      <c r="C932" s="115"/>
      <c r="D932" s="163">
        <v>1</v>
      </c>
      <c r="E932" s="164"/>
      <c r="F932" s="165">
        <v>0.5</v>
      </c>
      <c r="G932" s="165"/>
      <c r="H932" s="51">
        <v>36239</v>
      </c>
      <c r="I932" s="52">
        <f t="shared" si="342"/>
        <v>38739.491000000002</v>
      </c>
      <c r="J932" s="52">
        <f t="shared" si="343"/>
        <v>19369.745500000001</v>
      </c>
      <c r="K932" s="62"/>
      <c r="L932" s="163">
        <v>0</v>
      </c>
      <c r="M932" s="55">
        <f t="shared" si="344"/>
        <v>0</v>
      </c>
      <c r="N932" s="55">
        <f t="shared" si="345"/>
        <v>0</v>
      </c>
      <c r="O932" s="96"/>
      <c r="P932" s="163">
        <v>0</v>
      </c>
      <c r="Q932" s="55">
        <f t="shared" si="346"/>
        <v>0</v>
      </c>
      <c r="R932" s="65">
        <f t="shared" si="347"/>
        <v>0</v>
      </c>
      <c r="S932" s="119">
        <v>15</v>
      </c>
      <c r="T932" s="122" t="s">
        <v>1047</v>
      </c>
      <c r="U932" s="73">
        <f>SUMIF('Avoided Costs 2013-2021'!$A:$A,'2013 Actuals'!T932&amp;'2013 Actuals'!S932,'Avoided Costs 2013-2021'!$E:$E)*J932</f>
        <v>40876.021037581333</v>
      </c>
      <c r="V932" s="73">
        <f>SUMIF('Avoided Costs 2013-2021'!$A:$A,'2013 Actuals'!T932&amp;'2013 Actuals'!S932,'Avoided Costs 2013-2021'!$K:$K)*N932</f>
        <v>0</v>
      </c>
      <c r="W932" s="73">
        <f>SUMIF('Avoided Costs 2013-2021'!$A:$A,'2013 Actuals'!T932&amp;'2013 Actuals'!S932,'Avoided Costs 2013-2021'!$M:$M)*R932</f>
        <v>0</v>
      </c>
      <c r="X932" s="73">
        <f t="shared" si="348"/>
        <v>40876.021037581333</v>
      </c>
      <c r="Y932" s="89">
        <v>4000</v>
      </c>
      <c r="Z932" s="74">
        <f t="shared" si="349"/>
        <v>2000</v>
      </c>
      <c r="AA932" s="75"/>
      <c r="AB932" s="75"/>
      <c r="AC932" s="75"/>
      <c r="AD932" s="74">
        <f t="shared" si="350"/>
        <v>2000</v>
      </c>
      <c r="AE932" s="74">
        <f t="shared" si="351"/>
        <v>38876.021037581333</v>
      </c>
      <c r="AF932" s="52">
        <f t="shared" si="352"/>
        <v>290546.1825</v>
      </c>
      <c r="AG932" s="52">
        <f t="shared" si="353"/>
        <v>581092.36499999999</v>
      </c>
    </row>
    <row r="933" spans="1:33" s="21" customFormat="1" x14ac:dyDescent="0.2">
      <c r="A933" s="115" t="s">
        <v>1081</v>
      </c>
      <c r="B933" s="115"/>
      <c r="C933" s="115"/>
      <c r="D933" s="163">
        <v>1</v>
      </c>
      <c r="E933" s="164"/>
      <c r="F933" s="165">
        <v>0.5</v>
      </c>
      <c r="G933" s="165"/>
      <c r="H933" s="51">
        <v>71433</v>
      </c>
      <c r="I933" s="52">
        <f t="shared" si="342"/>
        <v>76361.876999999993</v>
      </c>
      <c r="J933" s="52">
        <f t="shared" si="343"/>
        <v>38180.938499999997</v>
      </c>
      <c r="K933" s="62"/>
      <c r="L933" s="163">
        <v>0</v>
      </c>
      <c r="M933" s="55">
        <f t="shared" si="344"/>
        <v>0</v>
      </c>
      <c r="N933" s="55">
        <f t="shared" si="345"/>
        <v>0</v>
      </c>
      <c r="O933" s="96"/>
      <c r="P933" s="163">
        <v>0</v>
      </c>
      <c r="Q933" s="55">
        <f t="shared" si="346"/>
        <v>0</v>
      </c>
      <c r="R933" s="65">
        <f t="shared" si="347"/>
        <v>0</v>
      </c>
      <c r="S933" s="119">
        <v>5</v>
      </c>
      <c r="T933" s="122" t="s">
        <v>1047</v>
      </c>
      <c r="U933" s="73">
        <f>SUMIF('Avoided Costs 2013-2021'!$A:$A,'2013 Actuals'!T933&amp;'2013 Actuals'!S933,'Avoided Costs 2013-2021'!$E:$E)*J933</f>
        <v>28447.164575609761</v>
      </c>
      <c r="V933" s="73">
        <f>SUMIF('Avoided Costs 2013-2021'!$A:$A,'2013 Actuals'!T933&amp;'2013 Actuals'!S933,'Avoided Costs 2013-2021'!$K:$K)*N933</f>
        <v>0</v>
      </c>
      <c r="W933" s="73">
        <f>SUMIF('Avoided Costs 2013-2021'!$A:$A,'2013 Actuals'!T933&amp;'2013 Actuals'!S933,'Avoided Costs 2013-2021'!$M:$M)*R933</f>
        <v>0</v>
      </c>
      <c r="X933" s="73">
        <f t="shared" si="348"/>
        <v>28447.164575609761</v>
      </c>
      <c r="Y933" s="89">
        <v>6776</v>
      </c>
      <c r="Z933" s="74">
        <f t="shared" si="349"/>
        <v>3388</v>
      </c>
      <c r="AA933" s="75"/>
      <c r="AB933" s="75"/>
      <c r="AC933" s="75"/>
      <c r="AD933" s="74">
        <f t="shared" si="350"/>
        <v>3388</v>
      </c>
      <c r="AE933" s="74">
        <f t="shared" si="351"/>
        <v>25059.164575609761</v>
      </c>
      <c r="AF933" s="52">
        <f t="shared" si="352"/>
        <v>190904.69249999998</v>
      </c>
      <c r="AG933" s="52">
        <f t="shared" si="353"/>
        <v>381809.38499999995</v>
      </c>
    </row>
    <row r="934" spans="1:33" s="21" customFormat="1" x14ac:dyDescent="0.2">
      <c r="A934" s="115" t="s">
        <v>1082</v>
      </c>
      <c r="B934" s="115"/>
      <c r="C934" s="115"/>
      <c r="D934" s="163">
        <v>1</v>
      </c>
      <c r="E934" s="164"/>
      <c r="F934" s="165">
        <v>0.5</v>
      </c>
      <c r="G934" s="165"/>
      <c r="H934" s="51">
        <v>35225</v>
      </c>
      <c r="I934" s="52">
        <f t="shared" si="342"/>
        <v>37655.525000000001</v>
      </c>
      <c r="J934" s="52">
        <f t="shared" si="343"/>
        <v>18827.762500000001</v>
      </c>
      <c r="K934" s="62"/>
      <c r="L934" s="163">
        <v>0</v>
      </c>
      <c r="M934" s="55">
        <f t="shared" si="344"/>
        <v>0</v>
      </c>
      <c r="N934" s="55">
        <f t="shared" si="345"/>
        <v>0</v>
      </c>
      <c r="O934" s="96"/>
      <c r="P934" s="163">
        <v>0</v>
      </c>
      <c r="Q934" s="55">
        <f t="shared" si="346"/>
        <v>0</v>
      </c>
      <c r="R934" s="65">
        <f t="shared" si="347"/>
        <v>0</v>
      </c>
      <c r="S934" s="119">
        <v>20</v>
      </c>
      <c r="T934" s="122" t="s">
        <v>1047</v>
      </c>
      <c r="U934" s="73">
        <f>SUMIF('Avoided Costs 2013-2021'!$A:$A,'2013 Actuals'!T934&amp;'2013 Actuals'!S934,'Avoided Costs 2013-2021'!$E:$E)*J934</f>
        <v>48711.517242268652</v>
      </c>
      <c r="V934" s="73">
        <f>SUMIF('Avoided Costs 2013-2021'!$A:$A,'2013 Actuals'!T934&amp;'2013 Actuals'!S934,'Avoided Costs 2013-2021'!$K:$K)*N934</f>
        <v>0</v>
      </c>
      <c r="W934" s="73">
        <f>SUMIF('Avoided Costs 2013-2021'!$A:$A,'2013 Actuals'!T934&amp;'2013 Actuals'!S934,'Avoided Costs 2013-2021'!$M:$M)*R934</f>
        <v>0</v>
      </c>
      <c r="X934" s="73">
        <f t="shared" si="348"/>
        <v>48711.517242268652</v>
      </c>
      <c r="Y934" s="89">
        <v>5472</v>
      </c>
      <c r="Z934" s="74">
        <f t="shared" si="349"/>
        <v>2736</v>
      </c>
      <c r="AA934" s="75"/>
      <c r="AB934" s="75"/>
      <c r="AC934" s="75"/>
      <c r="AD934" s="74">
        <f t="shared" si="350"/>
        <v>2736</v>
      </c>
      <c r="AE934" s="74">
        <f t="shared" si="351"/>
        <v>45975.517242268652</v>
      </c>
      <c r="AF934" s="52">
        <f t="shared" si="352"/>
        <v>376555.25</v>
      </c>
      <c r="AG934" s="52">
        <f t="shared" si="353"/>
        <v>753110.5</v>
      </c>
    </row>
    <row r="935" spans="1:33" s="21" customFormat="1" x14ac:dyDescent="0.2">
      <c r="A935" s="115" t="s">
        <v>1083</v>
      </c>
      <c r="B935" s="115"/>
      <c r="C935" s="115"/>
      <c r="D935" s="163">
        <v>1</v>
      </c>
      <c r="E935" s="164"/>
      <c r="F935" s="165">
        <v>0.5</v>
      </c>
      <c r="G935" s="165"/>
      <c r="H935" s="51">
        <v>11697</v>
      </c>
      <c r="I935" s="52">
        <f t="shared" si="342"/>
        <v>12504.092999999999</v>
      </c>
      <c r="J935" s="52">
        <f t="shared" si="343"/>
        <v>6252.0464999999995</v>
      </c>
      <c r="K935" s="62"/>
      <c r="L935" s="163">
        <v>-1913</v>
      </c>
      <c r="M935" s="55">
        <f t="shared" si="344"/>
        <v>-1913</v>
      </c>
      <c r="N935" s="55">
        <f t="shared" si="345"/>
        <v>-956.5</v>
      </c>
      <c r="O935" s="96"/>
      <c r="P935" s="163">
        <v>0</v>
      </c>
      <c r="Q935" s="55">
        <f t="shared" si="346"/>
        <v>0</v>
      </c>
      <c r="R935" s="65">
        <f t="shared" si="347"/>
        <v>0</v>
      </c>
      <c r="S935" s="119">
        <v>15</v>
      </c>
      <c r="T935" s="122" t="s">
        <v>1047</v>
      </c>
      <c r="U935" s="73">
        <f>SUMIF('Avoided Costs 2013-2021'!$A:$A,'2013 Actuals'!T935&amp;'2013 Actuals'!S935,'Avoided Costs 2013-2021'!$E:$E)*J935</f>
        <v>13193.708934479118</v>
      </c>
      <c r="V935" s="73">
        <f>SUMIF('Avoided Costs 2013-2021'!$A:$A,'2013 Actuals'!T935&amp;'2013 Actuals'!S935,'Avoided Costs 2013-2021'!$K:$K)*N935</f>
        <v>-1001.3537943527493</v>
      </c>
      <c r="W935" s="73">
        <f>SUMIF('Avoided Costs 2013-2021'!$A:$A,'2013 Actuals'!T935&amp;'2013 Actuals'!S935,'Avoided Costs 2013-2021'!$M:$M)*R935</f>
        <v>0</v>
      </c>
      <c r="X935" s="73">
        <f t="shared" si="348"/>
        <v>12192.355140126368</v>
      </c>
      <c r="Y935" s="89">
        <v>19162</v>
      </c>
      <c r="Z935" s="74">
        <f t="shared" si="349"/>
        <v>9581</v>
      </c>
      <c r="AA935" s="75"/>
      <c r="AB935" s="75"/>
      <c r="AC935" s="75"/>
      <c r="AD935" s="74">
        <f t="shared" si="350"/>
        <v>9581</v>
      </c>
      <c r="AE935" s="74">
        <f t="shared" si="351"/>
        <v>2611.3551401263685</v>
      </c>
      <c r="AF935" s="52">
        <f t="shared" si="352"/>
        <v>93780.697499999995</v>
      </c>
      <c r="AG935" s="52">
        <f t="shared" si="353"/>
        <v>187561.39499999999</v>
      </c>
    </row>
    <row r="936" spans="1:33" s="21" customFormat="1" x14ac:dyDescent="0.2">
      <c r="A936" s="115" t="s">
        <v>1084</v>
      </c>
      <c r="B936" s="115"/>
      <c r="C936" s="115"/>
      <c r="D936" s="163">
        <v>1</v>
      </c>
      <c r="E936" s="164"/>
      <c r="F936" s="165">
        <v>0.5</v>
      </c>
      <c r="G936" s="165"/>
      <c r="H936" s="51">
        <v>9642</v>
      </c>
      <c r="I936" s="52">
        <f t="shared" si="342"/>
        <v>10307.297999999999</v>
      </c>
      <c r="J936" s="52">
        <f t="shared" si="343"/>
        <v>5153.6489999999994</v>
      </c>
      <c r="K936" s="62"/>
      <c r="L936" s="163">
        <v>-2137</v>
      </c>
      <c r="M936" s="55">
        <f t="shared" si="344"/>
        <v>-2137</v>
      </c>
      <c r="N936" s="55">
        <f t="shared" si="345"/>
        <v>-1068.5</v>
      </c>
      <c r="O936" s="96"/>
      <c r="P936" s="163">
        <v>0</v>
      </c>
      <c r="Q936" s="55">
        <f t="shared" si="346"/>
        <v>0</v>
      </c>
      <c r="R936" s="65">
        <f t="shared" si="347"/>
        <v>0</v>
      </c>
      <c r="S936" s="119">
        <v>15</v>
      </c>
      <c r="T936" s="122" t="s">
        <v>1047</v>
      </c>
      <c r="U936" s="73">
        <f>SUMIF('Avoided Costs 2013-2021'!$A:$A,'2013 Actuals'!T936&amp;'2013 Actuals'!S936,'Avoided Costs 2013-2021'!$E:$E)*J936</f>
        <v>10875.758018829414</v>
      </c>
      <c r="V936" s="73">
        <f>SUMIF('Avoided Costs 2013-2021'!$A:$A,'2013 Actuals'!T936&amp;'2013 Actuals'!S936,'Avoided Costs 2013-2021'!$K:$K)*N936</f>
        <v>-1118.6058852753922</v>
      </c>
      <c r="W936" s="73">
        <f>SUMIF('Avoided Costs 2013-2021'!$A:$A,'2013 Actuals'!T936&amp;'2013 Actuals'!S936,'Avoided Costs 2013-2021'!$M:$M)*R936</f>
        <v>0</v>
      </c>
      <c r="X936" s="73">
        <f t="shared" si="348"/>
        <v>9757.1521335540219</v>
      </c>
      <c r="Y936" s="89">
        <v>18956</v>
      </c>
      <c r="Z936" s="74">
        <f t="shared" si="349"/>
        <v>9478</v>
      </c>
      <c r="AA936" s="75"/>
      <c r="AB936" s="75"/>
      <c r="AC936" s="75"/>
      <c r="AD936" s="74">
        <f t="shared" si="350"/>
        <v>9478</v>
      </c>
      <c r="AE936" s="74">
        <f t="shared" si="351"/>
        <v>279.15213355402193</v>
      </c>
      <c r="AF936" s="52">
        <f t="shared" si="352"/>
        <v>77304.734999999986</v>
      </c>
      <c r="AG936" s="52">
        <f t="shared" si="353"/>
        <v>154609.46999999997</v>
      </c>
    </row>
    <row r="937" spans="1:33" s="21" customFormat="1" x14ac:dyDescent="0.2">
      <c r="A937" s="115" t="s">
        <v>1085</v>
      </c>
      <c r="B937" s="115"/>
      <c r="C937" s="115"/>
      <c r="D937" s="163">
        <v>1</v>
      </c>
      <c r="E937" s="164"/>
      <c r="F937" s="165">
        <v>0.5</v>
      </c>
      <c r="G937" s="165"/>
      <c r="H937" s="51">
        <v>44796</v>
      </c>
      <c r="I937" s="52">
        <f t="shared" si="342"/>
        <v>47886.923999999999</v>
      </c>
      <c r="J937" s="52">
        <f t="shared" si="343"/>
        <v>23943.462</v>
      </c>
      <c r="K937" s="62"/>
      <c r="L937" s="163">
        <v>0</v>
      </c>
      <c r="M937" s="55">
        <f t="shared" si="344"/>
        <v>0</v>
      </c>
      <c r="N937" s="55">
        <f t="shared" si="345"/>
        <v>0</v>
      </c>
      <c r="O937" s="96"/>
      <c r="P937" s="163">
        <v>0</v>
      </c>
      <c r="Q937" s="55">
        <f t="shared" si="346"/>
        <v>0</v>
      </c>
      <c r="R937" s="65">
        <f t="shared" si="347"/>
        <v>0</v>
      </c>
      <c r="S937" s="119">
        <v>15</v>
      </c>
      <c r="T937" s="122" t="s">
        <v>1047</v>
      </c>
      <c r="U937" s="73">
        <f>SUMIF('Avoided Costs 2013-2021'!$A:$A,'2013 Actuals'!T937&amp;'2013 Actuals'!S937,'Avoided Costs 2013-2021'!$E:$E)*J937</f>
        <v>50527.9460912137</v>
      </c>
      <c r="V937" s="73">
        <f>SUMIF('Avoided Costs 2013-2021'!$A:$A,'2013 Actuals'!T937&amp;'2013 Actuals'!S937,'Avoided Costs 2013-2021'!$K:$K)*N937</f>
        <v>0</v>
      </c>
      <c r="W937" s="73">
        <f>SUMIF('Avoided Costs 2013-2021'!$A:$A,'2013 Actuals'!T937&amp;'2013 Actuals'!S937,'Avoided Costs 2013-2021'!$M:$M)*R937</f>
        <v>0</v>
      </c>
      <c r="X937" s="73">
        <f t="shared" si="348"/>
        <v>50527.9460912137</v>
      </c>
      <c r="Y937" s="89">
        <v>28020</v>
      </c>
      <c r="Z937" s="74">
        <f t="shared" si="349"/>
        <v>14010</v>
      </c>
      <c r="AA937" s="75"/>
      <c r="AB937" s="75"/>
      <c r="AC937" s="75"/>
      <c r="AD937" s="74">
        <f t="shared" si="350"/>
        <v>14010</v>
      </c>
      <c r="AE937" s="74">
        <f t="shared" si="351"/>
        <v>36517.9460912137</v>
      </c>
      <c r="AF937" s="52">
        <f t="shared" si="352"/>
        <v>359151.93</v>
      </c>
      <c r="AG937" s="52">
        <f t="shared" si="353"/>
        <v>718303.86</v>
      </c>
    </row>
    <row r="938" spans="1:33" s="21" customFormat="1" x14ac:dyDescent="0.2">
      <c r="A938" s="115" t="s">
        <v>1086</v>
      </c>
      <c r="B938" s="115"/>
      <c r="C938" s="115"/>
      <c r="D938" s="163">
        <v>1</v>
      </c>
      <c r="E938" s="164"/>
      <c r="F938" s="165">
        <v>0.5</v>
      </c>
      <c r="G938" s="165"/>
      <c r="H938" s="51">
        <v>24635</v>
      </c>
      <c r="I938" s="52">
        <f t="shared" si="342"/>
        <v>26334.814999999999</v>
      </c>
      <c r="J938" s="52">
        <f t="shared" si="343"/>
        <v>13167.407499999999</v>
      </c>
      <c r="K938" s="62"/>
      <c r="L938" s="163">
        <v>0</v>
      </c>
      <c r="M938" s="55">
        <f t="shared" si="344"/>
        <v>0</v>
      </c>
      <c r="N938" s="55">
        <f t="shared" si="345"/>
        <v>0</v>
      </c>
      <c r="O938" s="96"/>
      <c r="P938" s="163">
        <v>0</v>
      </c>
      <c r="Q938" s="55">
        <f t="shared" si="346"/>
        <v>0</v>
      </c>
      <c r="R938" s="65">
        <f t="shared" si="347"/>
        <v>0</v>
      </c>
      <c r="S938" s="119">
        <v>15</v>
      </c>
      <c r="T938" s="122" t="s">
        <v>1047</v>
      </c>
      <c r="U938" s="73">
        <f>SUMIF('Avoided Costs 2013-2021'!$A:$A,'2013 Actuals'!T938&amp;'2013 Actuals'!S938,'Avoided Costs 2013-2021'!$E:$E)*J938</f>
        <v>27787.21207154767</v>
      </c>
      <c r="V938" s="73">
        <f>SUMIF('Avoided Costs 2013-2021'!$A:$A,'2013 Actuals'!T938&amp;'2013 Actuals'!S938,'Avoided Costs 2013-2021'!$K:$K)*N938</f>
        <v>0</v>
      </c>
      <c r="W938" s="73">
        <f>SUMIF('Avoided Costs 2013-2021'!$A:$A,'2013 Actuals'!T938&amp;'2013 Actuals'!S938,'Avoided Costs 2013-2021'!$M:$M)*R938</f>
        <v>0</v>
      </c>
      <c r="X938" s="73">
        <f t="shared" si="348"/>
        <v>27787.21207154767</v>
      </c>
      <c r="Y938" s="89">
        <v>35452.559999999998</v>
      </c>
      <c r="Z938" s="74">
        <f t="shared" si="349"/>
        <v>17726.28</v>
      </c>
      <c r="AA938" s="75"/>
      <c r="AB938" s="75"/>
      <c r="AC938" s="75"/>
      <c r="AD938" s="74">
        <f t="shared" si="350"/>
        <v>17726.28</v>
      </c>
      <c r="AE938" s="74">
        <f t="shared" si="351"/>
        <v>10060.932071547672</v>
      </c>
      <c r="AF938" s="52">
        <f t="shared" si="352"/>
        <v>197511.11249999999</v>
      </c>
      <c r="AG938" s="52">
        <f t="shared" si="353"/>
        <v>395022.22499999998</v>
      </c>
    </row>
    <row r="939" spans="1:33" s="21" customFormat="1" x14ac:dyDescent="0.2">
      <c r="A939" s="115" t="s">
        <v>1087</v>
      </c>
      <c r="B939" s="115"/>
      <c r="C939" s="115"/>
      <c r="D939" s="163">
        <v>1</v>
      </c>
      <c r="E939" s="164"/>
      <c r="F939" s="165">
        <v>0.5</v>
      </c>
      <c r="G939" s="165"/>
      <c r="H939" s="51">
        <v>82420</v>
      </c>
      <c r="I939" s="52">
        <f t="shared" ref="I939:I970" si="354">+$H$892*H939</f>
        <v>88106.98</v>
      </c>
      <c r="J939" s="52">
        <f t="shared" ref="J939:J970" si="355">I939*(1-F939)</f>
        <v>44053.49</v>
      </c>
      <c r="K939" s="62"/>
      <c r="L939" s="163">
        <v>0</v>
      </c>
      <c r="M939" s="55">
        <f t="shared" ref="M939:M970" si="356">+$L$892*L939</f>
        <v>0</v>
      </c>
      <c r="N939" s="55">
        <f t="shared" ref="N939:N970" si="357">M939*(1-F939)</f>
        <v>0</v>
      </c>
      <c r="O939" s="96"/>
      <c r="P939" s="163">
        <v>0</v>
      </c>
      <c r="Q939" s="55">
        <f t="shared" ref="Q939:Q970" si="358">+P939*$P$892</f>
        <v>0</v>
      </c>
      <c r="R939" s="65">
        <f t="shared" ref="R939:R970" si="359">Q939*(1-F939)</f>
        <v>0</v>
      </c>
      <c r="S939" s="119">
        <v>15</v>
      </c>
      <c r="T939" s="122" t="s">
        <v>1047</v>
      </c>
      <c r="U939" s="73">
        <f>SUMIF('Avoided Costs 2013-2021'!$A:$A,'2013 Actuals'!T939&amp;'2013 Actuals'!S939,'Avoided Costs 2013-2021'!$E:$E)*J939</f>
        <v>92966.187088977429</v>
      </c>
      <c r="V939" s="73">
        <f>SUMIF('Avoided Costs 2013-2021'!$A:$A,'2013 Actuals'!T939&amp;'2013 Actuals'!S939,'Avoided Costs 2013-2021'!$K:$K)*N939</f>
        <v>0</v>
      </c>
      <c r="W939" s="73">
        <f>SUMIF('Avoided Costs 2013-2021'!$A:$A,'2013 Actuals'!T939&amp;'2013 Actuals'!S939,'Avoided Costs 2013-2021'!$M:$M)*R939</f>
        <v>0</v>
      </c>
      <c r="X939" s="73">
        <f t="shared" ref="X939:X970" si="360">SUM(U939:W939)</f>
        <v>92966.187088977429</v>
      </c>
      <c r="Y939" s="89">
        <v>189880</v>
      </c>
      <c r="Z939" s="74">
        <f t="shared" ref="Z939:Z970" si="361">Y939*(1-F939)</f>
        <v>94940</v>
      </c>
      <c r="AA939" s="75"/>
      <c r="AB939" s="75"/>
      <c r="AC939" s="75"/>
      <c r="AD939" s="74">
        <f t="shared" ref="AD939:AD970" si="362">Z939+AB939</f>
        <v>94940</v>
      </c>
      <c r="AE939" s="74">
        <f t="shared" ref="AE939:AE970" si="363">X939-AD939</f>
        <v>-1973.8129110225709</v>
      </c>
      <c r="AF939" s="52">
        <f t="shared" ref="AF939:AF975" si="364">J939*S939</f>
        <v>660802.35</v>
      </c>
      <c r="AG939" s="52">
        <f t="shared" ref="AG939:AG975" si="365">(I939*S939)</f>
        <v>1321604.7</v>
      </c>
    </row>
    <row r="940" spans="1:33" s="21" customFormat="1" x14ac:dyDescent="0.2">
      <c r="A940" s="115" t="s">
        <v>1088</v>
      </c>
      <c r="B940" s="115"/>
      <c r="C940" s="115"/>
      <c r="D940" s="163">
        <v>1</v>
      </c>
      <c r="E940" s="164"/>
      <c r="F940" s="165">
        <v>0.5</v>
      </c>
      <c r="G940" s="165"/>
      <c r="H940" s="51">
        <v>5004</v>
      </c>
      <c r="I940" s="52">
        <f t="shared" si="354"/>
        <v>5349.2759999999998</v>
      </c>
      <c r="J940" s="52">
        <f t="shared" si="355"/>
        <v>2674.6379999999999</v>
      </c>
      <c r="K940" s="62"/>
      <c r="L940" s="163">
        <v>0</v>
      </c>
      <c r="M940" s="55">
        <f t="shared" si="356"/>
        <v>0</v>
      </c>
      <c r="N940" s="55">
        <f t="shared" si="357"/>
        <v>0</v>
      </c>
      <c r="O940" s="96"/>
      <c r="P940" s="163">
        <v>0</v>
      </c>
      <c r="Q940" s="55">
        <f t="shared" si="358"/>
        <v>0</v>
      </c>
      <c r="R940" s="65">
        <f t="shared" si="359"/>
        <v>0</v>
      </c>
      <c r="S940" s="119">
        <v>25</v>
      </c>
      <c r="T940" s="122" t="s">
        <v>1047</v>
      </c>
      <c r="U940" s="73">
        <f>SUMIF('Avoided Costs 2013-2021'!$A:$A,'2013 Actuals'!T940&amp;'2013 Actuals'!S940,'Avoided Costs 2013-2021'!$E:$E)*J940</f>
        <v>7923.9959626410191</v>
      </c>
      <c r="V940" s="73">
        <f>SUMIF('Avoided Costs 2013-2021'!$A:$A,'2013 Actuals'!T940&amp;'2013 Actuals'!S940,'Avoided Costs 2013-2021'!$K:$K)*N940</f>
        <v>0</v>
      </c>
      <c r="W940" s="73">
        <f>SUMIF('Avoided Costs 2013-2021'!$A:$A,'2013 Actuals'!T940&amp;'2013 Actuals'!S940,'Avoided Costs 2013-2021'!$M:$M)*R940</f>
        <v>0</v>
      </c>
      <c r="X940" s="73">
        <f t="shared" si="360"/>
        <v>7923.9959626410191</v>
      </c>
      <c r="Y940" s="89">
        <v>2400</v>
      </c>
      <c r="Z940" s="74">
        <f t="shared" si="361"/>
        <v>1200</v>
      </c>
      <c r="AA940" s="75"/>
      <c r="AB940" s="75"/>
      <c r="AC940" s="75"/>
      <c r="AD940" s="74">
        <f t="shared" si="362"/>
        <v>1200</v>
      </c>
      <c r="AE940" s="74">
        <f t="shared" si="363"/>
        <v>6723.9959626410191</v>
      </c>
      <c r="AF940" s="52">
        <f t="shared" si="364"/>
        <v>66865.95</v>
      </c>
      <c r="AG940" s="52">
        <f t="shared" si="365"/>
        <v>133731.9</v>
      </c>
    </row>
    <row r="941" spans="1:33" s="21" customFormat="1" x14ac:dyDescent="0.2">
      <c r="A941" s="115" t="s">
        <v>1089</v>
      </c>
      <c r="B941" s="115"/>
      <c r="C941" s="115"/>
      <c r="D941" s="163">
        <v>1</v>
      </c>
      <c r="E941" s="164"/>
      <c r="F941" s="165">
        <v>0.5</v>
      </c>
      <c r="G941" s="165"/>
      <c r="H941" s="51">
        <v>10356</v>
      </c>
      <c r="I941" s="52">
        <f t="shared" si="354"/>
        <v>11070.564</v>
      </c>
      <c r="J941" s="52">
        <f t="shared" si="355"/>
        <v>5535.2820000000002</v>
      </c>
      <c r="K941" s="62"/>
      <c r="L941" s="163">
        <v>0</v>
      </c>
      <c r="M941" s="55">
        <f t="shared" si="356"/>
        <v>0</v>
      </c>
      <c r="N941" s="55">
        <f t="shared" si="357"/>
        <v>0</v>
      </c>
      <c r="O941" s="96"/>
      <c r="P941" s="163">
        <v>0</v>
      </c>
      <c r="Q941" s="55">
        <f t="shared" si="358"/>
        <v>0</v>
      </c>
      <c r="R941" s="65">
        <f t="shared" si="359"/>
        <v>0</v>
      </c>
      <c r="S941" s="119">
        <v>15</v>
      </c>
      <c r="T941" s="122" t="s">
        <v>1047</v>
      </c>
      <c r="U941" s="73">
        <f>SUMIF('Avoided Costs 2013-2021'!$A:$A,'2013 Actuals'!T941&amp;'2013 Actuals'!S941,'Avoided Costs 2013-2021'!$E:$E)*J941</f>
        <v>11681.119066894569</v>
      </c>
      <c r="V941" s="73">
        <f>SUMIF('Avoided Costs 2013-2021'!$A:$A,'2013 Actuals'!T941&amp;'2013 Actuals'!S941,'Avoided Costs 2013-2021'!$K:$K)*N941</f>
        <v>0</v>
      </c>
      <c r="W941" s="73">
        <f>SUMIF('Avoided Costs 2013-2021'!$A:$A,'2013 Actuals'!T941&amp;'2013 Actuals'!S941,'Avoided Costs 2013-2021'!$M:$M)*R941</f>
        <v>0</v>
      </c>
      <c r="X941" s="73">
        <f t="shared" si="360"/>
        <v>11681.119066894569</v>
      </c>
      <c r="Y941" s="89">
        <v>24630</v>
      </c>
      <c r="Z941" s="74">
        <f t="shared" si="361"/>
        <v>12315</v>
      </c>
      <c r="AA941" s="75"/>
      <c r="AB941" s="75"/>
      <c r="AC941" s="75"/>
      <c r="AD941" s="74">
        <f t="shared" si="362"/>
        <v>12315</v>
      </c>
      <c r="AE941" s="74">
        <f t="shared" si="363"/>
        <v>-633.88093310543081</v>
      </c>
      <c r="AF941" s="52">
        <f t="shared" si="364"/>
        <v>83029.23</v>
      </c>
      <c r="AG941" s="52">
        <f t="shared" si="365"/>
        <v>166058.46</v>
      </c>
    </row>
    <row r="942" spans="1:33" s="21" customFormat="1" x14ac:dyDescent="0.2">
      <c r="A942" s="115" t="s">
        <v>1090</v>
      </c>
      <c r="B942" s="115"/>
      <c r="C942" s="115"/>
      <c r="D942" s="163">
        <v>1</v>
      </c>
      <c r="E942" s="164"/>
      <c r="F942" s="165">
        <v>0.5</v>
      </c>
      <c r="G942" s="165"/>
      <c r="H942" s="51">
        <v>25063</v>
      </c>
      <c r="I942" s="52">
        <f t="shared" si="354"/>
        <v>26792.346999999998</v>
      </c>
      <c r="J942" s="52">
        <f t="shared" si="355"/>
        <v>13396.173499999999</v>
      </c>
      <c r="K942" s="62"/>
      <c r="L942" s="163">
        <v>0</v>
      </c>
      <c r="M942" s="55">
        <f t="shared" si="356"/>
        <v>0</v>
      </c>
      <c r="N942" s="55">
        <f t="shared" si="357"/>
        <v>0</v>
      </c>
      <c r="O942" s="96"/>
      <c r="P942" s="163">
        <v>0</v>
      </c>
      <c r="Q942" s="55">
        <f t="shared" si="358"/>
        <v>0</v>
      </c>
      <c r="R942" s="65">
        <f t="shared" si="359"/>
        <v>0</v>
      </c>
      <c r="S942" s="119">
        <v>15</v>
      </c>
      <c r="T942" s="122" t="s">
        <v>1047</v>
      </c>
      <c r="U942" s="73">
        <f>SUMIF('Avoided Costs 2013-2021'!$A:$A,'2013 Actuals'!T942&amp;'2013 Actuals'!S942,'Avoided Costs 2013-2021'!$E:$E)*J942</f>
        <v>28269.97751772678</v>
      </c>
      <c r="V942" s="73">
        <f>SUMIF('Avoided Costs 2013-2021'!$A:$A,'2013 Actuals'!T942&amp;'2013 Actuals'!S942,'Avoided Costs 2013-2021'!$K:$K)*N942</f>
        <v>0</v>
      </c>
      <c r="W942" s="73">
        <f>SUMIF('Avoided Costs 2013-2021'!$A:$A,'2013 Actuals'!T942&amp;'2013 Actuals'!S942,'Avoided Costs 2013-2021'!$M:$M)*R942</f>
        <v>0</v>
      </c>
      <c r="X942" s="73">
        <f t="shared" si="360"/>
        <v>28269.97751772678</v>
      </c>
      <c r="Y942" s="89">
        <v>15720</v>
      </c>
      <c r="Z942" s="74">
        <f t="shared" si="361"/>
        <v>7860</v>
      </c>
      <c r="AA942" s="75"/>
      <c r="AB942" s="75"/>
      <c r="AC942" s="75"/>
      <c r="AD942" s="74">
        <f t="shared" si="362"/>
        <v>7860</v>
      </c>
      <c r="AE942" s="74">
        <f t="shared" si="363"/>
        <v>20409.97751772678</v>
      </c>
      <c r="AF942" s="52">
        <f t="shared" si="364"/>
        <v>200942.60249999998</v>
      </c>
      <c r="AG942" s="52">
        <f t="shared" si="365"/>
        <v>401885.20499999996</v>
      </c>
    </row>
    <row r="943" spans="1:33" s="21" customFormat="1" x14ac:dyDescent="0.2">
      <c r="A943" s="115" t="s">
        <v>1091</v>
      </c>
      <c r="B943" s="115"/>
      <c r="C943" s="115"/>
      <c r="D943" s="163">
        <v>1</v>
      </c>
      <c r="E943" s="164"/>
      <c r="F943" s="165">
        <v>0.5</v>
      </c>
      <c r="G943" s="165"/>
      <c r="H943" s="51">
        <v>145745</v>
      </c>
      <c r="I943" s="52">
        <f t="shared" si="354"/>
        <v>155801.405</v>
      </c>
      <c r="J943" s="52">
        <f t="shared" si="355"/>
        <v>77900.702499999999</v>
      </c>
      <c r="K943" s="62"/>
      <c r="L943" s="163">
        <v>0</v>
      </c>
      <c r="M943" s="55">
        <f t="shared" si="356"/>
        <v>0</v>
      </c>
      <c r="N943" s="55">
        <f t="shared" si="357"/>
        <v>0</v>
      </c>
      <c r="O943" s="96"/>
      <c r="P943" s="163">
        <v>0</v>
      </c>
      <c r="Q943" s="55">
        <f t="shared" si="358"/>
        <v>0</v>
      </c>
      <c r="R943" s="65">
        <f t="shared" si="359"/>
        <v>0</v>
      </c>
      <c r="S943" s="119">
        <v>15</v>
      </c>
      <c r="T943" s="122" t="s">
        <v>1047</v>
      </c>
      <c r="U943" s="73">
        <f>SUMIF('Avoided Costs 2013-2021'!$A:$A,'2013 Actuals'!T943&amp;'2013 Actuals'!S943,'Avoided Costs 2013-2021'!$E:$E)*J943</f>
        <v>164394.04194713681</v>
      </c>
      <c r="V943" s="73">
        <f>SUMIF('Avoided Costs 2013-2021'!$A:$A,'2013 Actuals'!T943&amp;'2013 Actuals'!S943,'Avoided Costs 2013-2021'!$K:$K)*N943</f>
        <v>0</v>
      </c>
      <c r="W943" s="73">
        <f>SUMIF('Avoided Costs 2013-2021'!$A:$A,'2013 Actuals'!T943&amp;'2013 Actuals'!S943,'Avoided Costs 2013-2021'!$M:$M)*R943</f>
        <v>0</v>
      </c>
      <c r="X943" s="73">
        <f t="shared" si="360"/>
        <v>164394.04194713681</v>
      </c>
      <c r="Y943" s="89">
        <v>29800.38</v>
      </c>
      <c r="Z943" s="74">
        <f t="shared" si="361"/>
        <v>14900.19</v>
      </c>
      <c r="AA943" s="75"/>
      <c r="AB943" s="75"/>
      <c r="AC943" s="75"/>
      <c r="AD943" s="74">
        <f t="shared" si="362"/>
        <v>14900.19</v>
      </c>
      <c r="AE943" s="74">
        <f t="shared" si="363"/>
        <v>149493.85194713681</v>
      </c>
      <c r="AF943" s="52">
        <f t="shared" si="364"/>
        <v>1168510.5375000001</v>
      </c>
      <c r="AG943" s="52">
        <f t="shared" si="365"/>
        <v>2337021.0750000002</v>
      </c>
    </row>
    <row r="944" spans="1:33" s="21" customFormat="1" x14ac:dyDescent="0.2">
      <c r="A944" s="115" t="s">
        <v>1092</v>
      </c>
      <c r="B944" s="115"/>
      <c r="C944" s="115"/>
      <c r="D944" s="163">
        <v>1</v>
      </c>
      <c r="E944" s="164"/>
      <c r="F944" s="165">
        <v>0.5</v>
      </c>
      <c r="G944" s="165"/>
      <c r="H944" s="51">
        <v>70176</v>
      </c>
      <c r="I944" s="52">
        <f t="shared" si="354"/>
        <v>75018.144</v>
      </c>
      <c r="J944" s="52">
        <f t="shared" si="355"/>
        <v>37509.072</v>
      </c>
      <c r="K944" s="62"/>
      <c r="L944" s="163">
        <v>0</v>
      </c>
      <c r="M944" s="55">
        <f t="shared" si="356"/>
        <v>0</v>
      </c>
      <c r="N944" s="55">
        <f t="shared" si="357"/>
        <v>0</v>
      </c>
      <c r="O944" s="96"/>
      <c r="P944" s="163">
        <v>0</v>
      </c>
      <c r="Q944" s="55">
        <f t="shared" si="358"/>
        <v>0</v>
      </c>
      <c r="R944" s="65">
        <f t="shared" si="359"/>
        <v>0</v>
      </c>
      <c r="S944" s="119">
        <v>15</v>
      </c>
      <c r="T944" s="122" t="s">
        <v>1047</v>
      </c>
      <c r="U944" s="73">
        <f>SUMIF('Avoided Costs 2013-2021'!$A:$A,'2013 Actuals'!T944&amp;'2013 Actuals'!S944,'Avoided Costs 2013-2021'!$E:$E)*J944</f>
        <v>79155.48586697501</v>
      </c>
      <c r="V944" s="73">
        <f>SUMIF('Avoided Costs 2013-2021'!$A:$A,'2013 Actuals'!T944&amp;'2013 Actuals'!S944,'Avoided Costs 2013-2021'!$K:$K)*N944</f>
        <v>0</v>
      </c>
      <c r="W944" s="73">
        <f>SUMIF('Avoided Costs 2013-2021'!$A:$A,'2013 Actuals'!T944&amp;'2013 Actuals'!S944,'Avoided Costs 2013-2021'!$M:$M)*R944</f>
        <v>0</v>
      </c>
      <c r="X944" s="73">
        <f t="shared" si="360"/>
        <v>79155.48586697501</v>
      </c>
      <c r="Y944" s="89">
        <v>19950</v>
      </c>
      <c r="Z944" s="74">
        <f t="shared" si="361"/>
        <v>9975</v>
      </c>
      <c r="AA944" s="75"/>
      <c r="AB944" s="75"/>
      <c r="AC944" s="75"/>
      <c r="AD944" s="74">
        <f t="shared" si="362"/>
        <v>9975</v>
      </c>
      <c r="AE944" s="74">
        <f t="shared" si="363"/>
        <v>69180.48586697501</v>
      </c>
      <c r="AF944" s="52">
        <f t="shared" si="364"/>
        <v>562636.07999999996</v>
      </c>
      <c r="AG944" s="52">
        <f t="shared" si="365"/>
        <v>1125272.1599999999</v>
      </c>
    </row>
    <row r="945" spans="1:33" s="21" customFormat="1" x14ac:dyDescent="0.2">
      <c r="A945" s="115" t="s">
        <v>1093</v>
      </c>
      <c r="B945" s="115"/>
      <c r="C945" s="115"/>
      <c r="D945" s="163">
        <v>1</v>
      </c>
      <c r="E945" s="164"/>
      <c r="F945" s="165">
        <v>0.5</v>
      </c>
      <c r="G945" s="165"/>
      <c r="H945" s="51">
        <v>26022</v>
      </c>
      <c r="I945" s="52">
        <f t="shared" si="354"/>
        <v>27817.518</v>
      </c>
      <c r="J945" s="52">
        <f t="shared" si="355"/>
        <v>13908.759</v>
      </c>
      <c r="K945" s="62"/>
      <c r="L945" s="163">
        <v>0</v>
      </c>
      <c r="M945" s="55">
        <f t="shared" si="356"/>
        <v>0</v>
      </c>
      <c r="N945" s="55">
        <f t="shared" si="357"/>
        <v>0</v>
      </c>
      <c r="O945" s="96"/>
      <c r="P945" s="163">
        <v>0</v>
      </c>
      <c r="Q945" s="55">
        <f t="shared" si="358"/>
        <v>0</v>
      </c>
      <c r="R945" s="65">
        <f t="shared" si="359"/>
        <v>0</v>
      </c>
      <c r="S945" s="119">
        <v>5</v>
      </c>
      <c r="T945" s="122" t="s">
        <v>1047</v>
      </c>
      <c r="U945" s="73">
        <f>SUMIF('Avoided Costs 2013-2021'!$A:$A,'2013 Actuals'!T945&amp;'2013 Actuals'!S945,'Avoided Costs 2013-2021'!$E:$E)*J945</f>
        <v>10362.887133208982</v>
      </c>
      <c r="V945" s="73">
        <f>SUMIF('Avoided Costs 2013-2021'!$A:$A,'2013 Actuals'!T945&amp;'2013 Actuals'!S945,'Avoided Costs 2013-2021'!$K:$K)*N945</f>
        <v>0</v>
      </c>
      <c r="W945" s="73">
        <f>SUMIF('Avoided Costs 2013-2021'!$A:$A,'2013 Actuals'!T945&amp;'2013 Actuals'!S945,'Avoided Costs 2013-2021'!$M:$M)*R945</f>
        <v>0</v>
      </c>
      <c r="X945" s="73">
        <f t="shared" si="360"/>
        <v>10362.887133208982</v>
      </c>
      <c r="Y945" s="89">
        <v>1450.1</v>
      </c>
      <c r="Z945" s="74">
        <f t="shared" si="361"/>
        <v>725.05</v>
      </c>
      <c r="AA945" s="75"/>
      <c r="AB945" s="75"/>
      <c r="AC945" s="75"/>
      <c r="AD945" s="74">
        <f t="shared" si="362"/>
        <v>725.05</v>
      </c>
      <c r="AE945" s="74">
        <f t="shared" si="363"/>
        <v>9637.8371332089828</v>
      </c>
      <c r="AF945" s="52">
        <f t="shared" si="364"/>
        <v>69543.794999999998</v>
      </c>
      <c r="AG945" s="52">
        <f t="shared" si="365"/>
        <v>139087.59</v>
      </c>
    </row>
    <row r="946" spans="1:33" s="21" customFormat="1" x14ac:dyDescent="0.2">
      <c r="A946" s="115" t="s">
        <v>1094</v>
      </c>
      <c r="B946" s="115"/>
      <c r="C946" s="115"/>
      <c r="D946" s="163">
        <v>1</v>
      </c>
      <c r="E946" s="164"/>
      <c r="F946" s="165">
        <v>0.5</v>
      </c>
      <c r="G946" s="165"/>
      <c r="H946" s="51">
        <v>86000</v>
      </c>
      <c r="I946" s="52">
        <f t="shared" si="354"/>
        <v>91934</v>
      </c>
      <c r="J946" s="52">
        <f t="shared" si="355"/>
        <v>45967</v>
      </c>
      <c r="K946" s="62"/>
      <c r="L946" s="163">
        <v>0</v>
      </c>
      <c r="M946" s="55">
        <f t="shared" si="356"/>
        <v>0</v>
      </c>
      <c r="N946" s="55">
        <f t="shared" si="357"/>
        <v>0</v>
      </c>
      <c r="O946" s="96"/>
      <c r="P946" s="163">
        <v>0</v>
      </c>
      <c r="Q946" s="55">
        <f t="shared" si="358"/>
        <v>0</v>
      </c>
      <c r="R946" s="65">
        <f t="shared" si="359"/>
        <v>0</v>
      </c>
      <c r="S946" s="119">
        <v>20</v>
      </c>
      <c r="T946" s="122" t="s">
        <v>1047</v>
      </c>
      <c r="U946" s="73">
        <f>SUMIF('Avoided Costs 2013-2021'!$A:$A,'2013 Actuals'!T946&amp;'2013 Actuals'!S946,'Avoided Costs 2013-2021'!$E:$E)*J946</f>
        <v>118926.62832746924</v>
      </c>
      <c r="V946" s="73">
        <f>SUMIF('Avoided Costs 2013-2021'!$A:$A,'2013 Actuals'!T946&amp;'2013 Actuals'!S946,'Avoided Costs 2013-2021'!$K:$K)*N946</f>
        <v>0</v>
      </c>
      <c r="W946" s="73">
        <f>SUMIF('Avoided Costs 2013-2021'!$A:$A,'2013 Actuals'!T946&amp;'2013 Actuals'!S946,'Avoided Costs 2013-2021'!$M:$M)*R946</f>
        <v>0</v>
      </c>
      <c r="X946" s="73">
        <f t="shared" si="360"/>
        <v>118926.62832746924</v>
      </c>
      <c r="Y946" s="89">
        <v>9500</v>
      </c>
      <c r="Z946" s="74">
        <f t="shared" si="361"/>
        <v>4750</v>
      </c>
      <c r="AA946" s="75"/>
      <c r="AB946" s="75"/>
      <c r="AC946" s="75"/>
      <c r="AD946" s="74">
        <f t="shared" si="362"/>
        <v>4750</v>
      </c>
      <c r="AE946" s="74">
        <f t="shared" si="363"/>
        <v>114176.62832746924</v>
      </c>
      <c r="AF946" s="52">
        <f t="shared" si="364"/>
        <v>919340</v>
      </c>
      <c r="AG946" s="52">
        <f t="shared" si="365"/>
        <v>1838680</v>
      </c>
    </row>
    <row r="947" spans="1:33" s="21" customFormat="1" x14ac:dyDescent="0.2">
      <c r="A947" s="115" t="s">
        <v>1095</v>
      </c>
      <c r="B947" s="115"/>
      <c r="C947" s="115"/>
      <c r="D947" s="163">
        <v>1</v>
      </c>
      <c r="E947" s="164"/>
      <c r="F947" s="165">
        <v>0.5</v>
      </c>
      <c r="G947" s="165"/>
      <c r="H947" s="51">
        <v>58709</v>
      </c>
      <c r="I947" s="52">
        <f t="shared" si="354"/>
        <v>62759.920999999995</v>
      </c>
      <c r="J947" s="52">
        <f t="shared" si="355"/>
        <v>31379.960499999997</v>
      </c>
      <c r="K947" s="62"/>
      <c r="L947" s="163">
        <v>0</v>
      </c>
      <c r="M947" s="55">
        <f t="shared" si="356"/>
        <v>0</v>
      </c>
      <c r="N947" s="55">
        <f t="shared" si="357"/>
        <v>0</v>
      </c>
      <c r="O947" s="96"/>
      <c r="P947" s="163">
        <v>0</v>
      </c>
      <c r="Q947" s="55">
        <f t="shared" si="358"/>
        <v>0</v>
      </c>
      <c r="R947" s="65">
        <f t="shared" si="359"/>
        <v>0</v>
      </c>
      <c r="S947" s="119">
        <v>20</v>
      </c>
      <c r="T947" s="122" t="s">
        <v>1047</v>
      </c>
      <c r="U947" s="73">
        <f>SUMIF('Avoided Costs 2013-2021'!$A:$A,'2013 Actuals'!T947&amp;'2013 Actuals'!S947,'Avoided Costs 2013-2021'!$E:$E)*J947</f>
        <v>81186.783982295237</v>
      </c>
      <c r="V947" s="73">
        <f>SUMIF('Avoided Costs 2013-2021'!$A:$A,'2013 Actuals'!T947&amp;'2013 Actuals'!S947,'Avoided Costs 2013-2021'!$K:$K)*N947</f>
        <v>0</v>
      </c>
      <c r="W947" s="73">
        <f>SUMIF('Avoided Costs 2013-2021'!$A:$A,'2013 Actuals'!T947&amp;'2013 Actuals'!S947,'Avoided Costs 2013-2021'!$M:$M)*R947</f>
        <v>0</v>
      </c>
      <c r="X947" s="73">
        <f t="shared" si="360"/>
        <v>81186.783982295237</v>
      </c>
      <c r="Y947" s="89">
        <v>3781</v>
      </c>
      <c r="Z947" s="74">
        <f t="shared" si="361"/>
        <v>1890.5</v>
      </c>
      <c r="AA947" s="75"/>
      <c r="AB947" s="75"/>
      <c r="AC947" s="75"/>
      <c r="AD947" s="74">
        <f t="shared" si="362"/>
        <v>1890.5</v>
      </c>
      <c r="AE947" s="74">
        <f t="shared" si="363"/>
        <v>79296.283982295237</v>
      </c>
      <c r="AF947" s="52">
        <f t="shared" si="364"/>
        <v>627599.21</v>
      </c>
      <c r="AG947" s="52">
        <f t="shared" si="365"/>
        <v>1255198.42</v>
      </c>
    </row>
    <row r="948" spans="1:33" s="21" customFormat="1" x14ac:dyDescent="0.2">
      <c r="A948" s="115" t="s">
        <v>1096</v>
      </c>
      <c r="B948" s="115"/>
      <c r="C948" s="115"/>
      <c r="D948" s="163">
        <v>1</v>
      </c>
      <c r="E948" s="164"/>
      <c r="F948" s="165">
        <v>0.5</v>
      </c>
      <c r="G948" s="165"/>
      <c r="H948" s="51">
        <v>24778</v>
      </c>
      <c r="I948" s="52">
        <f t="shared" si="354"/>
        <v>26487.681999999997</v>
      </c>
      <c r="J948" s="52">
        <f t="shared" si="355"/>
        <v>13243.840999999999</v>
      </c>
      <c r="K948" s="62"/>
      <c r="L948" s="163">
        <v>0</v>
      </c>
      <c r="M948" s="55">
        <f t="shared" si="356"/>
        <v>0</v>
      </c>
      <c r="N948" s="55">
        <f t="shared" si="357"/>
        <v>0</v>
      </c>
      <c r="O948" s="96"/>
      <c r="P948" s="163">
        <v>0</v>
      </c>
      <c r="Q948" s="55">
        <f t="shared" si="358"/>
        <v>0</v>
      </c>
      <c r="R948" s="65">
        <f t="shared" si="359"/>
        <v>0</v>
      </c>
      <c r="S948" s="119">
        <v>15</v>
      </c>
      <c r="T948" s="122" t="s">
        <v>1047</v>
      </c>
      <c r="U948" s="73">
        <f>SUMIF('Avoided Costs 2013-2021'!$A:$A,'2013 Actuals'!T948&amp;'2013 Actuals'!S948,'Avoided Costs 2013-2021'!$E:$E)*J948</f>
        <v>27948.509872490689</v>
      </c>
      <c r="V948" s="73">
        <f>SUMIF('Avoided Costs 2013-2021'!$A:$A,'2013 Actuals'!T948&amp;'2013 Actuals'!S948,'Avoided Costs 2013-2021'!$K:$K)*N948</f>
        <v>0</v>
      </c>
      <c r="W948" s="73">
        <f>SUMIF('Avoided Costs 2013-2021'!$A:$A,'2013 Actuals'!T948&amp;'2013 Actuals'!S948,'Avoided Costs 2013-2021'!$M:$M)*R948</f>
        <v>0</v>
      </c>
      <c r="X948" s="73">
        <f t="shared" si="360"/>
        <v>27948.509872490689</v>
      </c>
      <c r="Y948" s="89">
        <v>23824</v>
      </c>
      <c r="Z948" s="74">
        <f t="shared" si="361"/>
        <v>11912</v>
      </c>
      <c r="AA948" s="75"/>
      <c r="AB948" s="75"/>
      <c r="AC948" s="75"/>
      <c r="AD948" s="74">
        <f t="shared" si="362"/>
        <v>11912</v>
      </c>
      <c r="AE948" s="74">
        <f t="shared" si="363"/>
        <v>16036.509872490689</v>
      </c>
      <c r="AF948" s="52">
        <f t="shared" si="364"/>
        <v>198657.61499999999</v>
      </c>
      <c r="AG948" s="52">
        <f t="shared" si="365"/>
        <v>397315.23</v>
      </c>
    </row>
    <row r="949" spans="1:33" s="21" customFormat="1" x14ac:dyDescent="0.2">
      <c r="A949" s="115" t="s">
        <v>1097</v>
      </c>
      <c r="B949" s="115"/>
      <c r="C949" s="115"/>
      <c r="D949" s="163">
        <v>1</v>
      </c>
      <c r="E949" s="164"/>
      <c r="F949" s="165">
        <v>0.5</v>
      </c>
      <c r="G949" s="165"/>
      <c r="H949" s="51">
        <v>118128</v>
      </c>
      <c r="I949" s="52">
        <f t="shared" si="354"/>
        <v>126278.83199999999</v>
      </c>
      <c r="J949" s="52">
        <f t="shared" si="355"/>
        <v>63139.415999999997</v>
      </c>
      <c r="K949" s="62"/>
      <c r="L949" s="163">
        <v>8096</v>
      </c>
      <c r="M949" s="55">
        <f t="shared" si="356"/>
        <v>8096</v>
      </c>
      <c r="N949" s="55">
        <f t="shared" si="357"/>
        <v>4048</v>
      </c>
      <c r="O949" s="96"/>
      <c r="P949" s="163">
        <v>0</v>
      </c>
      <c r="Q949" s="55">
        <f t="shared" si="358"/>
        <v>0</v>
      </c>
      <c r="R949" s="65">
        <f t="shared" si="359"/>
        <v>0</v>
      </c>
      <c r="S949" s="119">
        <v>15</v>
      </c>
      <c r="T949" s="122" t="s">
        <v>1047</v>
      </c>
      <c r="U949" s="73">
        <f>SUMIF('Avoided Costs 2013-2021'!$A:$A,'2013 Actuals'!T949&amp;'2013 Actuals'!S949,'Avoided Costs 2013-2021'!$E:$E)*J949</f>
        <v>133243.26314543467</v>
      </c>
      <c r="V949" s="73">
        <f>SUMIF('Avoided Costs 2013-2021'!$A:$A,'2013 Actuals'!T949&amp;'2013 Actuals'!S949,'Avoided Costs 2013-2021'!$K:$K)*N949</f>
        <v>4237.825571918379</v>
      </c>
      <c r="W949" s="73">
        <f>SUMIF('Avoided Costs 2013-2021'!$A:$A,'2013 Actuals'!T949&amp;'2013 Actuals'!S949,'Avoided Costs 2013-2021'!$M:$M)*R949</f>
        <v>0</v>
      </c>
      <c r="X949" s="73">
        <f t="shared" si="360"/>
        <v>137481.08871735304</v>
      </c>
      <c r="Y949" s="89">
        <v>3450</v>
      </c>
      <c r="Z949" s="74">
        <f t="shared" si="361"/>
        <v>1725</v>
      </c>
      <c r="AA949" s="75"/>
      <c r="AB949" s="75"/>
      <c r="AC949" s="75"/>
      <c r="AD949" s="74">
        <f t="shared" si="362"/>
        <v>1725</v>
      </c>
      <c r="AE949" s="74">
        <f t="shared" si="363"/>
        <v>135756.08871735304</v>
      </c>
      <c r="AF949" s="52">
        <f t="shared" si="364"/>
        <v>947091.24</v>
      </c>
      <c r="AG949" s="52">
        <f t="shared" si="365"/>
        <v>1894182.48</v>
      </c>
    </row>
    <row r="950" spans="1:33" s="21" customFormat="1" x14ac:dyDescent="0.2">
      <c r="A950" s="115" t="s">
        <v>1098</v>
      </c>
      <c r="B950" s="115"/>
      <c r="C950" s="115"/>
      <c r="D950" s="163">
        <v>1</v>
      </c>
      <c r="E950" s="164"/>
      <c r="F950" s="165">
        <v>0.5</v>
      </c>
      <c r="G950" s="165"/>
      <c r="H950" s="51">
        <v>51889</v>
      </c>
      <c r="I950" s="52">
        <f t="shared" si="354"/>
        <v>55469.341</v>
      </c>
      <c r="J950" s="52">
        <f t="shared" si="355"/>
        <v>27734.6705</v>
      </c>
      <c r="K950" s="62"/>
      <c r="L950" s="163">
        <v>0</v>
      </c>
      <c r="M950" s="55">
        <f t="shared" si="356"/>
        <v>0</v>
      </c>
      <c r="N950" s="55">
        <f t="shared" si="357"/>
        <v>0</v>
      </c>
      <c r="O950" s="96"/>
      <c r="P950" s="163">
        <v>0</v>
      </c>
      <c r="Q950" s="55">
        <f t="shared" si="358"/>
        <v>0</v>
      </c>
      <c r="R950" s="65">
        <f t="shared" si="359"/>
        <v>0</v>
      </c>
      <c r="S950" s="119">
        <v>15</v>
      </c>
      <c r="T950" s="122" t="s">
        <v>1047</v>
      </c>
      <c r="U950" s="73">
        <f>SUMIF('Avoided Costs 2013-2021'!$A:$A,'2013 Actuals'!T950&amp;'2013 Actuals'!S950,'Avoided Costs 2013-2021'!$E:$E)*J950</f>
        <v>58528.542609317519</v>
      </c>
      <c r="V950" s="73">
        <f>SUMIF('Avoided Costs 2013-2021'!$A:$A,'2013 Actuals'!T950&amp;'2013 Actuals'!S950,'Avoided Costs 2013-2021'!$K:$K)*N950</f>
        <v>0</v>
      </c>
      <c r="W950" s="73">
        <f>SUMIF('Avoided Costs 2013-2021'!$A:$A,'2013 Actuals'!T950&amp;'2013 Actuals'!S950,'Avoided Costs 2013-2021'!$M:$M)*R950</f>
        <v>0</v>
      </c>
      <c r="X950" s="73">
        <f t="shared" si="360"/>
        <v>58528.542609317519</v>
      </c>
      <c r="Y950" s="89">
        <v>15000</v>
      </c>
      <c r="Z950" s="74">
        <f t="shared" si="361"/>
        <v>7500</v>
      </c>
      <c r="AA950" s="75"/>
      <c r="AB950" s="75"/>
      <c r="AC950" s="75"/>
      <c r="AD950" s="74">
        <f t="shared" si="362"/>
        <v>7500</v>
      </c>
      <c r="AE950" s="74">
        <f t="shared" si="363"/>
        <v>51028.542609317519</v>
      </c>
      <c r="AF950" s="52">
        <f t="shared" si="364"/>
        <v>416020.0575</v>
      </c>
      <c r="AG950" s="52">
        <f t="shared" si="365"/>
        <v>832040.11499999999</v>
      </c>
    </row>
    <row r="951" spans="1:33" s="21" customFormat="1" x14ac:dyDescent="0.2">
      <c r="A951" s="115" t="s">
        <v>1099</v>
      </c>
      <c r="B951" s="115"/>
      <c r="C951" s="115"/>
      <c r="D951" s="163">
        <v>1</v>
      </c>
      <c r="E951" s="164"/>
      <c r="F951" s="165">
        <v>0.5</v>
      </c>
      <c r="G951" s="165"/>
      <c r="H951" s="51">
        <v>33587</v>
      </c>
      <c r="I951" s="52">
        <f t="shared" si="354"/>
        <v>35904.502999999997</v>
      </c>
      <c r="J951" s="52">
        <f t="shared" si="355"/>
        <v>17952.251499999998</v>
      </c>
      <c r="K951" s="62"/>
      <c r="L951" s="163">
        <v>0</v>
      </c>
      <c r="M951" s="55">
        <f t="shared" si="356"/>
        <v>0</v>
      </c>
      <c r="N951" s="55">
        <f t="shared" si="357"/>
        <v>0</v>
      </c>
      <c r="O951" s="96"/>
      <c r="P951" s="163">
        <v>0</v>
      </c>
      <c r="Q951" s="55">
        <f t="shared" si="358"/>
        <v>0</v>
      </c>
      <c r="R951" s="65">
        <f t="shared" si="359"/>
        <v>0</v>
      </c>
      <c r="S951" s="119">
        <v>20</v>
      </c>
      <c r="T951" s="122" t="s">
        <v>1047</v>
      </c>
      <c r="U951" s="73">
        <f>SUMIF('Avoided Costs 2013-2021'!$A:$A,'2013 Actuals'!T951&amp;'2013 Actuals'!S951,'Avoided Costs 2013-2021'!$E:$E)*J951</f>
        <v>46446.379832961728</v>
      </c>
      <c r="V951" s="73">
        <f>SUMIF('Avoided Costs 2013-2021'!$A:$A,'2013 Actuals'!T951&amp;'2013 Actuals'!S951,'Avoided Costs 2013-2021'!$K:$K)*N951</f>
        <v>0</v>
      </c>
      <c r="W951" s="73">
        <f>SUMIF('Avoided Costs 2013-2021'!$A:$A,'2013 Actuals'!T951&amp;'2013 Actuals'!S951,'Avoided Costs 2013-2021'!$M:$M)*R951</f>
        <v>0</v>
      </c>
      <c r="X951" s="73">
        <f t="shared" si="360"/>
        <v>46446.379832961728</v>
      </c>
      <c r="Y951" s="89">
        <v>13241.5</v>
      </c>
      <c r="Z951" s="74">
        <f t="shared" si="361"/>
        <v>6620.75</v>
      </c>
      <c r="AA951" s="75"/>
      <c r="AB951" s="75"/>
      <c r="AC951" s="75"/>
      <c r="AD951" s="74">
        <f t="shared" si="362"/>
        <v>6620.75</v>
      </c>
      <c r="AE951" s="74">
        <f t="shared" si="363"/>
        <v>39825.629832961728</v>
      </c>
      <c r="AF951" s="52">
        <f t="shared" si="364"/>
        <v>359045.02999999997</v>
      </c>
      <c r="AG951" s="52">
        <f t="shared" si="365"/>
        <v>718090.05999999994</v>
      </c>
    </row>
    <row r="952" spans="1:33" s="21" customFormat="1" x14ac:dyDescent="0.2">
      <c r="A952" s="115" t="s">
        <v>1100</v>
      </c>
      <c r="B952" s="115"/>
      <c r="C952" s="115"/>
      <c r="D952" s="163">
        <v>1</v>
      </c>
      <c r="E952" s="164"/>
      <c r="F952" s="165">
        <v>0.5</v>
      </c>
      <c r="G952" s="165"/>
      <c r="H952" s="51">
        <v>134393</v>
      </c>
      <c r="I952" s="52">
        <f t="shared" si="354"/>
        <v>143666.117</v>
      </c>
      <c r="J952" s="52">
        <f t="shared" si="355"/>
        <v>71833.058499999999</v>
      </c>
      <c r="K952" s="62"/>
      <c r="L952" s="163">
        <v>0</v>
      </c>
      <c r="M952" s="55">
        <f t="shared" si="356"/>
        <v>0</v>
      </c>
      <c r="N952" s="55">
        <f t="shared" si="357"/>
        <v>0</v>
      </c>
      <c r="O952" s="96"/>
      <c r="P952" s="163">
        <v>0</v>
      </c>
      <c r="Q952" s="55">
        <f t="shared" si="358"/>
        <v>0</v>
      </c>
      <c r="R952" s="65">
        <f t="shared" si="359"/>
        <v>0</v>
      </c>
      <c r="S952" s="119">
        <v>15</v>
      </c>
      <c r="T952" s="122" t="s">
        <v>1047</v>
      </c>
      <c r="U952" s="73">
        <f>SUMIF('Avoided Costs 2013-2021'!$A:$A,'2013 Actuals'!T952&amp;'2013 Actuals'!S952,'Avoided Costs 2013-2021'!$E:$E)*J952</f>
        <v>151589.47805689086</v>
      </c>
      <c r="V952" s="73">
        <f>SUMIF('Avoided Costs 2013-2021'!$A:$A,'2013 Actuals'!T952&amp;'2013 Actuals'!S952,'Avoided Costs 2013-2021'!$K:$K)*N952</f>
        <v>0</v>
      </c>
      <c r="W952" s="73">
        <f>SUMIF('Avoided Costs 2013-2021'!$A:$A,'2013 Actuals'!T952&amp;'2013 Actuals'!S952,'Avoided Costs 2013-2021'!$M:$M)*R952</f>
        <v>0</v>
      </c>
      <c r="X952" s="73">
        <f t="shared" si="360"/>
        <v>151589.47805689086</v>
      </c>
      <c r="Y952" s="89">
        <v>56093.57</v>
      </c>
      <c r="Z952" s="74">
        <f t="shared" si="361"/>
        <v>28046.785</v>
      </c>
      <c r="AA952" s="75"/>
      <c r="AB952" s="75"/>
      <c r="AC952" s="75"/>
      <c r="AD952" s="74">
        <f t="shared" si="362"/>
        <v>28046.785</v>
      </c>
      <c r="AE952" s="74">
        <f t="shared" si="363"/>
        <v>123542.69305689086</v>
      </c>
      <c r="AF952" s="52">
        <f t="shared" si="364"/>
        <v>1077495.8774999999</v>
      </c>
      <c r="AG952" s="52">
        <f t="shared" si="365"/>
        <v>2154991.7549999999</v>
      </c>
    </row>
    <row r="953" spans="1:33" s="21" customFormat="1" x14ac:dyDescent="0.2">
      <c r="A953" s="115" t="s">
        <v>1101</v>
      </c>
      <c r="B953" s="115"/>
      <c r="C953" s="115"/>
      <c r="D953" s="163">
        <v>1</v>
      </c>
      <c r="E953" s="164"/>
      <c r="F953" s="165">
        <v>0.5</v>
      </c>
      <c r="G953" s="165"/>
      <c r="H953" s="51">
        <v>618610</v>
      </c>
      <c r="I953" s="52">
        <f t="shared" si="354"/>
        <v>661294.09</v>
      </c>
      <c r="J953" s="52">
        <f t="shared" si="355"/>
        <v>330647.04499999998</v>
      </c>
      <c r="K953" s="62"/>
      <c r="L953" s="163">
        <v>144753</v>
      </c>
      <c r="M953" s="55">
        <f t="shared" si="356"/>
        <v>144753</v>
      </c>
      <c r="N953" s="55">
        <f t="shared" si="357"/>
        <v>72376.5</v>
      </c>
      <c r="O953" s="96"/>
      <c r="P953" s="163">
        <v>0</v>
      </c>
      <c r="Q953" s="55">
        <f t="shared" si="358"/>
        <v>0</v>
      </c>
      <c r="R953" s="65">
        <f t="shared" si="359"/>
        <v>0</v>
      </c>
      <c r="S953" s="119">
        <v>10</v>
      </c>
      <c r="T953" s="122" t="s">
        <v>1047</v>
      </c>
      <c r="U953" s="73">
        <f>SUMIF('Avoided Costs 2013-2021'!$A:$A,'2013 Actuals'!T953&amp;'2013 Actuals'!S953,'Avoided Costs 2013-2021'!$E:$E)*J953</f>
        <v>497445.52261551813</v>
      </c>
      <c r="V953" s="73">
        <f>SUMIF('Avoided Costs 2013-2021'!$A:$A,'2013 Actuals'!T953&amp;'2013 Actuals'!S953,'Avoided Costs 2013-2021'!$K:$K)*N953</f>
        <v>56253.782078602249</v>
      </c>
      <c r="W953" s="73">
        <f>SUMIF('Avoided Costs 2013-2021'!$A:$A,'2013 Actuals'!T953&amp;'2013 Actuals'!S953,'Avoided Costs 2013-2021'!$M:$M)*R953</f>
        <v>0</v>
      </c>
      <c r="X953" s="73">
        <f t="shared" si="360"/>
        <v>553699.30469412042</v>
      </c>
      <c r="Y953" s="89">
        <v>90505</v>
      </c>
      <c r="Z953" s="74">
        <f t="shared" si="361"/>
        <v>45252.5</v>
      </c>
      <c r="AA953" s="75"/>
      <c r="AB953" s="75"/>
      <c r="AC953" s="75"/>
      <c r="AD953" s="74">
        <f t="shared" si="362"/>
        <v>45252.5</v>
      </c>
      <c r="AE953" s="74">
        <f t="shared" si="363"/>
        <v>508446.80469412042</v>
      </c>
      <c r="AF953" s="52">
        <f t="shared" si="364"/>
        <v>3306470.4499999997</v>
      </c>
      <c r="AG953" s="52">
        <f t="shared" si="365"/>
        <v>6612940.8999999994</v>
      </c>
    </row>
    <row r="954" spans="1:33" s="21" customFormat="1" x14ac:dyDescent="0.2">
      <c r="A954" s="115" t="s">
        <v>1102</v>
      </c>
      <c r="B954" s="115"/>
      <c r="C954" s="115"/>
      <c r="D954" s="163">
        <v>1</v>
      </c>
      <c r="E954" s="164"/>
      <c r="F954" s="165">
        <v>0.5</v>
      </c>
      <c r="G954" s="165"/>
      <c r="H954" s="51">
        <v>41077</v>
      </c>
      <c r="I954" s="52">
        <f t="shared" si="354"/>
        <v>43911.312999999995</v>
      </c>
      <c r="J954" s="52">
        <f t="shared" si="355"/>
        <v>21955.656499999997</v>
      </c>
      <c r="K954" s="62"/>
      <c r="L954" s="163">
        <v>0</v>
      </c>
      <c r="M954" s="55">
        <f t="shared" si="356"/>
        <v>0</v>
      </c>
      <c r="N954" s="55">
        <f t="shared" si="357"/>
        <v>0</v>
      </c>
      <c r="O954" s="96"/>
      <c r="P954" s="163">
        <v>0</v>
      </c>
      <c r="Q954" s="55">
        <f t="shared" si="358"/>
        <v>0</v>
      </c>
      <c r="R954" s="65">
        <f t="shared" si="359"/>
        <v>0</v>
      </c>
      <c r="S954" s="119">
        <v>25</v>
      </c>
      <c r="T954" s="122" t="s">
        <v>1047</v>
      </c>
      <c r="U954" s="73">
        <f>SUMIF('Avoided Costs 2013-2021'!$A:$A,'2013 Actuals'!T954&amp;'2013 Actuals'!S954,'Avoided Costs 2013-2021'!$E:$E)*J954</f>
        <v>65046.759024261613</v>
      </c>
      <c r="V954" s="73">
        <f>SUMIF('Avoided Costs 2013-2021'!$A:$A,'2013 Actuals'!T954&amp;'2013 Actuals'!S954,'Avoided Costs 2013-2021'!$K:$K)*N954</f>
        <v>0</v>
      </c>
      <c r="W954" s="73">
        <f>SUMIF('Avoided Costs 2013-2021'!$A:$A,'2013 Actuals'!T954&amp;'2013 Actuals'!S954,'Avoided Costs 2013-2021'!$M:$M)*R954</f>
        <v>0</v>
      </c>
      <c r="X954" s="73">
        <f t="shared" si="360"/>
        <v>65046.759024261613</v>
      </c>
      <c r="Y954" s="89">
        <v>26275</v>
      </c>
      <c r="Z954" s="74">
        <f t="shared" si="361"/>
        <v>13137.5</v>
      </c>
      <c r="AA954" s="75"/>
      <c r="AB954" s="75"/>
      <c r="AC954" s="75"/>
      <c r="AD954" s="74">
        <f t="shared" si="362"/>
        <v>13137.5</v>
      </c>
      <c r="AE954" s="74">
        <f t="shared" si="363"/>
        <v>51909.259024261613</v>
      </c>
      <c r="AF954" s="52">
        <f t="shared" si="364"/>
        <v>548891.41249999998</v>
      </c>
      <c r="AG954" s="52">
        <f t="shared" si="365"/>
        <v>1097782.825</v>
      </c>
    </row>
    <row r="955" spans="1:33" s="21" customFormat="1" x14ac:dyDescent="0.2">
      <c r="A955" s="115" t="s">
        <v>1103</v>
      </c>
      <c r="B955" s="115"/>
      <c r="C955" s="115"/>
      <c r="D955" s="163">
        <v>0</v>
      </c>
      <c r="E955" s="164"/>
      <c r="F955" s="165">
        <v>0.5</v>
      </c>
      <c r="G955" s="165"/>
      <c r="H955" s="51">
        <v>9792</v>
      </c>
      <c r="I955" s="52">
        <f t="shared" si="354"/>
        <v>10467.647999999999</v>
      </c>
      <c r="J955" s="52">
        <f t="shared" si="355"/>
        <v>5233.8239999999996</v>
      </c>
      <c r="K955" s="62"/>
      <c r="L955" s="163">
        <v>0</v>
      </c>
      <c r="M955" s="55">
        <f t="shared" si="356"/>
        <v>0</v>
      </c>
      <c r="N955" s="55">
        <f t="shared" si="357"/>
        <v>0</v>
      </c>
      <c r="O955" s="96"/>
      <c r="P955" s="163">
        <v>0</v>
      </c>
      <c r="Q955" s="55">
        <f t="shared" si="358"/>
        <v>0</v>
      </c>
      <c r="R955" s="65">
        <f t="shared" si="359"/>
        <v>0</v>
      </c>
      <c r="S955" s="119">
        <v>25</v>
      </c>
      <c r="T955" s="122" t="s">
        <v>1047</v>
      </c>
      <c r="U955" s="73">
        <f>SUMIF('Avoided Costs 2013-2021'!$A:$A,'2013 Actuals'!T955&amp;'2013 Actuals'!S955,'Avoided Costs 2013-2021'!$E:$E)*J955</f>
        <v>15505.948934088899</v>
      </c>
      <c r="V955" s="73">
        <f>SUMIF('Avoided Costs 2013-2021'!$A:$A,'2013 Actuals'!T955&amp;'2013 Actuals'!S955,'Avoided Costs 2013-2021'!$K:$K)*N955</f>
        <v>0</v>
      </c>
      <c r="W955" s="73">
        <f>SUMIF('Avoided Costs 2013-2021'!$A:$A,'2013 Actuals'!T955&amp;'2013 Actuals'!S955,'Avoided Costs 2013-2021'!$M:$M)*R955</f>
        <v>0</v>
      </c>
      <c r="X955" s="73">
        <f t="shared" si="360"/>
        <v>15505.948934088899</v>
      </c>
      <c r="Y955" s="89">
        <v>13103.6</v>
      </c>
      <c r="Z955" s="74">
        <f t="shared" si="361"/>
        <v>6551.8</v>
      </c>
      <c r="AA955" s="75"/>
      <c r="AB955" s="75"/>
      <c r="AC955" s="75"/>
      <c r="AD955" s="74">
        <f t="shared" si="362"/>
        <v>6551.8</v>
      </c>
      <c r="AE955" s="74">
        <f t="shared" si="363"/>
        <v>8954.1489340888984</v>
      </c>
      <c r="AF955" s="52">
        <f t="shared" si="364"/>
        <v>130845.59999999999</v>
      </c>
      <c r="AG955" s="52">
        <f t="shared" si="365"/>
        <v>261691.19999999998</v>
      </c>
    </row>
    <row r="956" spans="1:33" s="21" customFormat="1" x14ac:dyDescent="0.2">
      <c r="A956" s="115" t="s">
        <v>1104</v>
      </c>
      <c r="B956" s="115"/>
      <c r="C956" s="115"/>
      <c r="D956" s="163">
        <v>1</v>
      </c>
      <c r="E956" s="164"/>
      <c r="F956" s="165">
        <v>0.5</v>
      </c>
      <c r="G956" s="165"/>
      <c r="H956" s="51">
        <v>15027</v>
      </c>
      <c r="I956" s="52">
        <f t="shared" si="354"/>
        <v>16063.862999999999</v>
      </c>
      <c r="J956" s="52">
        <f t="shared" si="355"/>
        <v>8031.9314999999997</v>
      </c>
      <c r="K956" s="62"/>
      <c r="L956" s="163">
        <v>0</v>
      </c>
      <c r="M956" s="55">
        <f t="shared" si="356"/>
        <v>0</v>
      </c>
      <c r="N956" s="55">
        <f t="shared" si="357"/>
        <v>0</v>
      </c>
      <c r="O956" s="96"/>
      <c r="P956" s="163">
        <v>0</v>
      </c>
      <c r="Q956" s="55">
        <f t="shared" si="358"/>
        <v>0</v>
      </c>
      <c r="R956" s="65">
        <f t="shared" si="359"/>
        <v>0</v>
      </c>
      <c r="S956" s="119">
        <v>15</v>
      </c>
      <c r="T956" s="122" t="s">
        <v>1047</v>
      </c>
      <c r="U956" s="73">
        <f>SUMIF('Avoided Costs 2013-2021'!$A:$A,'2013 Actuals'!T956&amp;'2013 Actuals'!S956,'Avoided Costs 2013-2021'!$E:$E)*J956</f>
        <v>16949.804578816595</v>
      </c>
      <c r="V956" s="73">
        <f>SUMIF('Avoided Costs 2013-2021'!$A:$A,'2013 Actuals'!T956&amp;'2013 Actuals'!S956,'Avoided Costs 2013-2021'!$K:$K)*N956</f>
        <v>0</v>
      </c>
      <c r="W956" s="73">
        <f>SUMIF('Avoided Costs 2013-2021'!$A:$A,'2013 Actuals'!T956&amp;'2013 Actuals'!S956,'Avoided Costs 2013-2021'!$M:$M)*R956</f>
        <v>0</v>
      </c>
      <c r="X956" s="73">
        <f t="shared" si="360"/>
        <v>16949.804578816595</v>
      </c>
      <c r="Y956" s="89">
        <v>12800</v>
      </c>
      <c r="Z956" s="74">
        <f t="shared" si="361"/>
        <v>6400</v>
      </c>
      <c r="AA956" s="75"/>
      <c r="AB956" s="75"/>
      <c r="AC956" s="75"/>
      <c r="AD956" s="74">
        <f t="shared" si="362"/>
        <v>6400</v>
      </c>
      <c r="AE956" s="74">
        <f t="shared" si="363"/>
        <v>10549.804578816595</v>
      </c>
      <c r="AF956" s="52">
        <f t="shared" si="364"/>
        <v>120478.97249999999</v>
      </c>
      <c r="AG956" s="52">
        <f t="shared" si="365"/>
        <v>240957.94499999998</v>
      </c>
    </row>
    <row r="957" spans="1:33" s="21" customFormat="1" x14ac:dyDescent="0.2">
      <c r="A957" s="115" t="s">
        <v>1105</v>
      </c>
      <c r="B957" s="115"/>
      <c r="C957" s="115"/>
      <c r="D957" s="163">
        <v>1</v>
      </c>
      <c r="E957" s="164"/>
      <c r="F957" s="165">
        <v>0.5</v>
      </c>
      <c r="G957" s="165"/>
      <c r="H957" s="51">
        <v>197652</v>
      </c>
      <c r="I957" s="52">
        <f t="shared" si="354"/>
        <v>211289.98799999998</v>
      </c>
      <c r="J957" s="52">
        <f t="shared" si="355"/>
        <v>105644.99399999999</v>
      </c>
      <c r="K957" s="62"/>
      <c r="L957" s="163">
        <v>34564</v>
      </c>
      <c r="M957" s="55">
        <f t="shared" si="356"/>
        <v>34564</v>
      </c>
      <c r="N957" s="55">
        <f t="shared" si="357"/>
        <v>17282</v>
      </c>
      <c r="O957" s="96"/>
      <c r="P957" s="163">
        <v>0</v>
      </c>
      <c r="Q957" s="55">
        <f t="shared" si="358"/>
        <v>0</v>
      </c>
      <c r="R957" s="65">
        <f t="shared" si="359"/>
        <v>0</v>
      </c>
      <c r="S957" s="119">
        <v>15</v>
      </c>
      <c r="T957" s="122" t="s">
        <v>1047</v>
      </c>
      <c r="U957" s="73">
        <f>SUMIF('Avoided Costs 2013-2021'!$A:$A,'2013 Actuals'!T957&amp;'2013 Actuals'!S957,'Avoided Costs 2013-2021'!$E:$E)*J957</f>
        <v>222942.88777615342</v>
      </c>
      <c r="V957" s="73">
        <f>SUMIF('Avoided Costs 2013-2021'!$A:$A,'2013 Actuals'!T957&amp;'2013 Actuals'!S957,'Avoided Costs 2013-2021'!$K:$K)*N957</f>
        <v>18092.416386831377</v>
      </c>
      <c r="W957" s="73">
        <f>SUMIF('Avoided Costs 2013-2021'!$A:$A,'2013 Actuals'!T957&amp;'2013 Actuals'!S957,'Avoided Costs 2013-2021'!$M:$M)*R957</f>
        <v>0</v>
      </c>
      <c r="X957" s="73">
        <f t="shared" si="360"/>
        <v>241035.3041629848</v>
      </c>
      <c r="Y957" s="89">
        <v>51000</v>
      </c>
      <c r="Z957" s="74">
        <f t="shared" si="361"/>
        <v>25500</v>
      </c>
      <c r="AA957" s="75"/>
      <c r="AB957" s="75"/>
      <c r="AC957" s="75"/>
      <c r="AD957" s="74">
        <f t="shared" si="362"/>
        <v>25500</v>
      </c>
      <c r="AE957" s="74">
        <f t="shared" si="363"/>
        <v>215535.3041629848</v>
      </c>
      <c r="AF957" s="52">
        <f t="shared" si="364"/>
        <v>1584674.91</v>
      </c>
      <c r="AG957" s="52">
        <f t="shared" si="365"/>
        <v>3169349.82</v>
      </c>
    </row>
    <row r="958" spans="1:33" s="21" customFormat="1" x14ac:dyDescent="0.2">
      <c r="A958" s="115" t="s">
        <v>1106</v>
      </c>
      <c r="B958" s="115"/>
      <c r="C958" s="115"/>
      <c r="D958" s="163">
        <v>1</v>
      </c>
      <c r="E958" s="164"/>
      <c r="F958" s="165">
        <v>0.5</v>
      </c>
      <c r="G958" s="165"/>
      <c r="H958" s="51">
        <v>343250</v>
      </c>
      <c r="I958" s="52">
        <f t="shared" si="354"/>
        <v>366934.25</v>
      </c>
      <c r="J958" s="52">
        <f t="shared" si="355"/>
        <v>183467.125</v>
      </c>
      <c r="K958" s="62"/>
      <c r="L958" s="163">
        <v>0</v>
      </c>
      <c r="M958" s="55">
        <f t="shared" si="356"/>
        <v>0</v>
      </c>
      <c r="N958" s="55">
        <f t="shared" si="357"/>
        <v>0</v>
      </c>
      <c r="O958" s="96"/>
      <c r="P958" s="163">
        <v>0</v>
      </c>
      <c r="Q958" s="55">
        <f t="shared" si="358"/>
        <v>0</v>
      </c>
      <c r="R958" s="65">
        <f t="shared" si="359"/>
        <v>0</v>
      </c>
      <c r="S958" s="119">
        <v>15</v>
      </c>
      <c r="T958" s="122" t="s">
        <v>1047</v>
      </c>
      <c r="U958" s="73">
        <f>SUMIF('Avoided Costs 2013-2021'!$A:$A,'2013 Actuals'!T958&amp;'2013 Actuals'!S958,'Avoided Costs 2013-2021'!$E:$E)*J958</f>
        <v>387171.12009574746</v>
      </c>
      <c r="V958" s="73">
        <f>SUMIF('Avoided Costs 2013-2021'!$A:$A,'2013 Actuals'!T958&amp;'2013 Actuals'!S958,'Avoided Costs 2013-2021'!$K:$K)*N958</f>
        <v>0</v>
      </c>
      <c r="W958" s="73">
        <f>SUMIF('Avoided Costs 2013-2021'!$A:$A,'2013 Actuals'!T958&amp;'2013 Actuals'!S958,'Avoided Costs 2013-2021'!$M:$M)*R958</f>
        <v>0</v>
      </c>
      <c r="X958" s="73">
        <f t="shared" si="360"/>
        <v>387171.12009574746</v>
      </c>
      <c r="Y958" s="89">
        <v>39796.949999999997</v>
      </c>
      <c r="Z958" s="74">
        <f t="shared" si="361"/>
        <v>19898.474999999999</v>
      </c>
      <c r="AA958" s="75"/>
      <c r="AB958" s="75"/>
      <c r="AC958" s="75"/>
      <c r="AD958" s="74">
        <f t="shared" si="362"/>
        <v>19898.474999999999</v>
      </c>
      <c r="AE958" s="74">
        <f t="shared" si="363"/>
        <v>367272.64509574749</v>
      </c>
      <c r="AF958" s="52">
        <f t="shared" si="364"/>
        <v>2752006.875</v>
      </c>
      <c r="AG958" s="52">
        <f t="shared" si="365"/>
        <v>5504013.75</v>
      </c>
    </row>
    <row r="959" spans="1:33" s="21" customFormat="1" x14ac:dyDescent="0.2">
      <c r="A959" s="115" t="s">
        <v>1107</v>
      </c>
      <c r="B959" s="115"/>
      <c r="C959" s="115"/>
      <c r="D959" s="163">
        <v>1</v>
      </c>
      <c r="E959" s="164"/>
      <c r="F959" s="165">
        <v>0.5</v>
      </c>
      <c r="G959" s="165"/>
      <c r="H959" s="51">
        <v>24934</v>
      </c>
      <c r="I959" s="52">
        <f t="shared" si="354"/>
        <v>26654.446</v>
      </c>
      <c r="J959" s="52">
        <f t="shared" si="355"/>
        <v>13327.223</v>
      </c>
      <c r="K959" s="62"/>
      <c r="L959" s="163">
        <v>0</v>
      </c>
      <c r="M959" s="55">
        <f t="shared" si="356"/>
        <v>0</v>
      </c>
      <c r="N959" s="55">
        <f t="shared" si="357"/>
        <v>0</v>
      </c>
      <c r="O959" s="96"/>
      <c r="P959" s="163">
        <v>0</v>
      </c>
      <c r="Q959" s="55">
        <f t="shared" si="358"/>
        <v>0</v>
      </c>
      <c r="R959" s="65">
        <f t="shared" si="359"/>
        <v>0</v>
      </c>
      <c r="S959" s="119">
        <v>15</v>
      </c>
      <c r="T959" s="122" t="s">
        <v>1047</v>
      </c>
      <c r="U959" s="73">
        <f>SUMIF('Avoided Costs 2013-2021'!$A:$A,'2013 Actuals'!T959&amp;'2013 Actuals'!S959,'Avoided Costs 2013-2021'!$E:$E)*J959</f>
        <v>28124.471109883078</v>
      </c>
      <c r="V959" s="73">
        <f>SUMIF('Avoided Costs 2013-2021'!$A:$A,'2013 Actuals'!T959&amp;'2013 Actuals'!S959,'Avoided Costs 2013-2021'!$K:$K)*N959</f>
        <v>0</v>
      </c>
      <c r="W959" s="73">
        <f>SUMIF('Avoided Costs 2013-2021'!$A:$A,'2013 Actuals'!T959&amp;'2013 Actuals'!S959,'Avoided Costs 2013-2021'!$M:$M)*R959</f>
        <v>0</v>
      </c>
      <c r="X959" s="73">
        <f t="shared" si="360"/>
        <v>28124.471109883078</v>
      </c>
      <c r="Y959" s="89">
        <v>22920</v>
      </c>
      <c r="Z959" s="74">
        <f t="shared" si="361"/>
        <v>11460</v>
      </c>
      <c r="AA959" s="75"/>
      <c r="AB959" s="75"/>
      <c r="AC959" s="75"/>
      <c r="AD959" s="74">
        <f t="shared" si="362"/>
        <v>11460</v>
      </c>
      <c r="AE959" s="74">
        <f t="shared" si="363"/>
        <v>16664.471109883078</v>
      </c>
      <c r="AF959" s="52">
        <f t="shared" si="364"/>
        <v>199908.345</v>
      </c>
      <c r="AG959" s="52">
        <f t="shared" si="365"/>
        <v>399816.69</v>
      </c>
    </row>
    <row r="960" spans="1:33" s="21" customFormat="1" x14ac:dyDescent="0.2">
      <c r="A960" s="115" t="s">
        <v>1108</v>
      </c>
      <c r="B960" s="115"/>
      <c r="C960" s="115"/>
      <c r="D960" s="163">
        <v>1</v>
      </c>
      <c r="E960" s="164"/>
      <c r="F960" s="165">
        <v>0.5</v>
      </c>
      <c r="G960" s="165"/>
      <c r="H960" s="51">
        <v>21895</v>
      </c>
      <c r="I960" s="52">
        <f t="shared" si="354"/>
        <v>23405.754999999997</v>
      </c>
      <c r="J960" s="52">
        <f t="shared" si="355"/>
        <v>11702.877499999999</v>
      </c>
      <c r="K960" s="62"/>
      <c r="L960" s="163">
        <v>0</v>
      </c>
      <c r="M960" s="55">
        <f t="shared" si="356"/>
        <v>0</v>
      </c>
      <c r="N960" s="55">
        <f t="shared" si="357"/>
        <v>0</v>
      </c>
      <c r="O960" s="96"/>
      <c r="P960" s="163">
        <v>0</v>
      </c>
      <c r="Q960" s="55">
        <f t="shared" si="358"/>
        <v>0</v>
      </c>
      <c r="R960" s="65">
        <f t="shared" si="359"/>
        <v>0</v>
      </c>
      <c r="S960" s="119">
        <v>5</v>
      </c>
      <c r="T960" s="122" t="s">
        <v>1047</v>
      </c>
      <c r="U960" s="73">
        <f>SUMIF('Avoided Costs 2013-2021'!$A:$A,'2013 Actuals'!T960&amp;'2013 Actuals'!S960,'Avoided Costs 2013-2021'!$E:$E)*J960</f>
        <v>8719.3687564987558</v>
      </c>
      <c r="V960" s="73">
        <f>SUMIF('Avoided Costs 2013-2021'!$A:$A,'2013 Actuals'!T960&amp;'2013 Actuals'!S960,'Avoided Costs 2013-2021'!$K:$K)*N960</f>
        <v>0</v>
      </c>
      <c r="W960" s="73">
        <f>SUMIF('Avoided Costs 2013-2021'!$A:$A,'2013 Actuals'!T960&amp;'2013 Actuals'!S960,'Avoided Costs 2013-2021'!$M:$M)*R960</f>
        <v>0</v>
      </c>
      <c r="X960" s="73">
        <f t="shared" si="360"/>
        <v>8719.3687564987558</v>
      </c>
      <c r="Y960" s="89">
        <v>1354.95</v>
      </c>
      <c r="Z960" s="74">
        <f t="shared" si="361"/>
        <v>677.47500000000002</v>
      </c>
      <c r="AA960" s="75"/>
      <c r="AB960" s="75"/>
      <c r="AC960" s="75"/>
      <c r="AD960" s="74">
        <f t="shared" si="362"/>
        <v>677.47500000000002</v>
      </c>
      <c r="AE960" s="74">
        <f t="shared" si="363"/>
        <v>8041.8937564987555</v>
      </c>
      <c r="AF960" s="52">
        <f t="shared" si="364"/>
        <v>58514.387499999997</v>
      </c>
      <c r="AG960" s="52">
        <f t="shared" si="365"/>
        <v>117028.77499999999</v>
      </c>
    </row>
    <row r="961" spans="1:33" s="21" customFormat="1" x14ac:dyDescent="0.2">
      <c r="A961" s="115" t="s">
        <v>1109</v>
      </c>
      <c r="B961" s="115"/>
      <c r="C961" s="115"/>
      <c r="D961" s="163">
        <v>1</v>
      </c>
      <c r="E961" s="164"/>
      <c r="F961" s="165">
        <v>0.5</v>
      </c>
      <c r="G961" s="165"/>
      <c r="H961" s="51">
        <v>49827</v>
      </c>
      <c r="I961" s="52">
        <f t="shared" si="354"/>
        <v>53265.062999999995</v>
      </c>
      <c r="J961" s="52">
        <f t="shared" si="355"/>
        <v>26632.531499999997</v>
      </c>
      <c r="K961" s="62"/>
      <c r="L961" s="163">
        <v>0</v>
      </c>
      <c r="M961" s="55">
        <f t="shared" si="356"/>
        <v>0</v>
      </c>
      <c r="N961" s="55">
        <f t="shared" si="357"/>
        <v>0</v>
      </c>
      <c r="O961" s="96"/>
      <c r="P961" s="163">
        <v>0</v>
      </c>
      <c r="Q961" s="55">
        <f t="shared" si="358"/>
        <v>0</v>
      </c>
      <c r="R961" s="65">
        <f t="shared" si="359"/>
        <v>0</v>
      </c>
      <c r="S961" s="119">
        <v>15</v>
      </c>
      <c r="T961" s="122" t="s">
        <v>1047</v>
      </c>
      <c r="U961" s="73">
        <f>SUMIF('Avoided Costs 2013-2021'!$A:$A,'2013 Actuals'!T961&amp;'2013 Actuals'!S961,'Avoided Costs 2013-2021'!$E:$E)*J961</f>
        <v>56202.69599711815</v>
      </c>
      <c r="V961" s="73">
        <f>SUMIF('Avoided Costs 2013-2021'!$A:$A,'2013 Actuals'!T961&amp;'2013 Actuals'!S961,'Avoided Costs 2013-2021'!$K:$K)*N961</f>
        <v>0</v>
      </c>
      <c r="W961" s="73">
        <f>SUMIF('Avoided Costs 2013-2021'!$A:$A,'2013 Actuals'!T961&amp;'2013 Actuals'!S961,'Avoided Costs 2013-2021'!$M:$M)*R961</f>
        <v>0</v>
      </c>
      <c r="X961" s="73">
        <f t="shared" si="360"/>
        <v>56202.69599711815</v>
      </c>
      <c r="Y961" s="89">
        <v>26614</v>
      </c>
      <c r="Z961" s="74">
        <f t="shared" si="361"/>
        <v>13307</v>
      </c>
      <c r="AA961" s="75"/>
      <c r="AB961" s="75"/>
      <c r="AC961" s="75"/>
      <c r="AD961" s="74">
        <f t="shared" si="362"/>
        <v>13307</v>
      </c>
      <c r="AE961" s="74">
        <f t="shared" si="363"/>
        <v>42895.69599711815</v>
      </c>
      <c r="AF961" s="52">
        <f t="shared" si="364"/>
        <v>399487.97249999997</v>
      </c>
      <c r="AG961" s="52">
        <f t="shared" si="365"/>
        <v>798975.94499999995</v>
      </c>
    </row>
    <row r="962" spans="1:33" s="21" customFormat="1" x14ac:dyDescent="0.2">
      <c r="A962" s="115" t="s">
        <v>1110</v>
      </c>
      <c r="B962" s="115"/>
      <c r="C962" s="115"/>
      <c r="D962" s="163">
        <v>1</v>
      </c>
      <c r="E962" s="164"/>
      <c r="F962" s="165">
        <v>0.5</v>
      </c>
      <c r="G962" s="165"/>
      <c r="H962" s="51">
        <v>26419</v>
      </c>
      <c r="I962" s="52">
        <f t="shared" si="354"/>
        <v>28241.911</v>
      </c>
      <c r="J962" s="52">
        <f t="shared" si="355"/>
        <v>14120.9555</v>
      </c>
      <c r="K962" s="62"/>
      <c r="L962" s="163">
        <v>0</v>
      </c>
      <c r="M962" s="55">
        <f t="shared" si="356"/>
        <v>0</v>
      </c>
      <c r="N962" s="55">
        <f t="shared" si="357"/>
        <v>0</v>
      </c>
      <c r="O962" s="96"/>
      <c r="P962" s="163">
        <v>0</v>
      </c>
      <c r="Q962" s="55">
        <f t="shared" si="358"/>
        <v>0</v>
      </c>
      <c r="R962" s="65">
        <f t="shared" si="359"/>
        <v>0</v>
      </c>
      <c r="S962" s="119">
        <v>20</v>
      </c>
      <c r="T962" s="122" t="s">
        <v>1047</v>
      </c>
      <c r="U962" s="73">
        <f>SUMIF('Avoided Costs 2013-2021'!$A:$A,'2013 Actuals'!T962&amp;'2013 Actuals'!S962,'Avoided Costs 2013-2021'!$E:$E)*J962</f>
        <v>36533.983648644302</v>
      </c>
      <c r="V962" s="73">
        <f>SUMIF('Avoided Costs 2013-2021'!$A:$A,'2013 Actuals'!T962&amp;'2013 Actuals'!S962,'Avoided Costs 2013-2021'!$K:$K)*N962</f>
        <v>0</v>
      </c>
      <c r="W962" s="73">
        <f>SUMIF('Avoided Costs 2013-2021'!$A:$A,'2013 Actuals'!T962&amp;'2013 Actuals'!S962,'Avoided Costs 2013-2021'!$M:$M)*R962</f>
        <v>0</v>
      </c>
      <c r="X962" s="73">
        <f t="shared" si="360"/>
        <v>36533.983648644302</v>
      </c>
      <c r="Y962" s="89">
        <v>4420</v>
      </c>
      <c r="Z962" s="74">
        <f t="shared" si="361"/>
        <v>2210</v>
      </c>
      <c r="AA962" s="75"/>
      <c r="AB962" s="75"/>
      <c r="AC962" s="75"/>
      <c r="AD962" s="74">
        <f t="shared" si="362"/>
        <v>2210</v>
      </c>
      <c r="AE962" s="74">
        <f t="shared" si="363"/>
        <v>34323.983648644302</v>
      </c>
      <c r="AF962" s="52">
        <f t="shared" si="364"/>
        <v>282419.11</v>
      </c>
      <c r="AG962" s="52">
        <f t="shared" si="365"/>
        <v>564838.22</v>
      </c>
    </row>
    <row r="963" spans="1:33" s="21" customFormat="1" x14ac:dyDescent="0.2">
      <c r="A963" s="115" t="s">
        <v>1111</v>
      </c>
      <c r="B963" s="115"/>
      <c r="C963" s="115"/>
      <c r="D963" s="163">
        <v>1</v>
      </c>
      <c r="E963" s="164"/>
      <c r="F963" s="165">
        <v>0.5</v>
      </c>
      <c r="G963" s="165"/>
      <c r="H963" s="51">
        <v>21378</v>
      </c>
      <c r="I963" s="52">
        <f t="shared" si="354"/>
        <v>22853.081999999999</v>
      </c>
      <c r="J963" s="52">
        <f t="shared" si="355"/>
        <v>11426.540999999999</v>
      </c>
      <c r="K963" s="62"/>
      <c r="L963" s="163">
        <v>0</v>
      </c>
      <c r="M963" s="55">
        <f t="shared" si="356"/>
        <v>0</v>
      </c>
      <c r="N963" s="55">
        <f t="shared" si="357"/>
        <v>0</v>
      </c>
      <c r="O963" s="96"/>
      <c r="P963" s="163">
        <v>0</v>
      </c>
      <c r="Q963" s="55">
        <f t="shared" si="358"/>
        <v>0</v>
      </c>
      <c r="R963" s="65">
        <f t="shared" si="359"/>
        <v>0</v>
      </c>
      <c r="S963" s="119">
        <v>25</v>
      </c>
      <c r="T963" s="122" t="s">
        <v>1047</v>
      </c>
      <c r="U963" s="73">
        <f>SUMIF('Avoided Costs 2013-2021'!$A:$A,'2013 Actuals'!T963&amp;'2013 Actuals'!S963,'Avoided Costs 2013-2021'!$E:$E)*J963</f>
        <v>33852.754933920805</v>
      </c>
      <c r="V963" s="73">
        <f>SUMIF('Avoided Costs 2013-2021'!$A:$A,'2013 Actuals'!T963&amp;'2013 Actuals'!S963,'Avoided Costs 2013-2021'!$K:$K)*N963</f>
        <v>0</v>
      </c>
      <c r="W963" s="73">
        <f>SUMIF('Avoided Costs 2013-2021'!$A:$A,'2013 Actuals'!T963&amp;'2013 Actuals'!S963,'Avoided Costs 2013-2021'!$M:$M)*R963</f>
        <v>0</v>
      </c>
      <c r="X963" s="73">
        <f t="shared" si="360"/>
        <v>33852.754933920805</v>
      </c>
      <c r="Y963" s="89">
        <v>36600</v>
      </c>
      <c r="Z963" s="74">
        <f t="shared" si="361"/>
        <v>18300</v>
      </c>
      <c r="AA963" s="75"/>
      <c r="AB963" s="75"/>
      <c r="AC963" s="75"/>
      <c r="AD963" s="74">
        <f t="shared" si="362"/>
        <v>18300</v>
      </c>
      <c r="AE963" s="74">
        <f t="shared" si="363"/>
        <v>15552.754933920805</v>
      </c>
      <c r="AF963" s="52">
        <f t="shared" si="364"/>
        <v>285663.52499999997</v>
      </c>
      <c r="AG963" s="52">
        <f t="shared" si="365"/>
        <v>571327.04999999993</v>
      </c>
    </row>
    <row r="964" spans="1:33" s="21" customFormat="1" x14ac:dyDescent="0.2">
      <c r="A964" s="115" t="s">
        <v>1112</v>
      </c>
      <c r="B964" s="115"/>
      <c r="C964" s="115"/>
      <c r="D964" s="163">
        <v>1</v>
      </c>
      <c r="E964" s="164"/>
      <c r="F964" s="165">
        <v>0.5</v>
      </c>
      <c r="G964" s="165"/>
      <c r="H964" s="51">
        <v>209449</v>
      </c>
      <c r="I964" s="52">
        <f t="shared" si="354"/>
        <v>223900.981</v>
      </c>
      <c r="J964" s="52">
        <f t="shared" si="355"/>
        <v>111950.4905</v>
      </c>
      <c r="K964" s="62"/>
      <c r="L964" s="163">
        <v>0</v>
      </c>
      <c r="M964" s="55">
        <f t="shared" si="356"/>
        <v>0</v>
      </c>
      <c r="N964" s="55">
        <f t="shared" si="357"/>
        <v>0</v>
      </c>
      <c r="O964" s="96"/>
      <c r="P964" s="163">
        <v>0</v>
      </c>
      <c r="Q964" s="55">
        <f t="shared" si="358"/>
        <v>0</v>
      </c>
      <c r="R964" s="65">
        <f t="shared" si="359"/>
        <v>0</v>
      </c>
      <c r="S964" s="119">
        <v>15</v>
      </c>
      <c r="T964" s="122" t="s">
        <v>1047</v>
      </c>
      <c r="U964" s="73">
        <f>SUMIF('Avoided Costs 2013-2021'!$A:$A,'2013 Actuals'!T964&amp;'2013 Actuals'!S964,'Avoided Costs 2013-2021'!$E:$E)*J964</f>
        <v>236249.39237562771</v>
      </c>
      <c r="V964" s="73">
        <f>SUMIF('Avoided Costs 2013-2021'!$A:$A,'2013 Actuals'!T964&amp;'2013 Actuals'!S964,'Avoided Costs 2013-2021'!$K:$K)*N964</f>
        <v>0</v>
      </c>
      <c r="W964" s="73">
        <f>SUMIF('Avoided Costs 2013-2021'!$A:$A,'2013 Actuals'!T964&amp;'2013 Actuals'!S964,'Avoided Costs 2013-2021'!$M:$M)*R964</f>
        <v>0</v>
      </c>
      <c r="X964" s="73">
        <f t="shared" si="360"/>
        <v>236249.39237562771</v>
      </c>
      <c r="Y964" s="89">
        <v>127000</v>
      </c>
      <c r="Z964" s="74">
        <f t="shared" si="361"/>
        <v>63500</v>
      </c>
      <c r="AA964" s="75"/>
      <c r="AB964" s="75"/>
      <c r="AC964" s="75"/>
      <c r="AD964" s="74">
        <f t="shared" si="362"/>
        <v>63500</v>
      </c>
      <c r="AE964" s="74">
        <f t="shared" si="363"/>
        <v>172749.39237562771</v>
      </c>
      <c r="AF964" s="52">
        <f t="shared" si="364"/>
        <v>1679257.3574999999</v>
      </c>
      <c r="AG964" s="52">
        <f t="shared" si="365"/>
        <v>3358514.7149999999</v>
      </c>
    </row>
    <row r="965" spans="1:33" s="21" customFormat="1" x14ac:dyDescent="0.2">
      <c r="A965" s="115" t="s">
        <v>1113</v>
      </c>
      <c r="B965" s="115"/>
      <c r="C965" s="115"/>
      <c r="D965" s="163">
        <v>1</v>
      </c>
      <c r="E965" s="164"/>
      <c r="F965" s="165">
        <v>0.5</v>
      </c>
      <c r="G965" s="165"/>
      <c r="H965" s="51">
        <v>217384</v>
      </c>
      <c r="I965" s="52">
        <f t="shared" si="354"/>
        <v>232383.49599999998</v>
      </c>
      <c r="J965" s="52">
        <f t="shared" si="355"/>
        <v>116191.74799999999</v>
      </c>
      <c r="K965" s="62"/>
      <c r="L965" s="163">
        <v>122211</v>
      </c>
      <c r="M965" s="55">
        <f t="shared" si="356"/>
        <v>122211</v>
      </c>
      <c r="N965" s="55">
        <f t="shared" si="357"/>
        <v>61105.5</v>
      </c>
      <c r="O965" s="96"/>
      <c r="P965" s="163">
        <v>0</v>
      </c>
      <c r="Q965" s="55">
        <f t="shared" si="358"/>
        <v>0</v>
      </c>
      <c r="R965" s="65">
        <f t="shared" si="359"/>
        <v>0</v>
      </c>
      <c r="S965" s="119">
        <v>15</v>
      </c>
      <c r="T965" s="122" t="s">
        <v>1047</v>
      </c>
      <c r="U965" s="73">
        <f>SUMIF('Avoided Costs 2013-2021'!$A:$A,'2013 Actuals'!T965&amp;'2013 Actuals'!S965,'Avoided Costs 2013-2021'!$E:$E)*J965</f>
        <v>245199.72839299039</v>
      </c>
      <c r="V965" s="73">
        <f>SUMIF('Avoided Costs 2013-2021'!$A:$A,'2013 Actuals'!T965&amp;'2013 Actuals'!S965,'Avoided Costs 2013-2021'!$K:$K)*N965</f>
        <v>63970.961088156742</v>
      </c>
      <c r="W965" s="73">
        <f>SUMIF('Avoided Costs 2013-2021'!$A:$A,'2013 Actuals'!T965&amp;'2013 Actuals'!S965,'Avoided Costs 2013-2021'!$M:$M)*R965</f>
        <v>0</v>
      </c>
      <c r="X965" s="73">
        <f t="shared" si="360"/>
        <v>309170.68948114716</v>
      </c>
      <c r="Y965" s="89">
        <v>51442</v>
      </c>
      <c r="Z965" s="74">
        <f t="shared" si="361"/>
        <v>25721</v>
      </c>
      <c r="AA965" s="75"/>
      <c r="AB965" s="75"/>
      <c r="AC965" s="75"/>
      <c r="AD965" s="74">
        <f t="shared" si="362"/>
        <v>25721</v>
      </c>
      <c r="AE965" s="74">
        <f t="shared" si="363"/>
        <v>283449.68948114716</v>
      </c>
      <c r="AF965" s="52">
        <f t="shared" si="364"/>
        <v>1742876.22</v>
      </c>
      <c r="AG965" s="52">
        <f t="shared" si="365"/>
        <v>3485752.44</v>
      </c>
    </row>
    <row r="966" spans="1:33" s="21" customFormat="1" x14ac:dyDescent="0.2">
      <c r="A966" s="115" t="s">
        <v>1114</v>
      </c>
      <c r="B966" s="115"/>
      <c r="C966" s="115"/>
      <c r="D966" s="163">
        <v>1</v>
      </c>
      <c r="E966" s="164"/>
      <c r="F966" s="165">
        <v>0.5</v>
      </c>
      <c r="G966" s="165"/>
      <c r="H966" s="51">
        <v>11148</v>
      </c>
      <c r="I966" s="52">
        <f t="shared" si="354"/>
        <v>11917.212</v>
      </c>
      <c r="J966" s="52">
        <f t="shared" si="355"/>
        <v>5958.6059999999998</v>
      </c>
      <c r="K966" s="62"/>
      <c r="L966" s="163">
        <v>0</v>
      </c>
      <c r="M966" s="55">
        <f t="shared" si="356"/>
        <v>0</v>
      </c>
      <c r="N966" s="55">
        <f t="shared" si="357"/>
        <v>0</v>
      </c>
      <c r="O966" s="96"/>
      <c r="P966" s="163">
        <v>0</v>
      </c>
      <c r="Q966" s="55">
        <f t="shared" si="358"/>
        <v>0</v>
      </c>
      <c r="R966" s="65">
        <f t="shared" si="359"/>
        <v>0</v>
      </c>
      <c r="S966" s="119">
        <v>20</v>
      </c>
      <c r="T966" s="122" t="s">
        <v>1047</v>
      </c>
      <c r="U966" s="73">
        <f>SUMIF('Avoided Costs 2013-2021'!$A:$A,'2013 Actuals'!T966&amp;'2013 Actuals'!S966,'Avoided Costs 2013-2021'!$E:$E)*J966</f>
        <v>15416.209913891011</v>
      </c>
      <c r="V966" s="73">
        <f>SUMIF('Avoided Costs 2013-2021'!$A:$A,'2013 Actuals'!T966&amp;'2013 Actuals'!S966,'Avoided Costs 2013-2021'!$K:$K)*N966</f>
        <v>0</v>
      </c>
      <c r="W966" s="73">
        <f>SUMIF('Avoided Costs 2013-2021'!$A:$A,'2013 Actuals'!T966&amp;'2013 Actuals'!S966,'Avoided Costs 2013-2021'!$M:$M)*R966</f>
        <v>0</v>
      </c>
      <c r="X966" s="73">
        <f t="shared" si="360"/>
        <v>15416.209913891011</v>
      </c>
      <c r="Y966" s="89">
        <v>18817.82</v>
      </c>
      <c r="Z966" s="74">
        <f t="shared" si="361"/>
        <v>9408.91</v>
      </c>
      <c r="AA966" s="75"/>
      <c r="AB966" s="75"/>
      <c r="AC966" s="75"/>
      <c r="AD966" s="74">
        <f t="shared" si="362"/>
        <v>9408.91</v>
      </c>
      <c r="AE966" s="74">
        <f t="shared" si="363"/>
        <v>6007.2999138910109</v>
      </c>
      <c r="AF966" s="52">
        <f t="shared" si="364"/>
        <v>119172.12</v>
      </c>
      <c r="AG966" s="52">
        <f t="shared" si="365"/>
        <v>238344.24</v>
      </c>
    </row>
    <row r="967" spans="1:33" s="21" customFormat="1" x14ac:dyDescent="0.2">
      <c r="A967" s="115" t="s">
        <v>1115</v>
      </c>
      <c r="B967" s="115"/>
      <c r="C967" s="115"/>
      <c r="D967" s="163">
        <v>1</v>
      </c>
      <c r="E967" s="164"/>
      <c r="F967" s="165">
        <v>0.5</v>
      </c>
      <c r="G967" s="165"/>
      <c r="H967" s="51">
        <v>29562</v>
      </c>
      <c r="I967" s="52">
        <f t="shared" si="354"/>
        <v>31601.777999999998</v>
      </c>
      <c r="J967" s="52">
        <f t="shared" si="355"/>
        <v>15800.888999999999</v>
      </c>
      <c r="K967" s="62"/>
      <c r="L967" s="163">
        <v>0</v>
      </c>
      <c r="M967" s="55">
        <f t="shared" si="356"/>
        <v>0</v>
      </c>
      <c r="N967" s="55">
        <f t="shared" si="357"/>
        <v>0</v>
      </c>
      <c r="O967" s="96"/>
      <c r="P967" s="163">
        <v>0</v>
      </c>
      <c r="Q967" s="55">
        <f t="shared" si="358"/>
        <v>0</v>
      </c>
      <c r="R967" s="65">
        <f t="shared" si="359"/>
        <v>0</v>
      </c>
      <c r="S967" s="119">
        <v>15</v>
      </c>
      <c r="T967" s="122" t="s">
        <v>1047</v>
      </c>
      <c r="U967" s="73">
        <f>SUMIF('Avoided Costs 2013-2021'!$A:$A,'2013 Actuals'!T967&amp;'2013 Actuals'!S967,'Avoided Costs 2013-2021'!$E:$E)*J967</f>
        <v>33344.654485857202</v>
      </c>
      <c r="V967" s="73">
        <f>SUMIF('Avoided Costs 2013-2021'!$A:$A,'2013 Actuals'!T967&amp;'2013 Actuals'!S967,'Avoided Costs 2013-2021'!$K:$K)*N967</f>
        <v>0</v>
      </c>
      <c r="W967" s="73">
        <f>SUMIF('Avoided Costs 2013-2021'!$A:$A,'2013 Actuals'!T967&amp;'2013 Actuals'!S967,'Avoided Costs 2013-2021'!$M:$M)*R967</f>
        <v>0</v>
      </c>
      <c r="X967" s="73">
        <f t="shared" si="360"/>
        <v>33344.654485857202</v>
      </c>
      <c r="Y967" s="89">
        <v>7125</v>
      </c>
      <c r="Z967" s="74">
        <f t="shared" si="361"/>
        <v>3562.5</v>
      </c>
      <c r="AA967" s="75"/>
      <c r="AB967" s="75"/>
      <c r="AC967" s="75"/>
      <c r="AD967" s="74">
        <f t="shared" si="362"/>
        <v>3562.5</v>
      </c>
      <c r="AE967" s="74">
        <f t="shared" si="363"/>
        <v>29782.154485857202</v>
      </c>
      <c r="AF967" s="52">
        <f t="shared" si="364"/>
        <v>237013.33499999999</v>
      </c>
      <c r="AG967" s="52">
        <f t="shared" si="365"/>
        <v>474026.67</v>
      </c>
    </row>
    <row r="968" spans="1:33" s="21" customFormat="1" x14ac:dyDescent="0.2">
      <c r="A968" s="115" t="s">
        <v>1116</v>
      </c>
      <c r="B968" s="115"/>
      <c r="C968" s="115"/>
      <c r="D968" s="163">
        <v>1</v>
      </c>
      <c r="E968" s="164"/>
      <c r="F968" s="165">
        <v>0.5</v>
      </c>
      <c r="G968" s="165"/>
      <c r="H968" s="51">
        <v>12122</v>
      </c>
      <c r="I968" s="52">
        <f t="shared" si="354"/>
        <v>12958.418</v>
      </c>
      <c r="J968" s="52">
        <f t="shared" si="355"/>
        <v>6479.2089999999998</v>
      </c>
      <c r="K968" s="62"/>
      <c r="L968" s="163">
        <v>0</v>
      </c>
      <c r="M968" s="55">
        <f t="shared" si="356"/>
        <v>0</v>
      </c>
      <c r="N968" s="55">
        <f t="shared" si="357"/>
        <v>0</v>
      </c>
      <c r="O968" s="96"/>
      <c r="P968" s="163">
        <v>0</v>
      </c>
      <c r="Q968" s="55">
        <f t="shared" si="358"/>
        <v>0</v>
      </c>
      <c r="R968" s="65">
        <f t="shared" si="359"/>
        <v>0</v>
      </c>
      <c r="S968" s="119">
        <v>15</v>
      </c>
      <c r="T968" s="122" t="s">
        <v>1047</v>
      </c>
      <c r="U968" s="73">
        <f>SUMIF('Avoided Costs 2013-2021'!$A:$A,'2013 Actuals'!T968&amp;'2013 Actuals'!S968,'Avoided Costs 2013-2021'!$E:$E)*J968</f>
        <v>13673.090510708376</v>
      </c>
      <c r="V968" s="73">
        <f>SUMIF('Avoided Costs 2013-2021'!$A:$A,'2013 Actuals'!T968&amp;'2013 Actuals'!S968,'Avoided Costs 2013-2021'!$K:$K)*N968</f>
        <v>0</v>
      </c>
      <c r="W968" s="73">
        <f>SUMIF('Avoided Costs 2013-2021'!$A:$A,'2013 Actuals'!T968&amp;'2013 Actuals'!S968,'Avoided Costs 2013-2021'!$M:$M)*R968</f>
        <v>0</v>
      </c>
      <c r="X968" s="73">
        <f t="shared" si="360"/>
        <v>13673.090510708376</v>
      </c>
      <c r="Y968" s="89">
        <v>9382.2800000000007</v>
      </c>
      <c r="Z968" s="74">
        <f t="shared" si="361"/>
        <v>4691.1400000000003</v>
      </c>
      <c r="AA968" s="75"/>
      <c r="AB968" s="75"/>
      <c r="AC968" s="75"/>
      <c r="AD968" s="74">
        <f t="shared" si="362"/>
        <v>4691.1400000000003</v>
      </c>
      <c r="AE968" s="74">
        <f t="shared" si="363"/>
        <v>8981.9505107083751</v>
      </c>
      <c r="AF968" s="52">
        <f t="shared" si="364"/>
        <v>97188.134999999995</v>
      </c>
      <c r="AG968" s="52">
        <f t="shared" si="365"/>
        <v>194376.27</v>
      </c>
    </row>
    <row r="969" spans="1:33" s="21" customFormat="1" x14ac:dyDescent="0.2">
      <c r="A969" s="115" t="s">
        <v>1117</v>
      </c>
      <c r="B969" s="115"/>
      <c r="C969" s="115"/>
      <c r="D969" s="163">
        <v>1</v>
      </c>
      <c r="E969" s="164"/>
      <c r="F969" s="165">
        <v>0.5</v>
      </c>
      <c r="G969" s="165"/>
      <c r="H969" s="51">
        <v>27549</v>
      </c>
      <c r="I969" s="52">
        <f t="shared" si="354"/>
        <v>29449.880999999998</v>
      </c>
      <c r="J969" s="52">
        <f t="shared" si="355"/>
        <v>14724.940499999999</v>
      </c>
      <c r="K969" s="62"/>
      <c r="L969" s="163">
        <v>0</v>
      </c>
      <c r="M969" s="55">
        <f t="shared" si="356"/>
        <v>0</v>
      </c>
      <c r="N969" s="55">
        <f t="shared" si="357"/>
        <v>0</v>
      </c>
      <c r="O969" s="96"/>
      <c r="P969" s="163">
        <v>0</v>
      </c>
      <c r="Q969" s="55">
        <f t="shared" si="358"/>
        <v>0</v>
      </c>
      <c r="R969" s="65">
        <f t="shared" si="359"/>
        <v>0</v>
      </c>
      <c r="S969" s="119">
        <v>15</v>
      </c>
      <c r="T969" s="122" t="s">
        <v>1047</v>
      </c>
      <c r="U969" s="73">
        <f>SUMIF('Avoided Costs 2013-2021'!$A:$A,'2013 Actuals'!T969&amp;'2013 Actuals'!S969,'Avoided Costs 2013-2021'!$E:$E)*J969</f>
        <v>31074.07774950545</v>
      </c>
      <c r="V969" s="73">
        <f>SUMIF('Avoided Costs 2013-2021'!$A:$A,'2013 Actuals'!T969&amp;'2013 Actuals'!S969,'Avoided Costs 2013-2021'!$K:$K)*N969</f>
        <v>0</v>
      </c>
      <c r="W969" s="73">
        <f>SUMIF('Avoided Costs 2013-2021'!$A:$A,'2013 Actuals'!T969&amp;'2013 Actuals'!S969,'Avoided Costs 2013-2021'!$M:$M)*R969</f>
        <v>0</v>
      </c>
      <c r="X969" s="73">
        <f t="shared" si="360"/>
        <v>31074.07774950545</v>
      </c>
      <c r="Y969" s="89">
        <v>29250.95</v>
      </c>
      <c r="Z969" s="74">
        <f t="shared" si="361"/>
        <v>14625.475</v>
      </c>
      <c r="AA969" s="75"/>
      <c r="AB969" s="75"/>
      <c r="AC969" s="75"/>
      <c r="AD969" s="74">
        <f t="shared" si="362"/>
        <v>14625.475</v>
      </c>
      <c r="AE969" s="74">
        <f t="shared" si="363"/>
        <v>16448.602749505451</v>
      </c>
      <c r="AF969" s="52">
        <f t="shared" si="364"/>
        <v>220874.10749999998</v>
      </c>
      <c r="AG969" s="52">
        <f t="shared" si="365"/>
        <v>441748.21499999997</v>
      </c>
    </row>
    <row r="970" spans="1:33" s="21" customFormat="1" x14ac:dyDescent="0.2">
      <c r="A970" s="115" t="s">
        <v>1118</v>
      </c>
      <c r="B970" s="115"/>
      <c r="C970" s="115"/>
      <c r="D970" s="163">
        <v>0</v>
      </c>
      <c r="E970" s="164"/>
      <c r="F970" s="165">
        <v>0.5</v>
      </c>
      <c r="G970" s="165"/>
      <c r="H970" s="51">
        <v>30794</v>
      </c>
      <c r="I970" s="52">
        <f t="shared" si="354"/>
        <v>32918.786</v>
      </c>
      <c r="J970" s="52">
        <f t="shared" si="355"/>
        <v>16459.393</v>
      </c>
      <c r="K970" s="62"/>
      <c r="L970" s="163">
        <v>0</v>
      </c>
      <c r="M970" s="55">
        <f t="shared" si="356"/>
        <v>0</v>
      </c>
      <c r="N970" s="55">
        <f t="shared" si="357"/>
        <v>0</v>
      </c>
      <c r="O970" s="96"/>
      <c r="P970" s="163">
        <v>0</v>
      </c>
      <c r="Q970" s="55">
        <f t="shared" si="358"/>
        <v>0</v>
      </c>
      <c r="R970" s="65">
        <f t="shared" si="359"/>
        <v>0</v>
      </c>
      <c r="S970" s="119">
        <v>20</v>
      </c>
      <c r="T970" s="122" t="s">
        <v>1047</v>
      </c>
      <c r="U970" s="73">
        <f>SUMIF('Avoided Costs 2013-2021'!$A:$A,'2013 Actuals'!T970&amp;'2013 Actuals'!S970,'Avoided Costs 2013-2021'!$E:$E)*J970</f>
        <v>42584.030147861486</v>
      </c>
      <c r="V970" s="73">
        <f>SUMIF('Avoided Costs 2013-2021'!$A:$A,'2013 Actuals'!T970&amp;'2013 Actuals'!S970,'Avoided Costs 2013-2021'!$K:$K)*N970</f>
        <v>0</v>
      </c>
      <c r="W970" s="73">
        <f>SUMIF('Avoided Costs 2013-2021'!$A:$A,'2013 Actuals'!T970&amp;'2013 Actuals'!S970,'Avoided Costs 2013-2021'!$M:$M)*R970</f>
        <v>0</v>
      </c>
      <c r="X970" s="73">
        <f t="shared" si="360"/>
        <v>42584.030147861486</v>
      </c>
      <c r="Y970" s="89">
        <v>6000</v>
      </c>
      <c r="Z970" s="74">
        <f t="shared" si="361"/>
        <v>3000</v>
      </c>
      <c r="AA970" s="75"/>
      <c r="AB970" s="75"/>
      <c r="AC970" s="75"/>
      <c r="AD970" s="74">
        <f t="shared" si="362"/>
        <v>3000</v>
      </c>
      <c r="AE970" s="74">
        <f t="shared" si="363"/>
        <v>39584.030147861486</v>
      </c>
      <c r="AF970" s="52">
        <f t="shared" si="364"/>
        <v>329187.86</v>
      </c>
      <c r="AG970" s="52">
        <f t="shared" si="365"/>
        <v>658375.72</v>
      </c>
    </row>
    <row r="971" spans="1:33" s="21" customFormat="1" x14ac:dyDescent="0.2">
      <c r="A971" s="115" t="s">
        <v>1119</v>
      </c>
      <c r="B971" s="115"/>
      <c r="C971" s="115"/>
      <c r="D971" s="163">
        <v>1</v>
      </c>
      <c r="E971" s="164"/>
      <c r="F971" s="165">
        <v>0.5</v>
      </c>
      <c r="G971" s="165"/>
      <c r="H971" s="51">
        <v>140908</v>
      </c>
      <c r="I971" s="52">
        <f t="shared" ref="I971:I975" si="366">+$H$892*H971</f>
        <v>150630.652</v>
      </c>
      <c r="J971" s="52">
        <f t="shared" ref="J971:J975" si="367">I971*(1-F971)</f>
        <v>75315.326000000001</v>
      </c>
      <c r="K971" s="62"/>
      <c r="L971" s="163">
        <v>0</v>
      </c>
      <c r="M971" s="55">
        <f t="shared" ref="M971:M975" si="368">+$L$892*L971</f>
        <v>0</v>
      </c>
      <c r="N971" s="55">
        <f t="shared" ref="N971:N975" si="369">M971*(1-F971)</f>
        <v>0</v>
      </c>
      <c r="O971" s="96"/>
      <c r="P971" s="163">
        <v>0</v>
      </c>
      <c r="Q971" s="55">
        <f t="shared" ref="Q971:Q975" si="370">+P971*$P$892</f>
        <v>0</v>
      </c>
      <c r="R971" s="65">
        <f t="shared" ref="R971:R975" si="371">Q971*(1-F971)</f>
        <v>0</v>
      </c>
      <c r="S971" s="119">
        <v>15</v>
      </c>
      <c r="T971" s="122" t="s">
        <v>1047</v>
      </c>
      <c r="U971" s="73">
        <f>SUMIF('Avoided Costs 2013-2021'!$A:$A,'2013 Actuals'!T971&amp;'2013 Actuals'!S971,'Avoided Costs 2013-2021'!$E:$E)*J971</f>
        <v>158938.1156313229</v>
      </c>
      <c r="V971" s="73">
        <f>SUMIF('Avoided Costs 2013-2021'!$A:$A,'2013 Actuals'!T971&amp;'2013 Actuals'!S971,'Avoided Costs 2013-2021'!$K:$K)*N971</f>
        <v>0</v>
      </c>
      <c r="W971" s="73">
        <f>SUMIF('Avoided Costs 2013-2021'!$A:$A,'2013 Actuals'!T971&amp;'2013 Actuals'!S971,'Avoided Costs 2013-2021'!$M:$M)*R971</f>
        <v>0</v>
      </c>
      <c r="X971" s="73">
        <f t="shared" ref="X971:X975" si="372">SUM(U971:W971)</f>
        <v>158938.1156313229</v>
      </c>
      <c r="Y971" s="89">
        <v>53200</v>
      </c>
      <c r="Z971" s="74">
        <f t="shared" ref="Z971:Z975" si="373">Y971*(1-F971)</f>
        <v>26600</v>
      </c>
      <c r="AA971" s="75"/>
      <c r="AB971" s="75"/>
      <c r="AC971" s="75"/>
      <c r="AD971" s="74">
        <f t="shared" ref="AD971:AD976" si="374">Z971+AB971</f>
        <v>26600</v>
      </c>
      <c r="AE971" s="74">
        <f t="shared" ref="AE971:AE976" si="375">X971-AD971</f>
        <v>132338.1156313229</v>
      </c>
      <c r="AF971" s="52">
        <f t="shared" si="364"/>
        <v>1129729.8900000001</v>
      </c>
      <c r="AG971" s="52">
        <f t="shared" si="365"/>
        <v>2259459.7800000003</v>
      </c>
    </row>
    <row r="972" spans="1:33" s="21" customFormat="1" x14ac:dyDescent="0.2">
      <c r="A972" s="114" t="s">
        <v>1120</v>
      </c>
      <c r="B972" s="114"/>
      <c r="C972" s="114"/>
      <c r="D972" s="160">
        <v>1</v>
      </c>
      <c r="E972" s="161"/>
      <c r="F972" s="162">
        <v>0.5</v>
      </c>
      <c r="G972" s="162"/>
      <c r="H972" s="52">
        <v>34963</v>
      </c>
      <c r="I972" s="52">
        <f t="shared" si="366"/>
        <v>37375.447</v>
      </c>
      <c r="J972" s="52">
        <f t="shared" si="367"/>
        <v>18687.7235</v>
      </c>
      <c r="K972" s="61"/>
      <c r="L972" s="160">
        <v>0</v>
      </c>
      <c r="M972" s="55">
        <f t="shared" si="368"/>
        <v>0</v>
      </c>
      <c r="N972" s="55">
        <f t="shared" si="369"/>
        <v>0</v>
      </c>
      <c r="O972" s="95"/>
      <c r="P972" s="160">
        <v>0</v>
      </c>
      <c r="Q972" s="55">
        <f t="shared" si="370"/>
        <v>0</v>
      </c>
      <c r="R972" s="65">
        <f t="shared" si="371"/>
        <v>0</v>
      </c>
      <c r="S972" s="118">
        <v>20</v>
      </c>
      <c r="T972" s="121" t="s">
        <v>1047</v>
      </c>
      <c r="U972" s="73">
        <f>SUMIF('Avoided Costs 2013-2021'!$A:$A,'2013 Actuals'!T972&amp;'2013 Actuals'!S972,'Avoided Costs 2013-2021'!$E:$E)*J972</f>
        <v>48349.205886201242</v>
      </c>
      <c r="V972" s="73">
        <f>SUMIF('Avoided Costs 2013-2021'!$A:$A,'2013 Actuals'!T972&amp;'2013 Actuals'!S972,'Avoided Costs 2013-2021'!$K:$K)*N972</f>
        <v>0</v>
      </c>
      <c r="W972" s="73">
        <f>SUMIF('Avoided Costs 2013-2021'!$A:$A,'2013 Actuals'!T972&amp;'2013 Actuals'!S972,'Avoided Costs 2013-2021'!$M:$M)*R972</f>
        <v>0</v>
      </c>
      <c r="X972" s="73">
        <f t="shared" si="372"/>
        <v>48349.205886201242</v>
      </c>
      <c r="Y972" s="83">
        <v>25611.1</v>
      </c>
      <c r="Z972" s="74">
        <f t="shared" si="373"/>
        <v>12805.55</v>
      </c>
      <c r="AA972" s="74"/>
      <c r="AB972" s="74"/>
      <c r="AC972" s="74"/>
      <c r="AD972" s="74">
        <f t="shared" si="374"/>
        <v>12805.55</v>
      </c>
      <c r="AE972" s="74">
        <f t="shared" si="375"/>
        <v>35543.655886201246</v>
      </c>
      <c r="AF972" s="52">
        <f t="shared" si="364"/>
        <v>373754.47</v>
      </c>
      <c r="AG972" s="52">
        <f t="shared" si="365"/>
        <v>747508.94</v>
      </c>
    </row>
    <row r="973" spans="1:33" s="21" customFormat="1" x14ac:dyDescent="0.2">
      <c r="A973" s="114" t="s">
        <v>1121</v>
      </c>
      <c r="B973" s="114"/>
      <c r="C973" s="114"/>
      <c r="D973" s="160">
        <v>1</v>
      </c>
      <c r="E973" s="161"/>
      <c r="F973" s="162">
        <v>0.5</v>
      </c>
      <c r="G973" s="162"/>
      <c r="H973" s="52">
        <v>76852</v>
      </c>
      <c r="I973" s="52">
        <f t="shared" si="366"/>
        <v>82154.788</v>
      </c>
      <c r="J973" s="52">
        <f t="shared" si="367"/>
        <v>41077.394</v>
      </c>
      <c r="K973" s="61"/>
      <c r="L973" s="160">
        <v>0</v>
      </c>
      <c r="M973" s="55">
        <f t="shared" si="368"/>
        <v>0</v>
      </c>
      <c r="N973" s="55">
        <f t="shared" si="369"/>
        <v>0</v>
      </c>
      <c r="O973" s="95"/>
      <c r="P973" s="160">
        <v>0</v>
      </c>
      <c r="Q973" s="55">
        <f t="shared" si="370"/>
        <v>0</v>
      </c>
      <c r="R973" s="65">
        <f t="shared" si="371"/>
        <v>0</v>
      </c>
      <c r="S973" s="118">
        <v>5</v>
      </c>
      <c r="T973" s="121" t="s">
        <v>1047</v>
      </c>
      <c r="U973" s="73">
        <f>SUMIF('Avoided Costs 2013-2021'!$A:$A,'2013 Actuals'!T973&amp;'2013 Actuals'!S973,'Avoided Costs 2013-2021'!$E:$E)*J973</f>
        <v>30605.203364898036</v>
      </c>
      <c r="V973" s="73">
        <f>SUMIF('Avoided Costs 2013-2021'!$A:$A,'2013 Actuals'!T973&amp;'2013 Actuals'!S973,'Avoided Costs 2013-2021'!$K:$K)*N973</f>
        <v>0</v>
      </c>
      <c r="W973" s="73">
        <f>SUMIF('Avoided Costs 2013-2021'!$A:$A,'2013 Actuals'!T973&amp;'2013 Actuals'!S973,'Avoided Costs 2013-2021'!$M:$M)*R973</f>
        <v>0</v>
      </c>
      <c r="X973" s="73">
        <f t="shared" si="372"/>
        <v>30605.203364898036</v>
      </c>
      <c r="Y973" s="83">
        <v>4000</v>
      </c>
      <c r="Z973" s="74">
        <f t="shared" si="373"/>
        <v>2000</v>
      </c>
      <c r="AA973" s="74"/>
      <c r="AB973" s="74"/>
      <c r="AC973" s="74"/>
      <c r="AD973" s="74">
        <f t="shared" si="374"/>
        <v>2000</v>
      </c>
      <c r="AE973" s="74">
        <f t="shared" si="375"/>
        <v>28605.203364898036</v>
      </c>
      <c r="AF973" s="52">
        <f t="shared" si="364"/>
        <v>205386.97</v>
      </c>
      <c r="AG973" s="52">
        <f t="shared" si="365"/>
        <v>410773.94</v>
      </c>
    </row>
    <row r="974" spans="1:33" s="21" customFormat="1" x14ac:dyDescent="0.2">
      <c r="A974" s="114" t="s">
        <v>1122</v>
      </c>
      <c r="B974" s="114"/>
      <c r="C974" s="114"/>
      <c r="D974" s="160">
        <v>1</v>
      </c>
      <c r="E974" s="161"/>
      <c r="F974" s="162">
        <v>0.5</v>
      </c>
      <c r="G974" s="162"/>
      <c r="H974" s="52">
        <v>21242</v>
      </c>
      <c r="I974" s="52">
        <f t="shared" si="366"/>
        <v>22707.698</v>
      </c>
      <c r="J974" s="52">
        <f t="shared" si="367"/>
        <v>11353.849</v>
      </c>
      <c r="K974" s="61"/>
      <c r="L974" s="160">
        <v>-19706</v>
      </c>
      <c r="M974" s="55">
        <f t="shared" si="368"/>
        <v>-19706</v>
      </c>
      <c r="N974" s="55">
        <f t="shared" si="369"/>
        <v>-9853</v>
      </c>
      <c r="O974" s="95"/>
      <c r="P974" s="160">
        <v>0</v>
      </c>
      <c r="Q974" s="55">
        <f t="shared" si="370"/>
        <v>0</v>
      </c>
      <c r="R974" s="65">
        <f t="shared" si="371"/>
        <v>0</v>
      </c>
      <c r="S974" s="118">
        <v>15</v>
      </c>
      <c r="T974" s="121" t="s">
        <v>1047</v>
      </c>
      <c r="U974" s="73">
        <f>SUMIF('Avoided Costs 2013-2021'!$A:$A,'2013 Actuals'!T974&amp;'2013 Actuals'!S974,'Avoided Costs 2013-2021'!$E:$E)*J974</f>
        <v>23960.055158263269</v>
      </c>
      <c r="V974" s="73">
        <f>SUMIF('Avoided Costs 2013-2021'!$A:$A,'2013 Actuals'!T974&amp;'2013 Actuals'!S974,'Avoided Costs 2013-2021'!$K:$K)*N974</f>
        <v>-10315.043320185718</v>
      </c>
      <c r="W974" s="73">
        <f>SUMIF('Avoided Costs 2013-2021'!$A:$A,'2013 Actuals'!T974&amp;'2013 Actuals'!S974,'Avoided Costs 2013-2021'!$M:$M)*R974</f>
        <v>0</v>
      </c>
      <c r="X974" s="73">
        <f t="shared" si="372"/>
        <v>13645.011838077551</v>
      </c>
      <c r="Y974" s="83">
        <v>20028.36</v>
      </c>
      <c r="Z974" s="74">
        <f t="shared" si="373"/>
        <v>10014.18</v>
      </c>
      <c r="AA974" s="74"/>
      <c r="AB974" s="74"/>
      <c r="AC974" s="74"/>
      <c r="AD974" s="74">
        <f t="shared" si="374"/>
        <v>10014.18</v>
      </c>
      <c r="AE974" s="74">
        <f t="shared" si="375"/>
        <v>3630.8318380775509</v>
      </c>
      <c r="AF974" s="52">
        <f t="shared" si="364"/>
        <v>170307.73500000002</v>
      </c>
      <c r="AG974" s="52">
        <f t="shared" si="365"/>
        <v>340615.47000000003</v>
      </c>
    </row>
    <row r="975" spans="1:33" s="21" customFormat="1" x14ac:dyDescent="0.2">
      <c r="A975" s="114" t="s">
        <v>1123</v>
      </c>
      <c r="B975" s="114"/>
      <c r="C975" s="114"/>
      <c r="D975" s="160">
        <v>1</v>
      </c>
      <c r="E975" s="161"/>
      <c r="F975" s="162">
        <v>0.5</v>
      </c>
      <c r="G975" s="162"/>
      <c r="H975" s="52">
        <v>16688</v>
      </c>
      <c r="I975" s="52">
        <f t="shared" si="366"/>
        <v>17839.471999999998</v>
      </c>
      <c r="J975" s="52">
        <f t="shared" si="367"/>
        <v>8919.735999999999</v>
      </c>
      <c r="K975" s="61"/>
      <c r="L975" s="160">
        <v>-17306</v>
      </c>
      <c r="M975" s="55">
        <f t="shared" si="368"/>
        <v>-17306</v>
      </c>
      <c r="N975" s="55">
        <f t="shared" si="369"/>
        <v>-8653</v>
      </c>
      <c r="O975" s="95"/>
      <c r="P975" s="160">
        <v>0</v>
      </c>
      <c r="Q975" s="55">
        <f t="shared" si="370"/>
        <v>0</v>
      </c>
      <c r="R975" s="65">
        <f t="shared" si="371"/>
        <v>0</v>
      </c>
      <c r="S975" s="118">
        <v>15</v>
      </c>
      <c r="T975" s="121" t="s">
        <v>1047</v>
      </c>
      <c r="U975" s="73">
        <f>SUMIF('Avoided Costs 2013-2021'!$A:$A,'2013 Actuals'!T975&amp;'2013 Actuals'!S975,'Avoided Costs 2013-2021'!$E:$E)*J975</f>
        <v>18823.340574385529</v>
      </c>
      <c r="V975" s="73">
        <f>SUMIF('Avoided Costs 2013-2021'!$A:$A,'2013 Actuals'!T975&amp;'2013 Actuals'!S975,'Avoided Costs 2013-2021'!$K:$K)*N975</f>
        <v>-9058.7709174431147</v>
      </c>
      <c r="W975" s="73">
        <f>SUMIF('Avoided Costs 2013-2021'!$A:$A,'2013 Actuals'!T975&amp;'2013 Actuals'!S975,'Avoided Costs 2013-2021'!$M:$M)*R975</f>
        <v>0</v>
      </c>
      <c r="X975" s="73">
        <f t="shared" si="372"/>
        <v>9764.5696569424144</v>
      </c>
      <c r="Y975" s="83">
        <v>31395</v>
      </c>
      <c r="Z975" s="74">
        <f t="shared" si="373"/>
        <v>15697.5</v>
      </c>
      <c r="AA975" s="74"/>
      <c r="AB975" s="74"/>
      <c r="AC975" s="74"/>
      <c r="AD975" s="74">
        <f t="shared" si="374"/>
        <v>15697.5</v>
      </c>
      <c r="AE975" s="74">
        <f t="shared" si="375"/>
        <v>-5932.9303430575856</v>
      </c>
      <c r="AF975" s="52">
        <f t="shared" si="364"/>
        <v>133796.03999999998</v>
      </c>
      <c r="AG975" s="52">
        <f t="shared" si="365"/>
        <v>267592.07999999996</v>
      </c>
    </row>
    <row r="976" spans="1:33" s="17" customFormat="1" collapsed="1" x14ac:dyDescent="0.2">
      <c r="A976" s="166" t="s">
        <v>4</v>
      </c>
      <c r="B976" s="166" t="s">
        <v>1189</v>
      </c>
      <c r="C976" s="125"/>
      <c r="D976" s="65">
        <f>SUM(D907:D975)</f>
        <v>67</v>
      </c>
      <c r="E976" s="291"/>
      <c r="F976" s="168"/>
      <c r="G976" s="292"/>
      <c r="H976" s="52">
        <v>8060015</v>
      </c>
      <c r="I976" s="52">
        <f>SUM(I907:I975)</f>
        <v>8616156.0350000039</v>
      </c>
      <c r="J976" s="52">
        <f>SUM(J907:J975)</f>
        <v>4308078.0175000019</v>
      </c>
      <c r="K976" s="167"/>
      <c r="L976" s="52">
        <v>1348354</v>
      </c>
      <c r="M976" s="52">
        <f>SUM(M907:M975)</f>
        <v>1348354</v>
      </c>
      <c r="N976" s="52">
        <f>SUM(N907:N975)</f>
        <v>674177</v>
      </c>
      <c r="O976" s="169"/>
      <c r="P976" s="52">
        <v>0</v>
      </c>
      <c r="Q976" s="52">
        <f>SUM(Q907:Q975)</f>
        <v>0</v>
      </c>
      <c r="R976" s="52">
        <f>SUM(R907:R975)</f>
        <v>0</v>
      </c>
      <c r="S976" s="133"/>
      <c r="T976" s="125" t="s">
        <v>1047</v>
      </c>
      <c r="U976" s="74">
        <f>SUM(U907:U975)</f>
        <v>9482226.1862681601</v>
      </c>
      <c r="V976" s="74">
        <f>SUM(V907:V975)</f>
        <v>897895.24852019362</v>
      </c>
      <c r="W976" s="74">
        <f>SUM(W907:W975)</f>
        <v>0</v>
      </c>
      <c r="X976" s="74">
        <f>SUM(X907:X975)</f>
        <v>10380121.434788354</v>
      </c>
      <c r="Y976" s="74">
        <v>3728643.0300000003</v>
      </c>
      <c r="Z976" s="74">
        <f t="shared" ref="Z976" si="376">SUM(Z907:Z975)</f>
        <v>1864321.5150000001</v>
      </c>
      <c r="AA976" s="74">
        <v>1045059.49</v>
      </c>
      <c r="AB976" s="74">
        <v>354507.69</v>
      </c>
      <c r="AC976" s="74">
        <f>AA976+AB976</f>
        <v>1399567.18</v>
      </c>
      <c r="AD976" s="74">
        <f t="shared" si="374"/>
        <v>2218829.2050000001</v>
      </c>
      <c r="AE976" s="74">
        <f t="shared" si="375"/>
        <v>8161292.2297883537</v>
      </c>
      <c r="AF976" s="52">
        <f>SUM(AF907:AF975)</f>
        <v>69856887.995999992</v>
      </c>
      <c r="AG976" s="52">
        <f>SUM(AG907:AG975)</f>
        <v>139713775.99199998</v>
      </c>
    </row>
    <row r="977" spans="1:33" s="17" customFormat="1" x14ac:dyDescent="0.2">
      <c r="A977" s="18"/>
      <c r="B977" s="18"/>
      <c r="C977" s="16"/>
      <c r="D977" s="67"/>
      <c r="E977" s="105"/>
      <c r="F977" s="190"/>
      <c r="G977" s="301"/>
      <c r="H977" s="49"/>
      <c r="I977" s="49"/>
      <c r="J977" s="49"/>
      <c r="K977" s="189"/>
      <c r="L977" s="49"/>
      <c r="M977" s="49"/>
      <c r="N977" s="49"/>
      <c r="O977" s="191"/>
      <c r="P977" s="49"/>
      <c r="Q977" s="49"/>
      <c r="R977" s="49"/>
      <c r="S977" s="40"/>
      <c r="T977" s="16"/>
      <c r="U977" s="76"/>
      <c r="V977" s="76"/>
      <c r="W977" s="76"/>
      <c r="X977" s="76"/>
      <c r="Y977" s="87"/>
      <c r="Z977" s="76"/>
      <c r="AA977" s="76"/>
      <c r="AB977" s="76"/>
      <c r="AC977" s="76"/>
      <c r="AD977" s="76"/>
      <c r="AE977" s="76"/>
      <c r="AF977" s="81"/>
      <c r="AG977" s="81"/>
    </row>
    <row r="978" spans="1:33" s="17" customFormat="1" x14ac:dyDescent="0.2">
      <c r="A978" s="326" t="s">
        <v>1191</v>
      </c>
      <c r="B978" s="2" t="s">
        <v>171</v>
      </c>
      <c r="C978" s="22"/>
      <c r="D978" s="50"/>
      <c r="E978" s="100"/>
      <c r="F978" s="24"/>
      <c r="G978" s="25"/>
      <c r="H978" s="48"/>
      <c r="I978" s="48"/>
      <c r="J978" s="48"/>
      <c r="K978" s="57"/>
      <c r="L978" s="48"/>
      <c r="M978" s="48"/>
      <c r="N978" s="48"/>
      <c r="O978" s="92"/>
      <c r="P978" s="48"/>
      <c r="Q978" s="48"/>
      <c r="R978" s="50"/>
      <c r="S978" s="23"/>
      <c r="T978" s="22"/>
      <c r="U978" s="77"/>
      <c r="V978" s="77"/>
      <c r="W978" s="77"/>
      <c r="X978" s="77"/>
      <c r="Y978" s="86"/>
      <c r="Z978" s="77"/>
      <c r="AA978" s="77"/>
      <c r="AB978" s="77"/>
      <c r="AC978" s="77"/>
      <c r="AD978" s="77"/>
      <c r="AE978" s="77"/>
      <c r="AF978" s="80"/>
      <c r="AG978" s="80"/>
    </row>
    <row r="979" spans="1:33" s="21" customFormat="1" x14ac:dyDescent="0.2">
      <c r="A979" s="114" t="s">
        <v>1124</v>
      </c>
      <c r="B979" s="114"/>
      <c r="C979" s="114"/>
      <c r="D979" s="160">
        <v>1</v>
      </c>
      <c r="E979" s="161"/>
      <c r="F979" s="162">
        <v>0.5</v>
      </c>
      <c r="G979" s="162"/>
      <c r="H979" s="52">
        <v>109103</v>
      </c>
      <c r="I979" s="52">
        <f t="shared" ref="I979:I1026" si="377">+$H$892*H979</f>
        <v>116631.10699999999</v>
      </c>
      <c r="J979" s="52">
        <f t="shared" ref="J979:J1026" si="378">I979*(1-F979)</f>
        <v>58315.553499999995</v>
      </c>
      <c r="K979" s="61"/>
      <c r="L979" s="160">
        <v>0</v>
      </c>
      <c r="M979" s="55">
        <f t="shared" ref="M979:M1026" si="379">+$L$892*L979</f>
        <v>0</v>
      </c>
      <c r="N979" s="55">
        <f t="shared" ref="N979:N1026" si="380">M979*(1-F979)</f>
        <v>0</v>
      </c>
      <c r="O979" s="95"/>
      <c r="P979" s="160">
        <v>0</v>
      </c>
      <c r="Q979" s="55">
        <f t="shared" ref="Q979:Q1026" si="381">+P979*$P$892</f>
        <v>0</v>
      </c>
      <c r="R979" s="65">
        <f t="shared" ref="R979:R1026" si="382">Q979*(1-F979)</f>
        <v>0</v>
      </c>
      <c r="S979" s="118">
        <v>20</v>
      </c>
      <c r="T979" s="121" t="s">
        <v>1047</v>
      </c>
      <c r="U979" s="73">
        <f>SUMIF('Avoided Costs 2013-2021'!$A:$A,'2013 Actuals'!T979&amp;'2013 Actuals'!S979,'Avoided Costs 2013-2021'!$E:$E)*J979</f>
        <v>150875.0224466497</v>
      </c>
      <c r="V979" s="73">
        <f>SUMIF('Avoided Costs 2013-2021'!$A:$A,'2013 Actuals'!T979&amp;'2013 Actuals'!S979,'Avoided Costs 2013-2021'!$K:$K)*N979</f>
        <v>0</v>
      </c>
      <c r="W979" s="73">
        <f>SUMIF('Avoided Costs 2013-2021'!$A:$A,'2013 Actuals'!T979&amp;'2013 Actuals'!S979,'Avoided Costs 2013-2021'!$M:$M)*R979</f>
        <v>0</v>
      </c>
      <c r="X979" s="73">
        <f t="shared" ref="X979:X1026" si="383">SUM(U979:W979)</f>
        <v>150875.0224466497</v>
      </c>
      <c r="Y979" s="83">
        <v>19928</v>
      </c>
      <c r="Z979" s="74">
        <f t="shared" ref="Z979:Z1026" si="384">Y979*(1-F979)</f>
        <v>9964</v>
      </c>
      <c r="AA979" s="74"/>
      <c r="AB979" s="74"/>
      <c r="AC979" s="74"/>
      <c r="AD979" s="74">
        <f t="shared" ref="AD979:AD1010" si="385">Z979+AB979</f>
        <v>9964</v>
      </c>
      <c r="AE979" s="74">
        <f t="shared" ref="AE979:AE1010" si="386">X979-AD979</f>
        <v>140911.0224466497</v>
      </c>
      <c r="AF979" s="52">
        <f t="shared" ref="AF979:AF1026" si="387">J979*S979</f>
        <v>1166311.0699999998</v>
      </c>
      <c r="AG979" s="52">
        <f t="shared" ref="AG979:AG1026" si="388">(I979*S979)</f>
        <v>2332622.1399999997</v>
      </c>
    </row>
    <row r="980" spans="1:33" s="21" customFormat="1" x14ac:dyDescent="0.2">
      <c r="A980" s="115" t="s">
        <v>1125</v>
      </c>
      <c r="B980" s="115"/>
      <c r="C980" s="115"/>
      <c r="D980" s="163">
        <v>1</v>
      </c>
      <c r="E980" s="164"/>
      <c r="F980" s="165">
        <v>0.5</v>
      </c>
      <c r="G980" s="165"/>
      <c r="H980" s="51">
        <v>17768</v>
      </c>
      <c r="I980" s="52">
        <f t="shared" si="377"/>
        <v>18993.991999999998</v>
      </c>
      <c r="J980" s="52">
        <f t="shared" si="378"/>
        <v>9496.9959999999992</v>
      </c>
      <c r="K980" s="62"/>
      <c r="L980" s="163">
        <v>0</v>
      </c>
      <c r="M980" s="55">
        <f t="shared" si="379"/>
        <v>0</v>
      </c>
      <c r="N980" s="55">
        <f t="shared" si="380"/>
        <v>0</v>
      </c>
      <c r="O980" s="96"/>
      <c r="P980" s="163">
        <v>0</v>
      </c>
      <c r="Q980" s="55">
        <f t="shared" si="381"/>
        <v>0</v>
      </c>
      <c r="R980" s="65">
        <f t="shared" si="382"/>
        <v>0</v>
      </c>
      <c r="S980" s="119">
        <v>5</v>
      </c>
      <c r="T980" s="122" t="s">
        <v>1047</v>
      </c>
      <c r="U980" s="73">
        <f>SUMIF('Avoided Costs 2013-2021'!$A:$A,'2013 Actuals'!T980&amp;'2013 Actuals'!S980,'Avoided Costs 2013-2021'!$E:$E)*J980</f>
        <v>7075.8503797885323</v>
      </c>
      <c r="V980" s="73">
        <f>SUMIF('Avoided Costs 2013-2021'!$A:$A,'2013 Actuals'!T980&amp;'2013 Actuals'!S980,'Avoided Costs 2013-2021'!$K:$K)*N980</f>
        <v>0</v>
      </c>
      <c r="W980" s="73">
        <f>SUMIF('Avoided Costs 2013-2021'!$A:$A,'2013 Actuals'!T980&amp;'2013 Actuals'!S980,'Avoided Costs 2013-2021'!$M:$M)*R980</f>
        <v>0</v>
      </c>
      <c r="X980" s="73">
        <f t="shared" si="383"/>
        <v>7075.8503797885323</v>
      </c>
      <c r="Y980" s="89">
        <v>1420.33</v>
      </c>
      <c r="Z980" s="74">
        <f t="shared" si="384"/>
        <v>710.16499999999996</v>
      </c>
      <c r="AA980" s="75"/>
      <c r="AB980" s="75"/>
      <c r="AC980" s="75"/>
      <c r="AD980" s="74">
        <f t="shared" si="385"/>
        <v>710.16499999999996</v>
      </c>
      <c r="AE980" s="74">
        <f t="shared" si="386"/>
        <v>6365.6853797885324</v>
      </c>
      <c r="AF980" s="52">
        <f t="shared" si="387"/>
        <v>47484.979999999996</v>
      </c>
      <c r="AG980" s="52">
        <f t="shared" si="388"/>
        <v>94969.959999999992</v>
      </c>
    </row>
    <row r="981" spans="1:33" s="21" customFormat="1" x14ac:dyDescent="0.2">
      <c r="A981" s="115" t="s">
        <v>1126</v>
      </c>
      <c r="B981" s="115"/>
      <c r="C981" s="115"/>
      <c r="D981" s="163">
        <v>1</v>
      </c>
      <c r="E981" s="164"/>
      <c r="F981" s="165">
        <v>0.5</v>
      </c>
      <c r="G981" s="165"/>
      <c r="H981" s="51">
        <v>27478</v>
      </c>
      <c r="I981" s="52">
        <f t="shared" si="377"/>
        <v>29373.982</v>
      </c>
      <c r="J981" s="52">
        <f t="shared" si="378"/>
        <v>14686.991</v>
      </c>
      <c r="K981" s="62"/>
      <c r="L981" s="163">
        <v>0</v>
      </c>
      <c r="M981" s="55">
        <f t="shared" si="379"/>
        <v>0</v>
      </c>
      <c r="N981" s="55">
        <f t="shared" si="380"/>
        <v>0</v>
      </c>
      <c r="O981" s="96"/>
      <c r="P981" s="163">
        <v>0</v>
      </c>
      <c r="Q981" s="55">
        <f t="shared" si="381"/>
        <v>0</v>
      </c>
      <c r="R981" s="65">
        <f t="shared" si="382"/>
        <v>0</v>
      </c>
      <c r="S981" s="119">
        <v>5</v>
      </c>
      <c r="T981" s="122" t="s">
        <v>1047</v>
      </c>
      <c r="U981" s="73">
        <f>SUMIF('Avoided Costs 2013-2021'!$A:$A,'2013 Actuals'!T981&amp;'2013 Actuals'!S981,'Avoided Costs 2013-2021'!$E:$E)*J981</f>
        <v>10942.718186392915</v>
      </c>
      <c r="V981" s="73">
        <f>SUMIF('Avoided Costs 2013-2021'!$A:$A,'2013 Actuals'!T981&amp;'2013 Actuals'!S981,'Avoided Costs 2013-2021'!$K:$K)*N981</f>
        <v>0</v>
      </c>
      <c r="W981" s="73">
        <f>SUMIF('Avoided Costs 2013-2021'!$A:$A,'2013 Actuals'!T981&amp;'2013 Actuals'!S981,'Avoided Costs 2013-2021'!$M:$M)*R981</f>
        <v>0</v>
      </c>
      <c r="X981" s="73">
        <f t="shared" si="383"/>
        <v>10942.718186392915</v>
      </c>
      <c r="Y981" s="89">
        <v>3446.75</v>
      </c>
      <c r="Z981" s="74">
        <f t="shared" si="384"/>
        <v>1723.375</v>
      </c>
      <c r="AA981" s="75"/>
      <c r="AB981" s="75"/>
      <c r="AC981" s="75"/>
      <c r="AD981" s="74">
        <f t="shared" si="385"/>
        <v>1723.375</v>
      </c>
      <c r="AE981" s="74">
        <f t="shared" si="386"/>
        <v>9219.3431863929145</v>
      </c>
      <c r="AF981" s="52">
        <f t="shared" si="387"/>
        <v>73434.955000000002</v>
      </c>
      <c r="AG981" s="52">
        <f t="shared" si="388"/>
        <v>146869.91</v>
      </c>
    </row>
    <row r="982" spans="1:33" s="21" customFormat="1" x14ac:dyDescent="0.2">
      <c r="A982" s="115" t="s">
        <v>1127</v>
      </c>
      <c r="B982" s="115"/>
      <c r="C982" s="115"/>
      <c r="D982" s="163">
        <v>1</v>
      </c>
      <c r="E982" s="164"/>
      <c r="F982" s="165">
        <v>0.5</v>
      </c>
      <c r="G982" s="165"/>
      <c r="H982" s="51">
        <v>258197</v>
      </c>
      <c r="I982" s="52">
        <f t="shared" si="377"/>
        <v>276012.59299999999</v>
      </c>
      <c r="J982" s="52">
        <f t="shared" si="378"/>
        <v>138006.2965</v>
      </c>
      <c r="K982" s="62"/>
      <c r="L982" s="163">
        <v>0</v>
      </c>
      <c r="M982" s="55">
        <f t="shared" si="379"/>
        <v>0</v>
      </c>
      <c r="N982" s="55">
        <f t="shared" si="380"/>
        <v>0</v>
      </c>
      <c r="O982" s="96"/>
      <c r="P982" s="163">
        <v>0</v>
      </c>
      <c r="Q982" s="55">
        <f t="shared" si="381"/>
        <v>0</v>
      </c>
      <c r="R982" s="65">
        <f t="shared" si="382"/>
        <v>0</v>
      </c>
      <c r="S982" s="119">
        <v>15</v>
      </c>
      <c r="T982" s="122" t="s">
        <v>1047</v>
      </c>
      <c r="U982" s="73">
        <f>SUMIF('Avoided Costs 2013-2021'!$A:$A,'2013 Actuals'!T982&amp;'2013 Actuals'!S982,'Avoided Costs 2013-2021'!$E:$E)*J982</f>
        <v>291235.02314744849</v>
      </c>
      <c r="V982" s="73">
        <f>SUMIF('Avoided Costs 2013-2021'!$A:$A,'2013 Actuals'!T982&amp;'2013 Actuals'!S982,'Avoided Costs 2013-2021'!$K:$K)*N982</f>
        <v>0</v>
      </c>
      <c r="W982" s="73">
        <f>SUMIF('Avoided Costs 2013-2021'!$A:$A,'2013 Actuals'!T982&amp;'2013 Actuals'!S982,'Avoided Costs 2013-2021'!$M:$M)*R982</f>
        <v>0</v>
      </c>
      <c r="X982" s="73">
        <f t="shared" si="383"/>
        <v>291235.02314744849</v>
      </c>
      <c r="Y982" s="89">
        <v>273478</v>
      </c>
      <c r="Z982" s="74">
        <f t="shared" si="384"/>
        <v>136739</v>
      </c>
      <c r="AA982" s="75"/>
      <c r="AB982" s="75"/>
      <c r="AC982" s="75"/>
      <c r="AD982" s="74">
        <f t="shared" si="385"/>
        <v>136739</v>
      </c>
      <c r="AE982" s="74">
        <f t="shared" si="386"/>
        <v>154496.02314744849</v>
      </c>
      <c r="AF982" s="52">
        <f t="shared" si="387"/>
        <v>2070094.4475</v>
      </c>
      <c r="AG982" s="52">
        <f t="shared" si="388"/>
        <v>4140188.895</v>
      </c>
    </row>
    <row r="983" spans="1:33" s="21" customFormat="1" x14ac:dyDescent="0.2">
      <c r="A983" s="115" t="s">
        <v>1128</v>
      </c>
      <c r="B983" s="115"/>
      <c r="C983" s="115"/>
      <c r="D983" s="163">
        <v>1</v>
      </c>
      <c r="E983" s="164"/>
      <c r="F983" s="165">
        <v>0.5</v>
      </c>
      <c r="G983" s="165"/>
      <c r="H983" s="51">
        <v>5697</v>
      </c>
      <c r="I983" s="52">
        <f t="shared" si="377"/>
        <v>6090.0929999999998</v>
      </c>
      <c r="J983" s="52">
        <f t="shared" si="378"/>
        <v>3045.0464999999999</v>
      </c>
      <c r="K983" s="62"/>
      <c r="L983" s="163">
        <v>0</v>
      </c>
      <c r="M983" s="55">
        <f t="shared" si="379"/>
        <v>0</v>
      </c>
      <c r="N983" s="55">
        <f t="shared" si="380"/>
        <v>0</v>
      </c>
      <c r="O983" s="96"/>
      <c r="P983" s="163">
        <v>5599</v>
      </c>
      <c r="Q983" s="55">
        <f t="shared" si="381"/>
        <v>5599</v>
      </c>
      <c r="R983" s="65">
        <f t="shared" si="382"/>
        <v>2799.5</v>
      </c>
      <c r="S983" s="119">
        <v>15</v>
      </c>
      <c r="T983" s="122" t="s">
        <v>1047</v>
      </c>
      <c r="U983" s="73">
        <f>SUMIF('Avoided Costs 2013-2021'!$A:$A,'2013 Actuals'!T983&amp;'2013 Actuals'!S983,'Avoided Costs 2013-2021'!$E:$E)*J983</f>
        <v>6425.9690347719534</v>
      </c>
      <c r="V983" s="73">
        <f>SUMIF('Avoided Costs 2013-2021'!$A:$A,'2013 Actuals'!T983&amp;'2013 Actuals'!S983,'Avoided Costs 2013-2021'!$K:$K)*N983</f>
        <v>0</v>
      </c>
      <c r="W983" s="73">
        <f>SUMIF('Avoided Costs 2013-2021'!$A:$A,'2013 Actuals'!T983&amp;'2013 Actuals'!S983,'Avoided Costs 2013-2021'!$M:$M)*R983</f>
        <v>74833.37364289668</v>
      </c>
      <c r="X983" s="73">
        <f t="shared" si="383"/>
        <v>81259.342677668639</v>
      </c>
      <c r="Y983" s="89">
        <v>12430</v>
      </c>
      <c r="Z983" s="74">
        <f t="shared" si="384"/>
        <v>6215</v>
      </c>
      <c r="AA983" s="75"/>
      <c r="AB983" s="75"/>
      <c r="AC983" s="75"/>
      <c r="AD983" s="74">
        <f t="shared" si="385"/>
        <v>6215</v>
      </c>
      <c r="AE983" s="74">
        <f t="shared" si="386"/>
        <v>75044.342677668639</v>
      </c>
      <c r="AF983" s="52">
        <f t="shared" si="387"/>
        <v>45675.697500000002</v>
      </c>
      <c r="AG983" s="52">
        <f t="shared" si="388"/>
        <v>91351.395000000004</v>
      </c>
    </row>
    <row r="984" spans="1:33" s="21" customFormat="1" x14ac:dyDescent="0.2">
      <c r="A984" s="115" t="s">
        <v>1129</v>
      </c>
      <c r="B984" s="115"/>
      <c r="C984" s="115"/>
      <c r="D984" s="163">
        <v>1</v>
      </c>
      <c r="E984" s="164"/>
      <c r="F984" s="165">
        <v>0.5</v>
      </c>
      <c r="G984" s="165"/>
      <c r="H984" s="51">
        <v>301944</v>
      </c>
      <c r="I984" s="52">
        <f t="shared" si="377"/>
        <v>322778.136</v>
      </c>
      <c r="J984" s="52">
        <f t="shared" si="378"/>
        <v>161389.068</v>
      </c>
      <c r="K984" s="62"/>
      <c r="L984" s="163">
        <v>1159757</v>
      </c>
      <c r="M984" s="55">
        <f t="shared" si="379"/>
        <v>1159757</v>
      </c>
      <c r="N984" s="55">
        <f t="shared" si="380"/>
        <v>579878.5</v>
      </c>
      <c r="O984" s="96"/>
      <c r="P984" s="163">
        <v>0</v>
      </c>
      <c r="Q984" s="55">
        <f t="shared" si="381"/>
        <v>0</v>
      </c>
      <c r="R984" s="65">
        <f t="shared" si="382"/>
        <v>0</v>
      </c>
      <c r="S984" s="119">
        <v>15</v>
      </c>
      <c r="T984" s="122" t="s">
        <v>1047</v>
      </c>
      <c r="U984" s="73">
        <f>SUMIF('Avoided Costs 2013-2021'!$A:$A,'2013 Actuals'!T984&amp;'2013 Actuals'!S984,'Avoided Costs 2013-2021'!$E:$E)*J984</f>
        <v>340579.74271286343</v>
      </c>
      <c r="V984" s="73">
        <f>SUMIF('Avoided Costs 2013-2021'!$A:$A,'2013 Actuals'!T984&amp;'2013 Actuals'!S984,'Avoided Costs 2013-2021'!$K:$K)*N984</f>
        <v>607071.13041148009</v>
      </c>
      <c r="W984" s="73">
        <f>SUMIF('Avoided Costs 2013-2021'!$A:$A,'2013 Actuals'!T984&amp;'2013 Actuals'!S984,'Avoided Costs 2013-2021'!$M:$M)*R984</f>
        <v>0</v>
      </c>
      <c r="X984" s="73">
        <f t="shared" si="383"/>
        <v>947650.87312434358</v>
      </c>
      <c r="Y984" s="89">
        <v>360164.41</v>
      </c>
      <c r="Z984" s="74">
        <f t="shared" si="384"/>
        <v>180082.20499999999</v>
      </c>
      <c r="AA984" s="75"/>
      <c r="AB984" s="75"/>
      <c r="AC984" s="75"/>
      <c r="AD984" s="74">
        <f t="shared" si="385"/>
        <v>180082.20499999999</v>
      </c>
      <c r="AE984" s="74">
        <f t="shared" si="386"/>
        <v>767568.66812434362</v>
      </c>
      <c r="AF984" s="52">
        <f t="shared" si="387"/>
        <v>2420836.02</v>
      </c>
      <c r="AG984" s="52">
        <f t="shared" si="388"/>
        <v>4841672.04</v>
      </c>
    </row>
    <row r="985" spans="1:33" s="21" customFormat="1" x14ac:dyDescent="0.2">
      <c r="A985" s="115" t="s">
        <v>1130</v>
      </c>
      <c r="B985" s="115"/>
      <c r="C985" s="115"/>
      <c r="D985" s="163">
        <v>1</v>
      </c>
      <c r="E985" s="164"/>
      <c r="F985" s="165">
        <v>0.5</v>
      </c>
      <c r="G985" s="165"/>
      <c r="H985" s="51">
        <v>1615739</v>
      </c>
      <c r="I985" s="52">
        <f t="shared" si="377"/>
        <v>1727224.9909999999</v>
      </c>
      <c r="J985" s="52">
        <f t="shared" si="378"/>
        <v>863612.49549999996</v>
      </c>
      <c r="K985" s="62"/>
      <c r="L985" s="163">
        <v>0</v>
      </c>
      <c r="M985" s="55">
        <f t="shared" si="379"/>
        <v>0</v>
      </c>
      <c r="N985" s="55">
        <f t="shared" si="380"/>
        <v>0</v>
      </c>
      <c r="O985" s="96"/>
      <c r="P985" s="163">
        <v>0</v>
      </c>
      <c r="Q985" s="55">
        <f t="shared" si="381"/>
        <v>0</v>
      </c>
      <c r="R985" s="65">
        <f t="shared" si="382"/>
        <v>0</v>
      </c>
      <c r="S985" s="119">
        <v>20</v>
      </c>
      <c r="T985" s="122" t="s">
        <v>1047</v>
      </c>
      <c r="U985" s="73">
        <f>SUMIF('Avoided Costs 2013-2021'!$A:$A,'2013 Actuals'!T985&amp;'2013 Actuals'!S985,'Avoided Costs 2013-2021'!$E:$E)*J985</f>
        <v>2234353.3898511254</v>
      </c>
      <c r="V985" s="73">
        <f>SUMIF('Avoided Costs 2013-2021'!$A:$A,'2013 Actuals'!T985&amp;'2013 Actuals'!S985,'Avoided Costs 2013-2021'!$K:$K)*N985</f>
        <v>0</v>
      </c>
      <c r="W985" s="73">
        <f>SUMIF('Avoided Costs 2013-2021'!$A:$A,'2013 Actuals'!T985&amp;'2013 Actuals'!S985,'Avoided Costs 2013-2021'!$M:$M)*R985</f>
        <v>0</v>
      </c>
      <c r="X985" s="73">
        <f t="shared" si="383"/>
        <v>2234353.3898511254</v>
      </c>
      <c r="Y985" s="89">
        <v>448194</v>
      </c>
      <c r="Z985" s="74">
        <f t="shared" si="384"/>
        <v>224097</v>
      </c>
      <c r="AA985" s="75"/>
      <c r="AB985" s="75"/>
      <c r="AC985" s="75"/>
      <c r="AD985" s="74">
        <f t="shared" si="385"/>
        <v>224097</v>
      </c>
      <c r="AE985" s="74">
        <f t="shared" si="386"/>
        <v>2010256.3898511254</v>
      </c>
      <c r="AF985" s="52">
        <f t="shared" si="387"/>
        <v>17272249.91</v>
      </c>
      <c r="AG985" s="52">
        <f t="shared" si="388"/>
        <v>34544499.82</v>
      </c>
    </row>
    <row r="986" spans="1:33" s="21" customFormat="1" x14ac:dyDescent="0.2">
      <c r="A986" s="115" t="s">
        <v>1131</v>
      </c>
      <c r="B986" s="115"/>
      <c r="C986" s="115"/>
      <c r="D986" s="163">
        <v>1</v>
      </c>
      <c r="E986" s="164"/>
      <c r="F986" s="165">
        <v>0.5</v>
      </c>
      <c r="G986" s="165"/>
      <c r="H986" s="51">
        <v>39592</v>
      </c>
      <c r="I986" s="52">
        <f t="shared" si="377"/>
        <v>42323.847999999998</v>
      </c>
      <c r="J986" s="52">
        <f t="shared" si="378"/>
        <v>21161.923999999999</v>
      </c>
      <c r="K986" s="62"/>
      <c r="L986" s="163">
        <v>0</v>
      </c>
      <c r="M986" s="55">
        <f t="shared" si="379"/>
        <v>0</v>
      </c>
      <c r="N986" s="55">
        <f t="shared" si="380"/>
        <v>0</v>
      </c>
      <c r="O986" s="96"/>
      <c r="P986" s="163">
        <v>0</v>
      </c>
      <c r="Q986" s="55">
        <f t="shared" si="381"/>
        <v>0</v>
      </c>
      <c r="R986" s="65">
        <f t="shared" si="382"/>
        <v>0</v>
      </c>
      <c r="S986" s="119">
        <v>15</v>
      </c>
      <c r="T986" s="122" t="s">
        <v>1047</v>
      </c>
      <c r="U986" s="73">
        <f>SUMIF('Avoided Costs 2013-2021'!$A:$A,'2013 Actuals'!T986&amp;'2013 Actuals'!S986,'Avoided Costs 2013-2021'!$E:$E)*J986</f>
        <v>44658.05968486768</v>
      </c>
      <c r="V986" s="73">
        <f>SUMIF('Avoided Costs 2013-2021'!$A:$A,'2013 Actuals'!T986&amp;'2013 Actuals'!S986,'Avoided Costs 2013-2021'!$K:$K)*N986</f>
        <v>0</v>
      </c>
      <c r="W986" s="73">
        <f>SUMIF('Avoided Costs 2013-2021'!$A:$A,'2013 Actuals'!T986&amp;'2013 Actuals'!S986,'Avoided Costs 2013-2021'!$M:$M)*R986</f>
        <v>0</v>
      </c>
      <c r="X986" s="73">
        <f t="shared" si="383"/>
        <v>44658.05968486768</v>
      </c>
      <c r="Y986" s="89">
        <v>23500</v>
      </c>
      <c r="Z986" s="74">
        <f t="shared" si="384"/>
        <v>11750</v>
      </c>
      <c r="AA986" s="75"/>
      <c r="AB986" s="75"/>
      <c r="AC986" s="75"/>
      <c r="AD986" s="74">
        <f t="shared" si="385"/>
        <v>11750</v>
      </c>
      <c r="AE986" s="74">
        <f t="shared" si="386"/>
        <v>32908.05968486768</v>
      </c>
      <c r="AF986" s="52">
        <f t="shared" si="387"/>
        <v>317428.86</v>
      </c>
      <c r="AG986" s="52">
        <f t="shared" si="388"/>
        <v>634857.72</v>
      </c>
    </row>
    <row r="987" spans="1:33" s="21" customFormat="1" x14ac:dyDescent="0.2">
      <c r="A987" s="115" t="s">
        <v>1132</v>
      </c>
      <c r="B987" s="115"/>
      <c r="C987" s="115"/>
      <c r="D987" s="163">
        <v>1</v>
      </c>
      <c r="E987" s="164"/>
      <c r="F987" s="165">
        <v>0.5</v>
      </c>
      <c r="G987" s="165"/>
      <c r="H987" s="51">
        <v>19418</v>
      </c>
      <c r="I987" s="52">
        <f t="shared" si="377"/>
        <v>20757.842000000001</v>
      </c>
      <c r="J987" s="52">
        <f t="shared" si="378"/>
        <v>10378.921</v>
      </c>
      <c r="K987" s="62"/>
      <c r="L987" s="163">
        <v>0</v>
      </c>
      <c r="M987" s="55">
        <f t="shared" si="379"/>
        <v>0</v>
      </c>
      <c r="N987" s="55">
        <f t="shared" si="380"/>
        <v>0</v>
      </c>
      <c r="O987" s="96"/>
      <c r="P987" s="163">
        <v>0</v>
      </c>
      <c r="Q987" s="55">
        <f t="shared" si="381"/>
        <v>0</v>
      </c>
      <c r="R987" s="65">
        <f t="shared" si="382"/>
        <v>0</v>
      </c>
      <c r="S987" s="119">
        <v>5</v>
      </c>
      <c r="T987" s="122" t="s">
        <v>1047</v>
      </c>
      <c r="U987" s="73">
        <f>SUMIF('Avoided Costs 2013-2021'!$A:$A,'2013 Actuals'!T987&amp;'2013 Actuals'!S987,'Avoided Costs 2013-2021'!$E:$E)*J987</f>
        <v>7732.9391419818621</v>
      </c>
      <c r="V987" s="73">
        <f>SUMIF('Avoided Costs 2013-2021'!$A:$A,'2013 Actuals'!T987&amp;'2013 Actuals'!S987,'Avoided Costs 2013-2021'!$K:$K)*N987</f>
        <v>0</v>
      </c>
      <c r="W987" s="73">
        <f>SUMIF('Avoided Costs 2013-2021'!$A:$A,'2013 Actuals'!T987&amp;'2013 Actuals'!S987,'Avoided Costs 2013-2021'!$M:$M)*R987</f>
        <v>0</v>
      </c>
      <c r="X987" s="73">
        <f t="shared" si="383"/>
        <v>7732.9391419818621</v>
      </c>
      <c r="Y987" s="89">
        <v>3605.7</v>
      </c>
      <c r="Z987" s="74">
        <f t="shared" si="384"/>
        <v>1802.85</v>
      </c>
      <c r="AA987" s="75"/>
      <c r="AB987" s="75"/>
      <c r="AC987" s="75"/>
      <c r="AD987" s="74">
        <f t="shared" si="385"/>
        <v>1802.85</v>
      </c>
      <c r="AE987" s="74">
        <f t="shared" si="386"/>
        <v>5930.0891419818618</v>
      </c>
      <c r="AF987" s="52">
        <f t="shared" si="387"/>
        <v>51894.605000000003</v>
      </c>
      <c r="AG987" s="52">
        <f t="shared" si="388"/>
        <v>103789.21</v>
      </c>
    </row>
    <row r="988" spans="1:33" s="21" customFormat="1" x14ac:dyDescent="0.2">
      <c r="A988" s="115" t="s">
        <v>1133</v>
      </c>
      <c r="B988" s="115"/>
      <c r="C988" s="115"/>
      <c r="D988" s="163">
        <v>1</v>
      </c>
      <c r="E988" s="164"/>
      <c r="F988" s="165">
        <v>0.5</v>
      </c>
      <c r="G988" s="165"/>
      <c r="H988" s="51">
        <v>89726</v>
      </c>
      <c r="I988" s="52">
        <f t="shared" si="377"/>
        <v>95917.093999999997</v>
      </c>
      <c r="J988" s="52">
        <f t="shared" si="378"/>
        <v>47958.546999999999</v>
      </c>
      <c r="K988" s="62"/>
      <c r="L988" s="163">
        <v>0</v>
      </c>
      <c r="M988" s="55">
        <f t="shared" si="379"/>
        <v>0</v>
      </c>
      <c r="N988" s="55">
        <f t="shared" si="380"/>
        <v>0</v>
      </c>
      <c r="O988" s="96"/>
      <c r="P988" s="163">
        <v>0</v>
      </c>
      <c r="Q988" s="55">
        <f t="shared" si="381"/>
        <v>0</v>
      </c>
      <c r="R988" s="65">
        <f t="shared" si="382"/>
        <v>0</v>
      </c>
      <c r="S988" s="119">
        <v>20</v>
      </c>
      <c r="T988" s="122" t="s">
        <v>1047</v>
      </c>
      <c r="U988" s="73">
        <f>SUMIF('Avoided Costs 2013-2021'!$A:$A,'2013 Actuals'!T988&amp;'2013 Actuals'!S988,'Avoided Costs 2013-2021'!$E:$E)*J988</f>
        <v>124079.19364314539</v>
      </c>
      <c r="V988" s="73">
        <f>SUMIF('Avoided Costs 2013-2021'!$A:$A,'2013 Actuals'!T988&amp;'2013 Actuals'!S988,'Avoided Costs 2013-2021'!$K:$K)*N988</f>
        <v>0</v>
      </c>
      <c r="W988" s="73">
        <f>SUMIF('Avoided Costs 2013-2021'!$A:$A,'2013 Actuals'!T988&amp;'2013 Actuals'!S988,'Avoided Costs 2013-2021'!$M:$M)*R988</f>
        <v>0</v>
      </c>
      <c r="X988" s="73">
        <f t="shared" si="383"/>
        <v>124079.19364314539</v>
      </c>
      <c r="Y988" s="89">
        <v>18939</v>
      </c>
      <c r="Z988" s="74">
        <f t="shared" si="384"/>
        <v>9469.5</v>
      </c>
      <c r="AA988" s="75"/>
      <c r="AB988" s="75"/>
      <c r="AC988" s="75"/>
      <c r="AD988" s="74">
        <f t="shared" si="385"/>
        <v>9469.5</v>
      </c>
      <c r="AE988" s="74">
        <f t="shared" si="386"/>
        <v>114609.69364314539</v>
      </c>
      <c r="AF988" s="52">
        <f t="shared" si="387"/>
        <v>959170.94</v>
      </c>
      <c r="AG988" s="52">
        <f t="shared" si="388"/>
        <v>1918341.88</v>
      </c>
    </row>
    <row r="989" spans="1:33" s="21" customFormat="1" x14ac:dyDescent="0.2">
      <c r="A989" s="115" t="s">
        <v>1134</v>
      </c>
      <c r="B989" s="115"/>
      <c r="C989" s="115"/>
      <c r="D989" s="163">
        <v>1</v>
      </c>
      <c r="E989" s="164"/>
      <c r="F989" s="165">
        <v>0.5</v>
      </c>
      <c r="G989" s="165"/>
      <c r="H989" s="51">
        <v>404384</v>
      </c>
      <c r="I989" s="52">
        <f t="shared" si="377"/>
        <v>432286.49599999998</v>
      </c>
      <c r="J989" s="52">
        <f t="shared" si="378"/>
        <v>216143.24799999999</v>
      </c>
      <c r="K989" s="62"/>
      <c r="L989" s="163">
        <v>0</v>
      </c>
      <c r="M989" s="55">
        <f t="shared" si="379"/>
        <v>0</v>
      </c>
      <c r="N989" s="55">
        <f t="shared" si="380"/>
        <v>0</v>
      </c>
      <c r="O989" s="96"/>
      <c r="P989" s="163">
        <v>0</v>
      </c>
      <c r="Q989" s="55">
        <f t="shared" si="381"/>
        <v>0</v>
      </c>
      <c r="R989" s="65">
        <f t="shared" si="382"/>
        <v>0</v>
      </c>
      <c r="S989" s="119">
        <v>20</v>
      </c>
      <c r="T989" s="122" t="s">
        <v>1047</v>
      </c>
      <c r="U989" s="73">
        <f>SUMIF('Avoided Costs 2013-2021'!$A:$A,'2013 Actuals'!T989&amp;'2013 Actuals'!S989,'Avoided Costs 2013-2021'!$E:$E)*J989</f>
        <v>559209.60080901533</v>
      </c>
      <c r="V989" s="73">
        <f>SUMIF('Avoided Costs 2013-2021'!$A:$A,'2013 Actuals'!T989&amp;'2013 Actuals'!S989,'Avoided Costs 2013-2021'!$K:$K)*N989</f>
        <v>0</v>
      </c>
      <c r="W989" s="73">
        <f>SUMIF('Avoided Costs 2013-2021'!$A:$A,'2013 Actuals'!T989&amp;'2013 Actuals'!S989,'Avoided Costs 2013-2021'!$M:$M)*R989</f>
        <v>0</v>
      </c>
      <c r="X989" s="73">
        <f t="shared" si="383"/>
        <v>559209.60080901533</v>
      </c>
      <c r="Y989" s="89">
        <v>730000</v>
      </c>
      <c r="Z989" s="74">
        <f t="shared" si="384"/>
        <v>365000</v>
      </c>
      <c r="AA989" s="75"/>
      <c r="AB989" s="75"/>
      <c r="AC989" s="75"/>
      <c r="AD989" s="74">
        <f t="shared" si="385"/>
        <v>365000</v>
      </c>
      <c r="AE989" s="74">
        <f t="shared" si="386"/>
        <v>194209.60080901533</v>
      </c>
      <c r="AF989" s="52">
        <f t="shared" si="387"/>
        <v>4322864.96</v>
      </c>
      <c r="AG989" s="52">
        <f t="shared" si="388"/>
        <v>8645729.9199999999</v>
      </c>
    </row>
    <row r="990" spans="1:33" s="21" customFormat="1" x14ac:dyDescent="0.2">
      <c r="A990" s="115" t="s">
        <v>1135</v>
      </c>
      <c r="B990" s="115"/>
      <c r="C990" s="115"/>
      <c r="D990" s="163">
        <v>1</v>
      </c>
      <c r="E990" s="164"/>
      <c r="F990" s="165">
        <v>0.5</v>
      </c>
      <c r="G990" s="165"/>
      <c r="H990" s="51">
        <v>47283</v>
      </c>
      <c r="I990" s="52">
        <f t="shared" si="377"/>
        <v>50545.526999999995</v>
      </c>
      <c r="J990" s="52">
        <f t="shared" si="378"/>
        <v>25272.763499999997</v>
      </c>
      <c r="K990" s="62"/>
      <c r="L990" s="163">
        <v>0</v>
      </c>
      <c r="M990" s="55">
        <f t="shared" si="379"/>
        <v>0</v>
      </c>
      <c r="N990" s="55">
        <f t="shared" si="380"/>
        <v>0</v>
      </c>
      <c r="O990" s="96"/>
      <c r="P990" s="163">
        <v>0</v>
      </c>
      <c r="Q990" s="55">
        <f t="shared" si="381"/>
        <v>0</v>
      </c>
      <c r="R990" s="65">
        <f t="shared" si="382"/>
        <v>0</v>
      </c>
      <c r="S990" s="119">
        <v>15</v>
      </c>
      <c r="T990" s="122" t="s">
        <v>1047</v>
      </c>
      <c r="U990" s="73">
        <f>SUMIF('Avoided Costs 2013-2021'!$A:$A,'2013 Actuals'!T990&amp;'2013 Actuals'!S990,'Avoided Costs 2013-2021'!$E:$E)*J990</f>
        <v>53333.174279642313</v>
      </c>
      <c r="V990" s="73">
        <f>SUMIF('Avoided Costs 2013-2021'!$A:$A,'2013 Actuals'!T990&amp;'2013 Actuals'!S990,'Avoided Costs 2013-2021'!$K:$K)*N990</f>
        <v>0</v>
      </c>
      <c r="W990" s="73">
        <f>SUMIF('Avoided Costs 2013-2021'!$A:$A,'2013 Actuals'!T990&amp;'2013 Actuals'!S990,'Avoided Costs 2013-2021'!$M:$M)*R990</f>
        <v>0</v>
      </c>
      <c r="X990" s="73">
        <f t="shared" si="383"/>
        <v>53333.174279642313</v>
      </c>
      <c r="Y990" s="89">
        <v>23861.5</v>
      </c>
      <c r="Z990" s="74">
        <f t="shared" si="384"/>
        <v>11930.75</v>
      </c>
      <c r="AA990" s="75"/>
      <c r="AB990" s="75"/>
      <c r="AC990" s="75"/>
      <c r="AD990" s="74">
        <f t="shared" si="385"/>
        <v>11930.75</v>
      </c>
      <c r="AE990" s="74">
        <f t="shared" si="386"/>
        <v>41402.424279642313</v>
      </c>
      <c r="AF990" s="52">
        <f t="shared" si="387"/>
        <v>379091.45249999996</v>
      </c>
      <c r="AG990" s="52">
        <f t="shared" si="388"/>
        <v>758182.90499999991</v>
      </c>
    </row>
    <row r="991" spans="1:33" s="21" customFormat="1" x14ac:dyDescent="0.2">
      <c r="A991" s="115" t="s">
        <v>1136</v>
      </c>
      <c r="B991" s="115"/>
      <c r="C991" s="115"/>
      <c r="D991" s="163">
        <v>0</v>
      </c>
      <c r="E991" s="164"/>
      <c r="F991" s="165">
        <v>0.5</v>
      </c>
      <c r="G991" s="165"/>
      <c r="H991" s="51">
        <v>69768</v>
      </c>
      <c r="I991" s="52">
        <f t="shared" si="377"/>
        <v>74581.991999999998</v>
      </c>
      <c r="J991" s="52">
        <f t="shared" si="378"/>
        <v>37290.995999999999</v>
      </c>
      <c r="K991" s="62"/>
      <c r="L991" s="163">
        <v>0</v>
      </c>
      <c r="M991" s="55">
        <f t="shared" si="379"/>
        <v>0</v>
      </c>
      <c r="N991" s="55">
        <f t="shared" si="380"/>
        <v>0</v>
      </c>
      <c r="O991" s="96"/>
      <c r="P991" s="163">
        <v>0</v>
      </c>
      <c r="Q991" s="55">
        <f t="shared" si="381"/>
        <v>0</v>
      </c>
      <c r="R991" s="65">
        <f t="shared" si="382"/>
        <v>0</v>
      </c>
      <c r="S991" s="119">
        <v>15</v>
      </c>
      <c r="T991" s="122" t="s">
        <v>1047</v>
      </c>
      <c r="U991" s="73">
        <f>SUMIF('Avoided Costs 2013-2021'!$A:$A,'2013 Actuals'!T991&amp;'2013 Actuals'!S991,'Avoided Costs 2013-2021'!$E:$E)*J991</f>
        <v>78695.279553794928</v>
      </c>
      <c r="V991" s="73">
        <f>SUMIF('Avoided Costs 2013-2021'!$A:$A,'2013 Actuals'!T991&amp;'2013 Actuals'!S991,'Avoided Costs 2013-2021'!$K:$K)*N991</f>
        <v>0</v>
      </c>
      <c r="W991" s="73">
        <f>SUMIF('Avoided Costs 2013-2021'!$A:$A,'2013 Actuals'!T991&amp;'2013 Actuals'!S991,'Avoided Costs 2013-2021'!$M:$M)*R991</f>
        <v>0</v>
      </c>
      <c r="X991" s="73">
        <f t="shared" si="383"/>
        <v>78695.279553794928</v>
      </c>
      <c r="Y991" s="89">
        <v>133850</v>
      </c>
      <c r="Z991" s="74">
        <f t="shared" si="384"/>
        <v>66925</v>
      </c>
      <c r="AA991" s="75"/>
      <c r="AB991" s="75"/>
      <c r="AC991" s="75"/>
      <c r="AD991" s="74">
        <f t="shared" si="385"/>
        <v>66925</v>
      </c>
      <c r="AE991" s="74">
        <f t="shared" si="386"/>
        <v>11770.279553794928</v>
      </c>
      <c r="AF991" s="52">
        <f t="shared" si="387"/>
        <v>559364.93999999994</v>
      </c>
      <c r="AG991" s="52">
        <f t="shared" si="388"/>
        <v>1118729.8799999999</v>
      </c>
    </row>
    <row r="992" spans="1:33" s="21" customFormat="1" x14ac:dyDescent="0.2">
      <c r="A992" s="115" t="s">
        <v>1137</v>
      </c>
      <c r="B992" s="115"/>
      <c r="C992" s="115"/>
      <c r="D992" s="163">
        <v>1</v>
      </c>
      <c r="E992" s="164"/>
      <c r="F992" s="165">
        <v>0.5</v>
      </c>
      <c r="G992" s="165"/>
      <c r="H992" s="51">
        <v>5307503</v>
      </c>
      <c r="I992" s="52">
        <f t="shared" si="377"/>
        <v>5673720.7069999995</v>
      </c>
      <c r="J992" s="52">
        <f t="shared" si="378"/>
        <v>2836860.3534999997</v>
      </c>
      <c r="K992" s="62"/>
      <c r="L992" s="163">
        <v>0</v>
      </c>
      <c r="M992" s="55">
        <f t="shared" si="379"/>
        <v>0</v>
      </c>
      <c r="N992" s="55">
        <f t="shared" si="380"/>
        <v>0</v>
      </c>
      <c r="O992" s="96"/>
      <c r="P992" s="163">
        <v>0</v>
      </c>
      <c r="Q992" s="55">
        <f t="shared" si="381"/>
        <v>0</v>
      </c>
      <c r="R992" s="65">
        <f t="shared" si="382"/>
        <v>0</v>
      </c>
      <c r="S992" s="119">
        <v>20</v>
      </c>
      <c r="T992" s="122" t="s">
        <v>1047</v>
      </c>
      <c r="U992" s="73">
        <f>SUMIF('Avoided Costs 2013-2021'!$A:$A,'2013 Actuals'!T992&amp;'2013 Actuals'!S992,'Avoided Costs 2013-2021'!$E:$E)*J992</f>
        <v>7339574.844510789</v>
      </c>
      <c r="V992" s="73">
        <f>SUMIF('Avoided Costs 2013-2021'!$A:$A,'2013 Actuals'!T992&amp;'2013 Actuals'!S992,'Avoided Costs 2013-2021'!$K:$K)*N992</f>
        <v>0</v>
      </c>
      <c r="W992" s="73">
        <f>SUMIF('Avoided Costs 2013-2021'!$A:$A,'2013 Actuals'!T992&amp;'2013 Actuals'!S992,'Avoided Costs 2013-2021'!$M:$M)*R992</f>
        <v>0</v>
      </c>
      <c r="X992" s="73">
        <f t="shared" si="383"/>
        <v>7339574.844510789</v>
      </c>
      <c r="Y992" s="89">
        <v>1202030</v>
      </c>
      <c r="Z992" s="74">
        <f t="shared" si="384"/>
        <v>601015</v>
      </c>
      <c r="AA992" s="75"/>
      <c r="AB992" s="75"/>
      <c r="AC992" s="75"/>
      <c r="AD992" s="74">
        <f t="shared" si="385"/>
        <v>601015</v>
      </c>
      <c r="AE992" s="74">
        <f t="shared" si="386"/>
        <v>6738559.844510789</v>
      </c>
      <c r="AF992" s="52">
        <f t="shared" si="387"/>
        <v>56737207.069999993</v>
      </c>
      <c r="AG992" s="52">
        <f t="shared" si="388"/>
        <v>113474414.13999999</v>
      </c>
    </row>
    <row r="993" spans="1:33" s="21" customFormat="1" x14ac:dyDescent="0.2">
      <c r="A993" s="115" t="s">
        <v>1138</v>
      </c>
      <c r="B993" s="115"/>
      <c r="C993" s="115"/>
      <c r="D993" s="163">
        <v>1</v>
      </c>
      <c r="E993" s="164"/>
      <c r="F993" s="165">
        <v>0.5</v>
      </c>
      <c r="G993" s="165"/>
      <c r="H993" s="51">
        <v>55277</v>
      </c>
      <c r="I993" s="52">
        <f t="shared" si="377"/>
        <v>59091.112999999998</v>
      </c>
      <c r="J993" s="52">
        <f t="shared" si="378"/>
        <v>29545.556499999999</v>
      </c>
      <c r="K993" s="62"/>
      <c r="L993" s="163">
        <v>0</v>
      </c>
      <c r="M993" s="55">
        <f t="shared" si="379"/>
        <v>0</v>
      </c>
      <c r="N993" s="55">
        <f t="shared" si="380"/>
        <v>0</v>
      </c>
      <c r="O993" s="96"/>
      <c r="P993" s="163">
        <v>0</v>
      </c>
      <c r="Q993" s="55">
        <f t="shared" si="381"/>
        <v>0</v>
      </c>
      <c r="R993" s="65">
        <f t="shared" si="382"/>
        <v>0</v>
      </c>
      <c r="S993" s="119">
        <v>25</v>
      </c>
      <c r="T993" s="122" t="s">
        <v>1047</v>
      </c>
      <c r="U993" s="73">
        <f>SUMIF('Avoided Costs 2013-2021'!$A:$A,'2013 Actuals'!T993&amp;'2013 Actuals'!S993,'Avoided Costs 2013-2021'!$E:$E)*J993</f>
        <v>87532.918630477143</v>
      </c>
      <c r="V993" s="73">
        <f>SUMIF('Avoided Costs 2013-2021'!$A:$A,'2013 Actuals'!T993&amp;'2013 Actuals'!S993,'Avoided Costs 2013-2021'!$K:$K)*N993</f>
        <v>0</v>
      </c>
      <c r="W993" s="73">
        <f>SUMIF('Avoided Costs 2013-2021'!$A:$A,'2013 Actuals'!T993&amp;'2013 Actuals'!S993,'Avoided Costs 2013-2021'!$M:$M)*R993</f>
        <v>0</v>
      </c>
      <c r="X993" s="73">
        <f t="shared" si="383"/>
        <v>87532.918630477143</v>
      </c>
      <c r="Y993" s="89">
        <v>91357</v>
      </c>
      <c r="Z993" s="74">
        <f t="shared" si="384"/>
        <v>45678.5</v>
      </c>
      <c r="AA993" s="75"/>
      <c r="AB993" s="75"/>
      <c r="AC993" s="75"/>
      <c r="AD993" s="74">
        <f t="shared" si="385"/>
        <v>45678.5</v>
      </c>
      <c r="AE993" s="74">
        <f t="shared" si="386"/>
        <v>41854.418630477143</v>
      </c>
      <c r="AF993" s="52">
        <f t="shared" si="387"/>
        <v>738638.91249999998</v>
      </c>
      <c r="AG993" s="52">
        <f t="shared" si="388"/>
        <v>1477277.825</v>
      </c>
    </row>
    <row r="994" spans="1:33" s="21" customFormat="1" x14ac:dyDescent="0.2">
      <c r="A994" s="115" t="s">
        <v>1139</v>
      </c>
      <c r="B994" s="115"/>
      <c r="C994" s="115"/>
      <c r="D994" s="163">
        <v>1</v>
      </c>
      <c r="E994" s="164"/>
      <c r="F994" s="165">
        <v>0.5</v>
      </c>
      <c r="G994" s="165"/>
      <c r="H994" s="51">
        <v>62887</v>
      </c>
      <c r="I994" s="52">
        <f t="shared" si="377"/>
        <v>67226.202999999994</v>
      </c>
      <c r="J994" s="52">
        <f t="shared" si="378"/>
        <v>33613.101499999997</v>
      </c>
      <c r="K994" s="62"/>
      <c r="L994" s="163">
        <v>0</v>
      </c>
      <c r="M994" s="55">
        <f t="shared" si="379"/>
        <v>0</v>
      </c>
      <c r="N994" s="55">
        <f t="shared" si="380"/>
        <v>0</v>
      </c>
      <c r="O994" s="96"/>
      <c r="P994" s="163">
        <v>0</v>
      </c>
      <c r="Q994" s="55">
        <f t="shared" si="381"/>
        <v>0</v>
      </c>
      <c r="R994" s="65">
        <f t="shared" si="382"/>
        <v>0</v>
      </c>
      <c r="S994" s="119">
        <v>25</v>
      </c>
      <c r="T994" s="122" t="s">
        <v>1047</v>
      </c>
      <c r="U994" s="73">
        <f>SUMIF('Avoided Costs 2013-2021'!$A:$A,'2013 Actuals'!T994&amp;'2013 Actuals'!S994,'Avoided Costs 2013-2021'!$E:$E)*J994</f>
        <v>99583.599940568689</v>
      </c>
      <c r="V994" s="73">
        <f>SUMIF('Avoided Costs 2013-2021'!$A:$A,'2013 Actuals'!T994&amp;'2013 Actuals'!S994,'Avoided Costs 2013-2021'!$K:$K)*N994</f>
        <v>0</v>
      </c>
      <c r="W994" s="73">
        <f>SUMIF('Avoided Costs 2013-2021'!$A:$A,'2013 Actuals'!T994&amp;'2013 Actuals'!S994,'Avoided Costs 2013-2021'!$M:$M)*R994</f>
        <v>0</v>
      </c>
      <c r="X994" s="73">
        <f t="shared" si="383"/>
        <v>99583.599940568689</v>
      </c>
      <c r="Y994" s="89">
        <v>78896</v>
      </c>
      <c r="Z994" s="74">
        <f t="shared" si="384"/>
        <v>39448</v>
      </c>
      <c r="AA994" s="75"/>
      <c r="AB994" s="75"/>
      <c r="AC994" s="75"/>
      <c r="AD994" s="74">
        <f t="shared" si="385"/>
        <v>39448</v>
      </c>
      <c r="AE994" s="74">
        <f t="shared" si="386"/>
        <v>60135.599940568689</v>
      </c>
      <c r="AF994" s="52">
        <f t="shared" si="387"/>
        <v>840327.53749999998</v>
      </c>
      <c r="AG994" s="52">
        <f t="shared" si="388"/>
        <v>1680655.075</v>
      </c>
    </row>
    <row r="995" spans="1:33" s="21" customFormat="1" x14ac:dyDescent="0.2">
      <c r="A995" s="115" t="s">
        <v>1140</v>
      </c>
      <c r="B995" s="115"/>
      <c r="C995" s="115"/>
      <c r="D995" s="163">
        <v>1</v>
      </c>
      <c r="E995" s="164"/>
      <c r="F995" s="165">
        <v>0.5</v>
      </c>
      <c r="G995" s="165"/>
      <c r="H995" s="51">
        <v>139143</v>
      </c>
      <c r="I995" s="52">
        <f t="shared" si="377"/>
        <v>148743.867</v>
      </c>
      <c r="J995" s="52">
        <f t="shared" si="378"/>
        <v>74371.933499999999</v>
      </c>
      <c r="K995" s="62"/>
      <c r="L995" s="163">
        <v>170000</v>
      </c>
      <c r="M995" s="55">
        <f t="shared" si="379"/>
        <v>170000</v>
      </c>
      <c r="N995" s="55">
        <f t="shared" si="380"/>
        <v>85000</v>
      </c>
      <c r="O995" s="96"/>
      <c r="P995" s="163">
        <v>0</v>
      </c>
      <c r="Q995" s="55">
        <f t="shared" si="381"/>
        <v>0</v>
      </c>
      <c r="R995" s="65">
        <f t="shared" si="382"/>
        <v>0</v>
      </c>
      <c r="S995" s="119">
        <v>15</v>
      </c>
      <c r="T995" s="122" t="s">
        <v>1047</v>
      </c>
      <c r="U995" s="73">
        <f>SUMIF('Avoided Costs 2013-2021'!$A:$A,'2013 Actuals'!T995&amp;'2013 Actuals'!S995,'Avoided Costs 2013-2021'!$E:$E)*J995</f>
        <v>156947.27214415904</v>
      </c>
      <c r="V995" s="73">
        <f>SUMIF('Avoided Costs 2013-2021'!$A:$A,'2013 Actuals'!T995&amp;'2013 Actuals'!S995,'Avoided Costs 2013-2021'!$K:$K)*N995</f>
        <v>88985.961860934331</v>
      </c>
      <c r="W995" s="73">
        <f>SUMIF('Avoided Costs 2013-2021'!$A:$A,'2013 Actuals'!T995&amp;'2013 Actuals'!S995,'Avoided Costs 2013-2021'!$M:$M)*R995</f>
        <v>0</v>
      </c>
      <c r="X995" s="73">
        <f t="shared" si="383"/>
        <v>245933.23400509337</v>
      </c>
      <c r="Y995" s="89">
        <v>29250</v>
      </c>
      <c r="Z995" s="74">
        <f t="shared" si="384"/>
        <v>14625</v>
      </c>
      <c r="AA995" s="75"/>
      <c r="AB995" s="75"/>
      <c r="AC995" s="75"/>
      <c r="AD995" s="74">
        <f t="shared" si="385"/>
        <v>14625</v>
      </c>
      <c r="AE995" s="74">
        <f t="shared" si="386"/>
        <v>231308.23400509337</v>
      </c>
      <c r="AF995" s="52">
        <f t="shared" si="387"/>
        <v>1115579.0024999999</v>
      </c>
      <c r="AG995" s="52">
        <f t="shared" si="388"/>
        <v>2231158.0049999999</v>
      </c>
    </row>
    <row r="996" spans="1:33" s="21" customFormat="1" x14ac:dyDescent="0.2">
      <c r="A996" s="115" t="s">
        <v>1141</v>
      </c>
      <c r="B996" s="115"/>
      <c r="C996" s="115"/>
      <c r="D996" s="163">
        <v>1</v>
      </c>
      <c r="E996" s="164"/>
      <c r="F996" s="165">
        <v>0.5</v>
      </c>
      <c r="G996" s="165"/>
      <c r="H996" s="51">
        <v>133846</v>
      </c>
      <c r="I996" s="52">
        <f t="shared" si="377"/>
        <v>143081.37399999998</v>
      </c>
      <c r="J996" s="52">
        <f t="shared" si="378"/>
        <v>71540.686999999991</v>
      </c>
      <c r="K996" s="62"/>
      <c r="L996" s="163">
        <v>0</v>
      </c>
      <c r="M996" s="55">
        <f t="shared" si="379"/>
        <v>0</v>
      </c>
      <c r="N996" s="55">
        <f t="shared" si="380"/>
        <v>0</v>
      </c>
      <c r="O996" s="96"/>
      <c r="P996" s="163">
        <v>0</v>
      </c>
      <c r="Q996" s="55">
        <f t="shared" si="381"/>
        <v>0</v>
      </c>
      <c r="R996" s="65">
        <f t="shared" si="382"/>
        <v>0</v>
      </c>
      <c r="S996" s="119">
        <v>5</v>
      </c>
      <c r="T996" s="122" t="s">
        <v>1047</v>
      </c>
      <c r="U996" s="73">
        <f>SUMIF('Avoided Costs 2013-2021'!$A:$A,'2013 Actuals'!T996&amp;'2013 Actuals'!S996,'Avoided Costs 2013-2021'!$E:$E)*J996</f>
        <v>53302.243917895983</v>
      </c>
      <c r="V996" s="73">
        <f>SUMIF('Avoided Costs 2013-2021'!$A:$A,'2013 Actuals'!T996&amp;'2013 Actuals'!S996,'Avoided Costs 2013-2021'!$K:$K)*N996</f>
        <v>0</v>
      </c>
      <c r="W996" s="73">
        <f>SUMIF('Avoided Costs 2013-2021'!$A:$A,'2013 Actuals'!T996&amp;'2013 Actuals'!S996,'Avoided Costs 2013-2021'!$M:$M)*R996</f>
        <v>0</v>
      </c>
      <c r="X996" s="73">
        <f t="shared" si="383"/>
        <v>53302.243917895983</v>
      </c>
      <c r="Y996" s="89">
        <v>16987.919999999998</v>
      </c>
      <c r="Z996" s="74">
        <f t="shared" si="384"/>
        <v>8493.9599999999991</v>
      </c>
      <c r="AA996" s="75"/>
      <c r="AB996" s="75"/>
      <c r="AC996" s="75"/>
      <c r="AD996" s="74">
        <f t="shared" si="385"/>
        <v>8493.9599999999991</v>
      </c>
      <c r="AE996" s="74">
        <f t="shared" si="386"/>
        <v>44808.283917895984</v>
      </c>
      <c r="AF996" s="52">
        <f t="shared" si="387"/>
        <v>357703.43499999994</v>
      </c>
      <c r="AG996" s="52">
        <f t="shared" si="388"/>
        <v>715406.86999999988</v>
      </c>
    </row>
    <row r="997" spans="1:33" s="21" customFormat="1" x14ac:dyDescent="0.2">
      <c r="A997" s="115" t="s">
        <v>1142</v>
      </c>
      <c r="B997" s="115"/>
      <c r="C997" s="115"/>
      <c r="D997" s="163">
        <v>1</v>
      </c>
      <c r="E997" s="164"/>
      <c r="F997" s="165">
        <v>0.5</v>
      </c>
      <c r="G997" s="165"/>
      <c r="H997" s="51">
        <v>919287</v>
      </c>
      <c r="I997" s="52">
        <f t="shared" si="377"/>
        <v>982717.80299999996</v>
      </c>
      <c r="J997" s="52">
        <f t="shared" si="378"/>
        <v>491358.90149999998</v>
      </c>
      <c r="K997" s="62"/>
      <c r="L997" s="163">
        <v>0</v>
      </c>
      <c r="M997" s="55">
        <f t="shared" si="379"/>
        <v>0</v>
      </c>
      <c r="N997" s="55">
        <f t="shared" si="380"/>
        <v>0</v>
      </c>
      <c r="O997" s="96"/>
      <c r="P997" s="163">
        <v>0</v>
      </c>
      <c r="Q997" s="55">
        <f t="shared" si="381"/>
        <v>0</v>
      </c>
      <c r="R997" s="65">
        <f t="shared" si="382"/>
        <v>0</v>
      </c>
      <c r="S997" s="119">
        <v>20</v>
      </c>
      <c r="T997" s="122" t="s">
        <v>1047</v>
      </c>
      <c r="U997" s="73">
        <f>SUMIF('Avoided Costs 2013-2021'!$A:$A,'2013 Actuals'!T997&amp;'2013 Actuals'!S997,'Avoided Costs 2013-2021'!$E:$E)*J997</f>
        <v>1271252.3648287698</v>
      </c>
      <c r="V997" s="73">
        <f>SUMIF('Avoided Costs 2013-2021'!$A:$A,'2013 Actuals'!T997&amp;'2013 Actuals'!S997,'Avoided Costs 2013-2021'!$K:$K)*N997</f>
        <v>0</v>
      </c>
      <c r="W997" s="73">
        <f>SUMIF('Avoided Costs 2013-2021'!$A:$A,'2013 Actuals'!T997&amp;'2013 Actuals'!S997,'Avoided Costs 2013-2021'!$M:$M)*R997</f>
        <v>0</v>
      </c>
      <c r="X997" s="73">
        <f t="shared" si="383"/>
        <v>1271252.3648287698</v>
      </c>
      <c r="Y997" s="89">
        <v>357300</v>
      </c>
      <c r="Z997" s="74">
        <f t="shared" si="384"/>
        <v>178650</v>
      </c>
      <c r="AA997" s="75"/>
      <c r="AB997" s="75"/>
      <c r="AC997" s="75"/>
      <c r="AD997" s="74">
        <f t="shared" si="385"/>
        <v>178650</v>
      </c>
      <c r="AE997" s="74">
        <f t="shared" si="386"/>
        <v>1092602.3648287698</v>
      </c>
      <c r="AF997" s="52">
        <f t="shared" si="387"/>
        <v>9827178.0299999993</v>
      </c>
      <c r="AG997" s="52">
        <f t="shared" si="388"/>
        <v>19654356.059999999</v>
      </c>
    </row>
    <row r="998" spans="1:33" s="21" customFormat="1" x14ac:dyDescent="0.2">
      <c r="A998" s="115" t="s">
        <v>1143</v>
      </c>
      <c r="B998" s="115"/>
      <c r="C998" s="115"/>
      <c r="D998" s="163">
        <v>1</v>
      </c>
      <c r="E998" s="164"/>
      <c r="F998" s="165">
        <v>0.5</v>
      </c>
      <c r="G998" s="165"/>
      <c r="H998" s="51">
        <v>81779</v>
      </c>
      <c r="I998" s="52">
        <f t="shared" si="377"/>
        <v>87421.750999999989</v>
      </c>
      <c r="J998" s="52">
        <f t="shared" si="378"/>
        <v>43710.875499999995</v>
      </c>
      <c r="K998" s="62"/>
      <c r="L998" s="163">
        <v>0</v>
      </c>
      <c r="M998" s="55">
        <f t="shared" si="379"/>
        <v>0</v>
      </c>
      <c r="N998" s="55">
        <f t="shared" si="380"/>
        <v>0</v>
      </c>
      <c r="O998" s="96"/>
      <c r="P998" s="163">
        <v>0</v>
      </c>
      <c r="Q998" s="55">
        <f t="shared" si="381"/>
        <v>0</v>
      </c>
      <c r="R998" s="65">
        <f t="shared" si="382"/>
        <v>0</v>
      </c>
      <c r="S998" s="119">
        <v>5</v>
      </c>
      <c r="T998" s="122" t="s">
        <v>1047</v>
      </c>
      <c r="U998" s="73">
        <f>SUMIF('Avoided Costs 2013-2021'!$A:$A,'2013 Actuals'!T998&amp;'2013 Actuals'!S998,'Avoided Costs 2013-2021'!$E:$E)*J998</f>
        <v>32567.310232368658</v>
      </c>
      <c r="V998" s="73">
        <f>SUMIF('Avoided Costs 2013-2021'!$A:$A,'2013 Actuals'!T998&amp;'2013 Actuals'!S998,'Avoided Costs 2013-2021'!$K:$K)*N998</f>
        <v>0</v>
      </c>
      <c r="W998" s="73">
        <f>SUMIF('Avoided Costs 2013-2021'!$A:$A,'2013 Actuals'!T998&amp;'2013 Actuals'!S998,'Avoided Costs 2013-2021'!$M:$M)*R998</f>
        <v>0</v>
      </c>
      <c r="X998" s="73">
        <f t="shared" si="383"/>
        <v>32567.310232368658</v>
      </c>
      <c r="Y998" s="89">
        <v>6611</v>
      </c>
      <c r="Z998" s="74">
        <f t="shared" si="384"/>
        <v>3305.5</v>
      </c>
      <c r="AA998" s="75"/>
      <c r="AB998" s="75"/>
      <c r="AC998" s="75"/>
      <c r="AD998" s="74">
        <f t="shared" si="385"/>
        <v>3305.5</v>
      </c>
      <c r="AE998" s="74">
        <f t="shared" si="386"/>
        <v>29261.810232368658</v>
      </c>
      <c r="AF998" s="52">
        <f t="shared" si="387"/>
        <v>218554.37749999997</v>
      </c>
      <c r="AG998" s="52">
        <f t="shared" si="388"/>
        <v>437108.75499999995</v>
      </c>
    </row>
    <row r="999" spans="1:33" s="21" customFormat="1" x14ac:dyDescent="0.2">
      <c r="A999" s="115" t="s">
        <v>1144</v>
      </c>
      <c r="B999" s="115"/>
      <c r="C999" s="115"/>
      <c r="D999" s="163">
        <v>1</v>
      </c>
      <c r="E999" s="164"/>
      <c r="F999" s="165">
        <v>0.5</v>
      </c>
      <c r="G999" s="165"/>
      <c r="H999" s="51">
        <v>82780</v>
      </c>
      <c r="I999" s="52">
        <f t="shared" si="377"/>
        <v>88491.819999999992</v>
      </c>
      <c r="J999" s="52">
        <f t="shared" si="378"/>
        <v>44245.909999999996</v>
      </c>
      <c r="K999" s="62"/>
      <c r="L999" s="163">
        <v>0</v>
      </c>
      <c r="M999" s="55">
        <f t="shared" si="379"/>
        <v>0</v>
      </c>
      <c r="N999" s="55">
        <f t="shared" si="380"/>
        <v>0</v>
      </c>
      <c r="O999" s="96"/>
      <c r="P999" s="163">
        <v>0</v>
      </c>
      <c r="Q999" s="55">
        <f t="shared" si="381"/>
        <v>0</v>
      </c>
      <c r="R999" s="65">
        <f t="shared" si="382"/>
        <v>0</v>
      </c>
      <c r="S999" s="119">
        <v>25</v>
      </c>
      <c r="T999" s="122" t="s">
        <v>1047</v>
      </c>
      <c r="U999" s="73">
        <f>SUMIF('Avoided Costs 2013-2021'!$A:$A,'2013 Actuals'!T999&amp;'2013 Actuals'!S999,'Avoided Costs 2013-2021'!$E:$E)*J999</f>
        <v>131084.80931003668</v>
      </c>
      <c r="V999" s="73">
        <f>SUMIF('Avoided Costs 2013-2021'!$A:$A,'2013 Actuals'!T999&amp;'2013 Actuals'!S999,'Avoided Costs 2013-2021'!$K:$K)*N999</f>
        <v>0</v>
      </c>
      <c r="W999" s="73">
        <f>SUMIF('Avoided Costs 2013-2021'!$A:$A,'2013 Actuals'!T999&amp;'2013 Actuals'!S999,'Avoided Costs 2013-2021'!$M:$M)*R999</f>
        <v>0</v>
      </c>
      <c r="X999" s="73">
        <f t="shared" si="383"/>
        <v>131084.80931003668</v>
      </c>
      <c r="Y999" s="89">
        <v>273085</v>
      </c>
      <c r="Z999" s="74">
        <f t="shared" si="384"/>
        <v>136542.5</v>
      </c>
      <c r="AA999" s="75"/>
      <c r="AB999" s="75"/>
      <c r="AC999" s="75"/>
      <c r="AD999" s="74">
        <f t="shared" si="385"/>
        <v>136542.5</v>
      </c>
      <c r="AE999" s="74">
        <f t="shared" si="386"/>
        <v>-5457.6906899633177</v>
      </c>
      <c r="AF999" s="52">
        <f t="shared" si="387"/>
        <v>1106147.75</v>
      </c>
      <c r="AG999" s="52">
        <f t="shared" si="388"/>
        <v>2212295.5</v>
      </c>
    </row>
    <row r="1000" spans="1:33" s="21" customFormat="1" x14ac:dyDescent="0.2">
      <c r="A1000" s="115" t="s">
        <v>1145</v>
      </c>
      <c r="B1000" s="115"/>
      <c r="C1000" s="115"/>
      <c r="D1000" s="163">
        <v>1</v>
      </c>
      <c r="E1000" s="164"/>
      <c r="F1000" s="165">
        <v>0.5</v>
      </c>
      <c r="G1000" s="165"/>
      <c r="H1000" s="51">
        <v>52095</v>
      </c>
      <c r="I1000" s="52">
        <f t="shared" si="377"/>
        <v>55689.555</v>
      </c>
      <c r="J1000" s="52">
        <f t="shared" si="378"/>
        <v>27844.7775</v>
      </c>
      <c r="K1000" s="62"/>
      <c r="L1000" s="163">
        <v>0</v>
      </c>
      <c r="M1000" s="55">
        <f t="shared" si="379"/>
        <v>0</v>
      </c>
      <c r="N1000" s="55">
        <f t="shared" si="380"/>
        <v>0</v>
      </c>
      <c r="O1000" s="96"/>
      <c r="P1000" s="163">
        <v>0</v>
      </c>
      <c r="Q1000" s="55">
        <f t="shared" si="381"/>
        <v>0</v>
      </c>
      <c r="R1000" s="65">
        <f t="shared" si="382"/>
        <v>0</v>
      </c>
      <c r="S1000" s="119">
        <v>25</v>
      </c>
      <c r="T1000" s="122" t="s">
        <v>1047</v>
      </c>
      <c r="U1000" s="73">
        <f>SUMIF('Avoided Costs 2013-2021'!$A:$A,'2013 Actuals'!T1000&amp;'2013 Actuals'!S1000,'Avoided Costs 2013-2021'!$E:$E)*J1000</f>
        <v>82494.118639844906</v>
      </c>
      <c r="V1000" s="73">
        <f>SUMIF('Avoided Costs 2013-2021'!$A:$A,'2013 Actuals'!T1000&amp;'2013 Actuals'!S1000,'Avoided Costs 2013-2021'!$K:$K)*N1000</f>
        <v>0</v>
      </c>
      <c r="W1000" s="73">
        <f>SUMIF('Avoided Costs 2013-2021'!$A:$A,'2013 Actuals'!T1000&amp;'2013 Actuals'!S1000,'Avoided Costs 2013-2021'!$M:$M)*R1000</f>
        <v>0</v>
      </c>
      <c r="X1000" s="73">
        <f t="shared" si="383"/>
        <v>82494.118639844906</v>
      </c>
      <c r="Y1000" s="89">
        <v>24500</v>
      </c>
      <c r="Z1000" s="74">
        <f t="shared" si="384"/>
        <v>12250</v>
      </c>
      <c r="AA1000" s="75"/>
      <c r="AB1000" s="75"/>
      <c r="AC1000" s="75"/>
      <c r="AD1000" s="74">
        <f t="shared" si="385"/>
        <v>12250</v>
      </c>
      <c r="AE1000" s="74">
        <f t="shared" si="386"/>
        <v>70244.118639844906</v>
      </c>
      <c r="AF1000" s="52">
        <f t="shared" si="387"/>
        <v>696119.4375</v>
      </c>
      <c r="AG1000" s="52">
        <f t="shared" si="388"/>
        <v>1392238.875</v>
      </c>
    </row>
    <row r="1001" spans="1:33" s="21" customFormat="1" x14ac:dyDescent="0.2">
      <c r="A1001" s="115" t="s">
        <v>1146</v>
      </c>
      <c r="B1001" s="115"/>
      <c r="C1001" s="115"/>
      <c r="D1001" s="163">
        <v>1</v>
      </c>
      <c r="E1001" s="164"/>
      <c r="F1001" s="165">
        <v>0.5</v>
      </c>
      <c r="G1001" s="165"/>
      <c r="H1001" s="51">
        <v>924309</v>
      </c>
      <c r="I1001" s="52">
        <f t="shared" si="377"/>
        <v>988086.321</v>
      </c>
      <c r="J1001" s="52">
        <f t="shared" si="378"/>
        <v>494043.1605</v>
      </c>
      <c r="K1001" s="62"/>
      <c r="L1001" s="163">
        <v>0</v>
      </c>
      <c r="M1001" s="55">
        <f t="shared" si="379"/>
        <v>0</v>
      </c>
      <c r="N1001" s="55">
        <f t="shared" si="380"/>
        <v>0</v>
      </c>
      <c r="O1001" s="96"/>
      <c r="P1001" s="163">
        <v>0</v>
      </c>
      <c r="Q1001" s="55">
        <f t="shared" si="381"/>
        <v>0</v>
      </c>
      <c r="R1001" s="65">
        <f t="shared" si="382"/>
        <v>0</v>
      </c>
      <c r="S1001" s="119">
        <v>18</v>
      </c>
      <c r="T1001" s="122" t="s">
        <v>1047</v>
      </c>
      <c r="U1001" s="73">
        <f>SUMIF('Avoided Costs 2013-2021'!$A:$A,'2013 Actuals'!T1001&amp;'2013 Actuals'!S1001,'Avoided Costs 2013-2021'!$E:$E)*J1001</f>
        <v>1190654.2657849593</v>
      </c>
      <c r="V1001" s="73">
        <f>SUMIF('Avoided Costs 2013-2021'!$A:$A,'2013 Actuals'!T1001&amp;'2013 Actuals'!S1001,'Avoided Costs 2013-2021'!$K:$K)*N1001</f>
        <v>0</v>
      </c>
      <c r="W1001" s="73">
        <f>SUMIF('Avoided Costs 2013-2021'!$A:$A,'2013 Actuals'!T1001&amp;'2013 Actuals'!S1001,'Avoided Costs 2013-2021'!$M:$M)*R1001</f>
        <v>0</v>
      </c>
      <c r="X1001" s="73">
        <f t="shared" si="383"/>
        <v>1190654.2657849593</v>
      </c>
      <c r="Y1001" s="89">
        <v>2598666</v>
      </c>
      <c r="Z1001" s="74">
        <f t="shared" si="384"/>
        <v>1299333</v>
      </c>
      <c r="AA1001" s="75"/>
      <c r="AB1001" s="75"/>
      <c r="AC1001" s="75"/>
      <c r="AD1001" s="74">
        <f t="shared" si="385"/>
        <v>1299333</v>
      </c>
      <c r="AE1001" s="74">
        <f t="shared" si="386"/>
        <v>-108678.73421504069</v>
      </c>
      <c r="AF1001" s="52">
        <f t="shared" si="387"/>
        <v>8892776.8890000004</v>
      </c>
      <c r="AG1001" s="52">
        <f t="shared" si="388"/>
        <v>17785553.778000001</v>
      </c>
    </row>
    <row r="1002" spans="1:33" s="21" customFormat="1" x14ac:dyDescent="0.2">
      <c r="A1002" s="115" t="s">
        <v>1147</v>
      </c>
      <c r="B1002" s="115"/>
      <c r="C1002" s="115"/>
      <c r="D1002" s="163">
        <v>1</v>
      </c>
      <c r="E1002" s="164"/>
      <c r="F1002" s="165">
        <v>0.5</v>
      </c>
      <c r="G1002" s="165"/>
      <c r="H1002" s="51">
        <v>607877</v>
      </c>
      <c r="I1002" s="52">
        <f t="shared" si="377"/>
        <v>649820.51299999992</v>
      </c>
      <c r="J1002" s="52">
        <f t="shared" si="378"/>
        <v>324910.25649999996</v>
      </c>
      <c r="K1002" s="62"/>
      <c r="L1002" s="163">
        <v>0</v>
      </c>
      <c r="M1002" s="55">
        <f t="shared" si="379"/>
        <v>0</v>
      </c>
      <c r="N1002" s="55">
        <f t="shared" si="380"/>
        <v>0</v>
      </c>
      <c r="O1002" s="96"/>
      <c r="P1002" s="163">
        <v>0</v>
      </c>
      <c r="Q1002" s="55">
        <f t="shared" si="381"/>
        <v>0</v>
      </c>
      <c r="R1002" s="65">
        <f t="shared" si="382"/>
        <v>0</v>
      </c>
      <c r="S1002" s="119">
        <v>5</v>
      </c>
      <c r="T1002" s="122" t="s">
        <v>1047</v>
      </c>
      <c r="U1002" s="73">
        <f>SUMIF('Avoided Costs 2013-2021'!$A:$A,'2013 Actuals'!T1002&amp;'2013 Actuals'!S1002,'Avoided Costs 2013-2021'!$E:$E)*J1002</f>
        <v>242078.26999745122</v>
      </c>
      <c r="V1002" s="73">
        <f>SUMIF('Avoided Costs 2013-2021'!$A:$A,'2013 Actuals'!T1002&amp;'2013 Actuals'!S1002,'Avoided Costs 2013-2021'!$K:$K)*N1002</f>
        <v>0</v>
      </c>
      <c r="W1002" s="73">
        <f>SUMIF('Avoided Costs 2013-2021'!$A:$A,'2013 Actuals'!T1002&amp;'2013 Actuals'!S1002,'Avoided Costs 2013-2021'!$M:$M)*R1002</f>
        <v>0</v>
      </c>
      <c r="X1002" s="73">
        <f t="shared" si="383"/>
        <v>242078.26999745122</v>
      </c>
      <c r="Y1002" s="89">
        <v>59960.37</v>
      </c>
      <c r="Z1002" s="74">
        <f t="shared" si="384"/>
        <v>29980.185000000001</v>
      </c>
      <c r="AA1002" s="75"/>
      <c r="AB1002" s="75"/>
      <c r="AC1002" s="75"/>
      <c r="AD1002" s="74">
        <f t="shared" si="385"/>
        <v>29980.185000000001</v>
      </c>
      <c r="AE1002" s="74">
        <f t="shared" si="386"/>
        <v>212098.08499745122</v>
      </c>
      <c r="AF1002" s="52">
        <f t="shared" si="387"/>
        <v>1624551.2824999997</v>
      </c>
      <c r="AG1002" s="52">
        <f t="shared" si="388"/>
        <v>3249102.5649999995</v>
      </c>
    </row>
    <row r="1003" spans="1:33" s="21" customFormat="1" x14ac:dyDescent="0.2">
      <c r="A1003" s="115" t="s">
        <v>1148</v>
      </c>
      <c r="B1003" s="115"/>
      <c r="C1003" s="115"/>
      <c r="D1003" s="163">
        <v>1</v>
      </c>
      <c r="E1003" s="164"/>
      <c r="F1003" s="165">
        <v>0.5</v>
      </c>
      <c r="G1003" s="165"/>
      <c r="H1003" s="51">
        <v>77755</v>
      </c>
      <c r="I1003" s="52">
        <f t="shared" si="377"/>
        <v>83120.095000000001</v>
      </c>
      <c r="J1003" s="52">
        <f t="shared" si="378"/>
        <v>41560.047500000001</v>
      </c>
      <c r="K1003" s="62"/>
      <c r="L1003" s="163">
        <v>0</v>
      </c>
      <c r="M1003" s="55">
        <f t="shared" si="379"/>
        <v>0</v>
      </c>
      <c r="N1003" s="55">
        <f t="shared" si="380"/>
        <v>0</v>
      </c>
      <c r="O1003" s="96"/>
      <c r="P1003" s="163">
        <v>0</v>
      </c>
      <c r="Q1003" s="55">
        <f t="shared" si="381"/>
        <v>0</v>
      </c>
      <c r="R1003" s="65">
        <f t="shared" si="382"/>
        <v>0</v>
      </c>
      <c r="S1003" s="119">
        <v>5</v>
      </c>
      <c r="T1003" s="122" t="s">
        <v>1047</v>
      </c>
      <c r="U1003" s="73">
        <f>SUMIF('Avoided Costs 2013-2021'!$A:$A,'2013 Actuals'!T1003&amp;'2013 Actuals'!S1003,'Avoided Costs 2013-2021'!$E:$E)*J1003</f>
        <v>30964.810123843839</v>
      </c>
      <c r="V1003" s="73">
        <f>SUMIF('Avoided Costs 2013-2021'!$A:$A,'2013 Actuals'!T1003&amp;'2013 Actuals'!S1003,'Avoided Costs 2013-2021'!$K:$K)*N1003</f>
        <v>0</v>
      </c>
      <c r="W1003" s="73">
        <f>SUMIF('Avoided Costs 2013-2021'!$A:$A,'2013 Actuals'!T1003&amp;'2013 Actuals'!S1003,'Avoided Costs 2013-2021'!$M:$M)*R1003</f>
        <v>0</v>
      </c>
      <c r="X1003" s="73">
        <f t="shared" si="383"/>
        <v>30964.810123843839</v>
      </c>
      <c r="Y1003" s="89">
        <v>7089.95</v>
      </c>
      <c r="Z1003" s="74">
        <f t="shared" si="384"/>
        <v>3544.9749999999999</v>
      </c>
      <c r="AA1003" s="75"/>
      <c r="AB1003" s="75"/>
      <c r="AC1003" s="75"/>
      <c r="AD1003" s="74">
        <f t="shared" si="385"/>
        <v>3544.9749999999999</v>
      </c>
      <c r="AE1003" s="74">
        <f t="shared" si="386"/>
        <v>27419.835123843841</v>
      </c>
      <c r="AF1003" s="52">
        <f t="shared" si="387"/>
        <v>207800.23749999999</v>
      </c>
      <c r="AG1003" s="52">
        <f t="shared" si="388"/>
        <v>415600.47499999998</v>
      </c>
    </row>
    <row r="1004" spans="1:33" s="21" customFormat="1" x14ac:dyDescent="0.2">
      <c r="A1004" s="115" t="s">
        <v>1149</v>
      </c>
      <c r="B1004" s="115"/>
      <c r="C1004" s="115"/>
      <c r="D1004" s="163">
        <v>1</v>
      </c>
      <c r="E1004" s="164"/>
      <c r="F1004" s="165">
        <v>0.5</v>
      </c>
      <c r="G1004" s="165"/>
      <c r="H1004" s="51">
        <v>26567</v>
      </c>
      <c r="I1004" s="52">
        <f t="shared" si="377"/>
        <v>28400.123</v>
      </c>
      <c r="J1004" s="52">
        <f t="shared" si="378"/>
        <v>14200.0615</v>
      </c>
      <c r="K1004" s="62"/>
      <c r="L1004" s="163">
        <v>0</v>
      </c>
      <c r="M1004" s="55">
        <f t="shared" si="379"/>
        <v>0</v>
      </c>
      <c r="N1004" s="55">
        <f t="shared" si="380"/>
        <v>0</v>
      </c>
      <c r="O1004" s="96"/>
      <c r="P1004" s="163">
        <v>4005</v>
      </c>
      <c r="Q1004" s="55">
        <f t="shared" si="381"/>
        <v>4005</v>
      </c>
      <c r="R1004" s="65">
        <f t="shared" si="382"/>
        <v>2002.5</v>
      </c>
      <c r="S1004" s="119">
        <v>20</v>
      </c>
      <c r="T1004" s="122" t="s">
        <v>1047</v>
      </c>
      <c r="U1004" s="73">
        <f>SUMIF('Avoided Costs 2013-2021'!$A:$A,'2013 Actuals'!T1004&amp;'2013 Actuals'!S1004,'Avoided Costs 2013-2021'!$E:$E)*J1004</f>
        <v>36738.648078789243</v>
      </c>
      <c r="V1004" s="73">
        <f>SUMIF('Avoided Costs 2013-2021'!$A:$A,'2013 Actuals'!T1004&amp;'2013 Actuals'!S1004,'Avoided Costs 2013-2021'!$K:$K)*N1004</f>
        <v>0</v>
      </c>
      <c r="W1004" s="73">
        <f>SUMIF('Avoided Costs 2013-2021'!$A:$A,'2013 Actuals'!T1004&amp;'2013 Actuals'!S1004,'Avoided Costs 2013-2021'!$M:$M)*R1004</f>
        <v>64379.022049239298</v>
      </c>
      <c r="X1004" s="73">
        <f t="shared" si="383"/>
        <v>101117.67012802855</v>
      </c>
      <c r="Y1004" s="89">
        <v>124166.12</v>
      </c>
      <c r="Z1004" s="74">
        <f t="shared" si="384"/>
        <v>62083.06</v>
      </c>
      <c r="AA1004" s="75"/>
      <c r="AB1004" s="75"/>
      <c r="AC1004" s="75"/>
      <c r="AD1004" s="74">
        <f t="shared" si="385"/>
        <v>62083.06</v>
      </c>
      <c r="AE1004" s="74">
        <f t="shared" si="386"/>
        <v>39034.610128028551</v>
      </c>
      <c r="AF1004" s="52">
        <f t="shared" si="387"/>
        <v>284001.23</v>
      </c>
      <c r="AG1004" s="52">
        <f t="shared" si="388"/>
        <v>568002.46</v>
      </c>
    </row>
    <row r="1005" spans="1:33" s="21" customFormat="1" x14ac:dyDescent="0.2">
      <c r="A1005" s="115" t="s">
        <v>1150</v>
      </c>
      <c r="B1005" s="115"/>
      <c r="C1005" s="115"/>
      <c r="D1005" s="163">
        <v>1</v>
      </c>
      <c r="E1005" s="164"/>
      <c r="F1005" s="165">
        <v>0.5</v>
      </c>
      <c r="G1005" s="165"/>
      <c r="H1005" s="51">
        <v>31931</v>
      </c>
      <c r="I1005" s="52">
        <f t="shared" si="377"/>
        <v>34134.239000000001</v>
      </c>
      <c r="J1005" s="52">
        <f t="shared" si="378"/>
        <v>17067.119500000001</v>
      </c>
      <c r="K1005" s="62"/>
      <c r="L1005" s="163">
        <v>0</v>
      </c>
      <c r="M1005" s="55">
        <f t="shared" si="379"/>
        <v>0</v>
      </c>
      <c r="N1005" s="55">
        <f t="shared" si="380"/>
        <v>0</v>
      </c>
      <c r="O1005" s="96"/>
      <c r="P1005" s="163">
        <v>0</v>
      </c>
      <c r="Q1005" s="55">
        <f t="shared" si="381"/>
        <v>0</v>
      </c>
      <c r="R1005" s="65">
        <f t="shared" si="382"/>
        <v>0</v>
      </c>
      <c r="S1005" s="119">
        <v>5</v>
      </c>
      <c r="T1005" s="122" t="s">
        <v>1047</v>
      </c>
      <c r="U1005" s="73">
        <f>SUMIF('Avoided Costs 2013-2021'!$A:$A,'2013 Actuals'!T1005&amp;'2013 Actuals'!S1005,'Avoided Costs 2013-2021'!$E:$E)*J1005</f>
        <v>12716.061373088003</v>
      </c>
      <c r="V1005" s="73">
        <f>SUMIF('Avoided Costs 2013-2021'!$A:$A,'2013 Actuals'!T1005&amp;'2013 Actuals'!S1005,'Avoided Costs 2013-2021'!$K:$K)*N1005</f>
        <v>0</v>
      </c>
      <c r="W1005" s="73">
        <f>SUMIF('Avoided Costs 2013-2021'!$A:$A,'2013 Actuals'!T1005&amp;'2013 Actuals'!S1005,'Avoided Costs 2013-2021'!$M:$M)*R1005</f>
        <v>0</v>
      </c>
      <c r="X1005" s="73">
        <f t="shared" si="383"/>
        <v>12716.061373088003</v>
      </c>
      <c r="Y1005" s="89">
        <v>3594.1</v>
      </c>
      <c r="Z1005" s="74">
        <f t="shared" si="384"/>
        <v>1797.05</v>
      </c>
      <c r="AA1005" s="75"/>
      <c r="AB1005" s="75"/>
      <c r="AC1005" s="75"/>
      <c r="AD1005" s="74">
        <f t="shared" si="385"/>
        <v>1797.05</v>
      </c>
      <c r="AE1005" s="74">
        <f t="shared" si="386"/>
        <v>10919.011373088004</v>
      </c>
      <c r="AF1005" s="52">
        <f t="shared" si="387"/>
        <v>85335.597500000003</v>
      </c>
      <c r="AG1005" s="52">
        <f t="shared" si="388"/>
        <v>170671.19500000001</v>
      </c>
    </row>
    <row r="1006" spans="1:33" s="21" customFormat="1" x14ac:dyDescent="0.2">
      <c r="A1006" s="115" t="s">
        <v>1151</v>
      </c>
      <c r="B1006" s="115"/>
      <c r="C1006" s="115"/>
      <c r="D1006" s="163">
        <v>1</v>
      </c>
      <c r="E1006" s="164"/>
      <c r="F1006" s="165">
        <v>0.5</v>
      </c>
      <c r="G1006" s="165"/>
      <c r="H1006" s="51">
        <v>340967</v>
      </c>
      <c r="I1006" s="52">
        <f t="shared" si="377"/>
        <v>364493.723</v>
      </c>
      <c r="J1006" s="52">
        <f t="shared" si="378"/>
        <v>182246.8615</v>
      </c>
      <c r="K1006" s="62"/>
      <c r="L1006" s="163">
        <v>0</v>
      </c>
      <c r="M1006" s="55">
        <f t="shared" si="379"/>
        <v>0</v>
      </c>
      <c r="N1006" s="55">
        <f t="shared" si="380"/>
        <v>0</v>
      </c>
      <c r="O1006" s="96"/>
      <c r="P1006" s="163">
        <v>0</v>
      </c>
      <c r="Q1006" s="55">
        <f t="shared" si="381"/>
        <v>0</v>
      </c>
      <c r="R1006" s="65">
        <f t="shared" si="382"/>
        <v>0</v>
      </c>
      <c r="S1006" s="119">
        <v>10</v>
      </c>
      <c r="T1006" s="122" t="s">
        <v>1047</v>
      </c>
      <c r="U1006" s="73">
        <f>SUMIF('Avoided Costs 2013-2021'!$A:$A,'2013 Actuals'!T1006&amp;'2013 Actuals'!S1006,'Avoided Costs 2013-2021'!$E:$E)*J1006</f>
        <v>274183.26168287836</v>
      </c>
      <c r="V1006" s="73">
        <f>SUMIF('Avoided Costs 2013-2021'!$A:$A,'2013 Actuals'!T1006&amp;'2013 Actuals'!S1006,'Avoided Costs 2013-2021'!$K:$K)*N1006</f>
        <v>0</v>
      </c>
      <c r="W1006" s="73">
        <f>SUMIF('Avoided Costs 2013-2021'!$A:$A,'2013 Actuals'!T1006&amp;'2013 Actuals'!S1006,'Avoided Costs 2013-2021'!$M:$M)*R1006</f>
        <v>0</v>
      </c>
      <c r="X1006" s="73">
        <f t="shared" si="383"/>
        <v>274183.26168287836</v>
      </c>
      <c r="Y1006" s="89">
        <v>38085.57</v>
      </c>
      <c r="Z1006" s="74">
        <f t="shared" si="384"/>
        <v>19042.785</v>
      </c>
      <c r="AA1006" s="75"/>
      <c r="AB1006" s="75"/>
      <c r="AC1006" s="75"/>
      <c r="AD1006" s="74">
        <f t="shared" si="385"/>
        <v>19042.785</v>
      </c>
      <c r="AE1006" s="74">
        <f t="shared" si="386"/>
        <v>255140.47668287836</v>
      </c>
      <c r="AF1006" s="52">
        <f t="shared" si="387"/>
        <v>1822468.615</v>
      </c>
      <c r="AG1006" s="52">
        <f t="shared" si="388"/>
        <v>3644937.23</v>
      </c>
    </row>
    <row r="1007" spans="1:33" s="21" customFormat="1" x14ac:dyDescent="0.2">
      <c r="A1007" s="115" t="s">
        <v>1152</v>
      </c>
      <c r="B1007" s="115"/>
      <c r="C1007" s="115"/>
      <c r="D1007" s="163">
        <v>1</v>
      </c>
      <c r="E1007" s="164"/>
      <c r="F1007" s="165">
        <v>0.5</v>
      </c>
      <c r="G1007" s="165"/>
      <c r="H1007" s="51">
        <v>1056531</v>
      </c>
      <c r="I1007" s="52">
        <f t="shared" si="377"/>
        <v>1129431.639</v>
      </c>
      <c r="J1007" s="52">
        <f t="shared" si="378"/>
        <v>564715.81949999998</v>
      </c>
      <c r="K1007" s="62"/>
      <c r="L1007" s="163">
        <v>0</v>
      </c>
      <c r="M1007" s="55">
        <f t="shared" si="379"/>
        <v>0</v>
      </c>
      <c r="N1007" s="55">
        <f t="shared" si="380"/>
        <v>0</v>
      </c>
      <c r="O1007" s="96"/>
      <c r="P1007" s="163">
        <v>0</v>
      </c>
      <c r="Q1007" s="55">
        <f t="shared" si="381"/>
        <v>0</v>
      </c>
      <c r="R1007" s="65">
        <f t="shared" si="382"/>
        <v>0</v>
      </c>
      <c r="S1007" s="119">
        <v>20</v>
      </c>
      <c r="T1007" s="122" t="s">
        <v>1047</v>
      </c>
      <c r="U1007" s="73">
        <f>SUMIF('Avoided Costs 2013-2021'!$A:$A,'2013 Actuals'!T1007&amp;'2013 Actuals'!S1007,'Avoided Costs 2013-2021'!$E:$E)*J1007</f>
        <v>1461042.6692261558</v>
      </c>
      <c r="V1007" s="73">
        <f>SUMIF('Avoided Costs 2013-2021'!$A:$A,'2013 Actuals'!T1007&amp;'2013 Actuals'!S1007,'Avoided Costs 2013-2021'!$K:$K)*N1007</f>
        <v>0</v>
      </c>
      <c r="W1007" s="73">
        <f>SUMIF('Avoided Costs 2013-2021'!$A:$A,'2013 Actuals'!T1007&amp;'2013 Actuals'!S1007,'Avoided Costs 2013-2021'!$M:$M)*R1007</f>
        <v>0</v>
      </c>
      <c r="X1007" s="73">
        <f t="shared" si="383"/>
        <v>1461042.6692261558</v>
      </c>
      <c r="Y1007" s="89">
        <v>866395</v>
      </c>
      <c r="Z1007" s="74">
        <f t="shared" si="384"/>
        <v>433197.5</v>
      </c>
      <c r="AA1007" s="75"/>
      <c r="AB1007" s="75"/>
      <c r="AC1007" s="75"/>
      <c r="AD1007" s="74">
        <f t="shared" si="385"/>
        <v>433197.5</v>
      </c>
      <c r="AE1007" s="74">
        <f t="shared" si="386"/>
        <v>1027845.1692261558</v>
      </c>
      <c r="AF1007" s="52">
        <f t="shared" si="387"/>
        <v>11294316.390000001</v>
      </c>
      <c r="AG1007" s="52">
        <f t="shared" si="388"/>
        <v>22588632.780000001</v>
      </c>
    </row>
    <row r="1008" spans="1:33" s="21" customFormat="1" x14ac:dyDescent="0.2">
      <c r="A1008" s="115" t="s">
        <v>1153</v>
      </c>
      <c r="B1008" s="115"/>
      <c r="C1008" s="115"/>
      <c r="D1008" s="163">
        <v>1</v>
      </c>
      <c r="E1008" s="164"/>
      <c r="F1008" s="165">
        <v>0.5</v>
      </c>
      <c r="G1008" s="165"/>
      <c r="H1008" s="51">
        <v>73535</v>
      </c>
      <c r="I1008" s="52">
        <f t="shared" si="377"/>
        <v>78608.914999999994</v>
      </c>
      <c r="J1008" s="52">
        <f t="shared" si="378"/>
        <v>39304.457499999997</v>
      </c>
      <c r="K1008" s="62"/>
      <c r="L1008" s="163">
        <v>0</v>
      </c>
      <c r="M1008" s="55">
        <f t="shared" si="379"/>
        <v>0</v>
      </c>
      <c r="N1008" s="55">
        <f t="shared" si="380"/>
        <v>0</v>
      </c>
      <c r="O1008" s="96"/>
      <c r="P1008" s="163">
        <v>0</v>
      </c>
      <c r="Q1008" s="55">
        <f t="shared" si="381"/>
        <v>0</v>
      </c>
      <c r="R1008" s="65">
        <f t="shared" si="382"/>
        <v>0</v>
      </c>
      <c r="S1008" s="119">
        <v>5</v>
      </c>
      <c r="T1008" s="122" t="s">
        <v>1047</v>
      </c>
      <c r="U1008" s="73">
        <f>SUMIF('Avoided Costs 2013-2021'!$A:$A,'2013 Actuals'!T1008&amp;'2013 Actuals'!S1008,'Avoided Costs 2013-2021'!$E:$E)*J1008</f>
        <v>29284.255835082717</v>
      </c>
      <c r="V1008" s="73">
        <f>SUMIF('Avoided Costs 2013-2021'!$A:$A,'2013 Actuals'!T1008&amp;'2013 Actuals'!S1008,'Avoided Costs 2013-2021'!$K:$K)*N1008</f>
        <v>0</v>
      </c>
      <c r="W1008" s="73">
        <f>SUMIF('Avoided Costs 2013-2021'!$A:$A,'2013 Actuals'!T1008&amp;'2013 Actuals'!S1008,'Avoided Costs 2013-2021'!$M:$M)*R1008</f>
        <v>0</v>
      </c>
      <c r="X1008" s="73">
        <f t="shared" si="383"/>
        <v>29284.255835082717</v>
      </c>
      <c r="Y1008" s="89">
        <v>11980.5</v>
      </c>
      <c r="Z1008" s="74">
        <f t="shared" si="384"/>
        <v>5990.25</v>
      </c>
      <c r="AA1008" s="75"/>
      <c r="AB1008" s="75"/>
      <c r="AC1008" s="75"/>
      <c r="AD1008" s="74">
        <f t="shared" si="385"/>
        <v>5990.25</v>
      </c>
      <c r="AE1008" s="74">
        <f t="shared" si="386"/>
        <v>23294.005835082717</v>
      </c>
      <c r="AF1008" s="52">
        <f t="shared" si="387"/>
        <v>196522.28749999998</v>
      </c>
      <c r="AG1008" s="52">
        <f t="shared" si="388"/>
        <v>393044.57499999995</v>
      </c>
    </row>
    <row r="1009" spans="1:33" s="21" customFormat="1" x14ac:dyDescent="0.2">
      <c r="A1009" s="115" t="s">
        <v>1154</v>
      </c>
      <c r="B1009" s="115"/>
      <c r="C1009" s="115"/>
      <c r="D1009" s="163">
        <v>1</v>
      </c>
      <c r="E1009" s="164"/>
      <c r="F1009" s="165">
        <v>0.5</v>
      </c>
      <c r="G1009" s="165"/>
      <c r="H1009" s="51">
        <v>1883</v>
      </c>
      <c r="I1009" s="52">
        <f t="shared" si="377"/>
        <v>2012.9269999999999</v>
      </c>
      <c r="J1009" s="52">
        <f t="shared" si="378"/>
        <v>1006.4635</v>
      </c>
      <c r="K1009" s="62"/>
      <c r="L1009" s="163">
        <v>0</v>
      </c>
      <c r="M1009" s="55">
        <f t="shared" si="379"/>
        <v>0</v>
      </c>
      <c r="N1009" s="55">
        <f t="shared" si="380"/>
        <v>0</v>
      </c>
      <c r="O1009" s="96"/>
      <c r="P1009" s="163">
        <v>0</v>
      </c>
      <c r="Q1009" s="55">
        <f t="shared" si="381"/>
        <v>0</v>
      </c>
      <c r="R1009" s="65">
        <f t="shared" si="382"/>
        <v>0</v>
      </c>
      <c r="S1009" s="119">
        <v>5</v>
      </c>
      <c r="T1009" s="122" t="s">
        <v>1047</v>
      </c>
      <c r="U1009" s="73">
        <f>SUMIF('Avoided Costs 2013-2021'!$A:$A,'2013 Actuals'!T1009&amp;'2013 Actuals'!S1009,'Avoided Costs 2013-2021'!$E:$E)*J1009</f>
        <v>749.87766012729662</v>
      </c>
      <c r="V1009" s="73">
        <f>SUMIF('Avoided Costs 2013-2021'!$A:$A,'2013 Actuals'!T1009&amp;'2013 Actuals'!S1009,'Avoided Costs 2013-2021'!$K:$K)*N1009</f>
        <v>0</v>
      </c>
      <c r="W1009" s="73">
        <f>SUMIF('Avoided Costs 2013-2021'!$A:$A,'2013 Actuals'!T1009&amp;'2013 Actuals'!S1009,'Avoided Costs 2013-2021'!$M:$M)*R1009</f>
        <v>0</v>
      </c>
      <c r="X1009" s="73">
        <f t="shared" si="383"/>
        <v>749.87766012729662</v>
      </c>
      <c r="Y1009" s="89">
        <v>1585</v>
      </c>
      <c r="Z1009" s="74">
        <f t="shared" si="384"/>
        <v>792.5</v>
      </c>
      <c r="AA1009" s="75"/>
      <c r="AB1009" s="75"/>
      <c r="AC1009" s="75"/>
      <c r="AD1009" s="74">
        <f t="shared" si="385"/>
        <v>792.5</v>
      </c>
      <c r="AE1009" s="74">
        <f t="shared" si="386"/>
        <v>-42.622339872703378</v>
      </c>
      <c r="AF1009" s="52">
        <f t="shared" si="387"/>
        <v>5032.3175000000001</v>
      </c>
      <c r="AG1009" s="52">
        <f t="shared" si="388"/>
        <v>10064.635</v>
      </c>
    </row>
    <row r="1010" spans="1:33" s="21" customFormat="1" x14ac:dyDescent="0.2">
      <c r="A1010" s="115" t="s">
        <v>1155</v>
      </c>
      <c r="B1010" s="115"/>
      <c r="C1010" s="115"/>
      <c r="D1010" s="163">
        <v>0</v>
      </c>
      <c r="E1010" s="164"/>
      <c r="F1010" s="165">
        <v>0.5</v>
      </c>
      <c r="G1010" s="165"/>
      <c r="H1010" s="51">
        <v>8562</v>
      </c>
      <c r="I1010" s="52">
        <f t="shared" si="377"/>
        <v>9152.7780000000002</v>
      </c>
      <c r="J1010" s="52">
        <f t="shared" si="378"/>
        <v>4576.3890000000001</v>
      </c>
      <c r="K1010" s="62"/>
      <c r="L1010" s="163">
        <v>0</v>
      </c>
      <c r="M1010" s="55">
        <f t="shared" si="379"/>
        <v>0</v>
      </c>
      <c r="N1010" s="55">
        <f t="shared" si="380"/>
        <v>0</v>
      </c>
      <c r="O1010" s="96"/>
      <c r="P1010" s="163">
        <v>889</v>
      </c>
      <c r="Q1010" s="55">
        <f t="shared" si="381"/>
        <v>889</v>
      </c>
      <c r="R1010" s="65">
        <f t="shared" si="382"/>
        <v>444.5</v>
      </c>
      <c r="S1010" s="119">
        <v>15</v>
      </c>
      <c r="T1010" s="122" t="s">
        <v>1047</v>
      </c>
      <c r="U1010" s="73">
        <f>SUMIF('Avoided Costs 2013-2021'!$A:$A,'2013 Actuals'!T1010&amp;'2013 Actuals'!S1010,'Avoided Costs 2013-2021'!$E:$E)*J1010</f>
        <v>9657.5648368821257</v>
      </c>
      <c r="V1010" s="73">
        <f>SUMIF('Avoided Costs 2013-2021'!$A:$A,'2013 Actuals'!T1010&amp;'2013 Actuals'!S1010,'Avoided Costs 2013-2021'!$K:$K)*N1010</f>
        <v>0</v>
      </c>
      <c r="W1010" s="73">
        <f>SUMIF('Avoided Costs 2013-2021'!$A:$A,'2013 Actuals'!T1010&amp;'2013 Actuals'!S1010,'Avoided Costs 2013-2021'!$M:$M)*R1010</f>
        <v>11881.919837209349</v>
      </c>
      <c r="X1010" s="73">
        <f t="shared" si="383"/>
        <v>21539.484674091473</v>
      </c>
      <c r="Y1010" s="89">
        <v>1200</v>
      </c>
      <c r="Z1010" s="74">
        <f t="shared" si="384"/>
        <v>600</v>
      </c>
      <c r="AA1010" s="75"/>
      <c r="AB1010" s="75"/>
      <c r="AC1010" s="75"/>
      <c r="AD1010" s="74">
        <f t="shared" si="385"/>
        <v>600</v>
      </c>
      <c r="AE1010" s="74">
        <f t="shared" si="386"/>
        <v>20939.484674091473</v>
      </c>
      <c r="AF1010" s="52">
        <f t="shared" si="387"/>
        <v>68645.835000000006</v>
      </c>
      <c r="AG1010" s="52">
        <f t="shared" si="388"/>
        <v>137291.67000000001</v>
      </c>
    </row>
    <row r="1011" spans="1:33" s="21" customFormat="1" x14ac:dyDescent="0.2">
      <c r="A1011" s="115" t="s">
        <v>1156</v>
      </c>
      <c r="B1011" s="115"/>
      <c r="C1011" s="115"/>
      <c r="D1011" s="163">
        <v>1</v>
      </c>
      <c r="E1011" s="164"/>
      <c r="F1011" s="165">
        <v>0.5</v>
      </c>
      <c r="G1011" s="165"/>
      <c r="H1011" s="51">
        <v>9236</v>
      </c>
      <c r="I1011" s="52">
        <f t="shared" si="377"/>
        <v>9873.2839999999997</v>
      </c>
      <c r="J1011" s="52">
        <f t="shared" si="378"/>
        <v>4936.6419999999998</v>
      </c>
      <c r="K1011" s="62"/>
      <c r="L1011" s="163">
        <v>0</v>
      </c>
      <c r="M1011" s="55">
        <f t="shared" si="379"/>
        <v>0</v>
      </c>
      <c r="N1011" s="55">
        <f t="shared" si="380"/>
        <v>0</v>
      </c>
      <c r="O1011" s="96"/>
      <c r="P1011" s="163">
        <v>0</v>
      </c>
      <c r="Q1011" s="55">
        <f t="shared" si="381"/>
        <v>0</v>
      </c>
      <c r="R1011" s="65">
        <f t="shared" si="382"/>
        <v>0</v>
      </c>
      <c r="S1011" s="119">
        <v>15</v>
      </c>
      <c r="T1011" s="122" t="s">
        <v>1047</v>
      </c>
      <c r="U1011" s="73">
        <f>SUMIF('Avoided Costs 2013-2021'!$A:$A,'2013 Actuals'!T1011&amp;'2013 Actuals'!S1011,'Avoided Costs 2013-2021'!$E:$E)*J1011</f>
        <v>10417.807618949229</v>
      </c>
      <c r="V1011" s="73">
        <f>SUMIF('Avoided Costs 2013-2021'!$A:$A,'2013 Actuals'!T1011&amp;'2013 Actuals'!S1011,'Avoided Costs 2013-2021'!$K:$K)*N1011</f>
        <v>0</v>
      </c>
      <c r="W1011" s="73">
        <f>SUMIF('Avoided Costs 2013-2021'!$A:$A,'2013 Actuals'!T1011&amp;'2013 Actuals'!S1011,'Avoided Costs 2013-2021'!$M:$M)*R1011</f>
        <v>0</v>
      </c>
      <c r="X1011" s="73">
        <f t="shared" si="383"/>
        <v>10417.807618949229</v>
      </c>
      <c r="Y1011" s="89">
        <v>2775</v>
      </c>
      <c r="Z1011" s="74">
        <f t="shared" si="384"/>
        <v>1387.5</v>
      </c>
      <c r="AA1011" s="75"/>
      <c r="AB1011" s="75"/>
      <c r="AC1011" s="75"/>
      <c r="AD1011" s="74">
        <f t="shared" ref="AD1011:AD1027" si="389">Z1011+AB1011</f>
        <v>1387.5</v>
      </c>
      <c r="AE1011" s="74">
        <f t="shared" ref="AE1011:AE1027" si="390">X1011-AD1011</f>
        <v>9030.3076189492294</v>
      </c>
      <c r="AF1011" s="52">
        <f t="shared" si="387"/>
        <v>74049.63</v>
      </c>
      <c r="AG1011" s="52">
        <f t="shared" si="388"/>
        <v>148099.26</v>
      </c>
    </row>
    <row r="1012" spans="1:33" s="21" customFormat="1" x14ac:dyDescent="0.2">
      <c r="A1012" s="115" t="s">
        <v>1157</v>
      </c>
      <c r="B1012" s="115"/>
      <c r="C1012" s="115"/>
      <c r="D1012" s="163">
        <v>1</v>
      </c>
      <c r="E1012" s="164"/>
      <c r="F1012" s="165">
        <v>0.5</v>
      </c>
      <c r="G1012" s="165"/>
      <c r="H1012" s="51">
        <v>201679</v>
      </c>
      <c r="I1012" s="52">
        <f t="shared" si="377"/>
        <v>215594.851</v>
      </c>
      <c r="J1012" s="52">
        <f t="shared" si="378"/>
        <v>107797.4255</v>
      </c>
      <c r="K1012" s="62"/>
      <c r="L1012" s="163">
        <v>0</v>
      </c>
      <c r="M1012" s="55">
        <f t="shared" si="379"/>
        <v>0</v>
      </c>
      <c r="N1012" s="55">
        <f t="shared" si="380"/>
        <v>0</v>
      </c>
      <c r="O1012" s="96"/>
      <c r="P1012" s="163">
        <v>0</v>
      </c>
      <c r="Q1012" s="55">
        <f t="shared" si="381"/>
        <v>0</v>
      </c>
      <c r="R1012" s="65">
        <f t="shared" si="382"/>
        <v>0</v>
      </c>
      <c r="S1012" s="119">
        <v>15</v>
      </c>
      <c r="T1012" s="122" t="s">
        <v>1047</v>
      </c>
      <c r="U1012" s="73">
        <f>SUMIF('Avoided Costs 2013-2021'!$A:$A,'2013 Actuals'!T1012&amp;'2013 Actuals'!S1012,'Avoided Costs 2013-2021'!$E:$E)*J1012</f>
        <v>227485.16920550691</v>
      </c>
      <c r="V1012" s="73">
        <f>SUMIF('Avoided Costs 2013-2021'!$A:$A,'2013 Actuals'!T1012&amp;'2013 Actuals'!S1012,'Avoided Costs 2013-2021'!$K:$K)*N1012</f>
        <v>0</v>
      </c>
      <c r="W1012" s="73">
        <f>SUMIF('Avoided Costs 2013-2021'!$A:$A,'2013 Actuals'!T1012&amp;'2013 Actuals'!S1012,'Avoided Costs 2013-2021'!$M:$M)*R1012</f>
        <v>0</v>
      </c>
      <c r="X1012" s="73">
        <f t="shared" si="383"/>
        <v>227485.16920550691</v>
      </c>
      <c r="Y1012" s="89">
        <v>21448.31</v>
      </c>
      <c r="Z1012" s="74">
        <f t="shared" si="384"/>
        <v>10724.155000000001</v>
      </c>
      <c r="AA1012" s="75"/>
      <c r="AB1012" s="75"/>
      <c r="AC1012" s="75"/>
      <c r="AD1012" s="74">
        <f t="shared" si="389"/>
        <v>10724.155000000001</v>
      </c>
      <c r="AE1012" s="74">
        <f t="shared" si="390"/>
        <v>216761.01420550692</v>
      </c>
      <c r="AF1012" s="52">
        <f t="shared" si="387"/>
        <v>1616961.3825000001</v>
      </c>
      <c r="AG1012" s="52">
        <f t="shared" si="388"/>
        <v>3233922.7650000001</v>
      </c>
    </row>
    <row r="1013" spans="1:33" s="21" customFormat="1" x14ac:dyDescent="0.2">
      <c r="A1013" s="115" t="s">
        <v>1158</v>
      </c>
      <c r="B1013" s="115"/>
      <c r="C1013" s="115"/>
      <c r="D1013" s="163">
        <v>1</v>
      </c>
      <c r="E1013" s="164"/>
      <c r="F1013" s="165">
        <v>0.5</v>
      </c>
      <c r="G1013" s="165"/>
      <c r="H1013" s="51">
        <v>72829</v>
      </c>
      <c r="I1013" s="52">
        <f t="shared" si="377"/>
        <v>77854.201000000001</v>
      </c>
      <c r="J1013" s="52">
        <f t="shared" si="378"/>
        <v>38927.1005</v>
      </c>
      <c r="K1013" s="62"/>
      <c r="L1013" s="163">
        <v>0</v>
      </c>
      <c r="M1013" s="55">
        <f t="shared" si="379"/>
        <v>0</v>
      </c>
      <c r="N1013" s="55">
        <f t="shared" si="380"/>
        <v>0</v>
      </c>
      <c r="O1013" s="96"/>
      <c r="P1013" s="163">
        <v>0</v>
      </c>
      <c r="Q1013" s="55">
        <f t="shared" si="381"/>
        <v>0</v>
      </c>
      <c r="R1013" s="65">
        <f t="shared" si="382"/>
        <v>0</v>
      </c>
      <c r="S1013" s="119">
        <v>15</v>
      </c>
      <c r="T1013" s="122" t="s">
        <v>1047</v>
      </c>
      <c r="U1013" s="73">
        <f>SUMIF('Avoided Costs 2013-2021'!$A:$A,'2013 Actuals'!T1013&amp;'2013 Actuals'!S1013,'Avoided Costs 2013-2021'!$E:$E)*J1013</f>
        <v>82147.954859295525</v>
      </c>
      <c r="V1013" s="73">
        <f>SUMIF('Avoided Costs 2013-2021'!$A:$A,'2013 Actuals'!T1013&amp;'2013 Actuals'!S1013,'Avoided Costs 2013-2021'!$K:$K)*N1013</f>
        <v>0</v>
      </c>
      <c r="W1013" s="73">
        <f>SUMIF('Avoided Costs 2013-2021'!$A:$A,'2013 Actuals'!T1013&amp;'2013 Actuals'!S1013,'Avoided Costs 2013-2021'!$M:$M)*R1013</f>
        <v>0</v>
      </c>
      <c r="X1013" s="73">
        <f t="shared" si="383"/>
        <v>82147.954859295525</v>
      </c>
      <c r="Y1013" s="89">
        <v>98000</v>
      </c>
      <c r="Z1013" s="74">
        <f t="shared" si="384"/>
        <v>49000</v>
      </c>
      <c r="AA1013" s="75"/>
      <c r="AB1013" s="75"/>
      <c r="AC1013" s="75"/>
      <c r="AD1013" s="74">
        <f t="shared" si="389"/>
        <v>49000</v>
      </c>
      <c r="AE1013" s="74">
        <f t="shared" si="390"/>
        <v>33147.954859295525</v>
      </c>
      <c r="AF1013" s="52">
        <f t="shared" si="387"/>
        <v>583906.50750000007</v>
      </c>
      <c r="AG1013" s="52">
        <f t="shared" si="388"/>
        <v>1167813.0150000001</v>
      </c>
    </row>
    <row r="1014" spans="1:33" s="21" customFormat="1" x14ac:dyDescent="0.2">
      <c r="A1014" s="115" t="s">
        <v>1159</v>
      </c>
      <c r="B1014" s="115"/>
      <c r="C1014" s="115"/>
      <c r="D1014" s="163">
        <v>1</v>
      </c>
      <c r="E1014" s="164"/>
      <c r="F1014" s="165">
        <v>0.5</v>
      </c>
      <c r="G1014" s="165"/>
      <c r="H1014" s="51">
        <v>20642</v>
      </c>
      <c r="I1014" s="52">
        <f t="shared" si="377"/>
        <v>22066.297999999999</v>
      </c>
      <c r="J1014" s="52">
        <f t="shared" si="378"/>
        <v>11033.148999999999</v>
      </c>
      <c r="K1014" s="62"/>
      <c r="L1014" s="163">
        <v>0</v>
      </c>
      <c r="M1014" s="55">
        <f t="shared" si="379"/>
        <v>0</v>
      </c>
      <c r="N1014" s="55">
        <f t="shared" si="380"/>
        <v>0</v>
      </c>
      <c r="O1014" s="96"/>
      <c r="P1014" s="163">
        <v>0</v>
      </c>
      <c r="Q1014" s="55">
        <f t="shared" si="381"/>
        <v>0</v>
      </c>
      <c r="R1014" s="65">
        <f t="shared" si="382"/>
        <v>0</v>
      </c>
      <c r="S1014" s="119">
        <v>15</v>
      </c>
      <c r="T1014" s="122" t="s">
        <v>1047</v>
      </c>
      <c r="U1014" s="73">
        <f>SUMIF('Avoided Costs 2013-2021'!$A:$A,'2013 Actuals'!T1014&amp;'2013 Actuals'!S1014,'Avoided Costs 2013-2021'!$E:$E)*J1014</f>
        <v>23283.281168292553</v>
      </c>
      <c r="V1014" s="73">
        <f>SUMIF('Avoided Costs 2013-2021'!$A:$A,'2013 Actuals'!T1014&amp;'2013 Actuals'!S1014,'Avoided Costs 2013-2021'!$K:$K)*N1014</f>
        <v>0</v>
      </c>
      <c r="W1014" s="73">
        <f>SUMIF('Avoided Costs 2013-2021'!$A:$A,'2013 Actuals'!T1014&amp;'2013 Actuals'!S1014,'Avoided Costs 2013-2021'!$M:$M)*R1014</f>
        <v>0</v>
      </c>
      <c r="X1014" s="73">
        <f t="shared" si="383"/>
        <v>23283.281168292553</v>
      </c>
      <c r="Y1014" s="89">
        <v>7732</v>
      </c>
      <c r="Z1014" s="74">
        <f t="shared" si="384"/>
        <v>3866</v>
      </c>
      <c r="AA1014" s="75"/>
      <c r="AB1014" s="75"/>
      <c r="AC1014" s="75"/>
      <c r="AD1014" s="74">
        <f t="shared" si="389"/>
        <v>3866</v>
      </c>
      <c r="AE1014" s="74">
        <f t="shared" si="390"/>
        <v>19417.281168292553</v>
      </c>
      <c r="AF1014" s="52">
        <f t="shared" si="387"/>
        <v>165497.23499999999</v>
      </c>
      <c r="AG1014" s="52">
        <f t="shared" si="388"/>
        <v>330994.46999999997</v>
      </c>
    </row>
    <row r="1015" spans="1:33" s="21" customFormat="1" x14ac:dyDescent="0.2">
      <c r="A1015" s="115" t="s">
        <v>1160</v>
      </c>
      <c r="B1015" s="115"/>
      <c r="C1015" s="115"/>
      <c r="D1015" s="163">
        <v>1</v>
      </c>
      <c r="E1015" s="164"/>
      <c r="F1015" s="165">
        <v>0.5</v>
      </c>
      <c r="G1015" s="165"/>
      <c r="H1015" s="51">
        <v>1255693</v>
      </c>
      <c r="I1015" s="52">
        <f t="shared" si="377"/>
        <v>1342335.817</v>
      </c>
      <c r="J1015" s="52">
        <f t="shared" si="378"/>
        <v>671167.90850000002</v>
      </c>
      <c r="K1015" s="62"/>
      <c r="L1015" s="163">
        <v>0</v>
      </c>
      <c r="M1015" s="55">
        <f t="shared" si="379"/>
        <v>0</v>
      </c>
      <c r="N1015" s="55">
        <f t="shared" si="380"/>
        <v>0</v>
      </c>
      <c r="O1015" s="96"/>
      <c r="P1015" s="163">
        <v>0</v>
      </c>
      <c r="Q1015" s="55">
        <f t="shared" si="381"/>
        <v>0</v>
      </c>
      <c r="R1015" s="65">
        <f t="shared" si="382"/>
        <v>0</v>
      </c>
      <c r="S1015" s="119">
        <v>15</v>
      </c>
      <c r="T1015" s="122" t="s">
        <v>1047</v>
      </c>
      <c r="U1015" s="73">
        <f>SUMIF('Avoided Costs 2013-2021'!$A:$A,'2013 Actuals'!T1015&amp;'2013 Actuals'!S1015,'Avoided Costs 2013-2021'!$E:$E)*J1015</f>
        <v>1416367.269647165</v>
      </c>
      <c r="V1015" s="73">
        <f>SUMIF('Avoided Costs 2013-2021'!$A:$A,'2013 Actuals'!T1015&amp;'2013 Actuals'!S1015,'Avoided Costs 2013-2021'!$K:$K)*N1015</f>
        <v>0</v>
      </c>
      <c r="W1015" s="73">
        <f>SUMIF('Avoided Costs 2013-2021'!$A:$A,'2013 Actuals'!T1015&amp;'2013 Actuals'!S1015,'Avoided Costs 2013-2021'!$M:$M)*R1015</f>
        <v>0</v>
      </c>
      <c r="X1015" s="73">
        <f t="shared" si="383"/>
        <v>1416367.269647165</v>
      </c>
      <c r="Y1015" s="89">
        <v>605000</v>
      </c>
      <c r="Z1015" s="74">
        <f t="shared" si="384"/>
        <v>302500</v>
      </c>
      <c r="AA1015" s="75"/>
      <c r="AB1015" s="75"/>
      <c r="AC1015" s="75"/>
      <c r="AD1015" s="74">
        <f t="shared" si="389"/>
        <v>302500</v>
      </c>
      <c r="AE1015" s="74">
        <f t="shared" si="390"/>
        <v>1113867.269647165</v>
      </c>
      <c r="AF1015" s="52">
        <f t="shared" si="387"/>
        <v>10067518.627499999</v>
      </c>
      <c r="AG1015" s="52">
        <f t="shared" si="388"/>
        <v>20135037.254999999</v>
      </c>
    </row>
    <row r="1016" spans="1:33" s="21" customFormat="1" x14ac:dyDescent="0.2">
      <c r="A1016" s="115" t="s">
        <v>1161</v>
      </c>
      <c r="B1016" s="115"/>
      <c r="C1016" s="115"/>
      <c r="D1016" s="163">
        <v>0</v>
      </c>
      <c r="E1016" s="164"/>
      <c r="F1016" s="165">
        <v>0.5</v>
      </c>
      <c r="G1016" s="165"/>
      <c r="H1016" s="51">
        <v>203267</v>
      </c>
      <c r="I1016" s="52">
        <f t="shared" si="377"/>
        <v>217292.42299999998</v>
      </c>
      <c r="J1016" s="52">
        <f t="shared" si="378"/>
        <v>108646.21149999999</v>
      </c>
      <c r="K1016" s="62"/>
      <c r="L1016" s="163">
        <v>0</v>
      </c>
      <c r="M1016" s="55">
        <f t="shared" si="379"/>
        <v>0</v>
      </c>
      <c r="N1016" s="55">
        <f t="shared" si="380"/>
        <v>0</v>
      </c>
      <c r="O1016" s="96"/>
      <c r="P1016" s="163">
        <v>4812</v>
      </c>
      <c r="Q1016" s="55">
        <f t="shared" si="381"/>
        <v>4812</v>
      </c>
      <c r="R1016" s="65">
        <f t="shared" si="382"/>
        <v>2406</v>
      </c>
      <c r="S1016" s="119">
        <v>20</v>
      </c>
      <c r="T1016" s="122" t="s">
        <v>1047</v>
      </c>
      <c r="U1016" s="73">
        <f>SUMIF('Avoided Costs 2013-2021'!$A:$A,'2013 Actuals'!T1016&amp;'2013 Actuals'!S1016,'Avoided Costs 2013-2021'!$E:$E)*J1016</f>
        <v>281091.38325860101</v>
      </c>
      <c r="V1016" s="73">
        <f>SUMIF('Avoided Costs 2013-2021'!$A:$A,'2013 Actuals'!T1016&amp;'2013 Actuals'!S1016,'Avoided Costs 2013-2021'!$K:$K)*N1016</f>
        <v>0</v>
      </c>
      <c r="W1016" s="73">
        <f>SUMIF('Avoided Costs 2013-2021'!$A:$A,'2013 Actuals'!T1016&amp;'2013 Actuals'!S1016,'Avoided Costs 2013-2021'!$M:$M)*R1016</f>
        <v>77351.274432194637</v>
      </c>
      <c r="X1016" s="73">
        <f t="shared" si="383"/>
        <v>358442.65769079566</v>
      </c>
      <c r="Y1016" s="89">
        <v>1430500</v>
      </c>
      <c r="Z1016" s="74">
        <f t="shared" si="384"/>
        <v>715250</v>
      </c>
      <c r="AA1016" s="75"/>
      <c r="AB1016" s="75"/>
      <c r="AC1016" s="75"/>
      <c r="AD1016" s="74">
        <f t="shared" si="389"/>
        <v>715250</v>
      </c>
      <c r="AE1016" s="74">
        <f t="shared" si="390"/>
        <v>-356807.34230920434</v>
      </c>
      <c r="AF1016" s="52">
        <f t="shared" si="387"/>
        <v>2172924.23</v>
      </c>
      <c r="AG1016" s="52">
        <f t="shared" si="388"/>
        <v>4345848.46</v>
      </c>
    </row>
    <row r="1017" spans="1:33" s="21" customFormat="1" x14ac:dyDescent="0.2">
      <c r="A1017" s="115" t="s">
        <v>1162</v>
      </c>
      <c r="B1017" s="115"/>
      <c r="C1017" s="115"/>
      <c r="D1017" s="163">
        <v>1</v>
      </c>
      <c r="E1017" s="164"/>
      <c r="F1017" s="165">
        <v>0.5</v>
      </c>
      <c r="G1017" s="165"/>
      <c r="H1017" s="51">
        <v>492063</v>
      </c>
      <c r="I1017" s="52">
        <f t="shared" si="377"/>
        <v>526015.34699999995</v>
      </c>
      <c r="J1017" s="52">
        <f t="shared" si="378"/>
        <v>263007.67349999998</v>
      </c>
      <c r="K1017" s="62"/>
      <c r="L1017" s="163">
        <v>0</v>
      </c>
      <c r="M1017" s="55">
        <f t="shared" si="379"/>
        <v>0</v>
      </c>
      <c r="N1017" s="55">
        <f t="shared" si="380"/>
        <v>0</v>
      </c>
      <c r="O1017" s="96"/>
      <c r="P1017" s="163">
        <v>0</v>
      </c>
      <c r="Q1017" s="55">
        <f t="shared" si="381"/>
        <v>0</v>
      </c>
      <c r="R1017" s="65">
        <f t="shared" si="382"/>
        <v>0</v>
      </c>
      <c r="S1017" s="119">
        <v>10</v>
      </c>
      <c r="T1017" s="122" t="s">
        <v>1047</v>
      </c>
      <c r="U1017" s="73">
        <f>SUMIF('Avoided Costs 2013-2021'!$A:$A,'2013 Actuals'!T1017&amp;'2013 Actuals'!S1017,'Avoided Costs 2013-2021'!$E:$E)*J1017</f>
        <v>395684.73867987859</v>
      </c>
      <c r="V1017" s="73">
        <f>SUMIF('Avoided Costs 2013-2021'!$A:$A,'2013 Actuals'!T1017&amp;'2013 Actuals'!S1017,'Avoided Costs 2013-2021'!$K:$K)*N1017</f>
        <v>0</v>
      </c>
      <c r="W1017" s="73">
        <f>SUMIF('Avoided Costs 2013-2021'!$A:$A,'2013 Actuals'!T1017&amp;'2013 Actuals'!S1017,'Avoided Costs 2013-2021'!$M:$M)*R1017</f>
        <v>0</v>
      </c>
      <c r="X1017" s="73">
        <f t="shared" si="383"/>
        <v>395684.73867987859</v>
      </c>
      <c r="Y1017" s="89">
        <v>26000</v>
      </c>
      <c r="Z1017" s="74">
        <f t="shared" si="384"/>
        <v>13000</v>
      </c>
      <c r="AA1017" s="75"/>
      <c r="AB1017" s="75"/>
      <c r="AC1017" s="75"/>
      <c r="AD1017" s="74">
        <f t="shared" si="389"/>
        <v>13000</v>
      </c>
      <c r="AE1017" s="74">
        <f t="shared" si="390"/>
        <v>382684.73867987859</v>
      </c>
      <c r="AF1017" s="52">
        <f t="shared" si="387"/>
        <v>2630076.7349999999</v>
      </c>
      <c r="AG1017" s="52">
        <f t="shared" si="388"/>
        <v>5260153.47</v>
      </c>
    </row>
    <row r="1018" spans="1:33" s="21" customFormat="1" x14ac:dyDescent="0.2">
      <c r="A1018" s="115" t="s">
        <v>1163</v>
      </c>
      <c r="B1018" s="115"/>
      <c r="C1018" s="115"/>
      <c r="D1018" s="163">
        <v>1</v>
      </c>
      <c r="E1018" s="164"/>
      <c r="F1018" s="165">
        <v>0.5</v>
      </c>
      <c r="G1018" s="165"/>
      <c r="H1018" s="51">
        <v>18258</v>
      </c>
      <c r="I1018" s="52">
        <f t="shared" si="377"/>
        <v>19517.802</v>
      </c>
      <c r="J1018" s="52">
        <f t="shared" si="378"/>
        <v>9758.9009999999998</v>
      </c>
      <c r="K1018" s="62"/>
      <c r="L1018" s="163">
        <v>0</v>
      </c>
      <c r="M1018" s="55">
        <f t="shared" si="379"/>
        <v>0</v>
      </c>
      <c r="N1018" s="55">
        <f t="shared" si="380"/>
        <v>0</v>
      </c>
      <c r="O1018" s="96"/>
      <c r="P1018" s="163">
        <v>0</v>
      </c>
      <c r="Q1018" s="55">
        <f t="shared" si="381"/>
        <v>0</v>
      </c>
      <c r="R1018" s="65">
        <f t="shared" si="382"/>
        <v>0</v>
      </c>
      <c r="S1018" s="119">
        <v>15</v>
      </c>
      <c r="T1018" s="122" t="s">
        <v>1047</v>
      </c>
      <c r="U1018" s="73">
        <f>SUMIF('Avoided Costs 2013-2021'!$A:$A,'2013 Actuals'!T1018&amp;'2013 Actuals'!S1018,'Avoided Costs 2013-2021'!$E:$E)*J1018</f>
        <v>20594.232514808904</v>
      </c>
      <c r="V1018" s="73">
        <f>SUMIF('Avoided Costs 2013-2021'!$A:$A,'2013 Actuals'!T1018&amp;'2013 Actuals'!S1018,'Avoided Costs 2013-2021'!$K:$K)*N1018</f>
        <v>0</v>
      </c>
      <c r="W1018" s="73">
        <f>SUMIF('Avoided Costs 2013-2021'!$A:$A,'2013 Actuals'!T1018&amp;'2013 Actuals'!S1018,'Avoided Costs 2013-2021'!$M:$M)*R1018</f>
        <v>0</v>
      </c>
      <c r="X1018" s="73">
        <f t="shared" si="383"/>
        <v>20594.232514808904</v>
      </c>
      <c r="Y1018" s="89">
        <v>4000</v>
      </c>
      <c r="Z1018" s="74">
        <f t="shared" si="384"/>
        <v>2000</v>
      </c>
      <c r="AA1018" s="75"/>
      <c r="AB1018" s="75"/>
      <c r="AC1018" s="75"/>
      <c r="AD1018" s="74">
        <f t="shared" si="389"/>
        <v>2000</v>
      </c>
      <c r="AE1018" s="74">
        <f t="shared" si="390"/>
        <v>18594.232514808904</v>
      </c>
      <c r="AF1018" s="52">
        <f t="shared" si="387"/>
        <v>146383.51499999998</v>
      </c>
      <c r="AG1018" s="52">
        <f t="shared" si="388"/>
        <v>292767.02999999997</v>
      </c>
    </row>
    <row r="1019" spans="1:33" s="21" customFormat="1" x14ac:dyDescent="0.2">
      <c r="A1019" s="115" t="s">
        <v>1164</v>
      </c>
      <c r="B1019" s="115"/>
      <c r="C1019" s="115"/>
      <c r="D1019" s="163">
        <v>1</v>
      </c>
      <c r="E1019" s="164"/>
      <c r="F1019" s="165">
        <v>0.5</v>
      </c>
      <c r="G1019" s="165"/>
      <c r="H1019" s="51">
        <v>13129</v>
      </c>
      <c r="I1019" s="52">
        <f t="shared" si="377"/>
        <v>14034.901</v>
      </c>
      <c r="J1019" s="52">
        <f t="shared" si="378"/>
        <v>7017.4504999999999</v>
      </c>
      <c r="K1019" s="62"/>
      <c r="L1019" s="163">
        <v>-11337</v>
      </c>
      <c r="M1019" s="55">
        <f t="shared" si="379"/>
        <v>-11337</v>
      </c>
      <c r="N1019" s="55">
        <f t="shared" si="380"/>
        <v>-5668.5</v>
      </c>
      <c r="O1019" s="96"/>
      <c r="P1019" s="163">
        <v>0</v>
      </c>
      <c r="Q1019" s="55">
        <f t="shared" si="381"/>
        <v>0</v>
      </c>
      <c r="R1019" s="65">
        <f t="shared" si="382"/>
        <v>0</v>
      </c>
      <c r="S1019" s="119">
        <v>15</v>
      </c>
      <c r="T1019" s="122" t="s">
        <v>1047</v>
      </c>
      <c r="U1019" s="73">
        <f>SUMIF('Avoided Costs 2013-2021'!$A:$A,'2013 Actuals'!T1019&amp;'2013 Actuals'!S1019,'Avoided Costs 2013-2021'!$E:$E)*J1019</f>
        <v>14808.942857209229</v>
      </c>
      <c r="V1019" s="73">
        <f>SUMIF('Avoided Costs 2013-2021'!$A:$A,'2013 Actuals'!T1019&amp;'2013 Actuals'!S1019,'Avoided Costs 2013-2021'!$K:$K)*N1019</f>
        <v>-5934.316762455368</v>
      </c>
      <c r="W1019" s="73">
        <f>SUMIF('Avoided Costs 2013-2021'!$A:$A,'2013 Actuals'!T1019&amp;'2013 Actuals'!S1019,'Avoided Costs 2013-2021'!$M:$M)*R1019</f>
        <v>0</v>
      </c>
      <c r="X1019" s="73">
        <f t="shared" si="383"/>
        <v>8874.6260947538613</v>
      </c>
      <c r="Y1019" s="89">
        <v>10687.22</v>
      </c>
      <c r="Z1019" s="74">
        <f t="shared" si="384"/>
        <v>5343.61</v>
      </c>
      <c r="AA1019" s="75"/>
      <c r="AB1019" s="75"/>
      <c r="AC1019" s="75"/>
      <c r="AD1019" s="74">
        <f t="shared" si="389"/>
        <v>5343.61</v>
      </c>
      <c r="AE1019" s="74">
        <f t="shared" si="390"/>
        <v>3531.0160947538616</v>
      </c>
      <c r="AF1019" s="52">
        <f t="shared" si="387"/>
        <v>105261.75749999999</v>
      </c>
      <c r="AG1019" s="52">
        <f t="shared" si="388"/>
        <v>210523.51499999998</v>
      </c>
    </row>
    <row r="1020" spans="1:33" s="21" customFormat="1" x14ac:dyDescent="0.2">
      <c r="A1020" s="115" t="s">
        <v>1165</v>
      </c>
      <c r="B1020" s="115"/>
      <c r="C1020" s="115"/>
      <c r="D1020" s="163">
        <v>1</v>
      </c>
      <c r="E1020" s="164"/>
      <c r="F1020" s="165">
        <v>0.5</v>
      </c>
      <c r="G1020" s="165"/>
      <c r="H1020" s="51">
        <v>110133</v>
      </c>
      <c r="I1020" s="52">
        <f t="shared" si="377"/>
        <v>117732.177</v>
      </c>
      <c r="J1020" s="52">
        <f t="shared" si="378"/>
        <v>58866.088499999998</v>
      </c>
      <c r="K1020" s="62"/>
      <c r="L1020" s="163">
        <v>0</v>
      </c>
      <c r="M1020" s="55">
        <f t="shared" si="379"/>
        <v>0</v>
      </c>
      <c r="N1020" s="55">
        <f t="shared" si="380"/>
        <v>0</v>
      </c>
      <c r="O1020" s="96"/>
      <c r="P1020" s="163">
        <v>0</v>
      </c>
      <c r="Q1020" s="55">
        <f t="shared" si="381"/>
        <v>0</v>
      </c>
      <c r="R1020" s="65">
        <f t="shared" si="382"/>
        <v>0</v>
      </c>
      <c r="S1020" s="119">
        <v>5</v>
      </c>
      <c r="T1020" s="122" t="s">
        <v>1047</v>
      </c>
      <c r="U1020" s="73">
        <f>SUMIF('Avoided Costs 2013-2021'!$A:$A,'2013 Actuals'!T1020&amp;'2013 Actuals'!S1020,'Avoided Costs 2013-2021'!$E:$E)*J1020</f>
        <v>43858.882816144214</v>
      </c>
      <c r="V1020" s="73">
        <f>SUMIF('Avoided Costs 2013-2021'!$A:$A,'2013 Actuals'!T1020&amp;'2013 Actuals'!S1020,'Avoided Costs 2013-2021'!$K:$K)*N1020</f>
        <v>0</v>
      </c>
      <c r="W1020" s="73">
        <f>SUMIF('Avoided Costs 2013-2021'!$A:$A,'2013 Actuals'!T1020&amp;'2013 Actuals'!S1020,'Avoided Costs 2013-2021'!$M:$M)*R1020</f>
        <v>0</v>
      </c>
      <c r="X1020" s="73">
        <f t="shared" si="383"/>
        <v>43858.882816144214</v>
      </c>
      <c r="Y1020" s="89">
        <v>4000</v>
      </c>
      <c r="Z1020" s="74">
        <f t="shared" si="384"/>
        <v>2000</v>
      </c>
      <c r="AA1020" s="75"/>
      <c r="AB1020" s="75"/>
      <c r="AC1020" s="75"/>
      <c r="AD1020" s="74">
        <f t="shared" si="389"/>
        <v>2000</v>
      </c>
      <c r="AE1020" s="74">
        <f t="shared" si="390"/>
        <v>41858.882816144214</v>
      </c>
      <c r="AF1020" s="52">
        <f t="shared" si="387"/>
        <v>294330.4425</v>
      </c>
      <c r="AG1020" s="52">
        <f t="shared" si="388"/>
        <v>588660.88500000001</v>
      </c>
    </row>
    <row r="1021" spans="1:33" s="21" customFormat="1" x14ac:dyDescent="0.2">
      <c r="A1021" s="115" t="s">
        <v>1166</v>
      </c>
      <c r="B1021" s="115"/>
      <c r="C1021" s="115"/>
      <c r="D1021" s="163">
        <v>1</v>
      </c>
      <c r="E1021" s="164"/>
      <c r="F1021" s="165">
        <v>0.5</v>
      </c>
      <c r="G1021" s="165"/>
      <c r="H1021" s="51">
        <v>21074</v>
      </c>
      <c r="I1021" s="52">
        <f t="shared" si="377"/>
        <v>22528.106</v>
      </c>
      <c r="J1021" s="52">
        <f t="shared" si="378"/>
        <v>11264.053</v>
      </c>
      <c r="K1021" s="62"/>
      <c r="L1021" s="163">
        <v>0</v>
      </c>
      <c r="M1021" s="55">
        <f t="shared" si="379"/>
        <v>0</v>
      </c>
      <c r="N1021" s="55">
        <f t="shared" si="380"/>
        <v>0</v>
      </c>
      <c r="O1021" s="96"/>
      <c r="P1021" s="163">
        <v>0</v>
      </c>
      <c r="Q1021" s="55">
        <f t="shared" si="381"/>
        <v>0</v>
      </c>
      <c r="R1021" s="65">
        <f t="shared" si="382"/>
        <v>0</v>
      </c>
      <c r="S1021" s="119">
        <v>5</v>
      </c>
      <c r="T1021" s="122" t="s">
        <v>1047</v>
      </c>
      <c r="U1021" s="73">
        <f>SUMIF('Avoided Costs 2013-2021'!$A:$A,'2013 Actuals'!T1021&amp;'2013 Actuals'!S1021,'Avoided Costs 2013-2021'!$E:$E)*J1021</f>
        <v>8392.417317855894</v>
      </c>
      <c r="V1021" s="73">
        <f>SUMIF('Avoided Costs 2013-2021'!$A:$A,'2013 Actuals'!T1021&amp;'2013 Actuals'!S1021,'Avoided Costs 2013-2021'!$K:$K)*N1021</f>
        <v>0</v>
      </c>
      <c r="W1021" s="73">
        <f>SUMIF('Avoided Costs 2013-2021'!$A:$A,'2013 Actuals'!T1021&amp;'2013 Actuals'!S1021,'Avoided Costs 2013-2021'!$M:$M)*R1021</f>
        <v>0</v>
      </c>
      <c r="X1021" s="73">
        <f t="shared" si="383"/>
        <v>8392.417317855894</v>
      </c>
      <c r="Y1021" s="89">
        <v>2359.1999999999998</v>
      </c>
      <c r="Z1021" s="74">
        <f t="shared" si="384"/>
        <v>1179.5999999999999</v>
      </c>
      <c r="AA1021" s="75"/>
      <c r="AB1021" s="75"/>
      <c r="AC1021" s="75"/>
      <c r="AD1021" s="74">
        <f t="shared" si="389"/>
        <v>1179.5999999999999</v>
      </c>
      <c r="AE1021" s="74">
        <f t="shared" si="390"/>
        <v>7212.8173178558936</v>
      </c>
      <c r="AF1021" s="52">
        <f t="shared" si="387"/>
        <v>56320.264999999999</v>
      </c>
      <c r="AG1021" s="52">
        <f t="shared" si="388"/>
        <v>112640.53</v>
      </c>
    </row>
    <row r="1022" spans="1:33" s="21" customFormat="1" x14ac:dyDescent="0.2">
      <c r="A1022" s="115" t="s">
        <v>1167</v>
      </c>
      <c r="B1022" s="115"/>
      <c r="C1022" s="115"/>
      <c r="D1022" s="163">
        <v>1</v>
      </c>
      <c r="E1022" s="164"/>
      <c r="F1022" s="165">
        <v>0.5</v>
      </c>
      <c r="G1022" s="165"/>
      <c r="H1022" s="51">
        <v>44437</v>
      </c>
      <c r="I1022" s="52">
        <f t="shared" si="377"/>
        <v>47503.152999999998</v>
      </c>
      <c r="J1022" s="52">
        <f t="shared" si="378"/>
        <v>23751.576499999999</v>
      </c>
      <c r="K1022" s="62"/>
      <c r="L1022" s="163">
        <v>0</v>
      </c>
      <c r="M1022" s="55">
        <f t="shared" si="379"/>
        <v>0</v>
      </c>
      <c r="N1022" s="55">
        <f t="shared" si="380"/>
        <v>0</v>
      </c>
      <c r="O1022" s="96"/>
      <c r="P1022" s="163">
        <v>0</v>
      </c>
      <c r="Q1022" s="55">
        <f t="shared" si="381"/>
        <v>0</v>
      </c>
      <c r="R1022" s="65">
        <f t="shared" si="382"/>
        <v>0</v>
      </c>
      <c r="S1022" s="119">
        <v>5</v>
      </c>
      <c r="T1022" s="122" t="s">
        <v>1047</v>
      </c>
      <c r="U1022" s="73">
        <f>SUMIF('Avoided Costs 2013-2021'!$A:$A,'2013 Actuals'!T1022&amp;'2013 Actuals'!S1022,'Avoided Costs 2013-2021'!$E:$E)*J1022</f>
        <v>17696.395954899988</v>
      </c>
      <c r="V1022" s="73">
        <f>SUMIF('Avoided Costs 2013-2021'!$A:$A,'2013 Actuals'!T1022&amp;'2013 Actuals'!S1022,'Avoided Costs 2013-2021'!$K:$K)*N1022</f>
        <v>0</v>
      </c>
      <c r="W1022" s="73">
        <f>SUMIF('Avoided Costs 2013-2021'!$A:$A,'2013 Actuals'!T1022&amp;'2013 Actuals'!S1022,'Avoided Costs 2013-2021'!$M:$M)*R1022</f>
        <v>0</v>
      </c>
      <c r="X1022" s="73">
        <f t="shared" si="383"/>
        <v>17696.395954899988</v>
      </c>
      <c r="Y1022" s="89">
        <v>3316.18</v>
      </c>
      <c r="Z1022" s="74">
        <f t="shared" si="384"/>
        <v>1658.09</v>
      </c>
      <c r="AA1022" s="75"/>
      <c r="AB1022" s="75"/>
      <c r="AC1022" s="75"/>
      <c r="AD1022" s="74">
        <f t="shared" si="389"/>
        <v>1658.09</v>
      </c>
      <c r="AE1022" s="74">
        <f t="shared" si="390"/>
        <v>16038.305954899988</v>
      </c>
      <c r="AF1022" s="52">
        <f t="shared" si="387"/>
        <v>118757.88249999999</v>
      </c>
      <c r="AG1022" s="52">
        <f t="shared" si="388"/>
        <v>237515.76499999998</v>
      </c>
    </row>
    <row r="1023" spans="1:33" s="21" customFormat="1" x14ac:dyDescent="0.2">
      <c r="A1023" s="114" t="s">
        <v>1168</v>
      </c>
      <c r="B1023" s="114"/>
      <c r="C1023" s="114"/>
      <c r="D1023" s="160">
        <v>1</v>
      </c>
      <c r="E1023" s="161"/>
      <c r="F1023" s="162">
        <v>0.5</v>
      </c>
      <c r="G1023" s="162"/>
      <c r="H1023" s="52">
        <v>12642</v>
      </c>
      <c r="I1023" s="52">
        <f t="shared" si="377"/>
        <v>13514.297999999999</v>
      </c>
      <c r="J1023" s="52">
        <f t="shared" si="378"/>
        <v>6757.1489999999994</v>
      </c>
      <c r="K1023" s="61"/>
      <c r="L1023" s="160">
        <v>0</v>
      </c>
      <c r="M1023" s="55">
        <f t="shared" si="379"/>
        <v>0</v>
      </c>
      <c r="N1023" s="55">
        <f t="shared" si="380"/>
        <v>0</v>
      </c>
      <c r="O1023" s="95"/>
      <c r="P1023" s="160">
        <v>0</v>
      </c>
      <c r="Q1023" s="55">
        <f t="shared" si="381"/>
        <v>0</v>
      </c>
      <c r="R1023" s="65">
        <f t="shared" si="382"/>
        <v>0</v>
      </c>
      <c r="S1023" s="118">
        <v>15</v>
      </c>
      <c r="T1023" s="121" t="s">
        <v>1047</v>
      </c>
      <c r="U1023" s="73">
        <f>SUMIF('Avoided Costs 2013-2021'!$A:$A,'2013 Actuals'!T1023&amp;'2013 Actuals'!S1023,'Avoided Costs 2013-2021'!$E:$E)*J1023</f>
        <v>14259.627968682997</v>
      </c>
      <c r="V1023" s="73">
        <f>SUMIF('Avoided Costs 2013-2021'!$A:$A,'2013 Actuals'!T1023&amp;'2013 Actuals'!S1023,'Avoided Costs 2013-2021'!$K:$K)*N1023</f>
        <v>0</v>
      </c>
      <c r="W1023" s="73">
        <f>SUMIF('Avoided Costs 2013-2021'!$A:$A,'2013 Actuals'!T1023&amp;'2013 Actuals'!S1023,'Avoided Costs 2013-2021'!$M:$M)*R1023</f>
        <v>0</v>
      </c>
      <c r="X1023" s="73">
        <f t="shared" si="383"/>
        <v>14259.627968682997</v>
      </c>
      <c r="Y1023" s="83">
        <v>9431</v>
      </c>
      <c r="Z1023" s="74">
        <f t="shared" si="384"/>
        <v>4715.5</v>
      </c>
      <c r="AA1023" s="74"/>
      <c r="AB1023" s="74"/>
      <c r="AC1023" s="74"/>
      <c r="AD1023" s="74">
        <f t="shared" si="389"/>
        <v>4715.5</v>
      </c>
      <c r="AE1023" s="74">
        <f t="shared" si="390"/>
        <v>9544.1279686829967</v>
      </c>
      <c r="AF1023" s="52">
        <f t="shared" si="387"/>
        <v>101357.23499999999</v>
      </c>
      <c r="AG1023" s="52">
        <f t="shared" si="388"/>
        <v>202714.46999999997</v>
      </c>
    </row>
    <row r="1024" spans="1:33" s="21" customFormat="1" x14ac:dyDescent="0.2">
      <c r="A1024" s="114" t="s">
        <v>1169</v>
      </c>
      <c r="B1024" s="114"/>
      <c r="C1024" s="114"/>
      <c r="D1024" s="160">
        <v>0</v>
      </c>
      <c r="E1024" s="161"/>
      <c r="F1024" s="162">
        <v>0.5</v>
      </c>
      <c r="G1024" s="162"/>
      <c r="H1024" s="52">
        <v>12776</v>
      </c>
      <c r="I1024" s="52">
        <f t="shared" si="377"/>
        <v>13657.544</v>
      </c>
      <c r="J1024" s="52">
        <f t="shared" si="378"/>
        <v>6828.7719999999999</v>
      </c>
      <c r="K1024" s="61"/>
      <c r="L1024" s="160">
        <v>0</v>
      </c>
      <c r="M1024" s="55">
        <f t="shared" si="379"/>
        <v>0</v>
      </c>
      <c r="N1024" s="55">
        <f t="shared" si="380"/>
        <v>0</v>
      </c>
      <c r="O1024" s="95"/>
      <c r="P1024" s="160">
        <v>0</v>
      </c>
      <c r="Q1024" s="55">
        <f t="shared" si="381"/>
        <v>0</v>
      </c>
      <c r="R1024" s="65">
        <f t="shared" si="382"/>
        <v>0</v>
      </c>
      <c r="S1024" s="118">
        <v>15</v>
      </c>
      <c r="T1024" s="121" t="s">
        <v>1047</v>
      </c>
      <c r="U1024" s="73">
        <f>SUMIF('Avoided Costs 2013-2021'!$A:$A,'2013 Actuals'!T1024&amp;'2013 Actuals'!S1024,'Avoided Costs 2013-2021'!$E:$E)*J1024</f>
        <v>14410.774159776458</v>
      </c>
      <c r="V1024" s="73">
        <f>SUMIF('Avoided Costs 2013-2021'!$A:$A,'2013 Actuals'!T1024&amp;'2013 Actuals'!S1024,'Avoided Costs 2013-2021'!$K:$K)*N1024</f>
        <v>0</v>
      </c>
      <c r="W1024" s="73">
        <f>SUMIF('Avoided Costs 2013-2021'!$A:$A,'2013 Actuals'!T1024&amp;'2013 Actuals'!S1024,'Avoided Costs 2013-2021'!$M:$M)*R1024</f>
        <v>0</v>
      </c>
      <c r="X1024" s="73">
        <f t="shared" si="383"/>
        <v>14410.774159776458</v>
      </c>
      <c r="Y1024" s="83">
        <v>16684</v>
      </c>
      <c r="Z1024" s="74">
        <f t="shared" si="384"/>
        <v>8342</v>
      </c>
      <c r="AA1024" s="74"/>
      <c r="AB1024" s="74"/>
      <c r="AC1024" s="74"/>
      <c r="AD1024" s="74">
        <f t="shared" si="389"/>
        <v>8342</v>
      </c>
      <c r="AE1024" s="74">
        <f t="shared" si="390"/>
        <v>6068.774159776458</v>
      </c>
      <c r="AF1024" s="52">
        <f t="shared" si="387"/>
        <v>102431.58</v>
      </c>
      <c r="AG1024" s="52">
        <f t="shared" si="388"/>
        <v>204863.16</v>
      </c>
    </row>
    <row r="1025" spans="1:33" s="21" customFormat="1" x14ac:dyDescent="0.2">
      <c r="A1025" s="114" t="s">
        <v>1170</v>
      </c>
      <c r="B1025" s="114"/>
      <c r="C1025" s="114"/>
      <c r="D1025" s="160">
        <v>1</v>
      </c>
      <c r="E1025" s="161"/>
      <c r="F1025" s="162">
        <v>0.5</v>
      </c>
      <c r="G1025" s="162"/>
      <c r="H1025" s="52">
        <v>48384</v>
      </c>
      <c r="I1025" s="52">
        <f t="shared" si="377"/>
        <v>51722.495999999999</v>
      </c>
      <c r="J1025" s="52">
        <f t="shared" si="378"/>
        <v>25861.248</v>
      </c>
      <c r="K1025" s="61"/>
      <c r="L1025" s="160">
        <v>0</v>
      </c>
      <c r="M1025" s="55">
        <f t="shared" si="379"/>
        <v>0</v>
      </c>
      <c r="N1025" s="55">
        <f t="shared" si="380"/>
        <v>0</v>
      </c>
      <c r="O1025" s="95"/>
      <c r="P1025" s="160">
        <v>0</v>
      </c>
      <c r="Q1025" s="55">
        <f t="shared" si="381"/>
        <v>0</v>
      </c>
      <c r="R1025" s="65">
        <f t="shared" si="382"/>
        <v>0</v>
      </c>
      <c r="S1025" s="118">
        <v>15</v>
      </c>
      <c r="T1025" s="121" t="s">
        <v>1047</v>
      </c>
      <c r="U1025" s="73">
        <f>SUMIF('Avoided Costs 2013-2021'!$A:$A,'2013 Actuals'!T1025&amp;'2013 Actuals'!S1025,'Avoided Costs 2013-2021'!$E:$E)*J1025</f>
        <v>54575.054551238587</v>
      </c>
      <c r="V1025" s="73">
        <f>SUMIF('Avoided Costs 2013-2021'!$A:$A,'2013 Actuals'!T1025&amp;'2013 Actuals'!S1025,'Avoided Costs 2013-2021'!$K:$K)*N1025</f>
        <v>0</v>
      </c>
      <c r="W1025" s="73">
        <f>SUMIF('Avoided Costs 2013-2021'!$A:$A,'2013 Actuals'!T1025&amp;'2013 Actuals'!S1025,'Avoided Costs 2013-2021'!$M:$M)*R1025</f>
        <v>0</v>
      </c>
      <c r="X1025" s="73">
        <f t="shared" si="383"/>
        <v>54575.054551238587</v>
      </c>
      <c r="Y1025" s="83">
        <v>35145</v>
      </c>
      <c r="Z1025" s="74">
        <f t="shared" si="384"/>
        <v>17572.5</v>
      </c>
      <c r="AA1025" s="74"/>
      <c r="AB1025" s="74"/>
      <c r="AC1025" s="74"/>
      <c r="AD1025" s="74">
        <f t="shared" si="389"/>
        <v>17572.5</v>
      </c>
      <c r="AE1025" s="74">
        <f t="shared" si="390"/>
        <v>37002.554551238587</v>
      </c>
      <c r="AF1025" s="52">
        <f t="shared" si="387"/>
        <v>387918.72</v>
      </c>
      <c r="AG1025" s="52">
        <f t="shared" si="388"/>
        <v>775837.44</v>
      </c>
    </row>
    <row r="1026" spans="1:33" s="21" customFormat="1" x14ac:dyDescent="0.2">
      <c r="A1026" s="114" t="s">
        <v>1171</v>
      </c>
      <c r="B1026" s="114"/>
      <c r="C1026" s="114"/>
      <c r="D1026" s="160">
        <v>1</v>
      </c>
      <c r="E1026" s="161"/>
      <c r="F1026" s="162">
        <v>0.5</v>
      </c>
      <c r="G1026" s="162"/>
      <c r="H1026" s="52">
        <v>54897</v>
      </c>
      <c r="I1026" s="52">
        <f t="shared" si="377"/>
        <v>58684.892999999996</v>
      </c>
      <c r="J1026" s="52">
        <f t="shared" si="378"/>
        <v>29342.446499999998</v>
      </c>
      <c r="K1026" s="61"/>
      <c r="L1026" s="160">
        <v>0</v>
      </c>
      <c r="M1026" s="55">
        <f t="shared" si="379"/>
        <v>0</v>
      </c>
      <c r="N1026" s="55">
        <f t="shared" si="380"/>
        <v>0</v>
      </c>
      <c r="O1026" s="95"/>
      <c r="P1026" s="160">
        <v>827</v>
      </c>
      <c r="Q1026" s="55">
        <f t="shared" si="381"/>
        <v>827</v>
      </c>
      <c r="R1026" s="65">
        <f t="shared" si="382"/>
        <v>413.5</v>
      </c>
      <c r="S1026" s="118">
        <v>5</v>
      </c>
      <c r="T1026" s="121" t="s">
        <v>1047</v>
      </c>
      <c r="U1026" s="73">
        <f>SUMIF('Avoided Costs 2013-2021'!$A:$A,'2013 Actuals'!T1026&amp;'2013 Actuals'!S1026,'Avoided Costs 2013-2021'!$E:$E)*J1026</f>
        <v>21861.940471592246</v>
      </c>
      <c r="V1026" s="73">
        <f>SUMIF('Avoided Costs 2013-2021'!$A:$A,'2013 Actuals'!T1026&amp;'2013 Actuals'!S1026,'Avoided Costs 2013-2021'!$K:$K)*N1026</f>
        <v>0</v>
      </c>
      <c r="W1026" s="73">
        <f>SUMIF('Avoided Costs 2013-2021'!$A:$A,'2013 Actuals'!T1026&amp;'2013 Actuals'!S1026,'Avoided Costs 2013-2021'!$M:$M)*R1026</f>
        <v>4587.9906704875793</v>
      </c>
      <c r="X1026" s="73">
        <f t="shared" si="383"/>
        <v>26449.931142079826</v>
      </c>
      <c r="Y1026" s="83">
        <v>8888</v>
      </c>
      <c r="Z1026" s="74">
        <f t="shared" si="384"/>
        <v>4444</v>
      </c>
      <c r="AA1026" s="74"/>
      <c r="AB1026" s="74"/>
      <c r="AC1026" s="74"/>
      <c r="AD1026" s="74">
        <f t="shared" si="389"/>
        <v>4444</v>
      </c>
      <c r="AE1026" s="74">
        <f t="shared" si="390"/>
        <v>22005.931142079826</v>
      </c>
      <c r="AF1026" s="52">
        <f t="shared" si="387"/>
        <v>146712.23249999998</v>
      </c>
      <c r="AG1026" s="52">
        <f t="shared" si="388"/>
        <v>293424.46499999997</v>
      </c>
    </row>
    <row r="1027" spans="1:33" s="17" customFormat="1" collapsed="1" x14ac:dyDescent="0.2">
      <c r="A1027" s="166" t="s">
        <v>4</v>
      </c>
      <c r="B1027" s="166" t="s">
        <v>1190</v>
      </c>
      <c r="C1027" s="125"/>
      <c r="D1027" s="65">
        <f>SUM(D979:D1026)</f>
        <v>44</v>
      </c>
      <c r="E1027" s="291"/>
      <c r="F1027" s="168"/>
      <c r="G1027" s="292"/>
      <c r="H1027" s="52">
        <v>15581750</v>
      </c>
      <c r="I1027" s="52">
        <f>SUM(I979:I1026)</f>
        <v>16656890.749999996</v>
      </c>
      <c r="J1027" s="52">
        <f>SUM(J979:J1026)</f>
        <v>8328445.3749999981</v>
      </c>
      <c r="K1027" s="167"/>
      <c r="L1027" s="52">
        <v>1318420</v>
      </c>
      <c r="M1027" s="52">
        <f>SUM(M979:M1026)</f>
        <v>1318420</v>
      </c>
      <c r="N1027" s="52">
        <f>SUM(N979:N1026)</f>
        <v>659210</v>
      </c>
      <c r="O1027" s="169"/>
      <c r="P1027" s="52">
        <v>16132</v>
      </c>
      <c r="Q1027" s="52">
        <f>SUM(Q979:Q1026)</f>
        <v>16132</v>
      </c>
      <c r="R1027" s="52">
        <f>SUM(R979:R1026)</f>
        <v>8066</v>
      </c>
      <c r="S1027" s="133"/>
      <c r="T1027" s="125" t="s">
        <v>1047</v>
      </c>
      <c r="U1027" s="74">
        <f>SUM(U979:U1026)</f>
        <v>19098541.002675559</v>
      </c>
      <c r="V1027" s="74">
        <f>SUM(V979:V1026)</f>
        <v>690122.77550995897</v>
      </c>
      <c r="W1027" s="74">
        <f>SUM(W979:W1026)</f>
        <v>233033.58063202753</v>
      </c>
      <c r="X1027" s="74">
        <f>SUM(X979:X1026)</f>
        <v>20021697.358817544</v>
      </c>
      <c r="Y1027" s="74">
        <v>10131523.129999999</v>
      </c>
      <c r="Z1027" s="74">
        <f t="shared" ref="Z1027" si="391">SUM(Z979:Z1026)</f>
        <v>5065761.5649999995</v>
      </c>
      <c r="AA1027" s="74">
        <v>1011104.2899999999</v>
      </c>
      <c r="AB1027" s="74">
        <v>169629.28</v>
      </c>
      <c r="AC1027" s="74">
        <f>AA1027+AB1027</f>
        <v>1180733.5699999998</v>
      </c>
      <c r="AD1027" s="74">
        <f t="shared" si="389"/>
        <v>5235390.8449999997</v>
      </c>
      <c r="AE1027" s="74">
        <f t="shared" si="390"/>
        <v>14786306.513817545</v>
      </c>
      <c r="AF1027" s="52">
        <f>SUM(AF979:AF1026)</f>
        <v>144575217.04899991</v>
      </c>
      <c r="AG1027" s="52">
        <f>SUM(AG979:AG1026)</f>
        <v>289150434.09799981</v>
      </c>
    </row>
    <row r="1028" spans="1:33" s="17" customFormat="1" x14ac:dyDescent="0.2">
      <c r="A1028" s="18"/>
      <c r="B1028" s="18"/>
      <c r="C1028" s="16"/>
      <c r="D1028" s="67"/>
      <c r="E1028" s="105"/>
      <c r="F1028" s="190"/>
      <c r="G1028" s="301"/>
      <c r="H1028" s="49"/>
      <c r="I1028" s="49"/>
      <c r="J1028" s="49"/>
      <c r="K1028" s="189"/>
      <c r="L1028" s="49"/>
      <c r="M1028" s="49"/>
      <c r="N1028" s="49"/>
      <c r="O1028" s="191"/>
      <c r="P1028" s="49"/>
      <c r="Q1028" s="49"/>
      <c r="R1028" s="49"/>
      <c r="S1028" s="40"/>
      <c r="T1028" s="16"/>
      <c r="U1028" s="76"/>
      <c r="V1028" s="76"/>
      <c r="W1028" s="76"/>
      <c r="X1028" s="76"/>
      <c r="Y1028" s="87"/>
      <c r="Z1028" s="76"/>
      <c r="AA1028" s="76"/>
      <c r="AB1028" s="76"/>
      <c r="AC1028" s="76"/>
      <c r="AD1028" s="76"/>
      <c r="AE1028" s="76"/>
      <c r="AF1028" s="81"/>
      <c r="AG1028" s="81"/>
    </row>
    <row r="1029" spans="1:33" s="17" customFormat="1" x14ac:dyDescent="0.2">
      <c r="A1029" s="326"/>
      <c r="B1029" s="2" t="s">
        <v>1192</v>
      </c>
      <c r="C1029" s="22"/>
      <c r="D1029" s="50"/>
      <c r="E1029" s="100"/>
      <c r="F1029" s="24"/>
      <c r="G1029" s="25"/>
      <c r="H1029" s="48"/>
      <c r="I1029" s="48"/>
      <c r="J1029" s="48"/>
      <c r="K1029" s="57"/>
      <c r="L1029" s="48"/>
      <c r="M1029" s="48"/>
      <c r="N1029" s="48"/>
      <c r="O1029" s="92"/>
      <c r="P1029" s="48"/>
      <c r="Q1029" s="48"/>
      <c r="R1029" s="50"/>
      <c r="S1029" s="23"/>
      <c r="T1029" s="22"/>
      <c r="U1029" s="77"/>
      <c r="V1029" s="77"/>
      <c r="W1029" s="77"/>
      <c r="X1029" s="77"/>
      <c r="Y1029" s="86"/>
      <c r="Z1029" s="77"/>
      <c r="AA1029" s="77"/>
      <c r="AB1029" s="77"/>
      <c r="AC1029" s="77"/>
      <c r="AD1029" s="77"/>
      <c r="AE1029" s="77"/>
      <c r="AF1029" s="80"/>
      <c r="AG1029" s="80"/>
    </row>
    <row r="1030" spans="1:33" s="21" customFormat="1" x14ac:dyDescent="0.2">
      <c r="A1030" s="114" t="s">
        <v>1172</v>
      </c>
      <c r="B1030" s="114" t="s">
        <v>1218</v>
      </c>
      <c r="C1030" s="114"/>
      <c r="D1030" s="160">
        <v>13</v>
      </c>
      <c r="E1030" s="161"/>
      <c r="F1030" s="162">
        <v>0.33</v>
      </c>
      <c r="G1030" s="162"/>
      <c r="H1030" s="52">
        <v>30980</v>
      </c>
      <c r="I1030" s="52">
        <f>H1030</f>
        <v>30980</v>
      </c>
      <c r="J1030" s="52">
        <f t="shared" ref="J1030:J1031" si="392">I1030*(1-F1030)</f>
        <v>20756.599999999999</v>
      </c>
      <c r="K1030" s="61"/>
      <c r="L1030" s="160">
        <v>5946</v>
      </c>
      <c r="M1030" s="55">
        <f t="shared" ref="M1030:M1031" si="393">+$L$892*L1030</f>
        <v>5946</v>
      </c>
      <c r="N1030" s="55">
        <f t="shared" ref="N1030:N1031" si="394">M1030*(1-F1030)</f>
        <v>3983.8199999999997</v>
      </c>
      <c r="O1030" s="95"/>
      <c r="P1030" s="160">
        <v>0</v>
      </c>
      <c r="Q1030" s="55">
        <f t="shared" ref="Q1030:Q1031" si="395">+P1030*$P$892</f>
        <v>0</v>
      </c>
      <c r="R1030" s="65">
        <f t="shared" ref="R1030:R1031" si="396">Q1030*(1-F1030)</f>
        <v>0</v>
      </c>
      <c r="S1030" s="118">
        <v>20</v>
      </c>
      <c r="T1030" s="121" t="s">
        <v>1047</v>
      </c>
      <c r="U1030" s="73">
        <f>SUMIF('Avoided Costs 2013-2021'!$A:$A,'2013 Actuals'!T1030&amp;'2013 Actuals'!S1030,'Avoided Costs 2013-2021'!$E:$E)*J1030</f>
        <v>53701.839440075441</v>
      </c>
      <c r="V1030" s="73">
        <f>SUMIF('Avoided Costs 2013-2021'!$A:$A,'2013 Actuals'!T1030&amp;'2013 Actuals'!S1030,'Avoided Costs 2013-2021'!$K:$K)*N1030</f>
        <v>5016.0202230022833</v>
      </c>
      <c r="W1030" s="73">
        <f>SUMIF('Avoided Costs 2013-2021'!$A:$A,'2013 Actuals'!T1030&amp;'2013 Actuals'!S1030,'Avoided Costs 2013-2021'!$M:$M)*R1030</f>
        <v>0</v>
      </c>
      <c r="X1030" s="73">
        <f t="shared" ref="X1030:X1031" si="397">SUM(U1030:W1030)</f>
        <v>58717.859663077725</v>
      </c>
      <c r="Y1030" s="83">
        <v>20435</v>
      </c>
      <c r="Z1030" s="74">
        <f t="shared" ref="Z1030:Z1031" si="398">Y1030*(1-F1030)</f>
        <v>13691.449999999999</v>
      </c>
      <c r="AA1030" s="74">
        <v>3000</v>
      </c>
      <c r="AB1030" s="74"/>
      <c r="AC1030" s="74"/>
      <c r="AD1030" s="74">
        <f>Z1030+AB1030</f>
        <v>13691.449999999999</v>
      </c>
      <c r="AE1030" s="74">
        <f>X1030-AD1030</f>
        <v>45026.409663077728</v>
      </c>
      <c r="AF1030" s="52">
        <f>J1030*S1030</f>
        <v>415132</v>
      </c>
      <c r="AG1030" s="52">
        <f>(I1030*S1030)</f>
        <v>619600</v>
      </c>
    </row>
    <row r="1031" spans="1:33" s="21" customFormat="1" x14ac:dyDescent="0.2">
      <c r="A1031" s="115" t="s">
        <v>1173</v>
      </c>
      <c r="B1031" s="115" t="s">
        <v>1219</v>
      </c>
      <c r="C1031" s="115"/>
      <c r="D1031" s="163">
        <v>11</v>
      </c>
      <c r="E1031" s="164"/>
      <c r="F1031" s="165">
        <v>0.33</v>
      </c>
      <c r="G1031" s="165"/>
      <c r="H1031" s="51">
        <v>28080</v>
      </c>
      <c r="I1031" s="52">
        <f>H1031</f>
        <v>28080</v>
      </c>
      <c r="J1031" s="52">
        <f t="shared" si="392"/>
        <v>18813.599999999999</v>
      </c>
      <c r="K1031" s="62"/>
      <c r="L1031" s="163">
        <v>7283</v>
      </c>
      <c r="M1031" s="55">
        <f t="shared" si="393"/>
        <v>7283</v>
      </c>
      <c r="N1031" s="55">
        <f t="shared" si="394"/>
        <v>4879.6099999999997</v>
      </c>
      <c r="O1031" s="96"/>
      <c r="P1031" s="163">
        <v>0</v>
      </c>
      <c r="Q1031" s="55">
        <f t="shared" si="395"/>
        <v>0</v>
      </c>
      <c r="R1031" s="65">
        <f t="shared" si="396"/>
        <v>0</v>
      </c>
      <c r="S1031" s="119">
        <v>20</v>
      </c>
      <c r="T1031" s="122" t="s">
        <v>1047</v>
      </c>
      <c r="U1031" s="73">
        <f>SUMIF('Avoided Costs 2013-2021'!$A:$A,'2013 Actuals'!T1031&amp;'2013 Actuals'!S1031,'Avoided Costs 2013-2021'!$E:$E)*J1031</f>
        <v>48674.875773961212</v>
      </c>
      <c r="V1031" s="73">
        <f>SUMIF('Avoided Costs 2013-2021'!$A:$A,'2013 Actuals'!T1031&amp;'2013 Actuals'!S1031,'Avoided Costs 2013-2021'!$K:$K)*N1031</f>
        <v>6143.907716805521</v>
      </c>
      <c r="W1031" s="73">
        <f>SUMIF('Avoided Costs 2013-2021'!$A:$A,'2013 Actuals'!T1031&amp;'2013 Actuals'!S1031,'Avoided Costs 2013-2021'!$M:$M)*R1031</f>
        <v>0</v>
      </c>
      <c r="X1031" s="73">
        <f t="shared" si="397"/>
        <v>54818.783490766735</v>
      </c>
      <c r="Y1031" s="89">
        <v>23790</v>
      </c>
      <c r="Z1031" s="74">
        <f t="shared" si="398"/>
        <v>15939.299999999997</v>
      </c>
      <c r="AA1031" s="75">
        <v>600</v>
      </c>
      <c r="AB1031" s="75"/>
      <c r="AC1031" s="75"/>
      <c r="AD1031" s="74">
        <f>Z1031+AB1031</f>
        <v>15939.299999999997</v>
      </c>
      <c r="AE1031" s="74">
        <f>X1031-AD1031</f>
        <v>38879.483490766739</v>
      </c>
      <c r="AF1031" s="52">
        <f>J1031*S1031</f>
        <v>376272</v>
      </c>
      <c r="AG1031" s="52">
        <f>(I1031*S1031)</f>
        <v>561600</v>
      </c>
    </row>
    <row r="1032" spans="1:33" s="17" customFormat="1" collapsed="1" x14ac:dyDescent="0.2">
      <c r="A1032" s="166" t="s">
        <v>4</v>
      </c>
      <c r="B1032" s="166" t="s">
        <v>1193</v>
      </c>
      <c r="C1032" s="125"/>
      <c r="D1032" s="65">
        <f>SUM(D1030:D1031)</f>
        <v>24</v>
      </c>
      <c r="E1032" s="291"/>
      <c r="F1032" s="168"/>
      <c r="G1032" s="292"/>
      <c r="H1032" s="52">
        <v>53300</v>
      </c>
      <c r="I1032" s="52">
        <f>SUM(I1030:I1031)</f>
        <v>59060</v>
      </c>
      <c r="J1032" s="52">
        <f>SUM(J1030:J1031)</f>
        <v>39570.199999999997</v>
      </c>
      <c r="K1032" s="167"/>
      <c r="L1032" s="52">
        <v>11483</v>
      </c>
      <c r="M1032" s="52">
        <f>SUM(M1030:M1031)</f>
        <v>13229</v>
      </c>
      <c r="N1032" s="52">
        <f>SUM(N1030:N1031)</f>
        <v>8863.43</v>
      </c>
      <c r="O1032" s="169"/>
      <c r="P1032" s="52">
        <v>0</v>
      </c>
      <c r="Q1032" s="52">
        <f>SUM(Q1030:Q1031)</f>
        <v>0</v>
      </c>
      <c r="R1032" s="52">
        <f>SUM(R1030:R1031)</f>
        <v>0</v>
      </c>
      <c r="S1032" s="127"/>
      <c r="T1032" s="125" t="s">
        <v>1047</v>
      </c>
      <c r="U1032" s="74">
        <f>SUM(U1030:U1031)</f>
        <v>102376.71521403665</v>
      </c>
      <c r="V1032" s="74">
        <f>SUM(V1030:V1031)</f>
        <v>11159.927939807803</v>
      </c>
      <c r="W1032" s="74">
        <f>SUM(W1030:W1031)</f>
        <v>0</v>
      </c>
      <c r="X1032" s="74">
        <f>SUM(X1030:X1031)</f>
        <v>113536.64315384446</v>
      </c>
      <c r="Y1032" s="74">
        <v>39345</v>
      </c>
      <c r="Z1032" s="74">
        <f>SUM(Z1030:Z1031)</f>
        <v>29630.749999999996</v>
      </c>
      <c r="AA1032" s="74">
        <v>3600</v>
      </c>
      <c r="AB1032" s="74">
        <v>0</v>
      </c>
      <c r="AC1032" s="74">
        <f>AA1032+AB1032</f>
        <v>3600</v>
      </c>
      <c r="AD1032" s="74">
        <f>Z1032+AB1032</f>
        <v>29630.749999999996</v>
      </c>
      <c r="AE1032" s="293">
        <f>X1032-AD1032</f>
        <v>83905.893153844459</v>
      </c>
      <c r="AF1032" s="52">
        <f>SUM(AF1030:AF1031)</f>
        <v>791404</v>
      </c>
      <c r="AG1032" s="52">
        <f>SUM(AG1030:AG1031)</f>
        <v>1181200</v>
      </c>
    </row>
    <row r="1033" spans="1:33" s="17" customFormat="1" x14ac:dyDescent="0.2">
      <c r="A1033" s="18"/>
      <c r="B1033" s="18"/>
      <c r="C1033" s="16"/>
      <c r="D1033" s="67"/>
      <c r="E1033" s="105"/>
      <c r="F1033" s="190"/>
      <c r="G1033" s="301"/>
      <c r="H1033" s="49"/>
      <c r="I1033" s="49"/>
      <c r="J1033" s="49"/>
      <c r="K1033" s="189"/>
      <c r="L1033" s="49"/>
      <c r="M1033" s="49"/>
      <c r="N1033" s="49"/>
      <c r="O1033" s="191"/>
      <c r="P1033" s="49"/>
      <c r="Q1033" s="49"/>
      <c r="R1033" s="49"/>
      <c r="S1033" s="40"/>
      <c r="T1033" s="16"/>
      <c r="U1033" s="76"/>
      <c r="V1033" s="76"/>
      <c r="W1033" s="76"/>
      <c r="X1033" s="76"/>
      <c r="Y1033" s="87"/>
      <c r="Z1033" s="76"/>
      <c r="AA1033" s="76"/>
      <c r="AB1033" s="76"/>
      <c r="AC1033" s="76"/>
      <c r="AD1033" s="76"/>
      <c r="AE1033" s="76"/>
      <c r="AF1033" s="335"/>
      <c r="AG1033" s="81"/>
    </row>
    <row r="1034" spans="1:33" x14ac:dyDescent="0.2">
      <c r="A1034" s="308" t="s">
        <v>47</v>
      </c>
      <c r="B1034" s="283"/>
      <c r="C1034" s="147"/>
      <c r="D1034" s="284">
        <f>D1032+D1027+D976+D904+D898</f>
        <v>142</v>
      </c>
      <c r="E1034" s="142"/>
      <c r="F1034" s="143"/>
      <c r="G1034" s="144"/>
      <c r="H1034" s="284">
        <f>H1032+H1027+H976+H904+H898</f>
        <v>24372743</v>
      </c>
      <c r="I1034" s="284">
        <f>I1032+I1027+I976+I904+I898</f>
        <v>26056544.566999998</v>
      </c>
      <c r="J1034" s="284">
        <f>J1032+J1027+J976+J904+J898</f>
        <v>13110756.261700002</v>
      </c>
      <c r="K1034" s="142"/>
      <c r="L1034" s="284">
        <f>L1032+L1027+L976+L904+L898</f>
        <v>2678257</v>
      </c>
      <c r="M1034" s="284">
        <f>M1032+M1027+M976+M904+M898</f>
        <v>2680003</v>
      </c>
      <c r="N1034" s="284">
        <f>N1032+N1027+N976+N904+N898</f>
        <v>1342250.4300000002</v>
      </c>
      <c r="O1034" s="145"/>
      <c r="P1034" s="284">
        <f>P1032+P1027+P976+P904+P898</f>
        <v>16132</v>
      </c>
      <c r="Q1034" s="284">
        <f>Q1032+Q1027+Q976+Q904+Q898</f>
        <v>16132</v>
      </c>
      <c r="R1034" s="284">
        <f>R1032+R1027+R976+R904+R898</f>
        <v>8066</v>
      </c>
      <c r="S1034" s="146"/>
      <c r="T1034" s="325"/>
      <c r="U1034" s="285">
        <f>U1032+U1027+U976+U904+U898</f>
        <v>29663443.122400045</v>
      </c>
      <c r="V1034" s="285">
        <f>V1032+V1027+V976+V904+V898</f>
        <v>1599177.9519699602</v>
      </c>
      <c r="W1034" s="285">
        <f>W1032+W1027+W976+W904+W898</f>
        <v>233033.58063202753</v>
      </c>
      <c r="X1034" s="285">
        <f>X1032+X1027+X976+X904+X898</f>
        <v>31495654.655002031</v>
      </c>
      <c r="Y1034" s="148"/>
      <c r="Z1034" s="285">
        <f>Z1032+Z1027+Z976+Z904+Z898</f>
        <v>7555900.2299999995</v>
      </c>
      <c r="AA1034" s="286">
        <f t="shared" ref="AA1034:AG1034" si="399">AA1032+AA1027+AA976+AA904+AA898</f>
        <v>2083232.38</v>
      </c>
      <c r="AB1034" s="286">
        <f t="shared" si="399"/>
        <v>524411.97</v>
      </c>
      <c r="AC1034" s="286">
        <f t="shared" si="399"/>
        <v>2607644.35</v>
      </c>
      <c r="AD1034" s="286">
        <f t="shared" si="399"/>
        <v>8080312.1999999993</v>
      </c>
      <c r="AE1034" s="286">
        <f t="shared" si="399"/>
        <v>23415342.455002032</v>
      </c>
      <c r="AF1034" s="287">
        <f t="shared" si="399"/>
        <v>222575354.50399989</v>
      </c>
      <c r="AG1034" s="287">
        <f t="shared" si="399"/>
        <v>442298485.85499984</v>
      </c>
    </row>
    <row r="1035" spans="1:33" x14ac:dyDescent="0.2">
      <c r="A1035" s="18"/>
      <c r="T1035" s="336"/>
      <c r="AF1035" s="79"/>
      <c r="AG1035" s="79"/>
    </row>
    <row r="1036" spans="1:33" ht="13.5" thickBot="1" x14ac:dyDescent="0.25">
      <c r="A1036" s="327" t="s">
        <v>52</v>
      </c>
      <c r="B1036" s="26"/>
      <c r="C1036" s="27"/>
      <c r="D1036" s="328">
        <f>D1034+D890</f>
        <v>17938</v>
      </c>
      <c r="E1036" s="90"/>
      <c r="F1036" s="29"/>
      <c r="G1036" s="30"/>
      <c r="H1036" s="328">
        <f>H1034+H890</f>
        <v>62392986</v>
      </c>
      <c r="I1036" s="328">
        <f>I1034+I890</f>
        <v>60822375.251000002</v>
      </c>
      <c r="J1036" s="328">
        <f>J1034+J890</f>
        <v>42863903.596440002</v>
      </c>
      <c r="K1036" s="90"/>
      <c r="L1036" s="328">
        <f>L1034+L890</f>
        <v>25215792</v>
      </c>
      <c r="M1036" s="328">
        <f>M1034+M890</f>
        <v>25217538</v>
      </c>
      <c r="N1036" s="328">
        <f>N1034+N890</f>
        <v>19653738.120000001</v>
      </c>
      <c r="O1036" s="101"/>
      <c r="P1036" s="328">
        <f>P1034+P890</f>
        <v>351850</v>
      </c>
      <c r="Q1036" s="328">
        <f>Q1034+Q890</f>
        <v>351850</v>
      </c>
      <c r="R1036" s="328">
        <f>R1034+R890</f>
        <v>304282.673335</v>
      </c>
      <c r="S1036" s="28"/>
      <c r="T1036" s="27"/>
      <c r="U1036" s="329">
        <f>U1034+U890</f>
        <v>97819525.629500091</v>
      </c>
      <c r="V1036" s="329">
        <f>V1034+V890</f>
        <v>23627356.474228024</v>
      </c>
      <c r="W1036" s="329">
        <f>W1034+W890</f>
        <v>6917522.7278764602</v>
      </c>
      <c r="X1036" s="329">
        <f>X1034+X890</f>
        <v>128364404.83160457</v>
      </c>
      <c r="Y1036" s="85"/>
      <c r="Z1036" s="329">
        <f>Z1034+Z890</f>
        <v>43041677.144114003</v>
      </c>
      <c r="AA1036" s="330">
        <f t="shared" ref="AA1036:AG1036" si="400">AA1034+AA890</f>
        <v>7362055.1299999999</v>
      </c>
      <c r="AB1036" s="330">
        <f t="shared" si="400"/>
        <v>1699093.7</v>
      </c>
      <c r="AC1036" s="330">
        <f t="shared" si="400"/>
        <v>9061148.8300000001</v>
      </c>
      <c r="AD1036" s="330">
        <f t="shared" si="400"/>
        <v>44740770.844114006</v>
      </c>
      <c r="AE1036" s="330">
        <f t="shared" si="400"/>
        <v>83623633.987490579</v>
      </c>
      <c r="AF1036" s="337">
        <f t="shared" si="400"/>
        <v>727708945.5269537</v>
      </c>
      <c r="AG1036" s="337">
        <f t="shared" si="400"/>
        <v>1041798862.2970757</v>
      </c>
    </row>
    <row r="1037" spans="1:33" ht="14.25" thickTop="1" thickBot="1" x14ac:dyDescent="0.25">
      <c r="A1037" s="338"/>
      <c r="B1037" s="17"/>
      <c r="C1037" s="16"/>
      <c r="D1037" s="44"/>
      <c r="E1037" s="58"/>
      <c r="F1037" s="5"/>
      <c r="G1037" s="6"/>
      <c r="H1037" s="44"/>
      <c r="I1037" s="44"/>
      <c r="J1037" s="44"/>
      <c r="K1037" s="58"/>
      <c r="L1037" s="44"/>
      <c r="M1037" s="44"/>
      <c r="N1037" s="44"/>
      <c r="O1037" s="92"/>
      <c r="P1037" s="44"/>
      <c r="Q1037" s="44"/>
      <c r="R1037" s="44"/>
      <c r="S1037" s="4"/>
      <c r="T1037" s="16"/>
      <c r="U1037" s="72"/>
      <c r="V1037" s="72"/>
      <c r="W1037" s="72"/>
      <c r="X1037" s="72"/>
      <c r="Y1037" s="84"/>
      <c r="Z1037" s="72"/>
      <c r="AA1037" s="72"/>
      <c r="AB1037" s="72"/>
      <c r="AC1037" s="72"/>
      <c r="AD1037" s="72"/>
      <c r="AE1037" s="72"/>
      <c r="AF1037" s="79"/>
      <c r="AG1037" s="79"/>
    </row>
    <row r="1038" spans="1:33" ht="14.25" thickTop="1" thickBot="1" x14ac:dyDescent="0.25">
      <c r="A1038" s="283" t="s">
        <v>196</v>
      </c>
      <c r="B1038" s="283" t="s">
        <v>190</v>
      </c>
      <c r="C1038" s="147"/>
      <c r="D1038" s="284"/>
      <c r="E1038" s="142"/>
      <c r="F1038" s="143"/>
      <c r="G1038" s="144"/>
      <c r="H1038" s="284"/>
      <c r="I1038" s="284"/>
      <c r="J1038" s="284"/>
      <c r="K1038" s="142">
        <v>0</v>
      </c>
      <c r="L1038" s="284">
        <v>0</v>
      </c>
      <c r="M1038" s="284"/>
      <c r="N1038" s="284"/>
      <c r="O1038" s="145">
        <v>0</v>
      </c>
      <c r="P1038" s="284">
        <v>0</v>
      </c>
      <c r="Q1038" s="284"/>
      <c r="R1038" s="284"/>
      <c r="S1038" s="146">
        <v>0</v>
      </c>
      <c r="T1038" s="325" t="s">
        <v>215</v>
      </c>
      <c r="U1038" s="285"/>
      <c r="V1038" s="285"/>
      <c r="W1038" s="285"/>
      <c r="X1038" s="285"/>
      <c r="Y1038" s="148">
        <v>0</v>
      </c>
      <c r="Z1038" s="285"/>
      <c r="AA1038" s="286">
        <v>0</v>
      </c>
      <c r="AB1038" s="286">
        <v>5091220.3031946858</v>
      </c>
      <c r="AC1038" s="286">
        <f>AA1038+AB1038</f>
        <v>5091220.3031946858</v>
      </c>
      <c r="AD1038" s="286">
        <f>Z1038+AB1038</f>
        <v>5091220.3031946858</v>
      </c>
      <c r="AE1038" s="286">
        <f>X1038-AD1038</f>
        <v>-5091220.3031946858</v>
      </c>
      <c r="AF1038" s="287"/>
      <c r="AG1038" s="287"/>
    </row>
    <row r="1039" spans="1:33" ht="14.25" thickTop="1" thickBot="1" x14ac:dyDescent="0.25">
      <c r="A1039" s="339" t="s">
        <v>170</v>
      </c>
      <c r="B1039" s="175"/>
      <c r="C1039" s="128"/>
      <c r="D1039" s="340">
        <f>D1036+D8</f>
        <v>19587</v>
      </c>
      <c r="E1039" s="176"/>
      <c r="F1039" s="177"/>
      <c r="G1039" s="178"/>
      <c r="H1039" s="340">
        <f>H1036+H8</f>
        <v>64685957.815384611</v>
      </c>
      <c r="I1039" s="340">
        <f>I1036+I8</f>
        <v>63115347.066384614</v>
      </c>
      <c r="J1039" s="340">
        <f>J1036+J8</f>
        <v>44812929.63951692</v>
      </c>
      <c r="K1039" s="176"/>
      <c r="L1039" s="340">
        <f>L1036+L8</f>
        <v>25608498.099999998</v>
      </c>
      <c r="M1039" s="340">
        <f>M1036+M8</f>
        <v>25610244.099999998</v>
      </c>
      <c r="N1039" s="340">
        <f>N1036+N8</f>
        <v>19987538.305</v>
      </c>
      <c r="O1039" s="179"/>
      <c r="P1039" s="340">
        <f>P1036+P8</f>
        <v>351850</v>
      </c>
      <c r="Q1039" s="340">
        <f>Q1036+Q8</f>
        <v>351850</v>
      </c>
      <c r="R1039" s="340">
        <f>R1036+R8</f>
        <v>304282.673335</v>
      </c>
      <c r="S1039" s="135"/>
      <c r="T1039" s="128"/>
      <c r="U1039" s="341">
        <f>U1036+U8</f>
        <v>103159313.12991829</v>
      </c>
      <c r="V1039" s="341">
        <f>V1036+V8</f>
        <v>24047643.655476652</v>
      </c>
      <c r="W1039" s="341">
        <f>W1036+W8</f>
        <v>6917522.7278764602</v>
      </c>
      <c r="X1039" s="341">
        <f>X1036+X8</f>
        <v>134124479.51327139</v>
      </c>
      <c r="Y1039" s="180"/>
      <c r="Z1039" s="341">
        <f>Z1036+Z8</f>
        <v>47947452.144114003</v>
      </c>
      <c r="AA1039" s="342">
        <f>AA1036+AA8+AA1038</f>
        <v>9284374.75</v>
      </c>
      <c r="AB1039" s="342">
        <f>AB1036+AB8+AB1038</f>
        <v>7244891.4831946855</v>
      </c>
      <c r="AC1039" s="342">
        <f>AC1036+AC8+AC1038</f>
        <v>16529266.233194686</v>
      </c>
      <c r="AD1039" s="342">
        <f>AD1036+AD8+AD1038</f>
        <v>55192343.627308697</v>
      </c>
      <c r="AE1039" s="342">
        <f>AE1036+AE8+AE1038</f>
        <v>78932135.88596271</v>
      </c>
      <c r="AF1039" s="340">
        <f>AF1036+AF8</f>
        <v>766689466.38849211</v>
      </c>
      <c r="AG1039" s="340">
        <f>AG1036+AG8</f>
        <v>1087658298.604768</v>
      </c>
    </row>
    <row r="1040" spans="1:33" ht="13.5" thickTop="1" x14ac:dyDescent="0.2">
      <c r="A1040" s="150"/>
      <c r="AF1040" s="79"/>
      <c r="AG1040" s="79"/>
    </row>
    <row r="1041" spans="1:33" x14ac:dyDescent="0.2">
      <c r="A1041" s="150" t="s">
        <v>71</v>
      </c>
      <c r="AF1041" s="79"/>
      <c r="AG1041" s="79"/>
    </row>
    <row r="1042" spans="1:33" s="21" customFormat="1" x14ac:dyDescent="0.2">
      <c r="A1042" s="150" t="s">
        <v>1198</v>
      </c>
      <c r="B1042" s="2" t="s">
        <v>107</v>
      </c>
      <c r="C1042" s="3"/>
      <c r="D1042" s="48"/>
      <c r="E1042" s="57"/>
      <c r="F1042" s="12"/>
      <c r="G1042" s="13"/>
      <c r="H1042" s="48"/>
      <c r="I1042" s="49"/>
      <c r="J1042" s="49"/>
      <c r="K1042" s="58"/>
      <c r="L1042" s="181"/>
      <c r="M1042" s="66"/>
      <c r="N1042" s="66"/>
      <c r="O1042" s="102"/>
      <c r="P1042" s="181"/>
      <c r="Q1042" s="66"/>
      <c r="R1042" s="67"/>
      <c r="S1042" s="132"/>
      <c r="T1042" s="126"/>
      <c r="U1042" s="72"/>
      <c r="V1042" s="72"/>
      <c r="W1042" s="72"/>
      <c r="X1042" s="72"/>
      <c r="Y1042" s="87"/>
      <c r="Z1042" s="76"/>
      <c r="AA1042" s="76"/>
      <c r="AB1042" s="76"/>
      <c r="AC1042" s="76"/>
      <c r="AD1042" s="76"/>
      <c r="AE1042" s="76"/>
      <c r="AF1042" s="81"/>
      <c r="AG1042" s="81"/>
    </row>
    <row r="1043" spans="1:33" s="21" customFormat="1" x14ac:dyDescent="0.2">
      <c r="A1043" s="166" t="s">
        <v>1198</v>
      </c>
      <c r="B1043" s="166" t="s">
        <v>108</v>
      </c>
      <c r="C1043" s="166" t="s">
        <v>85</v>
      </c>
      <c r="D1043" s="65">
        <v>1839</v>
      </c>
      <c r="E1043" s="167">
        <f>H1043/D1043</f>
        <v>694.06144643828168</v>
      </c>
      <c r="F1043" s="168">
        <v>0</v>
      </c>
      <c r="G1043" s="168">
        <v>0</v>
      </c>
      <c r="H1043" s="52">
        <v>1276379</v>
      </c>
      <c r="I1043" s="52">
        <f>H1043</f>
        <v>1276379</v>
      </c>
      <c r="J1043" s="53">
        <f>I1043*(1-F1043)</f>
        <v>1276379</v>
      </c>
      <c r="K1043" s="61">
        <v>0</v>
      </c>
      <c r="L1043" s="160">
        <v>0</v>
      </c>
      <c r="M1043" s="56">
        <f>L1043</f>
        <v>0</v>
      </c>
      <c r="N1043" s="54">
        <f>(K1043*D1043)*(1-F1043)</f>
        <v>0</v>
      </c>
      <c r="O1043" s="95">
        <v>0</v>
      </c>
      <c r="P1043" s="160">
        <v>0</v>
      </c>
      <c r="Q1043" s="56">
        <f>+P1043</f>
        <v>0</v>
      </c>
      <c r="R1043" s="54">
        <f>(O1043*D1043)*(1-F1043)*(1-G1043)</f>
        <v>0</v>
      </c>
      <c r="S1043" s="127">
        <v>25</v>
      </c>
      <c r="T1043" s="125" t="s">
        <v>201</v>
      </c>
      <c r="U1043" s="73">
        <f>SUMIF('Avoided Costs 2013-2021'!$A:$A,'2013 Actuals'!T1043&amp;'2013 Actuals'!S1043,'Avoided Costs 2013-2021'!$E:$E)*J1043</f>
        <v>4004182.994845002</v>
      </c>
      <c r="V1043" s="73">
        <f>SUMIF('Avoided Costs 2013-2021'!$A:$A,'2013 Actuals'!T1043&amp;'2013 Actuals'!S1043,'Avoided Costs 2013-2021'!$K:$K)*N1043</f>
        <v>0</v>
      </c>
      <c r="W1043" s="73">
        <f>SUMIF('Avoided Costs 2013-2021'!$A:$A,'2013 Actuals'!T1043&amp;'2013 Actuals'!S1043,'Avoided Costs 2013-2021'!$M:$M)*R1043</f>
        <v>0</v>
      </c>
      <c r="X1043" s="78">
        <f>SUM(U1043:W1043)</f>
        <v>4004182.994845002</v>
      </c>
      <c r="Y1043" s="83">
        <v>2059.5358999999999</v>
      </c>
      <c r="Z1043" s="73">
        <f>(Y1043*D1043)*(1-F1043)</f>
        <v>3787486.5200999998</v>
      </c>
      <c r="AA1043" s="74">
        <v>4470506.8800000008</v>
      </c>
      <c r="AB1043" s="74">
        <v>168530.08999999997</v>
      </c>
      <c r="AC1043" s="74">
        <f>AA1043+AB1043</f>
        <v>4639036.9700000007</v>
      </c>
      <c r="AD1043" s="73">
        <f>Z1043+AB1043</f>
        <v>3956016.6100999997</v>
      </c>
      <c r="AE1043" s="74">
        <f>X1043-AD1043</f>
        <v>48166.384745002259</v>
      </c>
      <c r="AF1043" s="52">
        <f>J1043*S1043</f>
        <v>31909475</v>
      </c>
      <c r="AG1043" s="52">
        <f>(I1043*S1043)</f>
        <v>31909475</v>
      </c>
    </row>
    <row r="1044" spans="1:33" s="21" customFormat="1" x14ac:dyDescent="0.2">
      <c r="A1044" s="166" t="s">
        <v>1198</v>
      </c>
      <c r="B1044" s="170" t="s">
        <v>193</v>
      </c>
      <c r="C1044" s="166" t="s">
        <v>85</v>
      </c>
      <c r="D1044" s="171">
        <f>2099</f>
        <v>2099</v>
      </c>
      <c r="E1044" s="172">
        <v>51.7</v>
      </c>
      <c r="F1044" s="173">
        <v>0</v>
      </c>
      <c r="G1044" s="173">
        <v>0.123</v>
      </c>
      <c r="H1044" s="51">
        <f>D1044*E1044</f>
        <v>108518.3</v>
      </c>
      <c r="I1044" s="52">
        <f>H1044</f>
        <v>108518.3</v>
      </c>
      <c r="J1044" s="54">
        <f>(E1044*D1044)*(1-F1044)*(1-G1044)</f>
        <v>95170.549100000004</v>
      </c>
      <c r="K1044" s="62">
        <v>0</v>
      </c>
      <c r="L1044" s="163">
        <v>0</v>
      </c>
      <c r="M1044" s="56">
        <f>L1044</f>
        <v>0</v>
      </c>
      <c r="N1044" s="54">
        <f>(K1044*D1044)*(1-F1044)</f>
        <v>0</v>
      </c>
      <c r="O1044" s="96">
        <f>7937.8/1000</f>
        <v>7.9378000000000002</v>
      </c>
      <c r="P1044" s="163">
        <f>O1044*D1044</f>
        <v>16661.442200000001</v>
      </c>
      <c r="Q1044" s="56">
        <f>+P1044</f>
        <v>16661.442200000001</v>
      </c>
      <c r="R1044" s="54">
        <f>(O1044*D1044)*(1-F1044)*(1-G1044)</f>
        <v>14612.084809400001</v>
      </c>
      <c r="S1044" s="131">
        <v>10</v>
      </c>
      <c r="T1044" s="32" t="s">
        <v>49</v>
      </c>
      <c r="U1044" s="73">
        <f>SUMIF('Avoided Costs 2013-2021'!$A:$A,'2013 Actuals'!T1044&amp;'2013 Actuals'!S1044,'Avoided Costs 2013-2021'!$E:$E)*J1044</f>
        <v>142396.46195744182</v>
      </c>
      <c r="V1044" s="73">
        <f>SUMIF('Avoided Costs 2013-2021'!$A:$A,'2013 Actuals'!T1044&amp;'2013 Actuals'!S1044,'Avoided Costs 2013-2021'!$K:$K)*N1044</f>
        <v>0</v>
      </c>
      <c r="W1044" s="73">
        <f>SUMIF('Avoided Costs 2013-2021'!$A:$A,'2013 Actuals'!T1044&amp;'2013 Actuals'!S1044,'Avoided Costs 2013-2021'!$M:$M)*R1044</f>
        <v>289987.05561755074</v>
      </c>
      <c r="X1044" s="78">
        <f>SUM(U1044:W1044)</f>
        <v>432383.51757499255</v>
      </c>
      <c r="Y1044" s="89">
        <v>18.71</v>
      </c>
      <c r="Z1044" s="73">
        <f>(Y1044*D1044)*(1-F1044)</f>
        <v>39272.29</v>
      </c>
      <c r="AA1044" s="74">
        <v>0</v>
      </c>
      <c r="AB1044" s="74">
        <v>0</v>
      </c>
      <c r="AC1044" s="74">
        <f t="shared" ref="AC1044" si="401">AA1044+AB1044</f>
        <v>0</v>
      </c>
      <c r="AD1044" s="73">
        <f>Z1044+AB1044</f>
        <v>39272.29</v>
      </c>
      <c r="AE1044" s="74">
        <f>X1044-AD1044</f>
        <v>393111.22757499258</v>
      </c>
      <c r="AF1044" s="52">
        <f>J1044*S1044</f>
        <v>951705.49100000004</v>
      </c>
      <c r="AG1044" s="52">
        <f>(I1044*S1044)</f>
        <v>1085183</v>
      </c>
    </row>
    <row r="1045" spans="1:33" s="17" customFormat="1" x14ac:dyDescent="0.2">
      <c r="A1045" s="166" t="s">
        <v>1198</v>
      </c>
      <c r="B1045" s="166" t="s">
        <v>1196</v>
      </c>
      <c r="C1045" s="166" t="s">
        <v>85</v>
      </c>
      <c r="D1045" s="182">
        <v>48</v>
      </c>
      <c r="E1045" s="167">
        <f>H1045/D1045</f>
        <v>81.8125</v>
      </c>
      <c r="F1045" s="168">
        <v>0</v>
      </c>
      <c r="G1045" s="168">
        <v>0.123</v>
      </c>
      <c r="H1045" s="52">
        <f>1551+2376</f>
        <v>3927</v>
      </c>
      <c r="I1045" s="52">
        <f>H1045</f>
        <v>3927</v>
      </c>
      <c r="J1045" s="54">
        <f>(E1045*D1045)*(1-F1045)*(1-G1045)</f>
        <v>3443.9789999999998</v>
      </c>
      <c r="K1045" s="61">
        <v>0</v>
      </c>
      <c r="L1045" s="160">
        <f>K1045*D1045</f>
        <v>0</v>
      </c>
      <c r="M1045" s="56">
        <f>L1045</f>
        <v>0</v>
      </c>
      <c r="N1045" s="54">
        <f>(K1045*D1045)*(1-F1045)</f>
        <v>0</v>
      </c>
      <c r="O1045" s="95">
        <v>20.003</v>
      </c>
      <c r="P1045" s="160">
        <f>O1045*D1045</f>
        <v>960.14400000000001</v>
      </c>
      <c r="Q1045" s="56">
        <f>+P1045</f>
        <v>960.14400000000001</v>
      </c>
      <c r="R1045" s="54">
        <f>(O1045*D1045)*(1-F1045)*(1-G1045)</f>
        <v>842.046288</v>
      </c>
      <c r="S1045" s="133">
        <v>10</v>
      </c>
      <c r="T1045" s="125" t="s">
        <v>49</v>
      </c>
      <c r="U1045" s="73">
        <f>SUMIF('Avoided Costs 2013-2021'!$A:$A,'2013 Actuals'!T1045&amp;'2013 Actuals'!S1045,'Avoided Costs 2013-2021'!$E:$E)*J1045</f>
        <v>5152.9641185576438</v>
      </c>
      <c r="V1045" s="73">
        <f>SUMIF('Avoided Costs 2013-2021'!$A:$A,'2013 Actuals'!T1045&amp;'2013 Actuals'!S1045,'Avoided Costs 2013-2021'!$K:$K)*N1045</f>
        <v>0</v>
      </c>
      <c r="W1045" s="73">
        <f>SUMIF('Avoided Costs 2013-2021'!$A:$A,'2013 Actuals'!T1045&amp;'2013 Actuals'!S1045,'Avoided Costs 2013-2021'!$M:$M)*R1045</f>
        <v>16710.998254932434</v>
      </c>
      <c r="X1045" s="78">
        <f>SUM(U1045:W1045)</f>
        <v>21863.962373490078</v>
      </c>
      <c r="Y1045" s="83">
        <f>Z1045/D1045</f>
        <v>15.491458333333332</v>
      </c>
      <c r="Z1045" s="103">
        <f>70.03+673.56</f>
        <v>743.58999999999992</v>
      </c>
      <c r="AA1045" s="74">
        <v>0</v>
      </c>
      <c r="AB1045" s="74">
        <v>0</v>
      </c>
      <c r="AC1045" s="74">
        <f t="shared" ref="AC1045:AC1046" si="402">AA1045+AB1045</f>
        <v>0</v>
      </c>
      <c r="AD1045" s="73">
        <f>Z1045+AB1045</f>
        <v>743.58999999999992</v>
      </c>
      <c r="AE1045" s="74">
        <f>X1045-AD1045</f>
        <v>21120.372373490078</v>
      </c>
      <c r="AF1045" s="52">
        <f>J1045*S1045</f>
        <v>34439.79</v>
      </c>
      <c r="AG1045" s="52">
        <f>(I1045*S1045)</f>
        <v>39270</v>
      </c>
    </row>
    <row r="1046" spans="1:33" s="17" customFormat="1" x14ac:dyDescent="0.2">
      <c r="A1046" s="166" t="s">
        <v>1198</v>
      </c>
      <c r="B1046" s="170" t="s">
        <v>1197</v>
      </c>
      <c r="C1046" s="166" t="s">
        <v>85</v>
      </c>
      <c r="D1046" s="183">
        <v>13</v>
      </c>
      <c r="E1046" s="172">
        <v>53</v>
      </c>
      <c r="F1046" s="173">
        <v>0</v>
      </c>
      <c r="G1046" s="173">
        <v>0.123</v>
      </c>
      <c r="H1046" s="51">
        <f>D1046*E1046</f>
        <v>689</v>
      </c>
      <c r="I1046" s="52">
        <f>H1046</f>
        <v>689</v>
      </c>
      <c r="J1046" s="54">
        <f>(E1046*D1046)*(1-F1046)*(1-G1046)</f>
        <v>604.25300000000004</v>
      </c>
      <c r="K1046" s="61">
        <v>54</v>
      </c>
      <c r="L1046" s="160">
        <f>K1046*D1046</f>
        <v>702</v>
      </c>
      <c r="M1046" s="56">
        <f>L1046</f>
        <v>702</v>
      </c>
      <c r="N1046" s="54">
        <f>(K1046*D1046)*(1-F1046)</f>
        <v>702</v>
      </c>
      <c r="O1046" s="95">
        <v>0</v>
      </c>
      <c r="P1046" s="160">
        <f>O1046*D1046</f>
        <v>0</v>
      </c>
      <c r="Q1046" s="56">
        <f>+P1046</f>
        <v>0</v>
      </c>
      <c r="R1046" s="54">
        <f>(O1046*D1046)*(1-F1046)*(1-G1046)</f>
        <v>0</v>
      </c>
      <c r="S1046" s="134">
        <v>15</v>
      </c>
      <c r="T1046" s="32" t="s">
        <v>201</v>
      </c>
      <c r="U1046" s="73">
        <f>SUMIF('Avoided Costs 2013-2021'!$A:$A,'2013 Actuals'!T1046&amp;'2013 Actuals'!S1046,'Avoided Costs 2013-2021'!$E:$E)*J1046</f>
        <v>1350.4224014557478</v>
      </c>
      <c r="V1046" s="73">
        <f>SUMIF('Avoided Costs 2013-2021'!$A:$A,'2013 Actuals'!T1046&amp;'2013 Actuals'!S1046,'Avoided Costs 2013-2021'!$K:$K)*N1046</f>
        <v>734.91935560442232</v>
      </c>
      <c r="W1046" s="73">
        <f>SUMIF('Avoided Costs 2013-2021'!$A:$A,'2013 Actuals'!T1046&amp;'2013 Actuals'!S1046,'Avoided Costs 2013-2021'!$M:$M)*R1046</f>
        <v>0</v>
      </c>
      <c r="X1046" s="78">
        <f>SUM(U1046:W1046)</f>
        <v>2085.34175706017</v>
      </c>
      <c r="Y1046" s="89">
        <v>69.180000000000007</v>
      </c>
      <c r="Z1046" s="73">
        <f>(Y1046*D1046)*(1-F1046)</f>
        <v>899.34000000000015</v>
      </c>
      <c r="AA1046" s="75">
        <v>0</v>
      </c>
      <c r="AB1046" s="75">
        <v>0</v>
      </c>
      <c r="AC1046" s="74">
        <f t="shared" si="402"/>
        <v>0</v>
      </c>
      <c r="AD1046" s="73">
        <f>Z1046+AB1046</f>
        <v>899.34000000000015</v>
      </c>
      <c r="AE1046" s="74">
        <f>X1046-AD1046</f>
        <v>1186.0017570601699</v>
      </c>
      <c r="AF1046" s="52">
        <f>J1046*S1046</f>
        <v>9063.7950000000001</v>
      </c>
      <c r="AG1046" s="52">
        <f>(I1046*S1046)</f>
        <v>10335</v>
      </c>
    </row>
    <row r="1047" spans="1:33" x14ac:dyDescent="0.2">
      <c r="A1047" s="166" t="s">
        <v>4</v>
      </c>
      <c r="B1047" s="166" t="s">
        <v>1199</v>
      </c>
      <c r="C1047" s="166" t="s">
        <v>85</v>
      </c>
      <c r="D1047" s="52">
        <f>D1043+D1044</f>
        <v>3938</v>
      </c>
      <c r="E1047" s="291"/>
      <c r="F1047" s="168"/>
      <c r="G1047" s="292"/>
      <c r="H1047" s="52">
        <f>SUM(H1043:H1046)</f>
        <v>1389513.3</v>
      </c>
      <c r="I1047" s="52">
        <f>SUM(I1043:I1046)</f>
        <v>1389513.3</v>
      </c>
      <c r="J1047" s="52">
        <f>SUM(J1043:J1046)</f>
        <v>1375597.7811</v>
      </c>
      <c r="K1047" s="167"/>
      <c r="L1047" s="52">
        <f>SUM(L1043:L1046)</f>
        <v>702</v>
      </c>
      <c r="M1047" s="52">
        <f>SUM(M1043:M1046)</f>
        <v>702</v>
      </c>
      <c r="N1047" s="52">
        <f>SUM(N1043:N1046)</f>
        <v>702</v>
      </c>
      <c r="O1047" s="169"/>
      <c r="P1047" s="52">
        <f>SUM(P1043:P1046)</f>
        <v>17621.586200000002</v>
      </c>
      <c r="Q1047" s="52">
        <f>SUM(Q1043:Q1046)</f>
        <v>17621.586200000002</v>
      </c>
      <c r="R1047" s="52">
        <f>SUM(R1043:R1046)</f>
        <v>15454.131097400001</v>
      </c>
      <c r="S1047" s="127"/>
      <c r="T1047" s="125"/>
      <c r="U1047" s="307">
        <f>SUM(U1043:U1046)</f>
        <v>4153082.8433224568</v>
      </c>
      <c r="V1047" s="307">
        <f>SUM(V1043:V1046)</f>
        <v>734.91935560442232</v>
      </c>
      <c r="W1047" s="307">
        <f>SUM(W1043:W1046)</f>
        <v>306698.0538724832</v>
      </c>
      <c r="X1047" s="307">
        <f>SUM(X1043:X1046)</f>
        <v>4460515.8165505454</v>
      </c>
      <c r="Y1047" s="83"/>
      <c r="Z1047" s="307">
        <f t="shared" ref="Z1047" si="403">SUM(Z1043:Z1046)</f>
        <v>3828401.7400999996</v>
      </c>
      <c r="AA1047" s="307">
        <f>SUM(AA1043:AA1046)</f>
        <v>4470506.8800000008</v>
      </c>
      <c r="AB1047" s="307">
        <f>SUM(AB1043:AB1046)</f>
        <v>168530.08999999997</v>
      </c>
      <c r="AC1047" s="307">
        <f>SUM(AC1043:AC1046)</f>
        <v>4639036.9700000007</v>
      </c>
      <c r="AD1047" s="307">
        <f>SUM(AD1043:AD1046)</f>
        <v>3996931.8300999994</v>
      </c>
      <c r="AE1047" s="74">
        <f>X1047-AD1047</f>
        <v>463583.98645054596</v>
      </c>
      <c r="AF1047" s="52">
        <f>SUM(AF1043:AF1046)</f>
        <v>32904684.076000001</v>
      </c>
      <c r="AG1047" s="52">
        <f>SUM(AG1043:AG1046)</f>
        <v>33044263</v>
      </c>
    </row>
    <row r="1048" spans="1:33" ht="15" x14ac:dyDescent="0.2">
      <c r="A1048" s="150"/>
      <c r="AF1048" s="184"/>
      <c r="AG1048" s="184"/>
    </row>
    <row r="1049" spans="1:33" s="21" customFormat="1" x14ac:dyDescent="0.2">
      <c r="A1049" s="150" t="s">
        <v>101</v>
      </c>
      <c r="B1049" s="2" t="s">
        <v>43</v>
      </c>
      <c r="C1049" s="3"/>
      <c r="D1049" s="48"/>
      <c r="E1049" s="57"/>
      <c r="F1049" s="12"/>
      <c r="G1049" s="13"/>
      <c r="H1049" s="48"/>
      <c r="I1049" s="48"/>
      <c r="J1049" s="44"/>
      <c r="K1049" s="57"/>
      <c r="L1049" s="48"/>
      <c r="M1049" s="48"/>
      <c r="N1049" s="48"/>
      <c r="O1049" s="92"/>
      <c r="P1049" s="44"/>
      <c r="Q1049" s="48"/>
      <c r="R1049" s="44"/>
      <c r="S1049" s="4"/>
      <c r="T1049" s="3"/>
      <c r="U1049" s="68"/>
      <c r="V1049" s="68"/>
      <c r="W1049" s="68"/>
      <c r="X1049" s="68"/>
      <c r="Y1049" s="82"/>
      <c r="Z1049" s="72"/>
      <c r="AA1049" s="72"/>
      <c r="AB1049" s="68"/>
      <c r="AC1049" s="72"/>
      <c r="AD1049" s="72"/>
      <c r="AE1049" s="72"/>
      <c r="AF1049" s="79"/>
      <c r="AG1049" s="79"/>
    </row>
    <row r="1050" spans="1:33" s="21" customFormat="1" x14ac:dyDescent="0.2">
      <c r="A1050" s="166" t="s">
        <v>365</v>
      </c>
      <c r="B1050" s="166"/>
      <c r="C1050" s="166"/>
      <c r="D1050" s="65">
        <v>1</v>
      </c>
      <c r="E1050" s="167"/>
      <c r="F1050" s="168">
        <v>0</v>
      </c>
      <c r="G1050" s="168"/>
      <c r="H1050" s="52">
        <v>7872</v>
      </c>
      <c r="I1050" s="52">
        <f t="shared" ref="I1050:I1065" si="404">+$H$39*H1050</f>
        <v>6958.848</v>
      </c>
      <c r="J1050" s="52">
        <f t="shared" ref="J1050:J1093" si="405">I1050*(1-F1050)</f>
        <v>6958.848</v>
      </c>
      <c r="K1050" s="61"/>
      <c r="L1050" s="160">
        <v>17702</v>
      </c>
      <c r="M1050" s="55">
        <f t="shared" ref="M1050:M1065" si="406">+$L$39*L1050</f>
        <v>17702</v>
      </c>
      <c r="N1050" s="55">
        <f t="shared" ref="N1050:N1093" si="407">M1050*(1-F1050)</f>
        <v>17702</v>
      </c>
      <c r="O1050" s="95"/>
      <c r="P1050" s="160">
        <v>0</v>
      </c>
      <c r="Q1050" s="55">
        <f t="shared" ref="Q1050:Q1065" si="408">+P1050*$P$39</f>
        <v>0</v>
      </c>
      <c r="R1050" s="65">
        <f t="shared" ref="R1050:R1093" si="409">Q1050*(1-F1050)</f>
        <v>0</v>
      </c>
      <c r="S1050" s="127">
        <v>15</v>
      </c>
      <c r="T1050" s="125" t="s">
        <v>201</v>
      </c>
      <c r="U1050" s="73">
        <f>SUMIF('Avoided Costs 2013-2021'!$A:$A,'2013 Actuals'!T1050&amp;'2013 Actuals'!S1050,'Avoided Costs 2013-2021'!$E:$E)*J1050</f>
        <v>15552.068798211225</v>
      </c>
      <c r="V1050" s="73">
        <f>SUMIF('Avoided Costs 2013-2021'!$A:$A,'2013 Actuals'!T1050&amp;'2013 Actuals'!S1050,'Avoided Costs 2013-2021'!$K:$K)*N1050</f>
        <v>18532.111727791289</v>
      </c>
      <c r="W1050" s="73">
        <f>SUMIF('Avoided Costs 2013-2021'!$A:$A,'2013 Actuals'!T1050&amp;'2013 Actuals'!S1050,'Avoided Costs 2013-2021'!$M:$M)*R1050</f>
        <v>0</v>
      </c>
      <c r="X1050" s="73">
        <f t="shared" ref="X1050:X1095" si="410">SUM(U1050:W1050)</f>
        <v>34084.180526002514</v>
      </c>
      <c r="Y1050" s="83">
        <v>4300</v>
      </c>
      <c r="Z1050" s="74">
        <f t="shared" ref="Z1050:Z1093" si="411">Y1050*(1-F1050)</f>
        <v>4300</v>
      </c>
      <c r="AA1050" s="74"/>
      <c r="AB1050" s="74"/>
      <c r="AC1050" s="74"/>
      <c r="AD1050" s="74">
        <f t="shared" ref="AD1050:AD1096" si="412">Z1050+AB1050</f>
        <v>4300</v>
      </c>
      <c r="AE1050" s="74">
        <f t="shared" ref="AE1050:AE1096" si="413">X1050-AD1050</f>
        <v>29784.180526002514</v>
      </c>
      <c r="AF1050" s="52">
        <f t="shared" ref="AF1050:AF1095" si="414">J1050*S1050</f>
        <v>104382.72</v>
      </c>
      <c r="AG1050" s="52">
        <f t="shared" ref="AG1050:AG1095" si="415">(I1050*S1050)</f>
        <v>104382.72</v>
      </c>
    </row>
    <row r="1051" spans="1:33" s="21" customFormat="1" x14ac:dyDescent="0.2">
      <c r="A1051" s="166" t="s">
        <v>366</v>
      </c>
      <c r="B1051" s="166"/>
      <c r="C1051" s="166"/>
      <c r="D1051" s="65">
        <v>1</v>
      </c>
      <c r="E1051" s="167"/>
      <c r="F1051" s="168">
        <v>0</v>
      </c>
      <c r="G1051" s="168"/>
      <c r="H1051" s="52">
        <v>48341</v>
      </c>
      <c r="I1051" s="52">
        <f t="shared" si="404"/>
        <v>42733.444000000003</v>
      </c>
      <c r="J1051" s="52">
        <f t="shared" si="405"/>
        <v>42733.444000000003</v>
      </c>
      <c r="K1051" s="61"/>
      <c r="L1051" s="160">
        <v>-4828</v>
      </c>
      <c r="M1051" s="55">
        <f t="shared" si="406"/>
        <v>-4828</v>
      </c>
      <c r="N1051" s="55">
        <f t="shared" si="407"/>
        <v>-4828</v>
      </c>
      <c r="O1051" s="95"/>
      <c r="P1051" s="160">
        <v>0</v>
      </c>
      <c r="Q1051" s="55">
        <f t="shared" si="408"/>
        <v>0</v>
      </c>
      <c r="R1051" s="65">
        <f t="shared" si="409"/>
        <v>0</v>
      </c>
      <c r="S1051" s="127">
        <v>15</v>
      </c>
      <c r="T1051" s="125" t="s">
        <v>201</v>
      </c>
      <c r="U1051" s="73">
        <f>SUMIF('Avoided Costs 2013-2021'!$A:$A,'2013 Actuals'!T1051&amp;'2013 Actuals'!S1051,'Avoided Costs 2013-2021'!$E:$E)*J1051</f>
        <v>95503.373701007236</v>
      </c>
      <c r="V1051" s="73">
        <f>SUMIF('Avoided Costs 2013-2021'!$A:$A,'2013 Actuals'!T1051&amp;'2013 Actuals'!S1051,'Avoided Costs 2013-2021'!$K:$K)*N1051</f>
        <v>-5054.40263370107</v>
      </c>
      <c r="W1051" s="73">
        <f>SUMIF('Avoided Costs 2013-2021'!$A:$A,'2013 Actuals'!T1051&amp;'2013 Actuals'!S1051,'Avoided Costs 2013-2021'!$M:$M)*R1051</f>
        <v>0</v>
      </c>
      <c r="X1051" s="73">
        <f t="shared" si="410"/>
        <v>90448.971067306164</v>
      </c>
      <c r="Y1051" s="83">
        <v>103693.08</v>
      </c>
      <c r="Z1051" s="74">
        <f t="shared" si="411"/>
        <v>103693.08</v>
      </c>
      <c r="AA1051" s="74"/>
      <c r="AB1051" s="74"/>
      <c r="AC1051" s="74"/>
      <c r="AD1051" s="74">
        <f t="shared" si="412"/>
        <v>103693.08</v>
      </c>
      <c r="AE1051" s="74">
        <f t="shared" si="413"/>
        <v>-13244.108932693838</v>
      </c>
      <c r="AF1051" s="52">
        <f t="shared" si="414"/>
        <v>641001.66</v>
      </c>
      <c r="AG1051" s="52">
        <f t="shared" si="415"/>
        <v>641001.66</v>
      </c>
    </row>
    <row r="1052" spans="1:33" s="21" customFormat="1" x14ac:dyDescent="0.2">
      <c r="A1052" s="166" t="s">
        <v>367</v>
      </c>
      <c r="B1052" s="166"/>
      <c r="C1052" s="166"/>
      <c r="D1052" s="65">
        <v>1</v>
      </c>
      <c r="E1052" s="167"/>
      <c r="F1052" s="168">
        <v>0</v>
      </c>
      <c r="G1052" s="168"/>
      <c r="H1052" s="52">
        <v>48024</v>
      </c>
      <c r="I1052" s="52">
        <f t="shared" si="404"/>
        <v>42453.216</v>
      </c>
      <c r="J1052" s="52">
        <f t="shared" si="405"/>
        <v>42453.216</v>
      </c>
      <c r="K1052" s="61"/>
      <c r="L1052" s="160">
        <v>0</v>
      </c>
      <c r="M1052" s="55">
        <f t="shared" si="406"/>
        <v>0</v>
      </c>
      <c r="N1052" s="55">
        <f t="shared" si="407"/>
        <v>0</v>
      </c>
      <c r="O1052" s="95"/>
      <c r="P1052" s="160">
        <v>0</v>
      </c>
      <c r="Q1052" s="55">
        <f t="shared" si="408"/>
        <v>0</v>
      </c>
      <c r="R1052" s="65">
        <f t="shared" si="409"/>
        <v>0</v>
      </c>
      <c r="S1052" s="127">
        <v>15</v>
      </c>
      <c r="T1052" s="125" t="s">
        <v>201</v>
      </c>
      <c r="U1052" s="73">
        <f>SUMIF('Avoided Costs 2013-2021'!$A:$A,'2013 Actuals'!T1052&amp;'2013 Actuals'!S1052,'Avoided Costs 2013-2021'!$E:$E)*J1052</f>
        <v>94877.10263786788</v>
      </c>
      <c r="V1052" s="73">
        <f>SUMIF('Avoided Costs 2013-2021'!$A:$A,'2013 Actuals'!T1052&amp;'2013 Actuals'!S1052,'Avoided Costs 2013-2021'!$K:$K)*N1052</f>
        <v>0</v>
      </c>
      <c r="W1052" s="73">
        <f>SUMIF('Avoided Costs 2013-2021'!$A:$A,'2013 Actuals'!T1052&amp;'2013 Actuals'!S1052,'Avoided Costs 2013-2021'!$M:$M)*R1052</f>
        <v>0</v>
      </c>
      <c r="X1052" s="73">
        <f t="shared" si="410"/>
        <v>94877.10263786788</v>
      </c>
      <c r="Y1052" s="83">
        <v>20470</v>
      </c>
      <c r="Z1052" s="74">
        <f t="shared" si="411"/>
        <v>20470</v>
      </c>
      <c r="AA1052" s="74"/>
      <c r="AB1052" s="74"/>
      <c r="AC1052" s="74"/>
      <c r="AD1052" s="74">
        <f t="shared" si="412"/>
        <v>20470</v>
      </c>
      <c r="AE1052" s="74">
        <f t="shared" si="413"/>
        <v>74407.10263786788</v>
      </c>
      <c r="AF1052" s="52">
        <f t="shared" si="414"/>
        <v>636798.24</v>
      </c>
      <c r="AG1052" s="52">
        <f t="shared" si="415"/>
        <v>636798.24</v>
      </c>
    </row>
    <row r="1053" spans="1:33" s="21" customFormat="1" x14ac:dyDescent="0.2">
      <c r="A1053" s="166" t="s">
        <v>368</v>
      </c>
      <c r="B1053" s="166"/>
      <c r="C1053" s="166"/>
      <c r="D1053" s="65">
        <v>1</v>
      </c>
      <c r="E1053" s="167"/>
      <c r="F1053" s="168">
        <v>0</v>
      </c>
      <c r="G1053" s="168"/>
      <c r="H1053" s="52">
        <v>6991</v>
      </c>
      <c r="I1053" s="52">
        <f>H1053</f>
        <v>6991</v>
      </c>
      <c r="J1053" s="52">
        <f t="shared" si="405"/>
        <v>6991</v>
      </c>
      <c r="K1053" s="61"/>
      <c r="L1053" s="160">
        <v>0</v>
      </c>
      <c r="M1053" s="55">
        <f t="shared" si="406"/>
        <v>0</v>
      </c>
      <c r="N1053" s="55">
        <f t="shared" si="407"/>
        <v>0</v>
      </c>
      <c r="O1053" s="95"/>
      <c r="P1053" s="160">
        <v>0</v>
      </c>
      <c r="Q1053" s="55">
        <f t="shared" si="408"/>
        <v>0</v>
      </c>
      <c r="R1053" s="65">
        <f t="shared" si="409"/>
        <v>0</v>
      </c>
      <c r="S1053" s="127">
        <v>25</v>
      </c>
      <c r="T1053" s="125" t="s">
        <v>201</v>
      </c>
      <c r="U1053" s="73">
        <f>SUMIF('Avoided Costs 2013-2021'!$A:$A,'2013 Actuals'!T1053&amp;'2013 Actuals'!S1053,'Avoided Costs 2013-2021'!$E:$E)*J1053</f>
        <v>21931.764246326056</v>
      </c>
      <c r="V1053" s="73">
        <f>SUMIF('Avoided Costs 2013-2021'!$A:$A,'2013 Actuals'!T1053&amp;'2013 Actuals'!S1053,'Avoided Costs 2013-2021'!$K:$K)*N1053</f>
        <v>0</v>
      </c>
      <c r="W1053" s="73">
        <f>SUMIF('Avoided Costs 2013-2021'!$A:$A,'2013 Actuals'!T1053&amp;'2013 Actuals'!S1053,'Avoided Costs 2013-2021'!$M:$M)*R1053</f>
        <v>0</v>
      </c>
      <c r="X1053" s="73">
        <f t="shared" si="410"/>
        <v>21931.764246326056</v>
      </c>
      <c r="Y1053" s="83">
        <v>9000</v>
      </c>
      <c r="Z1053" s="74">
        <f t="shared" si="411"/>
        <v>9000</v>
      </c>
      <c r="AA1053" s="74"/>
      <c r="AB1053" s="74"/>
      <c r="AC1053" s="74"/>
      <c r="AD1053" s="74">
        <f t="shared" si="412"/>
        <v>9000</v>
      </c>
      <c r="AE1053" s="74">
        <f t="shared" si="413"/>
        <v>12931.764246326056</v>
      </c>
      <c r="AF1053" s="52">
        <f t="shared" si="414"/>
        <v>174775</v>
      </c>
      <c r="AG1053" s="52">
        <f t="shared" si="415"/>
        <v>174775</v>
      </c>
    </row>
    <row r="1054" spans="1:33" s="21" customFormat="1" x14ac:dyDescent="0.2">
      <c r="A1054" s="166" t="s">
        <v>369</v>
      </c>
      <c r="B1054" s="166"/>
      <c r="C1054" s="166"/>
      <c r="D1054" s="65">
        <v>1</v>
      </c>
      <c r="E1054" s="167"/>
      <c r="F1054" s="168">
        <v>0</v>
      </c>
      <c r="G1054" s="168"/>
      <c r="H1054" s="52">
        <v>3286</v>
      </c>
      <c r="I1054" s="52">
        <f>H1054</f>
        <v>3286</v>
      </c>
      <c r="J1054" s="52">
        <f t="shared" si="405"/>
        <v>3286</v>
      </c>
      <c r="K1054" s="61"/>
      <c r="L1054" s="160">
        <v>0</v>
      </c>
      <c r="M1054" s="55">
        <f t="shared" si="406"/>
        <v>0</v>
      </c>
      <c r="N1054" s="55">
        <f t="shared" si="407"/>
        <v>0</v>
      </c>
      <c r="O1054" s="95"/>
      <c r="P1054" s="160">
        <v>0</v>
      </c>
      <c r="Q1054" s="55">
        <f t="shared" si="408"/>
        <v>0</v>
      </c>
      <c r="R1054" s="65">
        <f t="shared" si="409"/>
        <v>0</v>
      </c>
      <c r="S1054" s="127">
        <v>25</v>
      </c>
      <c r="T1054" s="125" t="s">
        <v>201</v>
      </c>
      <c r="U1054" s="73">
        <f>SUMIF('Avoided Costs 2013-2021'!$A:$A,'2013 Actuals'!T1054&amp;'2013 Actuals'!S1054,'Avoided Costs 2013-2021'!$E:$E)*J1054</f>
        <v>10308.650738582095</v>
      </c>
      <c r="V1054" s="73">
        <f>SUMIF('Avoided Costs 2013-2021'!$A:$A,'2013 Actuals'!T1054&amp;'2013 Actuals'!S1054,'Avoided Costs 2013-2021'!$K:$K)*N1054</f>
        <v>0</v>
      </c>
      <c r="W1054" s="73">
        <f>SUMIF('Avoided Costs 2013-2021'!$A:$A,'2013 Actuals'!T1054&amp;'2013 Actuals'!S1054,'Avoided Costs 2013-2021'!$M:$M)*R1054</f>
        <v>0</v>
      </c>
      <c r="X1054" s="73">
        <f t="shared" si="410"/>
        <v>10308.650738582095</v>
      </c>
      <c r="Y1054" s="83">
        <v>3797</v>
      </c>
      <c r="Z1054" s="74">
        <f t="shared" si="411"/>
        <v>3797</v>
      </c>
      <c r="AA1054" s="74"/>
      <c r="AB1054" s="74"/>
      <c r="AC1054" s="74"/>
      <c r="AD1054" s="74">
        <f t="shared" si="412"/>
        <v>3797</v>
      </c>
      <c r="AE1054" s="74">
        <f t="shared" si="413"/>
        <v>6511.6507385820951</v>
      </c>
      <c r="AF1054" s="52">
        <f t="shared" si="414"/>
        <v>82150</v>
      </c>
      <c r="AG1054" s="52">
        <f t="shared" si="415"/>
        <v>82150</v>
      </c>
    </row>
    <row r="1055" spans="1:33" s="21" customFormat="1" x14ac:dyDescent="0.2">
      <c r="A1055" s="166" t="s">
        <v>370</v>
      </c>
      <c r="B1055" s="166"/>
      <c r="C1055" s="166"/>
      <c r="D1055" s="65">
        <v>1</v>
      </c>
      <c r="E1055" s="167"/>
      <c r="F1055" s="168">
        <v>0</v>
      </c>
      <c r="G1055" s="168"/>
      <c r="H1055" s="52">
        <v>87196</v>
      </c>
      <c r="I1055" s="52">
        <f t="shared" si="404"/>
        <v>77081.263999999996</v>
      </c>
      <c r="J1055" s="52">
        <f t="shared" si="405"/>
        <v>77081.263999999996</v>
      </c>
      <c r="K1055" s="61"/>
      <c r="L1055" s="160">
        <v>0</v>
      </c>
      <c r="M1055" s="55">
        <f t="shared" si="406"/>
        <v>0</v>
      </c>
      <c r="N1055" s="55">
        <f t="shared" si="407"/>
        <v>0</v>
      </c>
      <c r="O1055" s="95"/>
      <c r="P1055" s="160">
        <v>0</v>
      </c>
      <c r="Q1055" s="55">
        <f t="shared" si="408"/>
        <v>0</v>
      </c>
      <c r="R1055" s="65">
        <f t="shared" si="409"/>
        <v>0</v>
      </c>
      <c r="S1055" s="127">
        <v>15</v>
      </c>
      <c r="T1055" s="125" t="s">
        <v>201</v>
      </c>
      <c r="U1055" s="73">
        <f>SUMIF('Avoided Costs 2013-2021'!$A:$A,'2013 Actuals'!T1055&amp;'2013 Actuals'!S1055,'Avoided Costs 2013-2021'!$E:$E)*J1055</f>
        <v>172266.03035173094</v>
      </c>
      <c r="V1055" s="73">
        <f>SUMIF('Avoided Costs 2013-2021'!$A:$A,'2013 Actuals'!T1055&amp;'2013 Actuals'!S1055,'Avoided Costs 2013-2021'!$K:$K)*N1055</f>
        <v>0</v>
      </c>
      <c r="W1055" s="73">
        <f>SUMIF('Avoided Costs 2013-2021'!$A:$A,'2013 Actuals'!T1055&amp;'2013 Actuals'!S1055,'Avoided Costs 2013-2021'!$M:$M)*R1055</f>
        <v>0</v>
      </c>
      <c r="X1055" s="73">
        <f t="shared" si="410"/>
        <v>172266.03035173094</v>
      </c>
      <c r="Y1055" s="83">
        <v>18176</v>
      </c>
      <c r="Z1055" s="74">
        <f t="shared" si="411"/>
        <v>18176</v>
      </c>
      <c r="AA1055" s="74"/>
      <c r="AB1055" s="74"/>
      <c r="AC1055" s="74"/>
      <c r="AD1055" s="74">
        <f t="shared" si="412"/>
        <v>18176</v>
      </c>
      <c r="AE1055" s="74">
        <f t="shared" si="413"/>
        <v>154090.03035173094</v>
      </c>
      <c r="AF1055" s="52">
        <f t="shared" si="414"/>
        <v>1156218.96</v>
      </c>
      <c r="AG1055" s="52">
        <f t="shared" si="415"/>
        <v>1156218.96</v>
      </c>
    </row>
    <row r="1056" spans="1:33" s="21" customFormat="1" x14ac:dyDescent="0.2">
      <c r="A1056" s="166" t="s">
        <v>371</v>
      </c>
      <c r="B1056" s="166"/>
      <c r="C1056" s="166"/>
      <c r="D1056" s="65">
        <v>0</v>
      </c>
      <c r="E1056" s="167"/>
      <c r="F1056" s="168">
        <v>0</v>
      </c>
      <c r="G1056" s="168"/>
      <c r="H1056" s="52">
        <v>36417</v>
      </c>
      <c r="I1056" s="52">
        <f t="shared" si="404"/>
        <v>32192.628000000001</v>
      </c>
      <c r="J1056" s="52">
        <f t="shared" si="405"/>
        <v>32192.628000000001</v>
      </c>
      <c r="K1056" s="61"/>
      <c r="L1056" s="160">
        <v>0</v>
      </c>
      <c r="M1056" s="55">
        <f t="shared" si="406"/>
        <v>0</v>
      </c>
      <c r="N1056" s="55">
        <f t="shared" si="407"/>
        <v>0</v>
      </c>
      <c r="O1056" s="95"/>
      <c r="P1056" s="160">
        <v>0</v>
      </c>
      <c r="Q1056" s="55">
        <f t="shared" si="408"/>
        <v>0</v>
      </c>
      <c r="R1056" s="65">
        <f t="shared" si="409"/>
        <v>0</v>
      </c>
      <c r="S1056" s="127">
        <v>25</v>
      </c>
      <c r="T1056" s="125" t="s">
        <v>217</v>
      </c>
      <c r="U1056" s="73">
        <f>SUMIF('Avoided Costs 2013-2021'!$A:$A,'2013 Actuals'!T1056&amp;'2013 Actuals'!S1056,'Avoided Costs 2013-2021'!$E:$E)*J1056</f>
        <v>94777.37784719604</v>
      </c>
      <c r="V1056" s="73">
        <f>SUMIF('Avoided Costs 2013-2021'!$A:$A,'2013 Actuals'!T1056&amp;'2013 Actuals'!S1056,'Avoided Costs 2013-2021'!$K:$K)*N1056</f>
        <v>0</v>
      </c>
      <c r="W1056" s="73">
        <f>SUMIF('Avoided Costs 2013-2021'!$A:$A,'2013 Actuals'!T1056&amp;'2013 Actuals'!S1056,'Avoided Costs 2013-2021'!$M:$M)*R1056</f>
        <v>0</v>
      </c>
      <c r="X1056" s="73">
        <f t="shared" si="410"/>
        <v>94777.37784719604</v>
      </c>
      <c r="Y1056" s="83">
        <v>72080</v>
      </c>
      <c r="Z1056" s="74">
        <f t="shared" si="411"/>
        <v>72080</v>
      </c>
      <c r="AA1056" s="74"/>
      <c r="AB1056" s="74"/>
      <c r="AC1056" s="74"/>
      <c r="AD1056" s="74">
        <f t="shared" si="412"/>
        <v>72080</v>
      </c>
      <c r="AE1056" s="74">
        <f t="shared" si="413"/>
        <v>22697.37784719604</v>
      </c>
      <c r="AF1056" s="52">
        <f t="shared" si="414"/>
        <v>804815.70000000007</v>
      </c>
      <c r="AG1056" s="52">
        <f t="shared" si="415"/>
        <v>804815.70000000007</v>
      </c>
    </row>
    <row r="1057" spans="1:33" s="21" customFormat="1" x14ac:dyDescent="0.2">
      <c r="A1057" s="166" t="s">
        <v>372</v>
      </c>
      <c r="B1057" s="166"/>
      <c r="C1057" s="166"/>
      <c r="D1057" s="65">
        <v>1</v>
      </c>
      <c r="E1057" s="167"/>
      <c r="F1057" s="168">
        <v>0</v>
      </c>
      <c r="G1057" s="168"/>
      <c r="H1057" s="52">
        <v>113041</v>
      </c>
      <c r="I1057" s="52">
        <f t="shared" si="404"/>
        <v>99928.244000000006</v>
      </c>
      <c r="J1057" s="52">
        <f t="shared" si="405"/>
        <v>99928.244000000006</v>
      </c>
      <c r="K1057" s="61"/>
      <c r="L1057" s="160">
        <v>0</v>
      </c>
      <c r="M1057" s="55">
        <f t="shared" si="406"/>
        <v>0</v>
      </c>
      <c r="N1057" s="55">
        <f t="shared" si="407"/>
        <v>0</v>
      </c>
      <c r="O1057" s="95"/>
      <c r="P1057" s="160">
        <v>0</v>
      </c>
      <c r="Q1057" s="55">
        <f t="shared" si="408"/>
        <v>0</v>
      </c>
      <c r="R1057" s="65">
        <f t="shared" si="409"/>
        <v>0</v>
      </c>
      <c r="S1057" s="127">
        <v>25</v>
      </c>
      <c r="T1057" s="125" t="s">
        <v>201</v>
      </c>
      <c r="U1057" s="73">
        <f>SUMIF('Avoided Costs 2013-2021'!$A:$A,'2013 Actuals'!T1057&amp;'2013 Actuals'!S1057,'Avoided Costs 2013-2021'!$E:$E)*J1057</f>
        <v>313489.15590864635</v>
      </c>
      <c r="V1057" s="73">
        <f>SUMIF('Avoided Costs 2013-2021'!$A:$A,'2013 Actuals'!T1057&amp;'2013 Actuals'!S1057,'Avoided Costs 2013-2021'!$K:$K)*N1057</f>
        <v>0</v>
      </c>
      <c r="W1057" s="73">
        <f>SUMIF('Avoided Costs 2013-2021'!$A:$A,'2013 Actuals'!T1057&amp;'2013 Actuals'!S1057,'Avoided Costs 2013-2021'!$M:$M)*R1057</f>
        <v>0</v>
      </c>
      <c r="X1057" s="73">
        <f t="shared" si="410"/>
        <v>313489.15590864635</v>
      </c>
      <c r="Y1057" s="83">
        <v>61400</v>
      </c>
      <c r="Z1057" s="74">
        <f t="shared" si="411"/>
        <v>61400</v>
      </c>
      <c r="AA1057" s="74"/>
      <c r="AB1057" s="74"/>
      <c r="AC1057" s="74"/>
      <c r="AD1057" s="74">
        <f t="shared" si="412"/>
        <v>61400</v>
      </c>
      <c r="AE1057" s="74">
        <f t="shared" si="413"/>
        <v>252089.15590864635</v>
      </c>
      <c r="AF1057" s="52">
        <f t="shared" si="414"/>
        <v>2498206.1</v>
      </c>
      <c r="AG1057" s="52">
        <f t="shared" si="415"/>
        <v>2498206.1</v>
      </c>
    </row>
    <row r="1058" spans="1:33" s="21" customFormat="1" x14ac:dyDescent="0.2">
      <c r="A1058" s="166" t="s">
        <v>373</v>
      </c>
      <c r="B1058" s="166"/>
      <c r="C1058" s="166"/>
      <c r="D1058" s="65">
        <v>1</v>
      </c>
      <c r="E1058" s="167"/>
      <c r="F1058" s="168">
        <v>0</v>
      </c>
      <c r="G1058" s="168"/>
      <c r="H1058" s="52">
        <v>13265</v>
      </c>
      <c r="I1058" s="52">
        <f t="shared" ref="I1058:I1059" si="416">H1058</f>
        <v>13265</v>
      </c>
      <c r="J1058" s="52">
        <f t="shared" si="405"/>
        <v>13265</v>
      </c>
      <c r="K1058" s="61"/>
      <c r="L1058" s="160">
        <v>0</v>
      </c>
      <c r="M1058" s="55">
        <f t="shared" si="406"/>
        <v>0</v>
      </c>
      <c r="N1058" s="55">
        <f t="shared" si="407"/>
        <v>0</v>
      </c>
      <c r="O1058" s="95"/>
      <c r="P1058" s="160">
        <v>0</v>
      </c>
      <c r="Q1058" s="55">
        <f t="shared" si="408"/>
        <v>0</v>
      </c>
      <c r="R1058" s="65">
        <f t="shared" si="409"/>
        <v>0</v>
      </c>
      <c r="S1058" s="127">
        <v>25</v>
      </c>
      <c r="T1058" s="125" t="s">
        <v>201</v>
      </c>
      <c r="U1058" s="73">
        <f>SUMIF('Avoided Costs 2013-2021'!$A:$A,'2013 Actuals'!T1058&amp;'2013 Actuals'!S1058,'Avoided Costs 2013-2021'!$E:$E)*J1058</f>
        <v>41614.197214635271</v>
      </c>
      <c r="V1058" s="73">
        <f>SUMIF('Avoided Costs 2013-2021'!$A:$A,'2013 Actuals'!T1058&amp;'2013 Actuals'!S1058,'Avoided Costs 2013-2021'!$K:$K)*N1058</f>
        <v>0</v>
      </c>
      <c r="W1058" s="73">
        <f>SUMIF('Avoided Costs 2013-2021'!$A:$A,'2013 Actuals'!T1058&amp;'2013 Actuals'!S1058,'Avoided Costs 2013-2021'!$M:$M)*R1058</f>
        <v>0</v>
      </c>
      <c r="X1058" s="73">
        <f t="shared" si="410"/>
        <v>41614.197214635271</v>
      </c>
      <c r="Y1058" s="83">
        <v>1200</v>
      </c>
      <c r="Z1058" s="74">
        <f t="shared" si="411"/>
        <v>1200</v>
      </c>
      <c r="AA1058" s="74"/>
      <c r="AB1058" s="74"/>
      <c r="AC1058" s="74"/>
      <c r="AD1058" s="74">
        <f t="shared" si="412"/>
        <v>1200</v>
      </c>
      <c r="AE1058" s="74">
        <f t="shared" si="413"/>
        <v>40414.197214635271</v>
      </c>
      <c r="AF1058" s="52">
        <f t="shared" si="414"/>
        <v>331625</v>
      </c>
      <c r="AG1058" s="52">
        <f t="shared" si="415"/>
        <v>331625</v>
      </c>
    </row>
    <row r="1059" spans="1:33" s="21" customFormat="1" x14ac:dyDescent="0.2">
      <c r="A1059" s="166" t="s">
        <v>374</v>
      </c>
      <c r="B1059" s="166"/>
      <c r="C1059" s="166"/>
      <c r="D1059" s="65">
        <v>1</v>
      </c>
      <c r="E1059" s="167"/>
      <c r="F1059" s="168">
        <v>0</v>
      </c>
      <c r="G1059" s="168"/>
      <c r="H1059" s="52">
        <v>24283</v>
      </c>
      <c r="I1059" s="52">
        <f t="shared" si="416"/>
        <v>24283</v>
      </c>
      <c r="J1059" s="52">
        <f t="shared" si="405"/>
        <v>24283</v>
      </c>
      <c r="K1059" s="61"/>
      <c r="L1059" s="160">
        <v>0</v>
      </c>
      <c r="M1059" s="55">
        <f t="shared" si="406"/>
        <v>0</v>
      </c>
      <c r="N1059" s="55">
        <f t="shared" si="407"/>
        <v>0</v>
      </c>
      <c r="O1059" s="95"/>
      <c r="P1059" s="160">
        <v>0</v>
      </c>
      <c r="Q1059" s="55">
        <f t="shared" si="408"/>
        <v>0</v>
      </c>
      <c r="R1059" s="65">
        <f t="shared" si="409"/>
        <v>0</v>
      </c>
      <c r="S1059" s="127">
        <v>25</v>
      </c>
      <c r="T1059" s="125" t="s">
        <v>201</v>
      </c>
      <c r="U1059" s="73">
        <f>SUMIF('Avoided Costs 2013-2021'!$A:$A,'2013 Actuals'!T1059&amp;'2013 Actuals'!S1059,'Avoided Costs 2013-2021'!$E:$E)*J1059</f>
        <v>76179.234901092219</v>
      </c>
      <c r="V1059" s="73">
        <f>SUMIF('Avoided Costs 2013-2021'!$A:$A,'2013 Actuals'!T1059&amp;'2013 Actuals'!S1059,'Avoided Costs 2013-2021'!$K:$K)*N1059</f>
        <v>0</v>
      </c>
      <c r="W1059" s="73">
        <f>SUMIF('Avoided Costs 2013-2021'!$A:$A,'2013 Actuals'!T1059&amp;'2013 Actuals'!S1059,'Avoided Costs 2013-2021'!$M:$M)*R1059</f>
        <v>0</v>
      </c>
      <c r="X1059" s="73">
        <f t="shared" si="410"/>
        <v>76179.234901092219</v>
      </c>
      <c r="Y1059" s="83">
        <v>20600</v>
      </c>
      <c r="Z1059" s="74">
        <f t="shared" si="411"/>
        <v>20600</v>
      </c>
      <c r="AA1059" s="74"/>
      <c r="AB1059" s="74"/>
      <c r="AC1059" s="74"/>
      <c r="AD1059" s="74">
        <f t="shared" si="412"/>
        <v>20600</v>
      </c>
      <c r="AE1059" s="74">
        <f t="shared" si="413"/>
        <v>55579.234901092219</v>
      </c>
      <c r="AF1059" s="52">
        <f t="shared" si="414"/>
        <v>607075</v>
      </c>
      <c r="AG1059" s="52">
        <f t="shared" si="415"/>
        <v>607075</v>
      </c>
    </row>
    <row r="1060" spans="1:33" s="21" customFormat="1" x14ac:dyDescent="0.2">
      <c r="A1060" s="166" t="s">
        <v>375</v>
      </c>
      <c r="B1060" s="166"/>
      <c r="C1060" s="166"/>
      <c r="D1060" s="65">
        <v>1</v>
      </c>
      <c r="E1060" s="167"/>
      <c r="F1060" s="168">
        <v>0</v>
      </c>
      <c r="G1060" s="168"/>
      <c r="H1060" s="52">
        <v>13110</v>
      </c>
      <c r="I1060" s="52">
        <f>H1060</f>
        <v>13110</v>
      </c>
      <c r="J1060" s="52">
        <f t="shared" si="405"/>
        <v>13110</v>
      </c>
      <c r="K1060" s="61"/>
      <c r="L1060" s="160">
        <v>0</v>
      </c>
      <c r="M1060" s="55">
        <f t="shared" si="406"/>
        <v>0</v>
      </c>
      <c r="N1060" s="55">
        <f t="shared" si="407"/>
        <v>0</v>
      </c>
      <c r="O1060" s="95"/>
      <c r="P1060" s="160">
        <v>0</v>
      </c>
      <c r="Q1060" s="55">
        <f t="shared" si="408"/>
        <v>0</v>
      </c>
      <c r="R1060" s="65">
        <f t="shared" si="409"/>
        <v>0</v>
      </c>
      <c r="S1060" s="127">
        <v>25</v>
      </c>
      <c r="T1060" s="125" t="s">
        <v>217</v>
      </c>
      <c r="U1060" s="73">
        <f>SUMIF('Avoided Costs 2013-2021'!$A:$A,'2013 Actuals'!T1060&amp;'2013 Actuals'!S1060,'Avoided Costs 2013-2021'!$E:$E)*J1060</f>
        <v>38596.768911712956</v>
      </c>
      <c r="V1060" s="73">
        <f>SUMIF('Avoided Costs 2013-2021'!$A:$A,'2013 Actuals'!T1060&amp;'2013 Actuals'!S1060,'Avoided Costs 2013-2021'!$K:$K)*N1060</f>
        <v>0</v>
      </c>
      <c r="W1060" s="73">
        <f>SUMIF('Avoided Costs 2013-2021'!$A:$A,'2013 Actuals'!T1060&amp;'2013 Actuals'!S1060,'Avoided Costs 2013-2021'!$M:$M)*R1060</f>
        <v>0</v>
      </c>
      <c r="X1060" s="73">
        <f t="shared" si="410"/>
        <v>38596.768911712956</v>
      </c>
      <c r="Y1060" s="83">
        <v>8952</v>
      </c>
      <c r="Z1060" s="74">
        <f t="shared" si="411"/>
        <v>8952</v>
      </c>
      <c r="AA1060" s="74"/>
      <c r="AB1060" s="74"/>
      <c r="AC1060" s="74"/>
      <c r="AD1060" s="74">
        <f t="shared" si="412"/>
        <v>8952</v>
      </c>
      <c r="AE1060" s="74">
        <f t="shared" si="413"/>
        <v>29644.768911712956</v>
      </c>
      <c r="AF1060" s="52">
        <f t="shared" si="414"/>
        <v>327750</v>
      </c>
      <c r="AG1060" s="52">
        <f t="shared" si="415"/>
        <v>327750</v>
      </c>
    </row>
    <row r="1061" spans="1:33" s="21" customFormat="1" x14ac:dyDescent="0.2">
      <c r="A1061" s="166" t="s">
        <v>376</v>
      </c>
      <c r="B1061" s="166"/>
      <c r="C1061" s="166"/>
      <c r="D1061" s="65">
        <v>1</v>
      </c>
      <c r="E1061" s="167"/>
      <c r="F1061" s="168">
        <v>0</v>
      </c>
      <c r="G1061" s="168"/>
      <c r="H1061" s="52">
        <v>27327</v>
      </c>
      <c r="I1061" s="52">
        <f t="shared" si="404"/>
        <v>24157.067999999999</v>
      </c>
      <c r="J1061" s="52">
        <f t="shared" si="405"/>
        <v>24157.067999999999</v>
      </c>
      <c r="K1061" s="61"/>
      <c r="L1061" s="160">
        <v>0</v>
      </c>
      <c r="M1061" s="55">
        <f t="shared" si="406"/>
        <v>0</v>
      </c>
      <c r="N1061" s="55">
        <f t="shared" si="407"/>
        <v>0</v>
      </c>
      <c r="O1061" s="95"/>
      <c r="P1061" s="160">
        <v>0</v>
      </c>
      <c r="Q1061" s="55">
        <f t="shared" si="408"/>
        <v>0</v>
      </c>
      <c r="R1061" s="65">
        <f t="shared" si="409"/>
        <v>0</v>
      </c>
      <c r="S1061" s="127">
        <v>25</v>
      </c>
      <c r="T1061" s="125" t="s">
        <v>201</v>
      </c>
      <c r="U1061" s="73">
        <f>SUMIF('Avoided Costs 2013-2021'!$A:$A,'2013 Actuals'!T1061&amp;'2013 Actuals'!S1061,'Avoided Costs 2013-2021'!$E:$E)*J1061</f>
        <v>75784.168253249503</v>
      </c>
      <c r="V1061" s="73">
        <f>SUMIF('Avoided Costs 2013-2021'!$A:$A,'2013 Actuals'!T1061&amp;'2013 Actuals'!S1061,'Avoided Costs 2013-2021'!$K:$K)*N1061</f>
        <v>0</v>
      </c>
      <c r="W1061" s="73">
        <f>SUMIF('Avoided Costs 2013-2021'!$A:$A,'2013 Actuals'!T1061&amp;'2013 Actuals'!S1061,'Avoided Costs 2013-2021'!$M:$M)*R1061</f>
        <v>0</v>
      </c>
      <c r="X1061" s="73">
        <f t="shared" si="410"/>
        <v>75784.168253249503</v>
      </c>
      <c r="Y1061" s="83">
        <v>12382</v>
      </c>
      <c r="Z1061" s="74">
        <f t="shared" si="411"/>
        <v>12382</v>
      </c>
      <c r="AA1061" s="74"/>
      <c r="AB1061" s="74"/>
      <c r="AC1061" s="74"/>
      <c r="AD1061" s="74">
        <f t="shared" si="412"/>
        <v>12382</v>
      </c>
      <c r="AE1061" s="74">
        <f t="shared" si="413"/>
        <v>63402.168253249503</v>
      </c>
      <c r="AF1061" s="52">
        <f t="shared" si="414"/>
        <v>603926.69999999995</v>
      </c>
      <c r="AG1061" s="52">
        <f t="shared" si="415"/>
        <v>603926.69999999995</v>
      </c>
    </row>
    <row r="1062" spans="1:33" s="21" customFormat="1" x14ac:dyDescent="0.2">
      <c r="A1062" s="166" t="s">
        <v>377</v>
      </c>
      <c r="B1062" s="166"/>
      <c r="C1062" s="166"/>
      <c r="D1062" s="65">
        <v>1</v>
      </c>
      <c r="E1062" s="167"/>
      <c r="F1062" s="168">
        <v>0</v>
      </c>
      <c r="G1062" s="168"/>
      <c r="H1062" s="52">
        <v>10620</v>
      </c>
      <c r="I1062" s="52">
        <f t="shared" si="404"/>
        <v>9388.08</v>
      </c>
      <c r="J1062" s="52">
        <f t="shared" si="405"/>
        <v>9388.08</v>
      </c>
      <c r="K1062" s="61"/>
      <c r="L1062" s="160">
        <v>5800</v>
      </c>
      <c r="M1062" s="55">
        <f t="shared" si="406"/>
        <v>5800</v>
      </c>
      <c r="N1062" s="55">
        <f t="shared" si="407"/>
        <v>5800</v>
      </c>
      <c r="O1062" s="95"/>
      <c r="P1062" s="160">
        <v>0</v>
      </c>
      <c r="Q1062" s="55">
        <f t="shared" si="408"/>
        <v>0</v>
      </c>
      <c r="R1062" s="65">
        <f t="shared" si="409"/>
        <v>0</v>
      </c>
      <c r="S1062" s="127">
        <v>15</v>
      </c>
      <c r="T1062" s="125" t="s">
        <v>201</v>
      </c>
      <c r="U1062" s="73">
        <f>SUMIF('Avoided Costs 2013-2021'!$A:$A,'2013 Actuals'!T1062&amp;'2013 Actuals'!S1062,'Avoided Costs 2013-2021'!$E:$E)*J1062</f>
        <v>20981.068424416058</v>
      </c>
      <c r="V1062" s="73">
        <f>SUMIF('Avoided Costs 2013-2021'!$A:$A,'2013 Actuals'!T1062&amp;'2013 Actuals'!S1062,'Avoided Costs 2013-2021'!$K:$K)*N1062</f>
        <v>6071.9832799225778</v>
      </c>
      <c r="W1062" s="73">
        <f>SUMIF('Avoided Costs 2013-2021'!$A:$A,'2013 Actuals'!T1062&amp;'2013 Actuals'!S1062,'Avoided Costs 2013-2021'!$M:$M)*R1062</f>
        <v>0</v>
      </c>
      <c r="X1062" s="73">
        <f t="shared" si="410"/>
        <v>27053.051704338635</v>
      </c>
      <c r="Y1062" s="83">
        <v>20400</v>
      </c>
      <c r="Z1062" s="74">
        <f t="shared" si="411"/>
        <v>20400</v>
      </c>
      <c r="AA1062" s="74"/>
      <c r="AB1062" s="74"/>
      <c r="AC1062" s="74"/>
      <c r="AD1062" s="74">
        <f t="shared" si="412"/>
        <v>20400</v>
      </c>
      <c r="AE1062" s="74">
        <f t="shared" si="413"/>
        <v>6653.0517043386353</v>
      </c>
      <c r="AF1062" s="52">
        <f t="shared" si="414"/>
        <v>140821.20000000001</v>
      </c>
      <c r="AG1062" s="52">
        <f t="shared" si="415"/>
        <v>140821.20000000001</v>
      </c>
    </row>
    <row r="1063" spans="1:33" s="21" customFormat="1" x14ac:dyDescent="0.2">
      <c r="A1063" s="166" t="s">
        <v>378</v>
      </c>
      <c r="B1063" s="166"/>
      <c r="C1063" s="166"/>
      <c r="D1063" s="65">
        <v>1</v>
      </c>
      <c r="E1063" s="167"/>
      <c r="F1063" s="168">
        <v>0</v>
      </c>
      <c r="G1063" s="168"/>
      <c r="H1063" s="52">
        <v>5883</v>
      </c>
      <c r="I1063" s="52">
        <f t="shared" si="404"/>
        <v>5200.5720000000001</v>
      </c>
      <c r="J1063" s="52">
        <f t="shared" si="405"/>
        <v>5200.5720000000001</v>
      </c>
      <c r="K1063" s="61"/>
      <c r="L1063" s="160">
        <v>4670</v>
      </c>
      <c r="M1063" s="55">
        <f t="shared" si="406"/>
        <v>4670</v>
      </c>
      <c r="N1063" s="55">
        <f t="shared" si="407"/>
        <v>4670</v>
      </c>
      <c r="O1063" s="95"/>
      <c r="P1063" s="160">
        <v>0</v>
      </c>
      <c r="Q1063" s="55">
        <f t="shared" si="408"/>
        <v>0</v>
      </c>
      <c r="R1063" s="65">
        <f t="shared" si="409"/>
        <v>0</v>
      </c>
      <c r="S1063" s="127">
        <v>15</v>
      </c>
      <c r="T1063" s="125" t="s">
        <v>201</v>
      </c>
      <c r="U1063" s="73">
        <f>SUMIF('Avoided Costs 2013-2021'!$A:$A,'2013 Actuals'!T1063&amp;'2013 Actuals'!S1063,'Avoided Costs 2013-2021'!$E:$E)*J1063</f>
        <v>11622.563610248557</v>
      </c>
      <c r="V1063" s="73">
        <f>SUMIF('Avoided Costs 2013-2021'!$A:$A,'2013 Actuals'!T1063&amp;'2013 Actuals'!S1063,'Avoided Costs 2013-2021'!$K:$K)*N1063</f>
        <v>4888.9934340066275</v>
      </c>
      <c r="W1063" s="73">
        <f>SUMIF('Avoided Costs 2013-2021'!$A:$A,'2013 Actuals'!T1063&amp;'2013 Actuals'!S1063,'Avoided Costs 2013-2021'!$M:$M)*R1063</f>
        <v>0</v>
      </c>
      <c r="X1063" s="73">
        <f t="shared" si="410"/>
        <v>16511.557044255183</v>
      </c>
      <c r="Y1063" s="83">
        <v>23600</v>
      </c>
      <c r="Z1063" s="74">
        <f t="shared" si="411"/>
        <v>23600</v>
      </c>
      <c r="AA1063" s="74"/>
      <c r="AB1063" s="74"/>
      <c r="AC1063" s="74"/>
      <c r="AD1063" s="74">
        <f t="shared" si="412"/>
        <v>23600</v>
      </c>
      <c r="AE1063" s="74">
        <f t="shared" si="413"/>
        <v>-7088.4429557448166</v>
      </c>
      <c r="AF1063" s="52">
        <f t="shared" si="414"/>
        <v>78008.58</v>
      </c>
      <c r="AG1063" s="52">
        <f t="shared" si="415"/>
        <v>78008.58</v>
      </c>
    </row>
    <row r="1064" spans="1:33" s="21" customFormat="1" x14ac:dyDescent="0.2">
      <c r="A1064" s="166" t="s">
        <v>379</v>
      </c>
      <c r="B1064" s="166"/>
      <c r="C1064" s="166"/>
      <c r="D1064" s="65">
        <v>0</v>
      </c>
      <c r="E1064" s="167"/>
      <c r="F1064" s="168">
        <v>0</v>
      </c>
      <c r="G1064" s="168"/>
      <c r="H1064" s="52">
        <v>4535</v>
      </c>
      <c r="I1064" s="52">
        <f t="shared" si="404"/>
        <v>4008.94</v>
      </c>
      <c r="J1064" s="52">
        <f t="shared" si="405"/>
        <v>4008.94</v>
      </c>
      <c r="K1064" s="61"/>
      <c r="L1064" s="160">
        <v>0</v>
      </c>
      <c r="M1064" s="55">
        <f t="shared" si="406"/>
        <v>0</v>
      </c>
      <c r="N1064" s="55">
        <f t="shared" si="407"/>
        <v>0</v>
      </c>
      <c r="O1064" s="95"/>
      <c r="P1064" s="160">
        <v>0</v>
      </c>
      <c r="Q1064" s="55">
        <f t="shared" si="408"/>
        <v>0</v>
      </c>
      <c r="R1064" s="65">
        <f t="shared" si="409"/>
        <v>0</v>
      </c>
      <c r="S1064" s="127">
        <v>25</v>
      </c>
      <c r="T1064" s="125" t="s">
        <v>201</v>
      </c>
      <c r="U1064" s="73">
        <f>SUMIF('Avoided Costs 2013-2021'!$A:$A,'2013 Actuals'!T1064&amp;'2013 Actuals'!S1064,'Avoided Costs 2013-2021'!$E:$E)*J1064</f>
        <v>12576.6166439231</v>
      </c>
      <c r="V1064" s="73">
        <f>SUMIF('Avoided Costs 2013-2021'!$A:$A,'2013 Actuals'!T1064&amp;'2013 Actuals'!S1064,'Avoided Costs 2013-2021'!$K:$K)*N1064</f>
        <v>0</v>
      </c>
      <c r="W1064" s="73">
        <f>SUMIF('Avoided Costs 2013-2021'!$A:$A,'2013 Actuals'!T1064&amp;'2013 Actuals'!S1064,'Avoided Costs 2013-2021'!$M:$M)*R1064</f>
        <v>0</v>
      </c>
      <c r="X1064" s="73">
        <f t="shared" si="410"/>
        <v>12576.6166439231</v>
      </c>
      <c r="Y1064" s="83">
        <v>3512</v>
      </c>
      <c r="Z1064" s="74">
        <f t="shared" si="411"/>
        <v>3512</v>
      </c>
      <c r="AA1064" s="74"/>
      <c r="AB1064" s="74"/>
      <c r="AC1064" s="74"/>
      <c r="AD1064" s="74">
        <f t="shared" si="412"/>
        <v>3512</v>
      </c>
      <c r="AE1064" s="74">
        <f t="shared" si="413"/>
        <v>9064.6166439231001</v>
      </c>
      <c r="AF1064" s="52">
        <f t="shared" si="414"/>
        <v>100223.5</v>
      </c>
      <c r="AG1064" s="52">
        <f t="shared" si="415"/>
        <v>100223.5</v>
      </c>
    </row>
    <row r="1065" spans="1:33" s="21" customFormat="1" x14ac:dyDescent="0.2">
      <c r="A1065" s="166" t="s">
        <v>380</v>
      </c>
      <c r="B1065" s="166"/>
      <c r="C1065" s="166"/>
      <c r="D1065" s="65">
        <v>1</v>
      </c>
      <c r="E1065" s="167"/>
      <c r="F1065" s="168">
        <v>0</v>
      </c>
      <c r="G1065" s="168"/>
      <c r="H1065" s="52">
        <v>16843</v>
      </c>
      <c r="I1065" s="52">
        <f t="shared" si="404"/>
        <v>14889.212</v>
      </c>
      <c r="J1065" s="52">
        <f t="shared" si="405"/>
        <v>14889.212</v>
      </c>
      <c r="K1065" s="61"/>
      <c r="L1065" s="160">
        <v>5523</v>
      </c>
      <c r="M1065" s="55">
        <f t="shared" si="406"/>
        <v>5523</v>
      </c>
      <c r="N1065" s="55">
        <f t="shared" si="407"/>
        <v>5523</v>
      </c>
      <c r="O1065" s="95"/>
      <c r="P1065" s="160">
        <v>0</v>
      </c>
      <c r="Q1065" s="55">
        <f t="shared" si="408"/>
        <v>0</v>
      </c>
      <c r="R1065" s="65">
        <f t="shared" si="409"/>
        <v>0</v>
      </c>
      <c r="S1065" s="127">
        <v>15</v>
      </c>
      <c r="T1065" s="125" t="s">
        <v>201</v>
      </c>
      <c r="U1065" s="73">
        <f>SUMIF('Avoided Costs 2013-2021'!$A:$A,'2013 Actuals'!T1065&amp;'2013 Actuals'!S1065,'Avoided Costs 2013-2021'!$E:$E)*J1065</f>
        <v>33275.342323205245</v>
      </c>
      <c r="V1065" s="73">
        <f>SUMIF('Avoided Costs 2013-2021'!$A:$A,'2013 Actuals'!T1065&amp;'2013 Actuals'!S1065,'Avoided Costs 2013-2021'!$K:$K)*N1065</f>
        <v>5781.9937336228277</v>
      </c>
      <c r="W1065" s="73">
        <f>SUMIF('Avoided Costs 2013-2021'!$A:$A,'2013 Actuals'!T1065&amp;'2013 Actuals'!S1065,'Avoided Costs 2013-2021'!$M:$M)*R1065</f>
        <v>0</v>
      </c>
      <c r="X1065" s="73">
        <f t="shared" si="410"/>
        <v>39057.33605682807</v>
      </c>
      <c r="Y1065" s="83">
        <v>21420</v>
      </c>
      <c r="Z1065" s="74">
        <f t="shared" si="411"/>
        <v>21420</v>
      </c>
      <c r="AA1065" s="74"/>
      <c r="AB1065" s="74"/>
      <c r="AC1065" s="74"/>
      <c r="AD1065" s="74">
        <f t="shared" si="412"/>
        <v>21420</v>
      </c>
      <c r="AE1065" s="74">
        <f t="shared" si="413"/>
        <v>17637.33605682807</v>
      </c>
      <c r="AF1065" s="52">
        <f t="shared" si="414"/>
        <v>223338.18</v>
      </c>
      <c r="AG1065" s="52">
        <f t="shared" si="415"/>
        <v>223338.18</v>
      </c>
    </row>
    <row r="1066" spans="1:33" s="21" customFormat="1" x14ac:dyDescent="0.2">
      <c r="A1066" s="166" t="s">
        <v>381</v>
      </c>
      <c r="B1066" s="166"/>
      <c r="C1066" s="166"/>
      <c r="D1066" s="65">
        <v>1</v>
      </c>
      <c r="E1066" s="167"/>
      <c r="F1066" s="168">
        <v>0</v>
      </c>
      <c r="G1066" s="168"/>
      <c r="H1066" s="52">
        <v>3569</v>
      </c>
      <c r="I1066" s="52">
        <f>H1066</f>
        <v>3569</v>
      </c>
      <c r="J1066" s="52">
        <f t="shared" si="405"/>
        <v>3569</v>
      </c>
      <c r="K1066" s="61"/>
      <c r="L1066" s="160">
        <v>-12136</v>
      </c>
      <c r="M1066" s="55">
        <f>L1066</f>
        <v>-12136</v>
      </c>
      <c r="N1066" s="55">
        <f t="shared" si="407"/>
        <v>-12136</v>
      </c>
      <c r="O1066" s="95"/>
      <c r="P1066" s="160">
        <v>0</v>
      </c>
      <c r="Q1066" s="55">
        <f>+P1066</f>
        <v>0</v>
      </c>
      <c r="R1066" s="65">
        <f t="shared" si="409"/>
        <v>0</v>
      </c>
      <c r="S1066" s="127">
        <v>15</v>
      </c>
      <c r="T1066" s="125" t="s">
        <v>201</v>
      </c>
      <c r="U1066" s="73">
        <f>SUMIF('Avoided Costs 2013-2021'!$A:$A,'2013 Actuals'!T1066&amp;'2013 Actuals'!S1066,'Avoided Costs 2013-2021'!$E:$E)*J1066</f>
        <v>7976.2244470371916</v>
      </c>
      <c r="V1066" s="73">
        <f>SUMIF('Avoided Costs 2013-2021'!$A:$A,'2013 Actuals'!T1066&amp;'2013 Actuals'!S1066,'Avoided Costs 2013-2021'!$K:$K)*N1066</f>
        <v>-12705.101566403519</v>
      </c>
      <c r="W1066" s="73">
        <f>SUMIF('Avoided Costs 2013-2021'!$A:$A,'2013 Actuals'!T1066&amp;'2013 Actuals'!S1066,'Avoided Costs 2013-2021'!$M:$M)*R1066</f>
        <v>0</v>
      </c>
      <c r="X1066" s="73">
        <f t="shared" si="410"/>
        <v>-4728.877119366327</v>
      </c>
      <c r="Y1066" s="83">
        <v>11520.8</v>
      </c>
      <c r="Z1066" s="74">
        <f t="shared" si="411"/>
        <v>11520.8</v>
      </c>
      <c r="AA1066" s="74"/>
      <c r="AB1066" s="74"/>
      <c r="AC1066" s="74"/>
      <c r="AD1066" s="74">
        <f t="shared" si="412"/>
        <v>11520.8</v>
      </c>
      <c r="AE1066" s="74">
        <f t="shared" si="413"/>
        <v>-16249.677119366326</v>
      </c>
      <c r="AF1066" s="52">
        <f t="shared" si="414"/>
        <v>53535</v>
      </c>
      <c r="AG1066" s="52">
        <f t="shared" si="415"/>
        <v>53535</v>
      </c>
    </row>
    <row r="1067" spans="1:33" s="21" customFormat="1" x14ac:dyDescent="0.2">
      <c r="A1067" s="166" t="s">
        <v>382</v>
      </c>
      <c r="B1067" s="166"/>
      <c r="C1067" s="166"/>
      <c r="D1067" s="65">
        <v>1</v>
      </c>
      <c r="E1067" s="167"/>
      <c r="F1067" s="168">
        <v>0</v>
      </c>
      <c r="G1067" s="168"/>
      <c r="H1067" s="52">
        <v>77933</v>
      </c>
      <c r="I1067" s="52">
        <f>H1067</f>
        <v>77933</v>
      </c>
      <c r="J1067" s="52">
        <f t="shared" si="405"/>
        <v>77933</v>
      </c>
      <c r="K1067" s="61"/>
      <c r="L1067" s="160">
        <v>0</v>
      </c>
      <c r="M1067" s="55">
        <f>L1067</f>
        <v>0</v>
      </c>
      <c r="N1067" s="55">
        <f t="shared" si="407"/>
        <v>0</v>
      </c>
      <c r="O1067" s="95"/>
      <c r="P1067" s="160">
        <v>0</v>
      </c>
      <c r="Q1067" s="55">
        <f>+P1067</f>
        <v>0</v>
      </c>
      <c r="R1067" s="65">
        <f t="shared" si="409"/>
        <v>0</v>
      </c>
      <c r="S1067" s="127">
        <v>15</v>
      </c>
      <c r="T1067" s="125" t="s">
        <v>201</v>
      </c>
      <c r="U1067" s="73">
        <f>SUMIF('Avoided Costs 2013-2021'!$A:$A,'2013 Actuals'!T1067&amp;'2013 Actuals'!S1067,'Avoided Costs 2013-2021'!$E:$E)*J1067</f>
        <v>174169.54324207045</v>
      </c>
      <c r="V1067" s="73">
        <f>SUMIF('Avoided Costs 2013-2021'!$A:$A,'2013 Actuals'!T1067&amp;'2013 Actuals'!S1067,'Avoided Costs 2013-2021'!$K:$K)*N1067</f>
        <v>0</v>
      </c>
      <c r="W1067" s="73">
        <f>SUMIF('Avoided Costs 2013-2021'!$A:$A,'2013 Actuals'!T1067&amp;'2013 Actuals'!S1067,'Avoided Costs 2013-2021'!$M:$M)*R1067</f>
        <v>0</v>
      </c>
      <c r="X1067" s="73">
        <f t="shared" si="410"/>
        <v>174169.54324207045</v>
      </c>
      <c r="Y1067" s="83">
        <v>60000</v>
      </c>
      <c r="Z1067" s="74">
        <f t="shared" si="411"/>
        <v>60000</v>
      </c>
      <c r="AA1067" s="74"/>
      <c r="AB1067" s="74"/>
      <c r="AC1067" s="74"/>
      <c r="AD1067" s="74">
        <f t="shared" si="412"/>
        <v>60000</v>
      </c>
      <c r="AE1067" s="74">
        <f t="shared" si="413"/>
        <v>114169.54324207045</v>
      </c>
      <c r="AF1067" s="52">
        <f t="shared" si="414"/>
        <v>1168995</v>
      </c>
      <c r="AG1067" s="52">
        <f t="shared" si="415"/>
        <v>1168995</v>
      </c>
    </row>
    <row r="1068" spans="1:33" s="21" customFormat="1" x14ac:dyDescent="0.2">
      <c r="A1068" s="166" t="s">
        <v>383</v>
      </c>
      <c r="B1068" s="166"/>
      <c r="C1068" s="166"/>
      <c r="D1068" s="65">
        <v>1</v>
      </c>
      <c r="E1068" s="167"/>
      <c r="F1068" s="168">
        <v>0</v>
      </c>
      <c r="G1068" s="168"/>
      <c r="H1068" s="52">
        <v>41891</v>
      </c>
      <c r="I1068" s="52">
        <f>H1068</f>
        <v>41891</v>
      </c>
      <c r="J1068" s="52">
        <f t="shared" si="405"/>
        <v>41891</v>
      </c>
      <c r="K1068" s="61"/>
      <c r="L1068" s="160">
        <v>0</v>
      </c>
      <c r="M1068" s="55">
        <f>L1068</f>
        <v>0</v>
      </c>
      <c r="N1068" s="55">
        <f t="shared" si="407"/>
        <v>0</v>
      </c>
      <c r="O1068" s="95"/>
      <c r="P1068" s="160">
        <v>0</v>
      </c>
      <c r="Q1068" s="55">
        <f>+P1068</f>
        <v>0</v>
      </c>
      <c r="R1068" s="65">
        <f t="shared" si="409"/>
        <v>0</v>
      </c>
      <c r="S1068" s="127">
        <v>25</v>
      </c>
      <c r="T1068" s="125" t="s">
        <v>201</v>
      </c>
      <c r="U1068" s="73">
        <f>SUMIF('Avoided Costs 2013-2021'!$A:$A,'2013 Actuals'!T1068&amp;'2013 Actuals'!S1068,'Avoided Costs 2013-2021'!$E:$E)*J1068</f>
        <v>131418.04263236231</v>
      </c>
      <c r="V1068" s="73">
        <f>SUMIF('Avoided Costs 2013-2021'!$A:$A,'2013 Actuals'!T1068&amp;'2013 Actuals'!S1068,'Avoided Costs 2013-2021'!$K:$K)*N1068</f>
        <v>0</v>
      </c>
      <c r="W1068" s="73">
        <f>SUMIF('Avoided Costs 2013-2021'!$A:$A,'2013 Actuals'!T1068&amp;'2013 Actuals'!S1068,'Avoided Costs 2013-2021'!$M:$M)*R1068</f>
        <v>0</v>
      </c>
      <c r="X1068" s="73">
        <f t="shared" si="410"/>
        <v>131418.04263236231</v>
      </c>
      <c r="Y1068" s="83">
        <v>-1293</v>
      </c>
      <c r="Z1068" s="74">
        <f t="shared" si="411"/>
        <v>-1293</v>
      </c>
      <c r="AA1068" s="74"/>
      <c r="AB1068" s="74"/>
      <c r="AC1068" s="74"/>
      <c r="AD1068" s="74">
        <f t="shared" si="412"/>
        <v>-1293</v>
      </c>
      <c r="AE1068" s="74">
        <f t="shared" si="413"/>
        <v>132711.04263236231</v>
      </c>
      <c r="AF1068" s="52">
        <f t="shared" si="414"/>
        <v>1047275</v>
      </c>
      <c r="AG1068" s="52">
        <f t="shared" si="415"/>
        <v>1047275</v>
      </c>
    </row>
    <row r="1069" spans="1:33" s="21" customFormat="1" x14ac:dyDescent="0.2">
      <c r="A1069" s="166" t="s">
        <v>384</v>
      </c>
      <c r="B1069" s="166"/>
      <c r="C1069" s="166"/>
      <c r="D1069" s="65">
        <v>1</v>
      </c>
      <c r="E1069" s="167"/>
      <c r="F1069" s="168">
        <v>0</v>
      </c>
      <c r="G1069" s="168"/>
      <c r="H1069" s="52">
        <v>106689</v>
      </c>
      <c r="I1069" s="52">
        <f>H1069</f>
        <v>106689</v>
      </c>
      <c r="J1069" s="52">
        <f t="shared" si="405"/>
        <v>106689</v>
      </c>
      <c r="K1069" s="61"/>
      <c r="L1069" s="160">
        <v>0</v>
      </c>
      <c r="M1069" s="55">
        <f>L1069</f>
        <v>0</v>
      </c>
      <c r="N1069" s="55">
        <f t="shared" si="407"/>
        <v>0</v>
      </c>
      <c r="O1069" s="95"/>
      <c r="P1069" s="160">
        <v>0</v>
      </c>
      <c r="Q1069" s="55">
        <f>+P1069</f>
        <v>0</v>
      </c>
      <c r="R1069" s="65">
        <f t="shared" si="409"/>
        <v>0</v>
      </c>
      <c r="S1069" s="127">
        <v>25</v>
      </c>
      <c r="T1069" s="125" t="s">
        <v>201</v>
      </c>
      <c r="U1069" s="73">
        <f>SUMIF('Avoided Costs 2013-2021'!$A:$A,'2013 Actuals'!T1069&amp;'2013 Actuals'!S1069,'Avoided Costs 2013-2021'!$E:$E)*J1069</f>
        <v>334698.61188331863</v>
      </c>
      <c r="V1069" s="73">
        <f>SUMIF('Avoided Costs 2013-2021'!$A:$A,'2013 Actuals'!T1069&amp;'2013 Actuals'!S1069,'Avoided Costs 2013-2021'!$K:$K)*N1069</f>
        <v>0</v>
      </c>
      <c r="W1069" s="73">
        <f>SUMIF('Avoided Costs 2013-2021'!$A:$A,'2013 Actuals'!T1069&amp;'2013 Actuals'!S1069,'Avoided Costs 2013-2021'!$M:$M)*R1069</f>
        <v>0</v>
      </c>
      <c r="X1069" s="73">
        <f t="shared" si="410"/>
        <v>334698.61188331863</v>
      </c>
      <c r="Y1069" s="83">
        <v>17705</v>
      </c>
      <c r="Z1069" s="74">
        <f t="shared" si="411"/>
        <v>17705</v>
      </c>
      <c r="AA1069" s="74"/>
      <c r="AB1069" s="74"/>
      <c r="AC1069" s="74"/>
      <c r="AD1069" s="74">
        <f t="shared" si="412"/>
        <v>17705</v>
      </c>
      <c r="AE1069" s="74">
        <f t="shared" si="413"/>
        <v>316993.61188331863</v>
      </c>
      <c r="AF1069" s="52">
        <f t="shared" si="414"/>
        <v>2667225</v>
      </c>
      <c r="AG1069" s="52">
        <f t="shared" si="415"/>
        <v>2667225</v>
      </c>
    </row>
    <row r="1070" spans="1:33" s="21" customFormat="1" x14ac:dyDescent="0.2">
      <c r="A1070" s="166" t="s">
        <v>385</v>
      </c>
      <c r="B1070" s="166"/>
      <c r="C1070" s="166"/>
      <c r="D1070" s="65">
        <v>1</v>
      </c>
      <c r="E1070" s="167"/>
      <c r="F1070" s="168">
        <v>0</v>
      </c>
      <c r="G1070" s="168"/>
      <c r="H1070" s="52">
        <v>38028</v>
      </c>
      <c r="I1070" s="52">
        <f t="shared" ref="I1070:I1088" si="417">+$H$39*H1070</f>
        <v>33616.752</v>
      </c>
      <c r="J1070" s="52">
        <f t="shared" si="405"/>
        <v>33616.752</v>
      </c>
      <c r="K1070" s="61"/>
      <c r="L1070" s="160">
        <v>0</v>
      </c>
      <c r="M1070" s="55">
        <f t="shared" ref="M1070:M1093" si="418">+$L$39*L1070</f>
        <v>0</v>
      </c>
      <c r="N1070" s="55">
        <f t="shared" si="407"/>
        <v>0</v>
      </c>
      <c r="O1070" s="95"/>
      <c r="P1070" s="160">
        <v>0</v>
      </c>
      <c r="Q1070" s="55">
        <f t="shared" ref="Q1070:Q1093" si="419">+P1070*$P$39</f>
        <v>0</v>
      </c>
      <c r="R1070" s="65">
        <f t="shared" si="409"/>
        <v>0</v>
      </c>
      <c r="S1070" s="127">
        <v>15</v>
      </c>
      <c r="T1070" s="125" t="s">
        <v>201</v>
      </c>
      <c r="U1070" s="73">
        <f>SUMIF('Avoided Costs 2013-2021'!$A:$A,'2013 Actuals'!T1070&amp;'2013 Actuals'!S1070,'Avoided Costs 2013-2021'!$E:$E)*J1070</f>
        <v>75128.820154773435</v>
      </c>
      <c r="V1070" s="73">
        <f>SUMIF('Avoided Costs 2013-2021'!$A:$A,'2013 Actuals'!T1070&amp;'2013 Actuals'!S1070,'Avoided Costs 2013-2021'!$K:$K)*N1070</f>
        <v>0</v>
      </c>
      <c r="W1070" s="73">
        <f>SUMIF('Avoided Costs 2013-2021'!$A:$A,'2013 Actuals'!T1070&amp;'2013 Actuals'!S1070,'Avoided Costs 2013-2021'!$M:$M)*R1070</f>
        <v>0</v>
      </c>
      <c r="X1070" s="73">
        <f t="shared" si="410"/>
        <v>75128.820154773435</v>
      </c>
      <c r="Y1070" s="83">
        <v>16052</v>
      </c>
      <c r="Z1070" s="74">
        <f t="shared" si="411"/>
        <v>16052</v>
      </c>
      <c r="AA1070" s="74"/>
      <c r="AB1070" s="74"/>
      <c r="AC1070" s="74"/>
      <c r="AD1070" s="74">
        <f t="shared" si="412"/>
        <v>16052</v>
      </c>
      <c r="AE1070" s="74">
        <f t="shared" si="413"/>
        <v>59076.820154773435</v>
      </c>
      <c r="AF1070" s="52">
        <f t="shared" si="414"/>
        <v>504251.28</v>
      </c>
      <c r="AG1070" s="52">
        <f t="shared" si="415"/>
        <v>504251.28</v>
      </c>
    </row>
    <row r="1071" spans="1:33" s="21" customFormat="1" x14ac:dyDescent="0.2">
      <c r="A1071" s="166" t="s">
        <v>386</v>
      </c>
      <c r="B1071" s="166"/>
      <c r="C1071" s="166"/>
      <c r="D1071" s="65">
        <v>1</v>
      </c>
      <c r="E1071" s="167"/>
      <c r="F1071" s="168">
        <v>0</v>
      </c>
      <c r="G1071" s="168"/>
      <c r="H1071" s="52">
        <v>14382</v>
      </c>
      <c r="I1071" s="52">
        <f t="shared" si="417"/>
        <v>12713.688</v>
      </c>
      <c r="J1071" s="52">
        <f t="shared" si="405"/>
        <v>12713.688</v>
      </c>
      <c r="K1071" s="61"/>
      <c r="L1071" s="160">
        <v>0</v>
      </c>
      <c r="M1071" s="55">
        <f t="shared" si="418"/>
        <v>0</v>
      </c>
      <c r="N1071" s="55">
        <f t="shared" si="407"/>
        <v>0</v>
      </c>
      <c r="O1071" s="95"/>
      <c r="P1071" s="160">
        <v>0</v>
      </c>
      <c r="Q1071" s="55">
        <f t="shared" si="419"/>
        <v>0</v>
      </c>
      <c r="R1071" s="65">
        <f t="shared" si="409"/>
        <v>0</v>
      </c>
      <c r="S1071" s="127">
        <v>15</v>
      </c>
      <c r="T1071" s="125" t="s">
        <v>201</v>
      </c>
      <c r="U1071" s="73">
        <f>SUMIF('Avoided Costs 2013-2021'!$A:$A,'2013 Actuals'!T1071&amp;'2013 Actuals'!S1071,'Avoided Costs 2013-2021'!$E:$E)*J1071</f>
        <v>28413.345205268528</v>
      </c>
      <c r="V1071" s="73">
        <f>SUMIF('Avoided Costs 2013-2021'!$A:$A,'2013 Actuals'!T1071&amp;'2013 Actuals'!S1071,'Avoided Costs 2013-2021'!$K:$K)*N1071</f>
        <v>0</v>
      </c>
      <c r="W1071" s="73">
        <f>SUMIF('Avoided Costs 2013-2021'!$A:$A,'2013 Actuals'!T1071&amp;'2013 Actuals'!S1071,'Avoided Costs 2013-2021'!$M:$M)*R1071</f>
        <v>0</v>
      </c>
      <c r="X1071" s="73">
        <f t="shared" si="410"/>
        <v>28413.345205268528</v>
      </c>
      <c r="Y1071" s="83">
        <v>2759.42</v>
      </c>
      <c r="Z1071" s="74">
        <f t="shared" si="411"/>
        <v>2759.42</v>
      </c>
      <c r="AA1071" s="74"/>
      <c r="AB1071" s="74"/>
      <c r="AC1071" s="74"/>
      <c r="AD1071" s="74">
        <f t="shared" si="412"/>
        <v>2759.42</v>
      </c>
      <c r="AE1071" s="74">
        <f t="shared" si="413"/>
        <v>25653.925205268526</v>
      </c>
      <c r="AF1071" s="52">
        <f t="shared" si="414"/>
        <v>190705.32</v>
      </c>
      <c r="AG1071" s="52">
        <f t="shared" si="415"/>
        <v>190705.32</v>
      </c>
    </row>
    <row r="1072" spans="1:33" s="21" customFormat="1" x14ac:dyDescent="0.2">
      <c r="A1072" s="166" t="s">
        <v>387</v>
      </c>
      <c r="B1072" s="166"/>
      <c r="C1072" s="166"/>
      <c r="D1072" s="65">
        <v>1</v>
      </c>
      <c r="E1072" s="167"/>
      <c r="F1072" s="168">
        <v>0</v>
      </c>
      <c r="G1072" s="168"/>
      <c r="H1072" s="52">
        <v>4001</v>
      </c>
      <c r="I1072" s="52">
        <f t="shared" si="417"/>
        <v>3536.884</v>
      </c>
      <c r="J1072" s="52">
        <f t="shared" si="405"/>
        <v>3536.884</v>
      </c>
      <c r="K1072" s="61"/>
      <c r="L1072" s="160">
        <v>0</v>
      </c>
      <c r="M1072" s="55">
        <f t="shared" si="418"/>
        <v>0</v>
      </c>
      <c r="N1072" s="55">
        <f t="shared" si="407"/>
        <v>0</v>
      </c>
      <c r="O1072" s="95"/>
      <c r="P1072" s="160">
        <v>0</v>
      </c>
      <c r="Q1072" s="55">
        <f t="shared" si="419"/>
        <v>0</v>
      </c>
      <c r="R1072" s="65">
        <f t="shared" si="409"/>
        <v>0</v>
      </c>
      <c r="S1072" s="127">
        <v>25</v>
      </c>
      <c r="T1072" s="125" t="s">
        <v>217</v>
      </c>
      <c r="U1072" s="73">
        <f>SUMIF('Avoided Costs 2013-2021'!$A:$A,'2013 Actuals'!T1072&amp;'2013 Actuals'!S1072,'Avoided Costs 2013-2021'!$E:$E)*J1072</f>
        <v>10412.837102634247</v>
      </c>
      <c r="V1072" s="73">
        <f>SUMIF('Avoided Costs 2013-2021'!$A:$A,'2013 Actuals'!T1072&amp;'2013 Actuals'!S1072,'Avoided Costs 2013-2021'!$K:$K)*N1072</f>
        <v>0</v>
      </c>
      <c r="W1072" s="73">
        <f>SUMIF('Avoided Costs 2013-2021'!$A:$A,'2013 Actuals'!T1072&amp;'2013 Actuals'!S1072,'Avoided Costs 2013-2021'!$M:$M)*R1072</f>
        <v>0</v>
      </c>
      <c r="X1072" s="73">
        <f t="shared" si="410"/>
        <v>10412.837102634247</v>
      </c>
      <c r="Y1072" s="83">
        <v>13812</v>
      </c>
      <c r="Z1072" s="74">
        <f t="shared" si="411"/>
        <v>13812</v>
      </c>
      <c r="AA1072" s="74"/>
      <c r="AB1072" s="74"/>
      <c r="AC1072" s="74"/>
      <c r="AD1072" s="74">
        <f t="shared" si="412"/>
        <v>13812</v>
      </c>
      <c r="AE1072" s="74">
        <f t="shared" si="413"/>
        <v>-3399.1628973657535</v>
      </c>
      <c r="AF1072" s="52">
        <f t="shared" si="414"/>
        <v>88422.1</v>
      </c>
      <c r="AG1072" s="52">
        <f t="shared" si="415"/>
        <v>88422.1</v>
      </c>
    </row>
    <row r="1073" spans="1:33" s="21" customFormat="1" x14ac:dyDescent="0.2">
      <c r="A1073" s="166" t="s">
        <v>388</v>
      </c>
      <c r="B1073" s="166"/>
      <c r="C1073" s="166"/>
      <c r="D1073" s="65">
        <v>1</v>
      </c>
      <c r="E1073" s="167"/>
      <c r="F1073" s="168">
        <v>0</v>
      </c>
      <c r="G1073" s="168"/>
      <c r="H1073" s="52">
        <v>25728</v>
      </c>
      <c r="I1073" s="52">
        <f t="shared" si="417"/>
        <v>22743.552</v>
      </c>
      <c r="J1073" s="52">
        <f t="shared" si="405"/>
        <v>22743.552</v>
      </c>
      <c r="K1073" s="61"/>
      <c r="L1073" s="160">
        <v>0</v>
      </c>
      <c r="M1073" s="55">
        <f t="shared" si="418"/>
        <v>0</v>
      </c>
      <c r="N1073" s="55">
        <f t="shared" si="407"/>
        <v>0</v>
      </c>
      <c r="O1073" s="95"/>
      <c r="P1073" s="160">
        <v>0</v>
      </c>
      <c r="Q1073" s="55">
        <f t="shared" si="419"/>
        <v>0</v>
      </c>
      <c r="R1073" s="65">
        <f t="shared" si="409"/>
        <v>0</v>
      </c>
      <c r="S1073" s="127">
        <v>25</v>
      </c>
      <c r="T1073" s="125" t="s">
        <v>201</v>
      </c>
      <c r="U1073" s="73">
        <f>SUMIF('Avoided Costs 2013-2021'!$A:$A,'2013 Actuals'!T1073&amp;'2013 Actuals'!S1073,'Avoided Costs 2013-2021'!$E:$E)*J1073</f>
        <v>71349.766927200326</v>
      </c>
      <c r="V1073" s="73">
        <f>SUMIF('Avoided Costs 2013-2021'!$A:$A,'2013 Actuals'!T1073&amp;'2013 Actuals'!S1073,'Avoided Costs 2013-2021'!$K:$K)*N1073</f>
        <v>0</v>
      </c>
      <c r="W1073" s="73">
        <f>SUMIF('Avoided Costs 2013-2021'!$A:$A,'2013 Actuals'!T1073&amp;'2013 Actuals'!S1073,'Avoided Costs 2013-2021'!$M:$M)*R1073</f>
        <v>0</v>
      </c>
      <c r="X1073" s="73">
        <f t="shared" si="410"/>
        <v>71349.766927200326</v>
      </c>
      <c r="Y1073" s="83">
        <v>50000</v>
      </c>
      <c r="Z1073" s="74">
        <f t="shared" si="411"/>
        <v>50000</v>
      </c>
      <c r="AA1073" s="74"/>
      <c r="AB1073" s="74"/>
      <c r="AC1073" s="74"/>
      <c r="AD1073" s="74">
        <f t="shared" si="412"/>
        <v>50000</v>
      </c>
      <c r="AE1073" s="74">
        <f t="shared" si="413"/>
        <v>21349.766927200326</v>
      </c>
      <c r="AF1073" s="52">
        <f t="shared" si="414"/>
        <v>568588.80000000005</v>
      </c>
      <c r="AG1073" s="52">
        <f t="shared" si="415"/>
        <v>568588.80000000005</v>
      </c>
    </row>
    <row r="1074" spans="1:33" s="21" customFormat="1" x14ac:dyDescent="0.2">
      <c r="A1074" s="166" t="s">
        <v>389</v>
      </c>
      <c r="B1074" s="166"/>
      <c r="C1074" s="166"/>
      <c r="D1074" s="65">
        <v>1</v>
      </c>
      <c r="E1074" s="167"/>
      <c r="F1074" s="168">
        <v>0</v>
      </c>
      <c r="G1074" s="168"/>
      <c r="H1074" s="52">
        <v>82652</v>
      </c>
      <c r="I1074" s="52">
        <f t="shared" si="417"/>
        <v>73064.368000000002</v>
      </c>
      <c r="J1074" s="52">
        <f t="shared" si="405"/>
        <v>73064.368000000002</v>
      </c>
      <c r="K1074" s="61"/>
      <c r="L1074" s="160">
        <v>0</v>
      </c>
      <c r="M1074" s="55">
        <f t="shared" si="418"/>
        <v>0</v>
      </c>
      <c r="N1074" s="55">
        <f t="shared" si="407"/>
        <v>0</v>
      </c>
      <c r="O1074" s="95"/>
      <c r="P1074" s="160">
        <v>0</v>
      </c>
      <c r="Q1074" s="55">
        <f t="shared" si="419"/>
        <v>0</v>
      </c>
      <c r="R1074" s="65">
        <f t="shared" si="409"/>
        <v>0</v>
      </c>
      <c r="S1074" s="127">
        <v>25</v>
      </c>
      <c r="T1074" s="125" t="s">
        <v>201</v>
      </c>
      <c r="U1074" s="73">
        <f>SUMIF('Avoided Costs 2013-2021'!$A:$A,'2013 Actuals'!T1074&amp;'2013 Actuals'!S1074,'Avoided Costs 2013-2021'!$E:$E)*J1074</f>
        <v>229213.34484091113</v>
      </c>
      <c r="V1074" s="73">
        <f>SUMIF('Avoided Costs 2013-2021'!$A:$A,'2013 Actuals'!T1074&amp;'2013 Actuals'!S1074,'Avoided Costs 2013-2021'!$K:$K)*N1074</f>
        <v>0</v>
      </c>
      <c r="W1074" s="73">
        <f>SUMIF('Avoided Costs 2013-2021'!$A:$A,'2013 Actuals'!T1074&amp;'2013 Actuals'!S1074,'Avoided Costs 2013-2021'!$M:$M)*R1074</f>
        <v>0</v>
      </c>
      <c r="X1074" s="73">
        <f t="shared" si="410"/>
        <v>229213.34484091113</v>
      </c>
      <c r="Y1074" s="83">
        <v>19089</v>
      </c>
      <c r="Z1074" s="74">
        <f t="shared" si="411"/>
        <v>19089</v>
      </c>
      <c r="AA1074" s="74"/>
      <c r="AB1074" s="74"/>
      <c r="AC1074" s="74"/>
      <c r="AD1074" s="74">
        <f t="shared" si="412"/>
        <v>19089</v>
      </c>
      <c r="AE1074" s="74">
        <f t="shared" si="413"/>
        <v>210124.34484091113</v>
      </c>
      <c r="AF1074" s="52">
        <f t="shared" si="414"/>
        <v>1826609.2</v>
      </c>
      <c r="AG1074" s="52">
        <f t="shared" si="415"/>
        <v>1826609.2</v>
      </c>
    </row>
    <row r="1075" spans="1:33" s="21" customFormat="1" x14ac:dyDescent="0.2">
      <c r="A1075" s="166" t="s">
        <v>390</v>
      </c>
      <c r="B1075" s="166"/>
      <c r="C1075" s="166"/>
      <c r="D1075" s="65">
        <v>1</v>
      </c>
      <c r="E1075" s="167"/>
      <c r="F1075" s="168">
        <v>0</v>
      </c>
      <c r="G1075" s="168"/>
      <c r="H1075" s="52">
        <v>54110</v>
      </c>
      <c r="I1075" s="52">
        <f t="shared" si="417"/>
        <v>47833.24</v>
      </c>
      <c r="J1075" s="52">
        <f t="shared" si="405"/>
        <v>47833.24</v>
      </c>
      <c r="K1075" s="61"/>
      <c r="L1075" s="160">
        <v>0</v>
      </c>
      <c r="M1075" s="55">
        <f t="shared" si="418"/>
        <v>0</v>
      </c>
      <c r="N1075" s="55">
        <f t="shared" si="407"/>
        <v>0</v>
      </c>
      <c r="O1075" s="95"/>
      <c r="P1075" s="160">
        <v>0</v>
      </c>
      <c r="Q1075" s="55">
        <f t="shared" si="419"/>
        <v>0</v>
      </c>
      <c r="R1075" s="65">
        <f t="shared" si="409"/>
        <v>0</v>
      </c>
      <c r="S1075" s="127">
        <v>15</v>
      </c>
      <c r="T1075" s="125" t="s">
        <v>201</v>
      </c>
      <c r="U1075" s="73">
        <f>SUMIF('Avoided Costs 2013-2021'!$A:$A,'2013 Actuals'!T1075&amp;'2013 Actuals'!S1075,'Avoided Costs 2013-2021'!$E:$E)*J1075</f>
        <v>106900.7168027451</v>
      </c>
      <c r="V1075" s="73">
        <f>SUMIF('Avoided Costs 2013-2021'!$A:$A,'2013 Actuals'!T1075&amp;'2013 Actuals'!S1075,'Avoided Costs 2013-2021'!$K:$K)*N1075</f>
        <v>0</v>
      </c>
      <c r="W1075" s="73">
        <f>SUMIF('Avoided Costs 2013-2021'!$A:$A,'2013 Actuals'!T1075&amp;'2013 Actuals'!S1075,'Avoided Costs 2013-2021'!$M:$M)*R1075</f>
        <v>0</v>
      </c>
      <c r="X1075" s="73">
        <f t="shared" si="410"/>
        <v>106900.7168027451</v>
      </c>
      <c r="Y1075" s="83">
        <v>22825.919999999998</v>
      </c>
      <c r="Z1075" s="74">
        <f t="shared" si="411"/>
        <v>22825.919999999998</v>
      </c>
      <c r="AA1075" s="74"/>
      <c r="AB1075" s="74"/>
      <c r="AC1075" s="74"/>
      <c r="AD1075" s="74">
        <f t="shared" si="412"/>
        <v>22825.919999999998</v>
      </c>
      <c r="AE1075" s="74">
        <f t="shared" si="413"/>
        <v>84074.796802745099</v>
      </c>
      <c r="AF1075" s="52">
        <f t="shared" si="414"/>
        <v>717498.6</v>
      </c>
      <c r="AG1075" s="52">
        <f t="shared" si="415"/>
        <v>717498.6</v>
      </c>
    </row>
    <row r="1076" spans="1:33" s="21" customFormat="1" x14ac:dyDescent="0.2">
      <c r="A1076" s="166" t="s">
        <v>391</v>
      </c>
      <c r="B1076" s="166"/>
      <c r="C1076" s="166"/>
      <c r="D1076" s="65">
        <v>1</v>
      </c>
      <c r="E1076" s="167"/>
      <c r="F1076" s="168">
        <v>0</v>
      </c>
      <c r="G1076" s="168"/>
      <c r="H1076" s="52">
        <v>62892</v>
      </c>
      <c r="I1076" s="52">
        <f t="shared" si="417"/>
        <v>55596.527999999998</v>
      </c>
      <c r="J1076" s="52">
        <f t="shared" si="405"/>
        <v>55596.527999999998</v>
      </c>
      <c r="K1076" s="61"/>
      <c r="L1076" s="160">
        <v>0</v>
      </c>
      <c r="M1076" s="55">
        <f t="shared" si="418"/>
        <v>0</v>
      </c>
      <c r="N1076" s="55">
        <f t="shared" si="407"/>
        <v>0</v>
      </c>
      <c r="O1076" s="95"/>
      <c r="P1076" s="160">
        <v>0</v>
      </c>
      <c r="Q1076" s="55">
        <f t="shared" si="419"/>
        <v>0</v>
      </c>
      <c r="R1076" s="65">
        <f t="shared" si="409"/>
        <v>0</v>
      </c>
      <c r="S1076" s="127">
        <v>15</v>
      </c>
      <c r="T1076" s="125" t="s">
        <v>201</v>
      </c>
      <c r="U1076" s="73">
        <f>SUMIF('Avoided Costs 2013-2021'!$A:$A,'2013 Actuals'!T1076&amp;'2013 Actuals'!S1076,'Avoided Costs 2013-2021'!$E:$E)*J1076</f>
        <v>124250.59843205035</v>
      </c>
      <c r="V1076" s="73">
        <f>SUMIF('Avoided Costs 2013-2021'!$A:$A,'2013 Actuals'!T1076&amp;'2013 Actuals'!S1076,'Avoided Costs 2013-2021'!$K:$K)*N1076</f>
        <v>0</v>
      </c>
      <c r="W1076" s="73">
        <f>SUMIF('Avoided Costs 2013-2021'!$A:$A,'2013 Actuals'!T1076&amp;'2013 Actuals'!S1076,'Avoided Costs 2013-2021'!$M:$M)*R1076</f>
        <v>0</v>
      </c>
      <c r="X1076" s="73">
        <f t="shared" si="410"/>
        <v>124250.59843205035</v>
      </c>
      <c r="Y1076" s="83">
        <v>22825.919999999998</v>
      </c>
      <c r="Z1076" s="74">
        <f t="shared" si="411"/>
        <v>22825.919999999998</v>
      </c>
      <c r="AA1076" s="74"/>
      <c r="AB1076" s="74"/>
      <c r="AC1076" s="74"/>
      <c r="AD1076" s="74">
        <f t="shared" si="412"/>
        <v>22825.919999999998</v>
      </c>
      <c r="AE1076" s="74">
        <f t="shared" si="413"/>
        <v>101424.67843205035</v>
      </c>
      <c r="AF1076" s="52">
        <f t="shared" si="414"/>
        <v>833947.91999999993</v>
      </c>
      <c r="AG1076" s="52">
        <f t="shared" si="415"/>
        <v>833947.91999999993</v>
      </c>
    </row>
    <row r="1077" spans="1:33" s="21" customFormat="1" x14ac:dyDescent="0.2">
      <c r="A1077" s="166" t="s">
        <v>392</v>
      </c>
      <c r="B1077" s="166"/>
      <c r="C1077" s="166"/>
      <c r="D1077" s="65">
        <v>0</v>
      </c>
      <c r="E1077" s="167"/>
      <c r="F1077" s="168">
        <v>0</v>
      </c>
      <c r="G1077" s="168"/>
      <c r="H1077" s="52">
        <v>1958</v>
      </c>
      <c r="I1077" s="52">
        <f t="shared" si="417"/>
        <v>1730.8720000000001</v>
      </c>
      <c r="J1077" s="52">
        <f t="shared" si="405"/>
        <v>1730.8720000000001</v>
      </c>
      <c r="K1077" s="61"/>
      <c r="L1077" s="160">
        <v>0</v>
      </c>
      <c r="M1077" s="55">
        <f t="shared" si="418"/>
        <v>0</v>
      </c>
      <c r="N1077" s="55">
        <f t="shared" si="407"/>
        <v>0</v>
      </c>
      <c r="O1077" s="95"/>
      <c r="P1077" s="160">
        <v>0</v>
      </c>
      <c r="Q1077" s="55">
        <f t="shared" si="419"/>
        <v>0</v>
      </c>
      <c r="R1077" s="65">
        <f t="shared" si="409"/>
        <v>0</v>
      </c>
      <c r="S1077" s="127">
        <v>25</v>
      </c>
      <c r="T1077" s="125" t="s">
        <v>201</v>
      </c>
      <c r="U1077" s="73">
        <f>SUMIF('Avoided Costs 2013-2021'!$A:$A,'2013 Actuals'!T1077&amp;'2013 Actuals'!S1077,'Avoided Costs 2013-2021'!$E:$E)*J1077</f>
        <v>5429.9923679826743</v>
      </c>
      <c r="V1077" s="73">
        <f>SUMIF('Avoided Costs 2013-2021'!$A:$A,'2013 Actuals'!T1077&amp;'2013 Actuals'!S1077,'Avoided Costs 2013-2021'!$K:$K)*N1077</f>
        <v>0</v>
      </c>
      <c r="W1077" s="73">
        <f>SUMIF('Avoided Costs 2013-2021'!$A:$A,'2013 Actuals'!T1077&amp;'2013 Actuals'!S1077,'Avoided Costs 2013-2021'!$M:$M)*R1077</f>
        <v>0</v>
      </c>
      <c r="X1077" s="73">
        <f t="shared" si="410"/>
        <v>5429.9923679826743</v>
      </c>
      <c r="Y1077" s="83">
        <v>1800</v>
      </c>
      <c r="Z1077" s="74">
        <f t="shared" si="411"/>
        <v>1800</v>
      </c>
      <c r="AA1077" s="74"/>
      <c r="AB1077" s="74"/>
      <c r="AC1077" s="74"/>
      <c r="AD1077" s="74">
        <f t="shared" si="412"/>
        <v>1800</v>
      </c>
      <c r="AE1077" s="74">
        <f t="shared" si="413"/>
        <v>3629.9923679826743</v>
      </c>
      <c r="AF1077" s="52">
        <f t="shared" si="414"/>
        <v>43271.8</v>
      </c>
      <c r="AG1077" s="52">
        <f t="shared" si="415"/>
        <v>43271.8</v>
      </c>
    </row>
    <row r="1078" spans="1:33" s="21" customFormat="1" x14ac:dyDescent="0.2">
      <c r="A1078" s="166" t="s">
        <v>393</v>
      </c>
      <c r="B1078" s="166"/>
      <c r="C1078" s="166"/>
      <c r="D1078" s="65">
        <v>1</v>
      </c>
      <c r="E1078" s="167"/>
      <c r="F1078" s="168">
        <v>0</v>
      </c>
      <c r="G1078" s="168"/>
      <c r="H1078" s="52">
        <v>48519</v>
      </c>
      <c r="I1078" s="52">
        <f t="shared" si="417"/>
        <v>42890.796000000002</v>
      </c>
      <c r="J1078" s="52">
        <f t="shared" si="405"/>
        <v>42890.796000000002</v>
      </c>
      <c r="K1078" s="61"/>
      <c r="L1078" s="160">
        <v>0</v>
      </c>
      <c r="M1078" s="55">
        <f t="shared" si="418"/>
        <v>0</v>
      </c>
      <c r="N1078" s="55">
        <f t="shared" si="407"/>
        <v>0</v>
      </c>
      <c r="O1078" s="95"/>
      <c r="P1078" s="160">
        <v>0</v>
      </c>
      <c r="Q1078" s="55">
        <f t="shared" si="419"/>
        <v>0</v>
      </c>
      <c r="R1078" s="65">
        <f t="shared" si="409"/>
        <v>0</v>
      </c>
      <c r="S1078" s="127">
        <v>25</v>
      </c>
      <c r="T1078" s="125" t="s">
        <v>201</v>
      </c>
      <c r="U1078" s="73">
        <f>SUMIF('Avoided Costs 2013-2021'!$A:$A,'2013 Actuals'!T1078&amp;'2013 Actuals'!S1078,'Avoided Costs 2013-2021'!$E:$E)*J1078</f>
        <v>134554.54530242665</v>
      </c>
      <c r="V1078" s="73">
        <f>SUMIF('Avoided Costs 2013-2021'!$A:$A,'2013 Actuals'!T1078&amp;'2013 Actuals'!S1078,'Avoided Costs 2013-2021'!$K:$K)*N1078</f>
        <v>0</v>
      </c>
      <c r="W1078" s="73">
        <f>SUMIF('Avoided Costs 2013-2021'!$A:$A,'2013 Actuals'!T1078&amp;'2013 Actuals'!S1078,'Avoided Costs 2013-2021'!$M:$M)*R1078</f>
        <v>0</v>
      </c>
      <c r="X1078" s="73">
        <f t="shared" si="410"/>
        <v>134554.54530242665</v>
      </c>
      <c r="Y1078" s="83">
        <v>69000</v>
      </c>
      <c r="Z1078" s="74">
        <f t="shared" si="411"/>
        <v>69000</v>
      </c>
      <c r="AA1078" s="74"/>
      <c r="AB1078" s="74"/>
      <c r="AC1078" s="74"/>
      <c r="AD1078" s="74">
        <f t="shared" si="412"/>
        <v>69000</v>
      </c>
      <c r="AE1078" s="74">
        <f t="shared" si="413"/>
        <v>65554.545302426646</v>
      </c>
      <c r="AF1078" s="52">
        <f t="shared" si="414"/>
        <v>1072269.9000000001</v>
      </c>
      <c r="AG1078" s="52">
        <f t="shared" si="415"/>
        <v>1072269.9000000001</v>
      </c>
    </row>
    <row r="1079" spans="1:33" s="21" customFormat="1" x14ac:dyDescent="0.2">
      <c r="A1079" s="166" t="s">
        <v>394</v>
      </c>
      <c r="B1079" s="166"/>
      <c r="C1079" s="166"/>
      <c r="D1079" s="65">
        <v>0</v>
      </c>
      <c r="E1079" s="167"/>
      <c r="F1079" s="168">
        <v>0</v>
      </c>
      <c r="G1079" s="168"/>
      <c r="H1079" s="52">
        <v>10706</v>
      </c>
      <c r="I1079" s="52">
        <f t="shared" si="417"/>
        <v>9464.1039999999994</v>
      </c>
      <c r="J1079" s="52">
        <f t="shared" si="405"/>
        <v>9464.1039999999994</v>
      </c>
      <c r="K1079" s="61"/>
      <c r="L1079" s="160">
        <v>0</v>
      </c>
      <c r="M1079" s="55">
        <f t="shared" si="418"/>
        <v>0</v>
      </c>
      <c r="N1079" s="55">
        <f t="shared" si="407"/>
        <v>0</v>
      </c>
      <c r="O1079" s="95"/>
      <c r="P1079" s="160">
        <v>0</v>
      </c>
      <c r="Q1079" s="55">
        <f t="shared" si="419"/>
        <v>0</v>
      </c>
      <c r="R1079" s="65">
        <f t="shared" si="409"/>
        <v>0</v>
      </c>
      <c r="S1079" s="127">
        <v>25</v>
      </c>
      <c r="T1079" s="125" t="s">
        <v>201</v>
      </c>
      <c r="U1079" s="73">
        <f>SUMIF('Avoided Costs 2013-2021'!$A:$A,'2013 Actuals'!T1079&amp;'2013 Actuals'!S1079,'Avoided Costs 2013-2021'!$E:$E)*J1079</f>
        <v>29690.24427559883</v>
      </c>
      <c r="V1079" s="73">
        <f>SUMIF('Avoided Costs 2013-2021'!$A:$A,'2013 Actuals'!T1079&amp;'2013 Actuals'!S1079,'Avoided Costs 2013-2021'!$K:$K)*N1079</f>
        <v>0</v>
      </c>
      <c r="W1079" s="73">
        <f>SUMIF('Avoided Costs 2013-2021'!$A:$A,'2013 Actuals'!T1079&amp;'2013 Actuals'!S1079,'Avoided Costs 2013-2021'!$M:$M)*R1079</f>
        <v>0</v>
      </c>
      <c r="X1079" s="73">
        <f t="shared" si="410"/>
        <v>29690.24427559883</v>
      </c>
      <c r="Y1079" s="83">
        <v>6948</v>
      </c>
      <c r="Z1079" s="74">
        <f t="shared" si="411"/>
        <v>6948</v>
      </c>
      <c r="AA1079" s="74"/>
      <c r="AB1079" s="74"/>
      <c r="AC1079" s="74"/>
      <c r="AD1079" s="74">
        <f t="shared" si="412"/>
        <v>6948</v>
      </c>
      <c r="AE1079" s="74">
        <f t="shared" si="413"/>
        <v>22742.24427559883</v>
      </c>
      <c r="AF1079" s="52">
        <f t="shared" si="414"/>
        <v>236602.59999999998</v>
      </c>
      <c r="AG1079" s="52">
        <f t="shared" si="415"/>
        <v>236602.59999999998</v>
      </c>
    </row>
    <row r="1080" spans="1:33" s="21" customFormat="1" x14ac:dyDescent="0.2">
      <c r="A1080" s="166" t="s">
        <v>395</v>
      </c>
      <c r="B1080" s="166"/>
      <c r="C1080" s="166"/>
      <c r="D1080" s="65">
        <v>1</v>
      </c>
      <c r="E1080" s="167"/>
      <c r="F1080" s="168">
        <v>0</v>
      </c>
      <c r="G1080" s="168"/>
      <c r="H1080" s="52">
        <v>20911</v>
      </c>
      <c r="I1080" s="52">
        <f t="shared" si="417"/>
        <v>18485.324000000001</v>
      </c>
      <c r="J1080" s="52">
        <f t="shared" si="405"/>
        <v>18485.324000000001</v>
      </c>
      <c r="K1080" s="61"/>
      <c r="L1080" s="160">
        <v>35070</v>
      </c>
      <c r="M1080" s="55">
        <f t="shared" si="418"/>
        <v>35070</v>
      </c>
      <c r="N1080" s="55">
        <f t="shared" si="407"/>
        <v>35070</v>
      </c>
      <c r="O1080" s="95"/>
      <c r="P1080" s="160">
        <v>0</v>
      </c>
      <c r="Q1080" s="55">
        <f t="shared" si="419"/>
        <v>0</v>
      </c>
      <c r="R1080" s="65">
        <f t="shared" si="409"/>
        <v>0</v>
      </c>
      <c r="S1080" s="127">
        <v>15</v>
      </c>
      <c r="T1080" s="125" t="s">
        <v>201</v>
      </c>
      <c r="U1080" s="73">
        <f>SUMIF('Avoided Costs 2013-2021'!$A:$A,'2013 Actuals'!T1080&amp;'2013 Actuals'!S1080,'Avoided Costs 2013-2021'!$E:$E)*J1080</f>
        <v>41312.158363744275</v>
      </c>
      <c r="V1080" s="73">
        <f>SUMIF('Avoided Costs 2013-2021'!$A:$A,'2013 Actuals'!T1080&amp;'2013 Actuals'!S1080,'Avoided Costs 2013-2021'!$K:$K)*N1080</f>
        <v>36714.560970152554</v>
      </c>
      <c r="W1080" s="73">
        <f>SUMIF('Avoided Costs 2013-2021'!$A:$A,'2013 Actuals'!T1080&amp;'2013 Actuals'!S1080,'Avoided Costs 2013-2021'!$M:$M)*R1080</f>
        <v>0</v>
      </c>
      <c r="X1080" s="73">
        <f t="shared" si="410"/>
        <v>78026.719333896821</v>
      </c>
      <c r="Y1080" s="83">
        <v>3154</v>
      </c>
      <c r="Z1080" s="74">
        <f t="shared" si="411"/>
        <v>3154</v>
      </c>
      <c r="AA1080" s="74"/>
      <c r="AB1080" s="74"/>
      <c r="AC1080" s="74"/>
      <c r="AD1080" s="74">
        <f t="shared" si="412"/>
        <v>3154</v>
      </c>
      <c r="AE1080" s="74">
        <f t="shared" si="413"/>
        <v>74872.719333896821</v>
      </c>
      <c r="AF1080" s="52">
        <f t="shared" si="414"/>
        <v>277279.86</v>
      </c>
      <c r="AG1080" s="52">
        <f t="shared" si="415"/>
        <v>277279.86</v>
      </c>
    </row>
    <row r="1081" spans="1:33" s="21" customFormat="1" x14ac:dyDescent="0.2">
      <c r="A1081" s="166" t="s">
        <v>396</v>
      </c>
      <c r="B1081" s="166"/>
      <c r="C1081" s="166"/>
      <c r="D1081" s="65">
        <v>1</v>
      </c>
      <c r="E1081" s="167"/>
      <c r="F1081" s="168">
        <v>0</v>
      </c>
      <c r="G1081" s="168"/>
      <c r="H1081" s="52">
        <v>8103</v>
      </c>
      <c r="I1081" s="52">
        <f t="shared" si="417"/>
        <v>7163.0519999999997</v>
      </c>
      <c r="J1081" s="52">
        <f t="shared" si="405"/>
        <v>7163.0519999999997</v>
      </c>
      <c r="K1081" s="61"/>
      <c r="L1081" s="160">
        <v>15581</v>
      </c>
      <c r="M1081" s="55">
        <f t="shared" si="418"/>
        <v>15581</v>
      </c>
      <c r="N1081" s="55">
        <f t="shared" si="407"/>
        <v>15581</v>
      </c>
      <c r="O1081" s="95"/>
      <c r="P1081" s="160">
        <v>0</v>
      </c>
      <c r="Q1081" s="55">
        <f t="shared" si="419"/>
        <v>0</v>
      </c>
      <c r="R1081" s="65">
        <f t="shared" si="409"/>
        <v>0</v>
      </c>
      <c r="S1081" s="127">
        <v>15</v>
      </c>
      <c r="T1081" s="125" t="s">
        <v>201</v>
      </c>
      <c r="U1081" s="73">
        <f>SUMIF('Avoided Costs 2013-2021'!$A:$A,'2013 Actuals'!T1081&amp;'2013 Actuals'!S1081,'Avoided Costs 2013-2021'!$E:$E)*J1081</f>
        <v>16008.43667071971</v>
      </c>
      <c r="V1081" s="73">
        <f>SUMIF('Avoided Costs 2013-2021'!$A:$A,'2013 Actuals'!T1081&amp;'2013 Actuals'!S1081,'Avoided Costs 2013-2021'!$K:$K)*N1081</f>
        <v>16311.650255943739</v>
      </c>
      <c r="W1081" s="73">
        <f>SUMIF('Avoided Costs 2013-2021'!$A:$A,'2013 Actuals'!T1081&amp;'2013 Actuals'!S1081,'Avoided Costs 2013-2021'!$M:$M)*R1081</f>
        <v>0</v>
      </c>
      <c r="X1081" s="73">
        <f t="shared" si="410"/>
        <v>32320.086926663447</v>
      </c>
      <c r="Y1081" s="83">
        <v>0</v>
      </c>
      <c r="Z1081" s="74">
        <f t="shared" si="411"/>
        <v>0</v>
      </c>
      <c r="AA1081" s="74"/>
      <c r="AB1081" s="74"/>
      <c r="AC1081" s="74"/>
      <c r="AD1081" s="74">
        <f t="shared" si="412"/>
        <v>0</v>
      </c>
      <c r="AE1081" s="74">
        <f t="shared" si="413"/>
        <v>32320.086926663447</v>
      </c>
      <c r="AF1081" s="52">
        <f t="shared" si="414"/>
        <v>107445.78</v>
      </c>
      <c r="AG1081" s="52">
        <f t="shared" si="415"/>
        <v>107445.78</v>
      </c>
    </row>
    <row r="1082" spans="1:33" s="21" customFormat="1" x14ac:dyDescent="0.2">
      <c r="A1082" s="166" t="s">
        <v>397</v>
      </c>
      <c r="B1082" s="166"/>
      <c r="C1082" s="166"/>
      <c r="D1082" s="65">
        <v>0</v>
      </c>
      <c r="E1082" s="167"/>
      <c r="F1082" s="168">
        <v>0</v>
      </c>
      <c r="G1082" s="168"/>
      <c r="H1082" s="52">
        <v>4839</v>
      </c>
      <c r="I1082" s="52">
        <f t="shared" si="417"/>
        <v>4277.6760000000004</v>
      </c>
      <c r="J1082" s="52">
        <f t="shared" si="405"/>
        <v>4277.6760000000004</v>
      </c>
      <c r="K1082" s="61"/>
      <c r="L1082" s="160">
        <v>0</v>
      </c>
      <c r="M1082" s="55">
        <f t="shared" si="418"/>
        <v>0</v>
      </c>
      <c r="N1082" s="55">
        <f t="shared" si="407"/>
        <v>0</v>
      </c>
      <c r="O1082" s="95"/>
      <c r="P1082" s="160">
        <v>0</v>
      </c>
      <c r="Q1082" s="55">
        <f t="shared" si="419"/>
        <v>0</v>
      </c>
      <c r="R1082" s="65">
        <f t="shared" si="409"/>
        <v>0</v>
      </c>
      <c r="S1082" s="127">
        <v>25</v>
      </c>
      <c r="T1082" s="125" t="s">
        <v>217</v>
      </c>
      <c r="U1082" s="73">
        <f>SUMIF('Avoided Costs 2013-2021'!$A:$A,'2013 Actuals'!T1082&amp;'2013 Actuals'!S1082,'Avoided Costs 2013-2021'!$E:$E)*J1082</f>
        <v>12593.781239601882</v>
      </c>
      <c r="V1082" s="73">
        <f>SUMIF('Avoided Costs 2013-2021'!$A:$A,'2013 Actuals'!T1082&amp;'2013 Actuals'!S1082,'Avoided Costs 2013-2021'!$K:$K)*N1082</f>
        <v>0</v>
      </c>
      <c r="W1082" s="73">
        <f>SUMIF('Avoided Costs 2013-2021'!$A:$A,'2013 Actuals'!T1082&amp;'2013 Actuals'!S1082,'Avoided Costs 2013-2021'!$M:$M)*R1082</f>
        <v>0</v>
      </c>
      <c r="X1082" s="73">
        <f t="shared" si="410"/>
        <v>12593.781239601882</v>
      </c>
      <c r="Y1082" s="83">
        <v>3868</v>
      </c>
      <c r="Z1082" s="74">
        <f t="shared" si="411"/>
        <v>3868</v>
      </c>
      <c r="AA1082" s="74"/>
      <c r="AB1082" s="74"/>
      <c r="AC1082" s="74"/>
      <c r="AD1082" s="74">
        <f t="shared" si="412"/>
        <v>3868</v>
      </c>
      <c r="AE1082" s="74">
        <f t="shared" si="413"/>
        <v>8725.7812396018817</v>
      </c>
      <c r="AF1082" s="52">
        <f t="shared" si="414"/>
        <v>106941.90000000001</v>
      </c>
      <c r="AG1082" s="52">
        <f t="shared" si="415"/>
        <v>106941.90000000001</v>
      </c>
    </row>
    <row r="1083" spans="1:33" s="21" customFormat="1" x14ac:dyDescent="0.2">
      <c r="A1083" s="166" t="s">
        <v>398</v>
      </c>
      <c r="B1083" s="166"/>
      <c r="C1083" s="166"/>
      <c r="D1083" s="65">
        <v>1</v>
      </c>
      <c r="E1083" s="167"/>
      <c r="F1083" s="168">
        <v>0</v>
      </c>
      <c r="G1083" s="168"/>
      <c r="H1083" s="52">
        <v>139577</v>
      </c>
      <c r="I1083" s="52">
        <f t="shared" si="417"/>
        <v>123386.068</v>
      </c>
      <c r="J1083" s="52">
        <f t="shared" si="405"/>
        <v>123386.068</v>
      </c>
      <c r="K1083" s="61"/>
      <c r="L1083" s="160">
        <v>0</v>
      </c>
      <c r="M1083" s="55">
        <f t="shared" si="418"/>
        <v>0</v>
      </c>
      <c r="N1083" s="55">
        <f t="shared" si="407"/>
        <v>0</v>
      </c>
      <c r="O1083" s="95"/>
      <c r="P1083" s="160">
        <v>0</v>
      </c>
      <c r="Q1083" s="55">
        <f t="shared" si="419"/>
        <v>0</v>
      </c>
      <c r="R1083" s="65">
        <f t="shared" si="409"/>
        <v>0</v>
      </c>
      <c r="S1083" s="127">
        <v>25</v>
      </c>
      <c r="T1083" s="125" t="s">
        <v>201</v>
      </c>
      <c r="U1083" s="73">
        <f>SUMIF('Avoided Costs 2013-2021'!$A:$A,'2013 Actuals'!T1083&amp;'2013 Actuals'!S1083,'Avoided Costs 2013-2021'!$E:$E)*J1083</f>
        <v>387079.69598872203</v>
      </c>
      <c r="V1083" s="73">
        <f>SUMIF('Avoided Costs 2013-2021'!$A:$A,'2013 Actuals'!T1083&amp;'2013 Actuals'!S1083,'Avoided Costs 2013-2021'!$K:$K)*N1083</f>
        <v>0</v>
      </c>
      <c r="W1083" s="73">
        <f>SUMIF('Avoided Costs 2013-2021'!$A:$A,'2013 Actuals'!T1083&amp;'2013 Actuals'!S1083,'Avoided Costs 2013-2021'!$M:$M)*R1083</f>
        <v>0</v>
      </c>
      <c r="X1083" s="73">
        <f t="shared" si="410"/>
        <v>387079.69598872203</v>
      </c>
      <c r="Y1083" s="83">
        <v>8236</v>
      </c>
      <c r="Z1083" s="74">
        <f t="shared" si="411"/>
        <v>8236</v>
      </c>
      <c r="AA1083" s="74"/>
      <c r="AB1083" s="74"/>
      <c r="AC1083" s="74"/>
      <c r="AD1083" s="74">
        <f t="shared" si="412"/>
        <v>8236</v>
      </c>
      <c r="AE1083" s="74">
        <f t="shared" si="413"/>
        <v>378843.69598872203</v>
      </c>
      <c r="AF1083" s="52">
        <f t="shared" si="414"/>
        <v>3084651.7</v>
      </c>
      <c r="AG1083" s="52">
        <f t="shared" si="415"/>
        <v>3084651.7</v>
      </c>
    </row>
    <row r="1084" spans="1:33" s="21" customFormat="1" x14ac:dyDescent="0.2">
      <c r="A1084" s="166" t="s">
        <v>399</v>
      </c>
      <c r="B1084" s="166"/>
      <c r="C1084" s="166"/>
      <c r="D1084" s="65">
        <v>1</v>
      </c>
      <c r="E1084" s="167"/>
      <c r="F1084" s="168">
        <v>0</v>
      </c>
      <c r="G1084" s="168"/>
      <c r="H1084" s="52">
        <v>18095</v>
      </c>
      <c r="I1084" s="52">
        <f t="shared" si="417"/>
        <v>15995.98</v>
      </c>
      <c r="J1084" s="52">
        <f t="shared" si="405"/>
        <v>15995.98</v>
      </c>
      <c r="K1084" s="61"/>
      <c r="L1084" s="160">
        <v>26963</v>
      </c>
      <c r="M1084" s="55">
        <f t="shared" si="418"/>
        <v>26963</v>
      </c>
      <c r="N1084" s="55">
        <f t="shared" si="407"/>
        <v>26963</v>
      </c>
      <c r="O1084" s="95"/>
      <c r="P1084" s="160">
        <v>0</v>
      </c>
      <c r="Q1084" s="55">
        <f t="shared" si="419"/>
        <v>0</v>
      </c>
      <c r="R1084" s="65">
        <f t="shared" si="409"/>
        <v>0</v>
      </c>
      <c r="S1084" s="127">
        <v>15</v>
      </c>
      <c r="T1084" s="125" t="s">
        <v>201</v>
      </c>
      <c r="U1084" s="73">
        <f>SUMIF('Avoided Costs 2013-2021'!$A:$A,'2013 Actuals'!T1084&amp;'2013 Actuals'!S1084,'Avoided Costs 2013-2021'!$E:$E)*J1084</f>
        <v>35748.816679831318</v>
      </c>
      <c r="V1084" s="73">
        <f>SUMIF('Avoided Costs 2013-2021'!$A:$A,'2013 Actuals'!T1084&amp;'2013 Actuals'!S1084,'Avoided Costs 2013-2021'!$K:$K)*N1084</f>
        <v>28227.393995957322</v>
      </c>
      <c r="W1084" s="73">
        <f>SUMIF('Avoided Costs 2013-2021'!$A:$A,'2013 Actuals'!T1084&amp;'2013 Actuals'!S1084,'Avoided Costs 2013-2021'!$M:$M)*R1084</f>
        <v>0</v>
      </c>
      <c r="X1084" s="73">
        <f t="shared" si="410"/>
        <v>63976.210675788636</v>
      </c>
      <c r="Y1084" s="83">
        <v>52217</v>
      </c>
      <c r="Z1084" s="74">
        <f t="shared" si="411"/>
        <v>52217</v>
      </c>
      <c r="AA1084" s="74"/>
      <c r="AB1084" s="74"/>
      <c r="AC1084" s="74"/>
      <c r="AD1084" s="74">
        <f t="shared" si="412"/>
        <v>52217</v>
      </c>
      <c r="AE1084" s="74">
        <f t="shared" si="413"/>
        <v>11759.210675788636</v>
      </c>
      <c r="AF1084" s="52">
        <f t="shared" si="414"/>
        <v>239939.69999999998</v>
      </c>
      <c r="AG1084" s="52">
        <f t="shared" si="415"/>
        <v>239939.69999999998</v>
      </c>
    </row>
    <row r="1085" spans="1:33" s="21" customFormat="1" x14ac:dyDescent="0.2">
      <c r="A1085" s="166" t="s">
        <v>400</v>
      </c>
      <c r="B1085" s="166"/>
      <c r="C1085" s="166"/>
      <c r="D1085" s="65">
        <v>1</v>
      </c>
      <c r="E1085" s="167"/>
      <c r="F1085" s="168">
        <v>0</v>
      </c>
      <c r="G1085" s="168"/>
      <c r="H1085" s="52">
        <v>8399</v>
      </c>
      <c r="I1085" s="52">
        <f t="shared" si="417"/>
        <v>7424.7160000000003</v>
      </c>
      <c r="J1085" s="52">
        <f t="shared" si="405"/>
        <v>7424.7160000000003</v>
      </c>
      <c r="K1085" s="61"/>
      <c r="L1085" s="160">
        <v>11718</v>
      </c>
      <c r="M1085" s="55">
        <f t="shared" si="418"/>
        <v>11718</v>
      </c>
      <c r="N1085" s="55">
        <f t="shared" si="407"/>
        <v>11718</v>
      </c>
      <c r="O1085" s="95"/>
      <c r="P1085" s="160">
        <v>0</v>
      </c>
      <c r="Q1085" s="55">
        <f t="shared" si="419"/>
        <v>0</v>
      </c>
      <c r="R1085" s="65">
        <f t="shared" si="409"/>
        <v>0</v>
      </c>
      <c r="S1085" s="127">
        <v>15</v>
      </c>
      <c r="T1085" s="125" t="s">
        <v>201</v>
      </c>
      <c r="U1085" s="73">
        <f>SUMIF('Avoided Costs 2013-2021'!$A:$A,'2013 Actuals'!T1085&amp;'2013 Actuals'!S1085,'Avoided Costs 2013-2021'!$E:$E)*J1085</f>
        <v>16593.219745449198</v>
      </c>
      <c r="V1085" s="73">
        <f>SUMIF('Avoided Costs 2013-2021'!$A:$A,'2013 Actuals'!T1085&amp;'2013 Actuals'!S1085,'Avoided Costs 2013-2021'!$K:$K)*N1085</f>
        <v>12267.500012781511</v>
      </c>
      <c r="W1085" s="73">
        <f>SUMIF('Avoided Costs 2013-2021'!$A:$A,'2013 Actuals'!T1085&amp;'2013 Actuals'!S1085,'Avoided Costs 2013-2021'!$M:$M)*R1085</f>
        <v>0</v>
      </c>
      <c r="X1085" s="73">
        <f t="shared" si="410"/>
        <v>28860.719758230709</v>
      </c>
      <c r="Y1085" s="83">
        <v>31224</v>
      </c>
      <c r="Z1085" s="74">
        <f t="shared" si="411"/>
        <v>31224</v>
      </c>
      <c r="AA1085" s="74"/>
      <c r="AB1085" s="74"/>
      <c r="AC1085" s="74"/>
      <c r="AD1085" s="74">
        <f t="shared" si="412"/>
        <v>31224</v>
      </c>
      <c r="AE1085" s="74">
        <f t="shared" si="413"/>
        <v>-2363.280241769291</v>
      </c>
      <c r="AF1085" s="52">
        <f t="shared" si="414"/>
        <v>111370.74</v>
      </c>
      <c r="AG1085" s="52">
        <f t="shared" si="415"/>
        <v>111370.74</v>
      </c>
    </row>
    <row r="1086" spans="1:33" s="21" customFormat="1" x14ac:dyDescent="0.2">
      <c r="A1086" s="166" t="s">
        <v>401</v>
      </c>
      <c r="B1086" s="166"/>
      <c r="C1086" s="166"/>
      <c r="D1086" s="65">
        <v>1</v>
      </c>
      <c r="E1086" s="167"/>
      <c r="F1086" s="168">
        <v>0</v>
      </c>
      <c r="G1086" s="168"/>
      <c r="H1086" s="52">
        <v>11110</v>
      </c>
      <c r="I1086" s="52">
        <f t="shared" si="417"/>
        <v>9821.24</v>
      </c>
      <c r="J1086" s="52">
        <f t="shared" si="405"/>
        <v>9821.24</v>
      </c>
      <c r="K1086" s="61"/>
      <c r="L1086" s="160">
        <v>11718</v>
      </c>
      <c r="M1086" s="55">
        <f t="shared" si="418"/>
        <v>11718</v>
      </c>
      <c r="N1086" s="55">
        <f t="shared" si="407"/>
        <v>11718</v>
      </c>
      <c r="O1086" s="95"/>
      <c r="P1086" s="160">
        <v>0</v>
      </c>
      <c r="Q1086" s="55">
        <f t="shared" si="419"/>
        <v>0</v>
      </c>
      <c r="R1086" s="65">
        <f t="shared" si="409"/>
        <v>0</v>
      </c>
      <c r="S1086" s="127">
        <v>15</v>
      </c>
      <c r="T1086" s="125" t="s">
        <v>201</v>
      </c>
      <c r="U1086" s="73">
        <f>SUMIF('Avoided Costs 2013-2021'!$A:$A,'2013 Actuals'!T1086&amp;'2013 Actuals'!S1086,'Avoided Costs 2013-2021'!$E:$E)*J1086</f>
        <v>21949.121487312845</v>
      </c>
      <c r="V1086" s="73">
        <f>SUMIF('Avoided Costs 2013-2021'!$A:$A,'2013 Actuals'!T1086&amp;'2013 Actuals'!S1086,'Avoided Costs 2013-2021'!$K:$K)*N1086</f>
        <v>12267.500012781511</v>
      </c>
      <c r="W1086" s="73">
        <f>SUMIF('Avoided Costs 2013-2021'!$A:$A,'2013 Actuals'!T1086&amp;'2013 Actuals'!S1086,'Avoided Costs 2013-2021'!$M:$M)*R1086</f>
        <v>0</v>
      </c>
      <c r="X1086" s="73">
        <f t="shared" si="410"/>
        <v>34216.621500094356</v>
      </c>
      <c r="Y1086" s="83">
        <v>38192.639999999999</v>
      </c>
      <c r="Z1086" s="74">
        <f t="shared" si="411"/>
        <v>38192.639999999999</v>
      </c>
      <c r="AA1086" s="74"/>
      <c r="AB1086" s="74"/>
      <c r="AC1086" s="74"/>
      <c r="AD1086" s="74">
        <f t="shared" si="412"/>
        <v>38192.639999999999</v>
      </c>
      <c r="AE1086" s="74">
        <f t="shared" si="413"/>
        <v>-3976.0184999056437</v>
      </c>
      <c r="AF1086" s="52">
        <f t="shared" si="414"/>
        <v>147318.6</v>
      </c>
      <c r="AG1086" s="52">
        <f t="shared" si="415"/>
        <v>147318.6</v>
      </c>
    </row>
    <row r="1087" spans="1:33" s="21" customFormat="1" x14ac:dyDescent="0.2">
      <c r="A1087" s="166" t="s">
        <v>402</v>
      </c>
      <c r="B1087" s="166"/>
      <c r="C1087" s="166"/>
      <c r="D1087" s="65">
        <v>1</v>
      </c>
      <c r="E1087" s="167"/>
      <c r="F1087" s="168">
        <v>0</v>
      </c>
      <c r="G1087" s="168"/>
      <c r="H1087" s="52">
        <v>11110</v>
      </c>
      <c r="I1087" s="52">
        <f t="shared" si="417"/>
        <v>9821.24</v>
      </c>
      <c r="J1087" s="52">
        <f t="shared" si="405"/>
        <v>9821.24</v>
      </c>
      <c r="K1087" s="61"/>
      <c r="L1087" s="160">
        <v>11718</v>
      </c>
      <c r="M1087" s="55">
        <f t="shared" si="418"/>
        <v>11718</v>
      </c>
      <c r="N1087" s="55">
        <f t="shared" si="407"/>
        <v>11718</v>
      </c>
      <c r="O1087" s="95"/>
      <c r="P1087" s="160">
        <v>0</v>
      </c>
      <c r="Q1087" s="55">
        <f t="shared" si="419"/>
        <v>0</v>
      </c>
      <c r="R1087" s="65">
        <f t="shared" si="409"/>
        <v>0</v>
      </c>
      <c r="S1087" s="127">
        <v>15</v>
      </c>
      <c r="T1087" s="125" t="s">
        <v>201</v>
      </c>
      <c r="U1087" s="73">
        <f>SUMIF('Avoided Costs 2013-2021'!$A:$A,'2013 Actuals'!T1087&amp;'2013 Actuals'!S1087,'Avoided Costs 2013-2021'!$E:$E)*J1087</f>
        <v>21949.121487312845</v>
      </c>
      <c r="V1087" s="73">
        <f>SUMIF('Avoided Costs 2013-2021'!$A:$A,'2013 Actuals'!T1087&amp;'2013 Actuals'!S1087,'Avoided Costs 2013-2021'!$K:$K)*N1087</f>
        <v>12267.500012781511</v>
      </c>
      <c r="W1087" s="73">
        <f>SUMIF('Avoided Costs 2013-2021'!$A:$A,'2013 Actuals'!T1087&amp;'2013 Actuals'!S1087,'Avoided Costs 2013-2021'!$M:$M)*R1087</f>
        <v>0</v>
      </c>
      <c r="X1087" s="73">
        <f t="shared" si="410"/>
        <v>34216.621500094356</v>
      </c>
      <c r="Y1087" s="83">
        <v>38192.639999999999</v>
      </c>
      <c r="Z1087" s="74">
        <f t="shared" si="411"/>
        <v>38192.639999999999</v>
      </c>
      <c r="AA1087" s="74"/>
      <c r="AB1087" s="74"/>
      <c r="AC1087" s="74"/>
      <c r="AD1087" s="74">
        <f t="shared" si="412"/>
        <v>38192.639999999999</v>
      </c>
      <c r="AE1087" s="74">
        <f t="shared" si="413"/>
        <v>-3976.0184999056437</v>
      </c>
      <c r="AF1087" s="52">
        <f t="shared" si="414"/>
        <v>147318.6</v>
      </c>
      <c r="AG1087" s="52">
        <f t="shared" si="415"/>
        <v>147318.6</v>
      </c>
    </row>
    <row r="1088" spans="1:33" s="21" customFormat="1" x14ac:dyDescent="0.2">
      <c r="A1088" s="166" t="s">
        <v>403</v>
      </c>
      <c r="B1088" s="166"/>
      <c r="C1088" s="166"/>
      <c r="D1088" s="65">
        <v>1</v>
      </c>
      <c r="E1088" s="167"/>
      <c r="F1088" s="168">
        <v>0</v>
      </c>
      <c r="G1088" s="168"/>
      <c r="H1088" s="52">
        <v>7160</v>
      </c>
      <c r="I1088" s="52">
        <f t="shared" si="417"/>
        <v>6329.4400000000005</v>
      </c>
      <c r="J1088" s="52">
        <f t="shared" si="405"/>
        <v>6329.4400000000005</v>
      </c>
      <c r="K1088" s="61"/>
      <c r="L1088" s="160">
        <v>0</v>
      </c>
      <c r="M1088" s="55">
        <f t="shared" si="418"/>
        <v>0</v>
      </c>
      <c r="N1088" s="55">
        <f t="shared" si="407"/>
        <v>0</v>
      </c>
      <c r="O1088" s="95"/>
      <c r="P1088" s="160">
        <v>0</v>
      </c>
      <c r="Q1088" s="55">
        <f t="shared" si="419"/>
        <v>0</v>
      </c>
      <c r="R1088" s="65">
        <f t="shared" si="409"/>
        <v>0</v>
      </c>
      <c r="S1088" s="127">
        <v>15</v>
      </c>
      <c r="T1088" s="125" t="s">
        <v>201</v>
      </c>
      <c r="U1088" s="73">
        <f>SUMIF('Avoided Costs 2013-2021'!$A:$A,'2013 Actuals'!T1088&amp;'2013 Actuals'!S1088,'Avoided Costs 2013-2021'!$E:$E)*J1088</f>
        <v>14145.428429267326</v>
      </c>
      <c r="V1088" s="73">
        <f>SUMIF('Avoided Costs 2013-2021'!$A:$A,'2013 Actuals'!T1088&amp;'2013 Actuals'!S1088,'Avoided Costs 2013-2021'!$K:$K)*N1088</f>
        <v>0</v>
      </c>
      <c r="W1088" s="73">
        <f>SUMIF('Avoided Costs 2013-2021'!$A:$A,'2013 Actuals'!T1088&amp;'2013 Actuals'!S1088,'Avoided Costs 2013-2021'!$M:$M)*R1088</f>
        <v>0</v>
      </c>
      <c r="X1088" s="73">
        <f t="shared" si="410"/>
        <v>14145.428429267326</v>
      </c>
      <c r="Y1088" s="83">
        <v>30000</v>
      </c>
      <c r="Z1088" s="74">
        <f t="shared" si="411"/>
        <v>30000</v>
      </c>
      <c r="AA1088" s="74"/>
      <c r="AB1088" s="74"/>
      <c r="AC1088" s="74"/>
      <c r="AD1088" s="74">
        <f t="shared" si="412"/>
        <v>30000</v>
      </c>
      <c r="AE1088" s="74">
        <f t="shared" si="413"/>
        <v>-15854.571570732674</v>
      </c>
      <c r="AF1088" s="52">
        <f t="shared" si="414"/>
        <v>94941.6</v>
      </c>
      <c r="AG1088" s="52">
        <f t="shared" si="415"/>
        <v>94941.6</v>
      </c>
    </row>
    <row r="1089" spans="1:33" s="21" customFormat="1" x14ac:dyDescent="0.2">
      <c r="A1089" s="166" t="s">
        <v>404</v>
      </c>
      <c r="B1089" s="166"/>
      <c r="C1089" s="166"/>
      <c r="D1089" s="65">
        <v>1</v>
      </c>
      <c r="E1089" s="167"/>
      <c r="F1089" s="168">
        <v>0</v>
      </c>
      <c r="G1089" s="168"/>
      <c r="H1089" s="52">
        <v>38379</v>
      </c>
      <c r="I1089" s="52">
        <f t="shared" ref="I1089:I1092" si="420">H1089</f>
        <v>38379</v>
      </c>
      <c r="J1089" s="52">
        <f t="shared" si="405"/>
        <v>38379</v>
      </c>
      <c r="K1089" s="61"/>
      <c r="L1089" s="160">
        <v>0</v>
      </c>
      <c r="M1089" s="55">
        <f t="shared" si="418"/>
        <v>0</v>
      </c>
      <c r="N1089" s="55">
        <f t="shared" si="407"/>
        <v>0</v>
      </c>
      <c r="O1089" s="95"/>
      <c r="P1089" s="160">
        <v>0</v>
      </c>
      <c r="Q1089" s="55">
        <f t="shared" si="419"/>
        <v>0</v>
      </c>
      <c r="R1089" s="65">
        <f t="shared" si="409"/>
        <v>0</v>
      </c>
      <c r="S1089" s="127">
        <v>25</v>
      </c>
      <c r="T1089" s="125" t="s">
        <v>201</v>
      </c>
      <c r="U1089" s="73">
        <f>SUMIF('Avoided Costs 2013-2021'!$A:$A,'2013 Actuals'!T1089&amp;'2013 Actuals'!S1089,'Avoided Costs 2013-2021'!$E:$E)*J1089</f>
        <v>120400.39765552107</v>
      </c>
      <c r="V1089" s="73">
        <f>SUMIF('Avoided Costs 2013-2021'!$A:$A,'2013 Actuals'!T1089&amp;'2013 Actuals'!S1089,'Avoided Costs 2013-2021'!$K:$K)*N1089</f>
        <v>0</v>
      </c>
      <c r="W1089" s="73">
        <f>SUMIF('Avoided Costs 2013-2021'!$A:$A,'2013 Actuals'!T1089&amp;'2013 Actuals'!S1089,'Avoided Costs 2013-2021'!$M:$M)*R1089</f>
        <v>0</v>
      </c>
      <c r="X1089" s="73">
        <f t="shared" si="410"/>
        <v>120400.39765552107</v>
      </c>
      <c r="Y1089" s="83">
        <v>14800</v>
      </c>
      <c r="Z1089" s="74">
        <f t="shared" si="411"/>
        <v>14800</v>
      </c>
      <c r="AA1089" s="74"/>
      <c r="AB1089" s="74"/>
      <c r="AC1089" s="74"/>
      <c r="AD1089" s="74">
        <f t="shared" si="412"/>
        <v>14800</v>
      </c>
      <c r="AE1089" s="74">
        <f t="shared" si="413"/>
        <v>105600.39765552107</v>
      </c>
      <c r="AF1089" s="52">
        <f t="shared" si="414"/>
        <v>959475</v>
      </c>
      <c r="AG1089" s="52">
        <f t="shared" si="415"/>
        <v>959475</v>
      </c>
    </row>
    <row r="1090" spans="1:33" s="21" customFormat="1" x14ac:dyDescent="0.2">
      <c r="A1090" s="166" t="s">
        <v>405</v>
      </c>
      <c r="B1090" s="166"/>
      <c r="C1090" s="166"/>
      <c r="D1090" s="65">
        <v>1</v>
      </c>
      <c r="E1090" s="167"/>
      <c r="F1090" s="168">
        <v>0</v>
      </c>
      <c r="G1090" s="168"/>
      <c r="H1090" s="52">
        <v>6153</v>
      </c>
      <c r="I1090" s="52">
        <f t="shared" si="420"/>
        <v>6153</v>
      </c>
      <c r="J1090" s="52">
        <f t="shared" si="405"/>
        <v>6153</v>
      </c>
      <c r="K1090" s="61"/>
      <c r="L1090" s="160">
        <v>0</v>
      </c>
      <c r="M1090" s="55">
        <f t="shared" si="418"/>
        <v>0</v>
      </c>
      <c r="N1090" s="55">
        <f t="shared" si="407"/>
        <v>0</v>
      </c>
      <c r="O1090" s="95"/>
      <c r="P1090" s="160">
        <v>0</v>
      </c>
      <c r="Q1090" s="55">
        <f t="shared" si="419"/>
        <v>0</v>
      </c>
      <c r="R1090" s="65">
        <f t="shared" si="409"/>
        <v>0</v>
      </c>
      <c r="S1090" s="127">
        <v>25</v>
      </c>
      <c r="T1090" s="125" t="s">
        <v>217</v>
      </c>
      <c r="U1090" s="73">
        <f>SUMIF('Avoided Costs 2013-2021'!$A:$A,'2013 Actuals'!T1090&amp;'2013 Actuals'!S1090,'Avoided Costs 2013-2021'!$E:$E)*J1090</f>
        <v>18114.867972064825</v>
      </c>
      <c r="V1090" s="73">
        <f>SUMIF('Avoided Costs 2013-2021'!$A:$A,'2013 Actuals'!T1090&amp;'2013 Actuals'!S1090,'Avoided Costs 2013-2021'!$K:$K)*N1090</f>
        <v>0</v>
      </c>
      <c r="W1090" s="73">
        <f>SUMIF('Avoided Costs 2013-2021'!$A:$A,'2013 Actuals'!T1090&amp;'2013 Actuals'!S1090,'Avoided Costs 2013-2021'!$M:$M)*R1090</f>
        <v>0</v>
      </c>
      <c r="X1090" s="73">
        <f t="shared" si="410"/>
        <v>18114.867972064825</v>
      </c>
      <c r="Y1090" s="83">
        <v>12000</v>
      </c>
      <c r="Z1090" s="74">
        <f t="shared" si="411"/>
        <v>12000</v>
      </c>
      <c r="AA1090" s="74"/>
      <c r="AB1090" s="74"/>
      <c r="AC1090" s="74"/>
      <c r="AD1090" s="74">
        <f t="shared" si="412"/>
        <v>12000</v>
      </c>
      <c r="AE1090" s="74">
        <f t="shared" si="413"/>
        <v>6114.8679720648252</v>
      </c>
      <c r="AF1090" s="52">
        <f t="shared" si="414"/>
        <v>153825</v>
      </c>
      <c r="AG1090" s="52">
        <f t="shared" si="415"/>
        <v>153825</v>
      </c>
    </row>
    <row r="1091" spans="1:33" s="21" customFormat="1" x14ac:dyDescent="0.2">
      <c r="A1091" s="166" t="s">
        <v>406</v>
      </c>
      <c r="B1091" s="166"/>
      <c r="C1091" s="166"/>
      <c r="D1091" s="65">
        <v>1</v>
      </c>
      <c r="E1091" s="167"/>
      <c r="F1091" s="168">
        <v>0</v>
      </c>
      <c r="G1091" s="168"/>
      <c r="H1091" s="52">
        <v>3076</v>
      </c>
      <c r="I1091" s="52">
        <f t="shared" si="420"/>
        <v>3076</v>
      </c>
      <c r="J1091" s="52">
        <f t="shared" si="405"/>
        <v>3076</v>
      </c>
      <c r="K1091" s="61"/>
      <c r="L1091" s="160">
        <v>0</v>
      </c>
      <c r="M1091" s="55">
        <f t="shared" si="418"/>
        <v>0</v>
      </c>
      <c r="N1091" s="55">
        <f t="shared" si="407"/>
        <v>0</v>
      </c>
      <c r="O1091" s="95"/>
      <c r="P1091" s="160">
        <v>0</v>
      </c>
      <c r="Q1091" s="55">
        <f t="shared" si="419"/>
        <v>0</v>
      </c>
      <c r="R1091" s="65">
        <f t="shared" si="409"/>
        <v>0</v>
      </c>
      <c r="S1091" s="127">
        <v>25</v>
      </c>
      <c r="T1091" s="125" t="s">
        <v>201</v>
      </c>
      <c r="U1091" s="73">
        <f>SUMIF('Avoided Costs 2013-2021'!$A:$A,'2013 Actuals'!T1091&amp;'2013 Actuals'!S1091,'Avoided Costs 2013-2021'!$E:$E)*J1091</f>
        <v>9649.8507826775785</v>
      </c>
      <c r="V1091" s="73">
        <f>SUMIF('Avoided Costs 2013-2021'!$A:$A,'2013 Actuals'!T1091&amp;'2013 Actuals'!S1091,'Avoided Costs 2013-2021'!$K:$K)*N1091</f>
        <v>0</v>
      </c>
      <c r="W1091" s="73">
        <f>SUMIF('Avoided Costs 2013-2021'!$A:$A,'2013 Actuals'!T1091&amp;'2013 Actuals'!S1091,'Avoided Costs 2013-2021'!$M:$M)*R1091</f>
        <v>0</v>
      </c>
      <c r="X1091" s="73">
        <f t="shared" si="410"/>
        <v>9649.8507826775785</v>
      </c>
      <c r="Y1091" s="83">
        <v>6000</v>
      </c>
      <c r="Z1091" s="74">
        <f t="shared" si="411"/>
        <v>6000</v>
      </c>
      <c r="AA1091" s="74"/>
      <c r="AB1091" s="74"/>
      <c r="AC1091" s="74"/>
      <c r="AD1091" s="74">
        <f t="shared" si="412"/>
        <v>6000</v>
      </c>
      <c r="AE1091" s="74">
        <f t="shared" si="413"/>
        <v>3649.8507826775785</v>
      </c>
      <c r="AF1091" s="52">
        <f t="shared" si="414"/>
        <v>76900</v>
      </c>
      <c r="AG1091" s="52">
        <f t="shared" si="415"/>
        <v>76900</v>
      </c>
    </row>
    <row r="1092" spans="1:33" s="21" customFormat="1" x14ac:dyDescent="0.2">
      <c r="A1092" s="166" t="s">
        <v>407</v>
      </c>
      <c r="B1092" s="166"/>
      <c r="C1092" s="166"/>
      <c r="D1092" s="65">
        <v>1</v>
      </c>
      <c r="E1092" s="167"/>
      <c r="F1092" s="168">
        <v>0</v>
      </c>
      <c r="G1092" s="168"/>
      <c r="H1092" s="52">
        <v>9229</v>
      </c>
      <c r="I1092" s="52">
        <f t="shared" si="420"/>
        <v>9229</v>
      </c>
      <c r="J1092" s="52">
        <f t="shared" si="405"/>
        <v>9229</v>
      </c>
      <c r="K1092" s="61"/>
      <c r="L1092" s="160">
        <v>0</v>
      </c>
      <c r="M1092" s="55">
        <f t="shared" si="418"/>
        <v>0</v>
      </c>
      <c r="N1092" s="55">
        <f t="shared" si="407"/>
        <v>0</v>
      </c>
      <c r="O1092" s="95"/>
      <c r="P1092" s="160">
        <v>0</v>
      </c>
      <c r="Q1092" s="55">
        <f t="shared" si="419"/>
        <v>0</v>
      </c>
      <c r="R1092" s="65">
        <f t="shared" si="409"/>
        <v>0</v>
      </c>
      <c r="S1092" s="127">
        <v>25</v>
      </c>
      <c r="T1092" s="125" t="s">
        <v>217</v>
      </c>
      <c r="U1092" s="73">
        <f>SUMIF('Avoided Costs 2013-2021'!$A:$A,'2013 Actuals'!T1092&amp;'2013 Actuals'!S1092,'Avoided Costs 2013-2021'!$E:$E)*J1092</f>
        <v>27170.829922669633</v>
      </c>
      <c r="V1092" s="73">
        <f>SUMIF('Avoided Costs 2013-2021'!$A:$A,'2013 Actuals'!T1092&amp;'2013 Actuals'!S1092,'Avoided Costs 2013-2021'!$K:$K)*N1092</f>
        <v>0</v>
      </c>
      <c r="W1092" s="73">
        <f>SUMIF('Avoided Costs 2013-2021'!$A:$A,'2013 Actuals'!T1092&amp;'2013 Actuals'!S1092,'Avoided Costs 2013-2021'!$M:$M)*R1092</f>
        <v>0</v>
      </c>
      <c r="X1092" s="73">
        <f t="shared" si="410"/>
        <v>27170.829922669633</v>
      </c>
      <c r="Y1092" s="83">
        <v>18000</v>
      </c>
      <c r="Z1092" s="74">
        <f t="shared" si="411"/>
        <v>18000</v>
      </c>
      <c r="AA1092" s="74"/>
      <c r="AB1092" s="74"/>
      <c r="AC1092" s="74"/>
      <c r="AD1092" s="74">
        <f t="shared" si="412"/>
        <v>18000</v>
      </c>
      <c r="AE1092" s="74">
        <f t="shared" si="413"/>
        <v>9170.8299226696327</v>
      </c>
      <c r="AF1092" s="52">
        <f t="shared" si="414"/>
        <v>230725</v>
      </c>
      <c r="AG1092" s="52">
        <f t="shared" si="415"/>
        <v>230725</v>
      </c>
    </row>
    <row r="1093" spans="1:33" s="17" customFormat="1" collapsed="1" x14ac:dyDescent="0.2">
      <c r="A1093" s="170" t="s">
        <v>1208</v>
      </c>
      <c r="B1093" s="31"/>
      <c r="C1093" s="32"/>
      <c r="D1093" s="51">
        <v>9</v>
      </c>
      <c r="E1093" s="63"/>
      <c r="F1093" s="34">
        <v>0</v>
      </c>
      <c r="G1093" s="35"/>
      <c r="H1093" s="54">
        <v>261484</v>
      </c>
      <c r="I1093" s="51">
        <f>H1093</f>
        <v>261484</v>
      </c>
      <c r="J1093" s="54">
        <f t="shared" si="405"/>
        <v>261484</v>
      </c>
      <c r="K1093" s="63"/>
      <c r="L1093" s="54">
        <v>0</v>
      </c>
      <c r="M1093" s="56">
        <f t="shared" si="418"/>
        <v>0</v>
      </c>
      <c r="N1093" s="54">
        <f t="shared" si="407"/>
        <v>0</v>
      </c>
      <c r="O1093" s="97"/>
      <c r="P1093" s="54">
        <v>0</v>
      </c>
      <c r="Q1093" s="56">
        <f t="shared" si="419"/>
        <v>0</v>
      </c>
      <c r="R1093" s="54">
        <f t="shared" si="409"/>
        <v>0</v>
      </c>
      <c r="S1093" s="33">
        <v>5</v>
      </c>
      <c r="T1093" s="36" t="s">
        <v>201</v>
      </c>
      <c r="U1093" s="73">
        <f>SUMIF('Avoided Costs 2013-2021'!$A:$A,'2013 Actuals'!T1093&amp;'2013 Actuals'!S1093,'Avoided Costs 2013-2021'!$E:$E)*J1093</f>
        <v>203618.28950794094</v>
      </c>
      <c r="V1093" s="73">
        <f>SUMIF('Avoided Costs 2013-2021'!$A:$A,'2013 Actuals'!T1093&amp;'2013 Actuals'!S1093,'Avoided Costs 2013-2021'!$K:$K)*N1093</f>
        <v>0</v>
      </c>
      <c r="W1093" s="73">
        <f>SUMIF('Avoided Costs 2013-2021'!$A:$A,'2013 Actuals'!T1093&amp;'2013 Actuals'!S1093,'Avoided Costs 2013-2021'!$M:$M)*R1093</f>
        <v>0</v>
      </c>
      <c r="X1093" s="78">
        <f t="shared" si="410"/>
        <v>203618.28950794094</v>
      </c>
      <c r="Y1093" s="89">
        <v>6120</v>
      </c>
      <c r="Z1093" s="78">
        <f t="shared" si="411"/>
        <v>6120</v>
      </c>
      <c r="AA1093" s="75"/>
      <c r="AB1093" s="75">
        <v>0</v>
      </c>
      <c r="AC1093" s="78">
        <v>66702.599999999991</v>
      </c>
      <c r="AD1093" s="78">
        <f t="shared" si="412"/>
        <v>6120</v>
      </c>
      <c r="AE1093" s="75">
        <f t="shared" si="413"/>
        <v>197498.28950794094</v>
      </c>
      <c r="AF1093" s="51">
        <f t="shared" si="414"/>
        <v>1307420</v>
      </c>
      <c r="AG1093" s="51">
        <f t="shared" si="415"/>
        <v>1307420</v>
      </c>
    </row>
    <row r="1094" spans="1:33" s="17" customFormat="1" x14ac:dyDescent="0.2">
      <c r="A1094" s="170" t="s">
        <v>192</v>
      </c>
      <c r="B1094" s="170" t="s">
        <v>193</v>
      </c>
      <c r="C1094" s="170"/>
      <c r="D1094" s="51">
        <v>649</v>
      </c>
      <c r="E1094" s="63">
        <v>55.29</v>
      </c>
      <c r="F1094" s="34">
        <v>0</v>
      </c>
      <c r="G1094" s="35">
        <v>0.123</v>
      </c>
      <c r="H1094" s="54">
        <f>D1094*E1094</f>
        <v>35883.21</v>
      </c>
      <c r="I1094" s="51">
        <f>H1094</f>
        <v>35883.21</v>
      </c>
      <c r="J1094" s="54">
        <f>(E1094*D1094)*(1-F1094)*(1-G1094)</f>
        <v>31469.57517</v>
      </c>
      <c r="K1094" s="63">
        <v>0</v>
      </c>
      <c r="L1094" s="54">
        <v>0</v>
      </c>
      <c r="M1094" s="56">
        <f>L1094</f>
        <v>0</v>
      </c>
      <c r="N1094" s="54">
        <f>(K1094*D1094)*(1-F1094)</f>
        <v>0</v>
      </c>
      <c r="O1094" s="97">
        <v>11.628</v>
      </c>
      <c r="P1094" s="54">
        <f>O1094*D1094</f>
        <v>7546.5720000000001</v>
      </c>
      <c r="Q1094" s="56">
        <f>+P1094</f>
        <v>7546.5720000000001</v>
      </c>
      <c r="R1094" s="54">
        <f>(O1094*D1094)*(1-F1094)*(1-G1094)</f>
        <v>6618.3436440000005</v>
      </c>
      <c r="S1094" s="33">
        <v>10</v>
      </c>
      <c r="T1094" s="36" t="s">
        <v>217</v>
      </c>
      <c r="U1094" s="73">
        <f>SUMIF('Avoided Costs 2013-2021'!$A:$A,'2013 Actuals'!T1094&amp;'2013 Actuals'!S1094,'Avoided Costs 2013-2021'!$E:$E)*J1094</f>
        <v>47085.5343999666</v>
      </c>
      <c r="V1094" s="73">
        <f>SUMIF('Avoided Costs 2013-2021'!$A:$A,'2013 Actuals'!T1094&amp;'2013 Actuals'!S1094,'Avoided Costs 2013-2021'!$K:$K)*N1094</f>
        <v>0</v>
      </c>
      <c r="W1094" s="73">
        <f>SUMIF('Avoided Costs 2013-2021'!$A:$A,'2013 Actuals'!T1094&amp;'2013 Actuals'!S1094,'Avoided Costs 2013-2021'!$M:$M)*R1094</f>
        <v>131345.66431985408</v>
      </c>
      <c r="X1094" s="78">
        <f t="shared" si="410"/>
        <v>178431.19871982068</v>
      </c>
      <c r="Y1094" s="89">
        <v>18.71</v>
      </c>
      <c r="Z1094" s="78">
        <f>(Y1094*D1094)*(1-F1094)</f>
        <v>12142.79</v>
      </c>
      <c r="AA1094" s="75">
        <v>0</v>
      </c>
      <c r="AB1094" s="75"/>
      <c r="AC1094" s="78"/>
      <c r="AD1094" s="78">
        <f t="shared" si="412"/>
        <v>12142.79</v>
      </c>
      <c r="AE1094" s="75">
        <f t="shared" si="413"/>
        <v>166288.40871982067</v>
      </c>
      <c r="AF1094" s="51">
        <f t="shared" si="414"/>
        <v>314695.75170000002</v>
      </c>
      <c r="AG1094" s="51">
        <f t="shared" si="415"/>
        <v>358832.1</v>
      </c>
    </row>
    <row r="1095" spans="1:33" s="17" customFormat="1" x14ac:dyDescent="0.2">
      <c r="A1095" s="170" t="s">
        <v>104</v>
      </c>
      <c r="B1095" s="31" t="s">
        <v>105</v>
      </c>
      <c r="C1095" s="32"/>
      <c r="D1095" s="51">
        <v>700</v>
      </c>
      <c r="E1095" s="63">
        <v>69</v>
      </c>
      <c r="F1095" s="34">
        <v>0</v>
      </c>
      <c r="G1095" s="35">
        <v>0.123</v>
      </c>
      <c r="H1095" s="54">
        <f>D1095*E1095</f>
        <v>48300</v>
      </c>
      <c r="I1095" s="51">
        <f>H1095</f>
        <v>48300</v>
      </c>
      <c r="J1095" s="54">
        <f>(E1095*D1095)*(1-F1095)*(1-G1095)</f>
        <v>42359.1</v>
      </c>
      <c r="K1095" s="63">
        <v>0</v>
      </c>
      <c r="L1095" s="54">
        <v>0</v>
      </c>
      <c r="M1095" s="56">
        <f>L1095</f>
        <v>0</v>
      </c>
      <c r="N1095" s="54">
        <f>(K1095*D1095)*(1-F1095)</f>
        <v>0</v>
      </c>
      <c r="O1095" s="97">
        <v>15.71</v>
      </c>
      <c r="P1095" s="54">
        <f>O1095*D1095</f>
        <v>10997</v>
      </c>
      <c r="Q1095" s="56">
        <f>+P1095</f>
        <v>10997</v>
      </c>
      <c r="R1095" s="54">
        <f>(O1095*D1095)*(1-F1095)*(1-G1095)</f>
        <v>9644.3690000000006</v>
      </c>
      <c r="S1095" s="33">
        <v>10</v>
      </c>
      <c r="T1095" s="36" t="s">
        <v>217</v>
      </c>
      <c r="U1095" s="73">
        <f>SUMIF('Avoided Costs 2013-2021'!$A:$A,'2013 Actuals'!T1095&amp;'2013 Actuals'!S1095,'Avoided Costs 2013-2021'!$E:$E)*J1095</f>
        <v>63378.703062473694</v>
      </c>
      <c r="V1095" s="73">
        <f>SUMIF('Avoided Costs 2013-2021'!$A:$A,'2013 Actuals'!T1095&amp;'2013 Actuals'!S1095,'Avoided Costs 2013-2021'!$K:$K)*N1095</f>
        <v>0</v>
      </c>
      <c r="W1095" s="73">
        <f>SUMIF('Avoided Costs 2013-2021'!$A:$A,'2013 Actuals'!T1095&amp;'2013 Actuals'!S1095,'Avoided Costs 2013-2021'!$M:$M)*R1095</f>
        <v>191399.25657973386</v>
      </c>
      <c r="X1095" s="78">
        <f t="shared" si="410"/>
        <v>254777.95964220754</v>
      </c>
      <c r="Y1095" s="89">
        <v>12.5</v>
      </c>
      <c r="Z1095" s="78">
        <f>(Y1095*D1095)*(1-F1095)</f>
        <v>8750</v>
      </c>
      <c r="AA1095" s="75">
        <v>0</v>
      </c>
      <c r="AB1095" s="75"/>
      <c r="AC1095" s="78"/>
      <c r="AD1095" s="78">
        <f t="shared" si="412"/>
        <v>8750</v>
      </c>
      <c r="AE1095" s="75">
        <f t="shared" si="413"/>
        <v>246027.95964220754</v>
      </c>
      <c r="AF1095" s="51">
        <f t="shared" si="414"/>
        <v>423591</v>
      </c>
      <c r="AG1095" s="51">
        <f t="shared" si="415"/>
        <v>483000</v>
      </c>
    </row>
    <row r="1096" spans="1:33" x14ac:dyDescent="0.2">
      <c r="A1096" s="166" t="s">
        <v>4</v>
      </c>
      <c r="B1096" s="166" t="s">
        <v>100</v>
      </c>
      <c r="C1096" s="125"/>
      <c r="D1096" s="52">
        <f>SUM(D1050:D1095)</f>
        <v>1396</v>
      </c>
      <c r="E1096" s="291">
        <v>124.28999999999999</v>
      </c>
      <c r="F1096" s="168"/>
      <c r="G1096" s="292"/>
      <c r="H1096" s="52">
        <v>1848870</v>
      </c>
      <c r="I1096" s="52">
        <f>SUM(I1050:I1095)</f>
        <v>1558408.2459999998</v>
      </c>
      <c r="J1096" s="52">
        <f>SUM(J1050:J1095)</f>
        <v>1548053.71117</v>
      </c>
      <c r="K1096" s="167"/>
      <c r="L1096" s="52">
        <v>129499</v>
      </c>
      <c r="M1096" s="52">
        <f>SUM(M1050:M1095)</f>
        <v>129499</v>
      </c>
      <c r="N1096" s="52">
        <f>SUM(N1050:N1095)</f>
        <v>129499</v>
      </c>
      <c r="O1096" s="169">
        <f>SUM(O1094:O1095)</f>
        <v>27.338000000000001</v>
      </c>
      <c r="P1096" s="52">
        <f>SUM(P1050:P1095)</f>
        <v>18543.572</v>
      </c>
      <c r="Q1096" s="52">
        <f>SUM(Q1050:Q1095)</f>
        <v>18543.572</v>
      </c>
      <c r="R1096" s="52">
        <f>SUM(R1050:R1095)</f>
        <v>16262.712644000001</v>
      </c>
      <c r="S1096" s="127"/>
      <c r="T1096" s="125"/>
      <c r="U1096" s="307">
        <f>SUM(U1050:U1095)</f>
        <v>3649740.3715237067</v>
      </c>
      <c r="V1096" s="307">
        <f>SUM(V1050:V1095)</f>
        <v>135571.68323563688</v>
      </c>
      <c r="W1096" s="307">
        <f>SUM(W1050:W1095)</f>
        <v>322744.92089958792</v>
      </c>
      <c r="X1096" s="307">
        <f>SUM(X1050:X1095)</f>
        <v>4108056.9756589313</v>
      </c>
      <c r="Y1096" s="83">
        <v>973936.42000000016</v>
      </c>
      <c r="Z1096" s="307">
        <f t="shared" ref="Z1096" si="421">SUM(Z1050:Z1095)</f>
        <v>1000924.2100000002</v>
      </c>
      <c r="AA1096" s="307">
        <v>695352.02</v>
      </c>
      <c r="AB1096" s="307">
        <v>28376.12</v>
      </c>
      <c r="AC1096" s="307">
        <v>723728.14</v>
      </c>
      <c r="AD1096" s="307">
        <f t="shared" si="412"/>
        <v>1029300.3300000002</v>
      </c>
      <c r="AE1096" s="74">
        <f t="shared" si="413"/>
        <v>3078756.6456589312</v>
      </c>
      <c r="AF1096" s="52">
        <f>SUM(AF1050:AF1095)</f>
        <v>27314154.291699998</v>
      </c>
      <c r="AG1096" s="52">
        <f>SUM(AG1050:AG1095)</f>
        <v>27417699.640000001</v>
      </c>
    </row>
    <row r="1097" spans="1:33" x14ac:dyDescent="0.2">
      <c r="A1097" s="150"/>
      <c r="AF1097" s="79"/>
      <c r="AG1097" s="79"/>
    </row>
    <row r="1098" spans="1:33" ht="13.5" thickBot="1" x14ac:dyDescent="0.25">
      <c r="A1098" s="283" t="s">
        <v>195</v>
      </c>
      <c r="B1098" s="283" t="s">
        <v>188</v>
      </c>
      <c r="C1098" s="147"/>
      <c r="D1098" s="284">
        <v>0</v>
      </c>
      <c r="E1098" s="142">
        <v>0</v>
      </c>
      <c r="F1098" s="143">
        <v>0</v>
      </c>
      <c r="G1098" s="144"/>
      <c r="H1098" s="284">
        <v>0</v>
      </c>
      <c r="I1098" s="284"/>
      <c r="J1098" s="284"/>
      <c r="K1098" s="142">
        <v>0</v>
      </c>
      <c r="L1098" s="284">
        <v>0</v>
      </c>
      <c r="M1098" s="284"/>
      <c r="N1098" s="284"/>
      <c r="O1098" s="145">
        <v>0</v>
      </c>
      <c r="P1098" s="284">
        <v>0</v>
      </c>
      <c r="Q1098" s="284"/>
      <c r="R1098" s="284"/>
      <c r="S1098" s="146">
        <v>0</v>
      </c>
      <c r="T1098" s="325" t="s">
        <v>215</v>
      </c>
      <c r="U1098" s="285"/>
      <c r="V1098" s="285"/>
      <c r="W1098" s="285"/>
      <c r="X1098" s="285"/>
      <c r="Y1098" s="148">
        <v>0</v>
      </c>
      <c r="Z1098" s="285"/>
      <c r="AA1098" s="286">
        <v>0</v>
      </c>
      <c r="AB1098" s="286">
        <v>586981.49048003531</v>
      </c>
      <c r="AC1098" s="286">
        <f>AA1098+AB1098</f>
        <v>586981.49048003531</v>
      </c>
      <c r="AD1098" s="286">
        <f>Z1098+AB1098</f>
        <v>586981.49048003531</v>
      </c>
      <c r="AE1098" s="286">
        <f>X1098-AD1098</f>
        <v>-586981.49048003531</v>
      </c>
      <c r="AF1098" s="287"/>
      <c r="AG1098" s="287"/>
    </row>
    <row r="1099" spans="1:33" ht="14.25" thickTop="1" thickBot="1" x14ac:dyDescent="0.25">
      <c r="A1099" s="339" t="s">
        <v>68</v>
      </c>
      <c r="B1099" s="175"/>
      <c r="C1099" s="128"/>
      <c r="D1099" s="340">
        <f>D1096+D1047</f>
        <v>5334</v>
      </c>
      <c r="E1099" s="176"/>
      <c r="F1099" s="177"/>
      <c r="G1099" s="178"/>
      <c r="H1099" s="340">
        <f>H1096+H1047</f>
        <v>3238383.3</v>
      </c>
      <c r="I1099" s="340">
        <f>I1096+I1047</f>
        <v>2947921.5460000001</v>
      </c>
      <c r="J1099" s="340">
        <f>J1096+J1047</f>
        <v>2923651.4922700003</v>
      </c>
      <c r="K1099" s="176"/>
      <c r="L1099" s="340">
        <f>L1096+L1047</f>
        <v>130201</v>
      </c>
      <c r="M1099" s="340">
        <f>M1096+M1047</f>
        <v>130201</v>
      </c>
      <c r="N1099" s="340">
        <f>N1096+N1047</f>
        <v>130201</v>
      </c>
      <c r="O1099" s="179"/>
      <c r="P1099" s="340">
        <f>P1096+P1047</f>
        <v>36165.158200000005</v>
      </c>
      <c r="Q1099" s="340">
        <f>Q1096+Q1047</f>
        <v>36165.158200000005</v>
      </c>
      <c r="R1099" s="340">
        <f>R1096+R1047</f>
        <v>31716.8437414</v>
      </c>
      <c r="S1099" s="135"/>
      <c r="T1099" s="128"/>
      <c r="U1099" s="341">
        <f>U1096+U1047</f>
        <v>7802823.214846164</v>
      </c>
      <c r="V1099" s="341">
        <f>V1096+V1047</f>
        <v>136306.6025912413</v>
      </c>
      <c r="W1099" s="341">
        <f>W1096+W1047</f>
        <v>629442.97477207112</v>
      </c>
      <c r="X1099" s="341">
        <f>X1096+X1047</f>
        <v>8568572.7922094762</v>
      </c>
      <c r="Y1099" s="180"/>
      <c r="Z1099" s="341">
        <f t="shared" ref="Z1099" si="422">Z1096+Z1047</f>
        <v>4829325.9501</v>
      </c>
      <c r="AA1099" s="342">
        <f>AA1096+AA1047</f>
        <v>5165858.9000000004</v>
      </c>
      <c r="AB1099" s="342">
        <f>AB1096+AB1047+AB1098</f>
        <v>783887.70048003527</v>
      </c>
      <c r="AC1099" s="342">
        <f>AC1096+AC1047+AC1098</f>
        <v>5949746.6004800359</v>
      </c>
      <c r="AD1099" s="342">
        <f>AD1096+AD1047+AD1098</f>
        <v>5613213.6505800355</v>
      </c>
      <c r="AE1099" s="342">
        <f>AE1096+AE1047+AE1098</f>
        <v>2955359.1416294416</v>
      </c>
      <c r="AF1099" s="340">
        <f>AF1096+AF1047</f>
        <v>60218838.367699996</v>
      </c>
      <c r="AG1099" s="340">
        <f>AG1096+AG1047</f>
        <v>60461962.640000001</v>
      </c>
    </row>
    <row r="1100" spans="1:33" ht="13.5" thickTop="1" x14ac:dyDescent="0.2">
      <c r="A1100" s="150"/>
      <c r="AF1100" s="79"/>
      <c r="AG1100" s="79"/>
    </row>
    <row r="1101" spans="1:33" x14ac:dyDescent="0.2">
      <c r="A1101" s="150" t="s">
        <v>69</v>
      </c>
      <c r="B1101" s="17"/>
      <c r="C1101" s="16"/>
      <c r="D1101" s="44"/>
      <c r="E1101" s="58"/>
      <c r="F1101" s="5"/>
      <c r="G1101" s="6"/>
      <c r="H1101" s="44"/>
      <c r="I1101" s="44"/>
      <c r="J1101" s="44"/>
      <c r="K1101" s="58"/>
      <c r="L1101" s="44"/>
      <c r="M1101" s="44"/>
      <c r="N1101" s="44"/>
      <c r="O1101" s="92"/>
      <c r="P1101" s="44"/>
      <c r="Q1101" s="44"/>
      <c r="R1101" s="44"/>
      <c r="S1101" s="4"/>
      <c r="T1101" s="16"/>
      <c r="U1101" s="72"/>
      <c r="V1101" s="72"/>
      <c r="W1101" s="72"/>
      <c r="X1101" s="72"/>
      <c r="Y1101" s="84"/>
      <c r="Z1101" s="72"/>
      <c r="AA1101" s="72"/>
      <c r="AB1101" s="72"/>
      <c r="AC1101" s="72"/>
      <c r="AD1101" s="72"/>
      <c r="AE1101" s="72"/>
      <c r="AF1101" s="79"/>
      <c r="AG1101" s="79"/>
    </row>
    <row r="1102" spans="1:33" x14ac:dyDescent="0.2">
      <c r="A1102" s="166" t="s">
        <v>160</v>
      </c>
      <c r="B1102" s="166" t="s">
        <v>158</v>
      </c>
      <c r="C1102" s="166"/>
      <c r="D1102" s="65">
        <v>78000</v>
      </c>
      <c r="E1102" s="167"/>
      <c r="F1102" s="168"/>
      <c r="G1102" s="168"/>
      <c r="H1102" s="52"/>
      <c r="I1102" s="52"/>
      <c r="J1102" s="52"/>
      <c r="K1102" s="167"/>
      <c r="L1102" s="65"/>
      <c r="M1102" s="65"/>
      <c r="N1102" s="65"/>
      <c r="O1102" s="169"/>
      <c r="P1102" s="65"/>
      <c r="Q1102" s="65"/>
      <c r="R1102" s="65"/>
      <c r="S1102" s="127"/>
      <c r="T1102" s="127" t="s">
        <v>215</v>
      </c>
      <c r="U1102" s="185"/>
      <c r="V1102" s="185"/>
      <c r="W1102" s="185"/>
      <c r="X1102" s="185"/>
      <c r="Y1102" s="186"/>
      <c r="Z1102" s="185"/>
      <c r="AA1102" s="74">
        <v>1000</v>
      </c>
      <c r="AB1102" s="74">
        <v>754899.62</v>
      </c>
      <c r="AC1102" s="73">
        <v>755899.62</v>
      </c>
      <c r="AD1102" s="78">
        <f>Z1102+AB1102</f>
        <v>754899.62</v>
      </c>
      <c r="AE1102" s="75">
        <f t="shared" ref="AE1102:AE1107" si="423">X1102-AD1102</f>
        <v>-754899.62</v>
      </c>
      <c r="AF1102" s="52"/>
      <c r="AG1102" s="52"/>
    </row>
    <row r="1103" spans="1:33" x14ac:dyDescent="0.2">
      <c r="A1103" s="166" t="s">
        <v>160</v>
      </c>
      <c r="B1103" s="166" t="s">
        <v>1174</v>
      </c>
      <c r="C1103" s="170"/>
      <c r="D1103" s="171">
        <v>138</v>
      </c>
      <c r="E1103" s="172"/>
      <c r="F1103" s="173"/>
      <c r="G1103" s="173"/>
      <c r="H1103" s="51"/>
      <c r="I1103" s="51"/>
      <c r="J1103" s="51"/>
      <c r="K1103" s="172"/>
      <c r="L1103" s="171"/>
      <c r="M1103" s="171"/>
      <c r="N1103" s="171"/>
      <c r="O1103" s="174"/>
      <c r="P1103" s="171"/>
      <c r="Q1103" s="171"/>
      <c r="R1103" s="171"/>
      <c r="S1103" s="131"/>
      <c r="T1103" s="131"/>
      <c r="U1103" s="187"/>
      <c r="V1103" s="187"/>
      <c r="W1103" s="187"/>
      <c r="X1103" s="187"/>
      <c r="Y1103" s="188"/>
      <c r="Z1103" s="187"/>
      <c r="AA1103" s="75">
        <v>0</v>
      </c>
      <c r="AB1103" s="75">
        <v>0</v>
      </c>
      <c r="AC1103" s="78">
        <v>0</v>
      </c>
      <c r="AD1103" s="78">
        <f>Z1103+AB1103</f>
        <v>0</v>
      </c>
      <c r="AE1103" s="75">
        <f t="shared" si="423"/>
        <v>0</v>
      </c>
      <c r="AF1103" s="51"/>
      <c r="AG1103" s="51"/>
    </row>
    <row r="1104" spans="1:33" x14ac:dyDescent="0.2">
      <c r="A1104" s="166" t="s">
        <v>161</v>
      </c>
      <c r="B1104" s="166" t="s">
        <v>162</v>
      </c>
      <c r="C1104" s="166"/>
      <c r="D1104" s="65">
        <v>6465</v>
      </c>
      <c r="E1104" s="167"/>
      <c r="F1104" s="168"/>
      <c r="G1104" s="168"/>
      <c r="H1104" s="52"/>
      <c r="I1104" s="52"/>
      <c r="J1104" s="52"/>
      <c r="K1104" s="167"/>
      <c r="L1104" s="65"/>
      <c r="M1104" s="65"/>
      <c r="N1104" s="65"/>
      <c r="O1104" s="169"/>
      <c r="P1104" s="65"/>
      <c r="Q1104" s="65"/>
      <c r="R1104" s="65"/>
      <c r="S1104" s="127"/>
      <c r="T1104" s="127" t="s">
        <v>215</v>
      </c>
      <c r="U1104" s="185"/>
      <c r="V1104" s="185"/>
      <c r="W1104" s="185"/>
      <c r="X1104" s="185"/>
      <c r="Y1104" s="186"/>
      <c r="Z1104" s="185"/>
      <c r="AA1104" s="74">
        <v>1905888.1</v>
      </c>
      <c r="AB1104" s="74">
        <v>31141.68</v>
      </c>
      <c r="AC1104" s="73">
        <v>1937029.78</v>
      </c>
      <c r="AD1104" s="78">
        <f>Z1104+AB1104</f>
        <v>31141.68</v>
      </c>
      <c r="AE1104" s="75">
        <f t="shared" si="423"/>
        <v>-31141.68</v>
      </c>
      <c r="AF1104" s="52"/>
      <c r="AG1104" s="52"/>
    </row>
    <row r="1105" spans="1:33" x14ac:dyDescent="0.2">
      <c r="A1105" s="166" t="s">
        <v>163</v>
      </c>
      <c r="B1105" s="166" t="s">
        <v>1206</v>
      </c>
      <c r="C1105" s="170"/>
      <c r="D1105" s="171">
        <v>967</v>
      </c>
      <c r="E1105" s="167"/>
      <c r="F1105" s="168"/>
      <c r="G1105" s="168"/>
      <c r="H1105" s="52"/>
      <c r="I1105" s="52"/>
      <c r="J1105" s="52"/>
      <c r="K1105" s="167"/>
      <c r="L1105" s="65"/>
      <c r="M1105" s="65"/>
      <c r="N1105" s="65"/>
      <c r="O1105" s="169"/>
      <c r="P1105" s="65"/>
      <c r="Q1105" s="65"/>
      <c r="R1105" s="65"/>
      <c r="S1105" s="127"/>
      <c r="T1105" s="127" t="s">
        <v>215</v>
      </c>
      <c r="U1105" s="185"/>
      <c r="V1105" s="185"/>
      <c r="W1105" s="185"/>
      <c r="X1105" s="185"/>
      <c r="Y1105" s="186"/>
      <c r="Z1105" s="185"/>
      <c r="AA1105" s="74">
        <v>589500.64</v>
      </c>
      <c r="AB1105" s="74">
        <v>440034.76</v>
      </c>
      <c r="AC1105" s="73">
        <v>1029535.4</v>
      </c>
      <c r="AD1105" s="78">
        <f>Z1105+AB1105</f>
        <v>440034.76</v>
      </c>
      <c r="AE1105" s="75">
        <f t="shared" si="423"/>
        <v>-440034.76</v>
      </c>
      <c r="AF1105" s="52"/>
      <c r="AG1105" s="52"/>
    </row>
    <row r="1106" spans="1:33" x14ac:dyDescent="0.2">
      <c r="A1106" s="166" t="s">
        <v>163</v>
      </c>
      <c r="B1106" s="166" t="s">
        <v>1207</v>
      </c>
      <c r="C1106" s="170"/>
      <c r="D1106" s="171">
        <v>18</v>
      </c>
      <c r="E1106" s="172"/>
      <c r="F1106" s="173"/>
      <c r="G1106" s="173"/>
      <c r="H1106" s="51"/>
      <c r="I1106" s="51"/>
      <c r="J1106" s="51"/>
      <c r="K1106" s="172"/>
      <c r="L1106" s="171"/>
      <c r="M1106" s="171"/>
      <c r="N1106" s="171"/>
      <c r="O1106" s="174"/>
      <c r="P1106" s="171"/>
      <c r="Q1106" s="171"/>
      <c r="R1106" s="171"/>
      <c r="S1106" s="131"/>
      <c r="T1106" s="131"/>
      <c r="U1106" s="187"/>
      <c r="V1106" s="187"/>
      <c r="W1106" s="187"/>
      <c r="X1106" s="187"/>
      <c r="Y1106" s="188"/>
      <c r="Z1106" s="187"/>
      <c r="AA1106" s="75">
        <v>0</v>
      </c>
      <c r="AB1106" s="75">
        <v>0</v>
      </c>
      <c r="AC1106" s="78">
        <v>0</v>
      </c>
      <c r="AD1106" s="78">
        <f>Z1106+AB1106</f>
        <v>0</v>
      </c>
      <c r="AE1106" s="75">
        <f t="shared" si="423"/>
        <v>0</v>
      </c>
      <c r="AF1106" s="51"/>
      <c r="AG1106" s="51"/>
    </row>
    <row r="1107" spans="1:33" x14ac:dyDescent="0.2">
      <c r="A1107" s="166" t="s">
        <v>4</v>
      </c>
      <c r="B1107" s="166" t="s">
        <v>164</v>
      </c>
      <c r="C1107" s="166"/>
      <c r="D1107" s="65">
        <f>SUM(D1102:D1106)</f>
        <v>85588</v>
      </c>
      <c r="E1107" s="167"/>
      <c r="F1107" s="168"/>
      <c r="G1107" s="168"/>
      <c r="H1107" s="52"/>
      <c r="I1107" s="52"/>
      <c r="J1107" s="52"/>
      <c r="K1107" s="167"/>
      <c r="L1107" s="65"/>
      <c r="M1107" s="65"/>
      <c r="N1107" s="65"/>
      <c r="O1107" s="169"/>
      <c r="P1107" s="65"/>
      <c r="Q1107" s="65"/>
      <c r="R1107" s="65"/>
      <c r="S1107" s="127"/>
      <c r="T1107" s="127" t="s">
        <v>215</v>
      </c>
      <c r="U1107" s="185"/>
      <c r="V1107" s="185"/>
      <c r="W1107" s="185"/>
      <c r="X1107" s="185"/>
      <c r="Y1107" s="186"/>
      <c r="Z1107" s="185"/>
      <c r="AA1107" s="74">
        <v>2496388.7400000002</v>
      </c>
      <c r="AB1107" s="74">
        <v>1226076.06</v>
      </c>
      <c r="AC1107" s="74">
        <v>3722464.8</v>
      </c>
      <c r="AD1107" s="74">
        <f>SUM(AD1102:AD1106)</f>
        <v>1226076.06</v>
      </c>
      <c r="AE1107" s="74">
        <f t="shared" si="423"/>
        <v>-1226076.06</v>
      </c>
      <c r="AF1107" s="65"/>
      <c r="AG1107" s="65"/>
    </row>
    <row r="1108" spans="1:33" x14ac:dyDescent="0.2">
      <c r="A1108" s="18"/>
      <c r="B1108" s="18"/>
      <c r="C1108" s="18"/>
      <c r="D1108" s="67"/>
      <c r="E1108" s="189"/>
      <c r="F1108" s="190"/>
      <c r="G1108" s="190"/>
      <c r="H1108" s="49"/>
      <c r="I1108" s="49"/>
      <c r="J1108" s="49"/>
      <c r="K1108" s="189"/>
      <c r="L1108" s="67"/>
      <c r="M1108" s="67"/>
      <c r="N1108" s="67"/>
      <c r="O1108" s="191"/>
      <c r="P1108" s="67"/>
      <c r="Q1108" s="67"/>
      <c r="R1108" s="67"/>
      <c r="S1108" s="40"/>
      <c r="T1108" s="40"/>
      <c r="U1108" s="192"/>
      <c r="V1108" s="192"/>
      <c r="W1108" s="192"/>
      <c r="X1108" s="192"/>
      <c r="Y1108" s="193"/>
      <c r="Z1108" s="192"/>
      <c r="AA1108" s="76"/>
      <c r="AB1108" s="76"/>
      <c r="AC1108" s="76"/>
      <c r="AD1108" s="76"/>
      <c r="AE1108" s="76"/>
      <c r="AF1108" s="194"/>
      <c r="AG1108" s="194"/>
    </row>
    <row r="1109" spans="1:33" x14ac:dyDescent="0.2">
      <c r="A1109" s="166" t="s">
        <v>165</v>
      </c>
      <c r="B1109" s="166" t="s">
        <v>166</v>
      </c>
      <c r="C1109" s="166"/>
      <c r="D1109" s="65">
        <v>16</v>
      </c>
      <c r="E1109" s="167"/>
      <c r="F1109" s="168"/>
      <c r="G1109" s="168"/>
      <c r="H1109" s="52"/>
      <c r="I1109" s="52"/>
      <c r="J1109" s="52"/>
      <c r="K1109" s="167"/>
      <c r="L1109" s="65"/>
      <c r="M1109" s="65"/>
      <c r="N1109" s="65"/>
      <c r="O1109" s="169"/>
      <c r="P1109" s="65"/>
      <c r="Q1109" s="65"/>
      <c r="R1109" s="65"/>
      <c r="S1109" s="127"/>
      <c r="T1109" s="127" t="s">
        <v>215</v>
      </c>
      <c r="U1109" s="185"/>
      <c r="V1109" s="185"/>
      <c r="W1109" s="185"/>
      <c r="X1109" s="185"/>
      <c r="Y1109" s="186"/>
      <c r="Z1109" s="185"/>
      <c r="AA1109" s="74">
        <v>343412.15</v>
      </c>
      <c r="AB1109" s="74">
        <v>247180.34</v>
      </c>
      <c r="AC1109" s="73">
        <v>590592.49</v>
      </c>
      <c r="AD1109" s="78">
        <f>Z1109+AB1109</f>
        <v>247180.34</v>
      </c>
      <c r="AE1109" s="75">
        <f>X1109-AD1109</f>
        <v>-247180.34</v>
      </c>
      <c r="AF1109" s="52"/>
      <c r="AG1109" s="52"/>
    </row>
    <row r="1110" spans="1:33" x14ac:dyDescent="0.2">
      <c r="A1110" s="166" t="s">
        <v>4</v>
      </c>
      <c r="B1110" s="166" t="s">
        <v>167</v>
      </c>
      <c r="C1110" s="166"/>
      <c r="D1110" s="65">
        <v>16</v>
      </c>
      <c r="E1110" s="167"/>
      <c r="F1110" s="168"/>
      <c r="G1110" s="168"/>
      <c r="H1110" s="52"/>
      <c r="I1110" s="52"/>
      <c r="J1110" s="52"/>
      <c r="K1110" s="167"/>
      <c r="L1110" s="65"/>
      <c r="M1110" s="65"/>
      <c r="N1110" s="65"/>
      <c r="O1110" s="169"/>
      <c r="P1110" s="65"/>
      <c r="Q1110" s="65"/>
      <c r="R1110" s="65"/>
      <c r="S1110" s="127"/>
      <c r="T1110" s="127" t="s">
        <v>215</v>
      </c>
      <c r="U1110" s="185"/>
      <c r="V1110" s="185"/>
      <c r="W1110" s="185"/>
      <c r="X1110" s="185"/>
      <c r="Y1110" s="186"/>
      <c r="Z1110" s="185"/>
      <c r="AA1110" s="74">
        <v>343412.15</v>
      </c>
      <c r="AB1110" s="74">
        <v>247180.34</v>
      </c>
      <c r="AC1110" s="74">
        <v>590592.49</v>
      </c>
      <c r="AD1110" s="74">
        <f>SUM(AD1109)</f>
        <v>247180.34</v>
      </c>
      <c r="AE1110" s="74">
        <f>X1110-AD1110</f>
        <v>-247180.34</v>
      </c>
      <c r="AF1110" s="65"/>
      <c r="AG1110" s="65"/>
    </row>
    <row r="1111" spans="1:33" x14ac:dyDescent="0.2">
      <c r="A1111" s="18"/>
      <c r="B1111" s="18"/>
      <c r="C1111" s="18"/>
      <c r="D1111" s="67"/>
      <c r="E1111" s="189"/>
      <c r="F1111" s="190"/>
      <c r="G1111" s="190"/>
      <c r="H1111" s="49"/>
      <c r="I1111" s="49"/>
      <c r="J1111" s="49"/>
      <c r="K1111" s="189"/>
      <c r="L1111" s="67"/>
      <c r="M1111" s="67"/>
      <c r="N1111" s="67"/>
      <c r="O1111" s="191"/>
      <c r="P1111" s="67"/>
      <c r="Q1111" s="67"/>
      <c r="R1111" s="67"/>
      <c r="S1111" s="40"/>
      <c r="T1111" s="40"/>
      <c r="U1111" s="192"/>
      <c r="V1111" s="192"/>
      <c r="W1111" s="192"/>
      <c r="X1111" s="192"/>
      <c r="Y1111" s="193"/>
      <c r="Z1111" s="192"/>
      <c r="AA1111" s="76"/>
      <c r="AB1111" s="76"/>
      <c r="AC1111" s="76"/>
      <c r="AD1111" s="76"/>
      <c r="AE1111" s="76"/>
      <c r="AF1111" s="194"/>
      <c r="AG1111" s="194"/>
    </row>
    <row r="1112" spans="1:33" ht="13.5" thickBot="1" x14ac:dyDescent="0.25">
      <c r="A1112" s="283" t="s">
        <v>194</v>
      </c>
      <c r="B1112" s="283" t="s">
        <v>189</v>
      </c>
      <c r="C1112" s="147"/>
      <c r="D1112" s="284">
        <v>0</v>
      </c>
      <c r="E1112" s="142"/>
      <c r="F1112" s="143"/>
      <c r="G1112" s="144"/>
      <c r="H1112" s="284"/>
      <c r="I1112" s="284"/>
      <c r="J1112" s="284"/>
      <c r="K1112" s="142"/>
      <c r="L1112" s="284"/>
      <c r="M1112" s="284"/>
      <c r="N1112" s="284"/>
      <c r="O1112" s="145"/>
      <c r="P1112" s="284"/>
      <c r="Q1112" s="284"/>
      <c r="R1112" s="284"/>
      <c r="S1112" s="146"/>
      <c r="T1112" s="325" t="s">
        <v>215</v>
      </c>
      <c r="U1112" s="285"/>
      <c r="V1112" s="285"/>
      <c r="W1112" s="285"/>
      <c r="X1112" s="285"/>
      <c r="Y1112" s="148"/>
      <c r="Z1112" s="285"/>
      <c r="AA1112" s="286">
        <v>0</v>
      </c>
      <c r="AB1112" s="286">
        <v>1047776.2963252781</v>
      </c>
      <c r="AC1112" s="286">
        <f>AA1112+AB1112</f>
        <v>1047776.2963252781</v>
      </c>
      <c r="AD1112" s="286">
        <f>Z1112+AB1112</f>
        <v>1047776.2963252781</v>
      </c>
      <c r="AE1112" s="286">
        <f>X1112-AD1112</f>
        <v>-1047776.2963252781</v>
      </c>
      <c r="AF1112" s="287"/>
      <c r="AG1112" s="287"/>
    </row>
    <row r="1113" spans="1:33" ht="14.25" thickTop="1" thickBot="1" x14ac:dyDescent="0.25">
      <c r="A1113" s="339" t="s">
        <v>168</v>
      </c>
      <c r="B1113" s="175" t="s">
        <v>169</v>
      </c>
      <c r="C1113" s="128"/>
      <c r="D1113" s="340">
        <f>D1107+D1110</f>
        <v>85604</v>
      </c>
      <c r="E1113" s="176"/>
      <c r="F1113" s="177"/>
      <c r="G1113" s="178"/>
      <c r="H1113" s="340"/>
      <c r="I1113" s="340"/>
      <c r="J1113" s="340"/>
      <c r="K1113" s="176"/>
      <c r="L1113" s="340"/>
      <c r="M1113" s="340"/>
      <c r="N1113" s="340"/>
      <c r="O1113" s="179"/>
      <c r="P1113" s="340"/>
      <c r="Q1113" s="340"/>
      <c r="R1113" s="340"/>
      <c r="S1113" s="135"/>
      <c r="T1113" s="128"/>
      <c r="U1113" s="341"/>
      <c r="V1113" s="341"/>
      <c r="W1113" s="341"/>
      <c r="X1113" s="341"/>
      <c r="Y1113" s="180"/>
      <c r="Z1113" s="341"/>
      <c r="AA1113" s="342">
        <f>AA1110+AA1107+AA1112</f>
        <v>2839800.89</v>
      </c>
      <c r="AB1113" s="342">
        <f>AB1110+AB1107+AB1112</f>
        <v>2521032.6963252784</v>
      </c>
      <c r="AC1113" s="342">
        <f>AC1110+AC1107+AC1112</f>
        <v>5360833.5863252785</v>
      </c>
      <c r="AD1113" s="342">
        <f>AD1110+AD1107+AD1112</f>
        <v>2521032.6963252784</v>
      </c>
      <c r="AE1113" s="343">
        <f>AE1110+AE1107+AE1112</f>
        <v>-2521032.6963252784</v>
      </c>
      <c r="AF1113" s="340"/>
      <c r="AG1113" s="340"/>
    </row>
    <row r="1114" spans="1:33" ht="14.25" thickTop="1" thickBot="1" x14ac:dyDescent="0.25">
      <c r="A1114" s="339"/>
      <c r="B1114" s="175"/>
      <c r="C1114" s="128"/>
      <c r="D1114" s="340"/>
      <c r="E1114" s="176"/>
      <c r="F1114" s="177"/>
      <c r="G1114" s="178"/>
      <c r="H1114" s="340"/>
      <c r="I1114" s="340"/>
      <c r="J1114" s="340"/>
      <c r="K1114" s="176"/>
      <c r="L1114" s="340"/>
      <c r="M1114" s="340"/>
      <c r="N1114" s="340"/>
      <c r="O1114" s="179"/>
      <c r="P1114" s="340"/>
      <c r="Q1114" s="340"/>
      <c r="R1114" s="340"/>
      <c r="S1114" s="135"/>
      <c r="T1114" s="128"/>
      <c r="U1114" s="341"/>
      <c r="V1114" s="341"/>
      <c r="W1114" s="341"/>
      <c r="X1114" s="341"/>
      <c r="Y1114" s="180"/>
      <c r="Z1114" s="341"/>
      <c r="AA1114" s="342"/>
      <c r="AB1114" s="342"/>
      <c r="AC1114" s="342"/>
      <c r="AD1114" s="342"/>
      <c r="AE1114" s="342"/>
      <c r="AF1114" s="340"/>
      <c r="AG1114" s="340"/>
    </row>
    <row r="1115" spans="1:33" ht="14.25" thickTop="1" thickBot="1" x14ac:dyDescent="0.25">
      <c r="A1115" s="339" t="s">
        <v>1216</v>
      </c>
      <c r="B1115" s="175"/>
      <c r="C1115" s="128"/>
      <c r="D1115" s="340">
        <f>D1113+D1099+D1039</f>
        <v>110525</v>
      </c>
      <c r="E1115" s="176"/>
      <c r="F1115" s="177"/>
      <c r="G1115" s="178"/>
      <c r="H1115" s="340">
        <f>H1113+H1099+H1039</f>
        <v>67924341.115384609</v>
      </c>
      <c r="I1115" s="340">
        <f>I1113+I1099+I1039</f>
        <v>66063268.612384617</v>
      </c>
      <c r="J1115" s="340">
        <f>J1113+J1099+J1039</f>
        <v>47736581.13178692</v>
      </c>
      <c r="K1115" s="176"/>
      <c r="L1115" s="340">
        <f>L1113+L1099+L1039</f>
        <v>25738699.099999998</v>
      </c>
      <c r="M1115" s="340">
        <f>M1113+M1099+M1039</f>
        <v>25740445.099999998</v>
      </c>
      <c r="N1115" s="340">
        <f>N1113+N1099+N1039</f>
        <v>20117739.305</v>
      </c>
      <c r="O1115" s="179"/>
      <c r="P1115" s="340">
        <f>P1113+P1099+P1039</f>
        <v>388015.15820000001</v>
      </c>
      <c r="Q1115" s="340">
        <f>Q1113+Q1099+Q1039</f>
        <v>388015.15820000001</v>
      </c>
      <c r="R1115" s="340">
        <f>R1113+R1099+R1039</f>
        <v>335999.51707639999</v>
      </c>
      <c r="S1115" s="135"/>
      <c r="T1115" s="135"/>
      <c r="U1115" s="341">
        <f>U1113+U1099+U1039</f>
        <v>110962136.34476446</v>
      </c>
      <c r="V1115" s="341">
        <f>V1113+V1099+V1039</f>
        <v>24183950.258067895</v>
      </c>
      <c r="W1115" s="341">
        <f>W1113+W1099+W1039</f>
        <v>7546965.7026485316</v>
      </c>
      <c r="X1115" s="341">
        <f>X1113+X1099+X1039</f>
        <v>142693052.30548087</v>
      </c>
      <c r="Y1115" s="344"/>
      <c r="Z1115" s="341">
        <f>Z1113+Z1099+Z1039</f>
        <v>52776778.094214</v>
      </c>
      <c r="AA1115" s="342">
        <f t="shared" ref="AA1115:AG1115" si="424">AA1113+AA1099+AA1039</f>
        <v>17290034.539999999</v>
      </c>
      <c r="AB1115" s="342">
        <f t="shared" si="424"/>
        <v>10549811.879999999</v>
      </c>
      <c r="AC1115" s="342">
        <f t="shared" si="424"/>
        <v>27839846.420000002</v>
      </c>
      <c r="AD1115" s="342">
        <f t="shared" si="424"/>
        <v>63326589.97421401</v>
      </c>
      <c r="AE1115" s="342">
        <f>AE1113+AE1099+AE1039</f>
        <v>79366462.33126688</v>
      </c>
      <c r="AF1115" s="340">
        <f t="shared" si="424"/>
        <v>826908304.75619209</v>
      </c>
      <c r="AG1115" s="340">
        <f t="shared" si="424"/>
        <v>1148120261.2447681</v>
      </c>
    </row>
    <row r="1116" spans="1:33" ht="13.5" thickTop="1" x14ac:dyDescent="0.2"/>
  </sheetData>
  <autoFilter ref="A4:AG1117"/>
  <customSheetViews>
    <customSheetView guid="{D3618886-EC92-4244-941D-CAF99D049731}" showGridLines="0" fitToPage="1" printArea="1" showAutoFilter="1" showRuler="0">
      <pane xSplit="2" ySplit="8" topLeftCell="D42" activePane="bottomRight" state="frozen"/>
      <selection pane="bottomRight" activeCell="I46" sqref="I46"/>
      <rowBreaks count="1" manualBreakCount="1">
        <brk id="103" max="24" man="1"/>
      </rowBreaks>
      <pageMargins left="0" right="0" top="0" bottom="0.5" header="0.17" footer="0.2"/>
      <printOptions horizontalCentered="1" verticalCentered="1" headings="1"/>
      <pageSetup paperSize="17" scale="65" fitToHeight="2" orientation="landscape" verticalDpi="300" r:id="rId1"/>
      <headerFooter alignWithMargins="0">
        <oddFooter>&amp;L&amp;8&amp;D&amp;T&amp;R&amp;"Arial,Italic"&amp;8&amp;Z&amp;F&amp;A</oddFooter>
      </headerFooter>
      <autoFilter ref="B1:AL1"/>
    </customSheetView>
  </customSheetViews>
  <phoneticPr fontId="18" type="noConversion"/>
  <conditionalFormatting sqref="D898:H899 L898:L899 P898:P899 S898:S899 Y898:Y899 AA898:AA899 D464:H466 L464:L466 P464:P466 S464:S466 Y464:Y466 AA464:AA466 D415:H417 L415:L417 P415:P417 S415:S417 Y415:Y417 AA415:AA417 S341:S343 L341:L343 AA341:AA343 D341:H343 P341:P343 Y341:Y343 P267:P269 D267:H269 L267:L269 S267:S269 AA267:AA269 D135:H137 L135:L137 S135:S137 Y135:Y137 AA135:AA137 P233:P234 D233:H234 S233:S234 L233:L234 Y233:Y234 D209:H211 L209:L211 S209:S211 Y209:Y211 AA209:AA211 AA233:AA234 P209:P211 P135:P137 L58 S58 Y58 AA58 D58:H58 S56 P58 O56:P56 D56:H56 K56:L56 D1048:H1048 S1048 AA1032:AA1037 AA1029 Y1029 S1029 P1029 L1029 D1029:H1029 P891 L891:L892 AA891:AA892 F3:H3 AA353 P353 S351:S353 L353 T23 S38:S39 T25:T26 S1032:S1037 D351:H353 D905:H905 H8 H1099 J1095:L1095 D1100:H1104 D1097:H1098 D1032:H1041 O1048:P1048 L1032:L1037 K868:L868 K352:L352 K1034:L1034 K905:L905 K1038:L1041 L351 L8 L1099:M1099 L1048 N1095 P1032:P1037 O868:P868 O352:P352 S9:S23 S1116:S1120 S1100:S1111 O1034:P1034 S1097 S1039:S1041 O905:P905 S905 S890:S892 S1113:S1114 K1097:P1098 O1038:P1041 P351 P8 P1099 S1094:T1095 S888:T889 S868:T868 S37:T37 S1034:T1034 S1115:T1115 S24:T24 S1112:T1112 S1098:T1098 S1038:T1038 Y882 Y757:Y759 Y773 Y809 Y813:Y815 Y827 Y727:Y734 Y632:Y635 Y660 Y665 Y697 Y703 Y555:Y557 Y559 Y562:Y565 Y602 Y605:Y606 Y266:Y269 Y243:Y260 Y262 Y227 Y108:Y109 Y1048 Y351:Y353 Y1032:Y1041 Y1043:Y1046 Y99:Y100 Y127:Y128 Y905 Y1094:Y1095 AE1048 AE36 AE1107:AF1108 AE37:AF37 AE8 AA484:AC486 AA1036:AC1037 AB58:AC71 AB1042:AC1042 AA1039:AC1041 AA1102:AB1106 AA1109:AB1109 AA882:AC882 AA757:AC759 AA773:AC773 AA809:AC809 AA813:AC815 AA827:AC827 AA727:AC734 AA632:AC635 AA660:AC660 AA665:AC665 AA697:AC697 AA703:AC703 AA555:AC557 AA559:AC559 AA562:AC565 AA602:AC602 AA605:AC606 AA480:AC480 AA266:AC266 AA243:AC260 AA262:AC262 AA227:AC227 AA108:AC109 AA1097:AC1097 AA1048:AC1048 AA1107:AC1108 AA1110:AC1111 AA1099:AC1101 AA1034:AC1034 AA99:AC100 AA127:AC128 AA1094:AC1095 Y885:Y892 K891:K904 O891:O904 AB891:AC903 S481:S486 Y480:Y486 D4:H6 AB101:AC126 K58:K71 O58:O71 AE38:AE55 AF38:AF56 AB73:AC98 AA239 Y239 L239 S239 D239:H239 P239 O73:O351 K73:K351 D481:H486 L481:L486 P481:P486 AA481:AA486 S25:S36 Y4:Y6 AA904:AC905 AA351:AC352 AB237:AC350 AB129:AC234 T865 S862:S870 AA862:AA867 Y862:Y870 K353:K486 O353:O486 AB353:AC486 AG485:AG486 AB491:AC867 O491:O864 K491:K889 AA491:AA493 P491:P493 L491:L493 D491:H493 Y491:Y493 S491:S493 D888:H892 K888:L890 O888:P890 AA885:AC890 D862:H864 L862:L870 P862:P870 AB869:AC889 AA869:AA870 AG491:AG1031 O1042:O1046 O488:P489 K488:L489 D488:H489 Y488:Y489 S488:S489 AE9:AG19 AD20:AG35 Z1045:Z1046 E1105:H1105 AD8:AD19 K1048:K1091 O1049:O1091 AB1049:AC1091 AE1049:AG1067 AD1097:AD1111 AE1097:AF1101 O1094:P1095 M1048:N1092 N1093 Q1048:R1095 W3 U1048:W1092 Y1097:Z1098 X1048:X1095 U2:W2 AD56:AE56 AD36:AD55 AD235:AG238 AA488:AG489 AD1048:AD1067 AD1068:AG1091 AD58:AF234 AD490:AF1031 AD1092:AF1095 Z4:Z7 K1100:P1120 I1097:J1120 Q1097:R1120 U1097:X1114 Y1100:Z1114 D1121:S65401 AF1121:AG65391 U4:X56 M4:N56 Q4:R56 I4:J56 F1:S1 Z1048:Z1095 AD239:AF487 O9:P39 K9:L39 D867:H870 F865:G865 D866:G866 D9:H39 I1048:J1092 Z58:Z1043 AD1102:AE1106 AD1109:AE1109 AE1110:AF1111 AF1112:AF1113 AD1114:AF1114 AA1113:AC1114 AD1113:AE1113 D1106:H1120 K906:K1037 O906:O1037 AB906:AC1037 AD1032:AG1042 Q58:R1042 M58:N1042 I58:J1041 O866:O889 U58:X1042 AA4:AE5 U1121:AE65401 AA6:AC6 Z1:AE1 Y8:AC56 U1115:AG1120 AD2:AE3 AA2:AC2 K2:L6 O2:P6 S2:S6 AF2:AG5 D1:E3 U1:U3 V1:W2 X1:Y3">
    <cfRule type="cellIs" dxfId="158" priority="487" stopIfTrue="1" operator="lessThan">
      <formula>0</formula>
    </cfRule>
  </conditionalFormatting>
  <conditionalFormatting sqref="AF1">
    <cfRule type="cellIs" dxfId="157" priority="445" stopIfTrue="1" operator="lessThan">
      <formula>0</formula>
    </cfRule>
  </conditionalFormatting>
  <conditionalFormatting sqref="Y1049 S1049 AA1049 L1049 D1049:H1049 P1049">
    <cfRule type="cellIs" dxfId="156" priority="443" stopIfTrue="1" operator="lessThan">
      <formula>0</formula>
    </cfRule>
  </conditionalFormatting>
  <conditionalFormatting sqref="AD1043 AD1045:AD1046">
    <cfRule type="cellIs" dxfId="155" priority="421" stopIfTrue="1" operator="lessThan">
      <formula>0</formula>
    </cfRule>
  </conditionalFormatting>
  <conditionalFormatting sqref="U1094:W1095">
    <cfRule type="cellIs" dxfId="154" priority="433" stopIfTrue="1" operator="lessThan">
      <formula>0</formula>
    </cfRule>
  </conditionalFormatting>
  <conditionalFormatting sqref="J1043">
    <cfRule type="cellIs" dxfId="153" priority="424" stopIfTrue="1" operator="lessThan">
      <formula>0</formula>
    </cfRule>
  </conditionalFormatting>
  <conditionalFormatting sqref="K1042">
    <cfRule type="cellIs" dxfId="152" priority="429" stopIfTrue="1" operator="lessThan">
      <formula>0</formula>
    </cfRule>
  </conditionalFormatting>
  <conditionalFormatting sqref="D1042:H1042">
    <cfRule type="cellIs" dxfId="151" priority="428" stopIfTrue="1" operator="lessThan">
      <formula>0</formula>
    </cfRule>
  </conditionalFormatting>
  <conditionalFormatting sqref="K1043:K1046 I1043 I1045:I1046">
    <cfRule type="cellIs" dxfId="150" priority="427" stopIfTrue="1" operator="lessThan">
      <formula>0</formula>
    </cfRule>
  </conditionalFormatting>
  <conditionalFormatting sqref="AB1043:AC1043 AB1045:AC1046">
    <cfRule type="cellIs" dxfId="149" priority="426" stopIfTrue="1" operator="lessThan">
      <formula>0</formula>
    </cfRule>
  </conditionalFormatting>
  <conditionalFormatting sqref="AF1043 AF1045:AF1046">
    <cfRule type="cellIs" dxfId="148" priority="419" stopIfTrue="1" operator="lessThan">
      <formula>0</formula>
    </cfRule>
  </conditionalFormatting>
  <conditionalFormatting sqref="AE1043 AE1045:AE1046">
    <cfRule type="cellIs" dxfId="147" priority="420" stopIfTrue="1" operator="lessThan">
      <formula>0</formula>
    </cfRule>
  </conditionalFormatting>
  <conditionalFormatting sqref="D904:H904 L904 P904 S904 Y904 D900:H900 L900 S900 Y900 AA900">
    <cfRule type="cellIs" dxfId="146" priority="371" stopIfTrue="1" operator="lessThan">
      <formula>0</formula>
    </cfRule>
  </conditionalFormatting>
  <conditionalFormatting sqref="P976:P977 S976:S977 Y976:Y977 AA976:AA977 D976:H977 L976:L977 AA906 Y906 S906 P906 L906 D906:H906">
    <cfRule type="cellIs" dxfId="145" priority="370" stopIfTrue="1" operator="lessThan">
      <formula>0</formula>
    </cfRule>
  </conditionalFormatting>
  <conditionalFormatting sqref="P1027:P1028 S1027:S1028 Y1027:Y1028 AA1027:AA1028 D1027:H1028 L1027:L1028 AA978 Y978 S978 P978 L978 D978:H978">
    <cfRule type="cellIs" dxfId="144" priority="369" stopIfTrue="1" operator="lessThan">
      <formula>0</formula>
    </cfRule>
  </conditionalFormatting>
  <conditionalFormatting sqref="I1042:J1042">
    <cfRule type="cellIs" dxfId="143" priority="367" stopIfTrue="1" operator="lessThan">
      <formula>0</formula>
    </cfRule>
  </conditionalFormatting>
  <conditionalFormatting sqref="AF36">
    <cfRule type="cellIs" dxfId="142" priority="356" stopIfTrue="1" operator="lessThan">
      <formula>0</formula>
    </cfRule>
  </conditionalFormatting>
  <conditionalFormatting sqref="S8 D8:G8 K8 O8">
    <cfRule type="cellIs" dxfId="141" priority="351" stopIfTrue="1" operator="lessThan">
      <formula>0</formula>
    </cfRule>
  </conditionalFormatting>
  <conditionalFormatting sqref="AF8">
    <cfRule type="cellIs" dxfId="140" priority="347" stopIfTrue="1" operator="lessThan">
      <formula>0</formula>
    </cfRule>
  </conditionalFormatting>
  <conditionalFormatting sqref="AC1102:AC1106">
    <cfRule type="cellIs" dxfId="139" priority="342" stopIfTrue="1" operator="lessThan">
      <formula>0</formula>
    </cfRule>
  </conditionalFormatting>
  <conditionalFormatting sqref="AC1109">
    <cfRule type="cellIs" dxfId="138" priority="341" stopIfTrue="1" operator="lessThan">
      <formula>0</formula>
    </cfRule>
  </conditionalFormatting>
  <conditionalFormatting sqref="AF1102:AF1106">
    <cfRule type="cellIs" dxfId="137" priority="340" stopIfTrue="1" operator="lessThan">
      <formula>0</formula>
    </cfRule>
  </conditionalFormatting>
  <conditionalFormatting sqref="AF1109">
    <cfRule type="cellIs" dxfId="136" priority="339" stopIfTrue="1" operator="lessThan">
      <formula>0</formula>
    </cfRule>
  </conditionalFormatting>
  <conditionalFormatting sqref="E1099:G1099 Y1099 S1099 O1099 K1099">
    <cfRule type="cellIs" dxfId="135" priority="332" stopIfTrue="1" operator="lessThan">
      <formula>0</formula>
    </cfRule>
  </conditionalFormatting>
  <conditionalFormatting sqref="K1047 O1047">
    <cfRule type="cellIs" dxfId="134" priority="326" stopIfTrue="1" operator="lessThan">
      <formula>0</formula>
    </cfRule>
  </conditionalFormatting>
  <conditionalFormatting sqref="E1047:G1047 S1047 Y1047">
    <cfRule type="cellIs" dxfId="133" priority="325" stopIfTrue="1" operator="lessThan">
      <formula>0</formula>
    </cfRule>
  </conditionalFormatting>
  <conditionalFormatting sqref="Z1099">
    <cfRule type="cellIs" dxfId="132" priority="318" stopIfTrue="1" operator="lessThan">
      <formula>0</formula>
    </cfRule>
  </conditionalFormatting>
  <conditionalFormatting sqref="N1099">
    <cfRule type="cellIs" dxfId="131" priority="315" stopIfTrue="1" operator="lessThan">
      <formula>0</formula>
    </cfRule>
  </conditionalFormatting>
  <conditionalFormatting sqref="D1099">
    <cfRule type="cellIs" dxfId="130" priority="312" stopIfTrue="1" operator="lessThan">
      <formula>0</formula>
    </cfRule>
  </conditionalFormatting>
  <conditionalFormatting sqref="D1047">
    <cfRule type="cellIs" dxfId="129" priority="311" stopIfTrue="1" operator="lessThan">
      <formula>0</formula>
    </cfRule>
  </conditionalFormatting>
  <conditionalFormatting sqref="H1047">
    <cfRule type="cellIs" dxfId="128" priority="310" stopIfTrue="1" operator="lessThan">
      <formula>0</formula>
    </cfRule>
  </conditionalFormatting>
  <conditionalFormatting sqref="I1094">
    <cfRule type="cellIs" dxfId="127" priority="161" stopIfTrue="1" operator="lessThan">
      <formula>0</formula>
    </cfRule>
  </conditionalFormatting>
  <conditionalFormatting sqref="E1094:G1094 J1094">
    <cfRule type="cellIs" dxfId="126" priority="160" stopIfTrue="1" operator="lessThan">
      <formula>0</formula>
    </cfRule>
  </conditionalFormatting>
  <conditionalFormatting sqref="M1094">
    <cfRule type="cellIs" dxfId="125" priority="158" stopIfTrue="1" operator="lessThan">
      <formula>0</formula>
    </cfRule>
  </conditionalFormatting>
  <conditionalFormatting sqref="K1094:L1094 N1094">
    <cfRule type="cellIs" dxfId="124" priority="157" stopIfTrue="1" operator="lessThan">
      <formula>0</formula>
    </cfRule>
  </conditionalFormatting>
  <conditionalFormatting sqref="I1095 M1095">
    <cfRule type="cellIs" dxfId="123" priority="156" stopIfTrue="1" operator="lessThan">
      <formula>0</formula>
    </cfRule>
  </conditionalFormatting>
  <conditionalFormatting sqref="D1095:H1095">
    <cfRule type="cellIs" dxfId="122" priority="155" stopIfTrue="1" operator="lessThan">
      <formula>0</formula>
    </cfRule>
  </conditionalFormatting>
  <conditionalFormatting sqref="AA1112">
    <cfRule type="cellIs" dxfId="121" priority="153" stopIfTrue="1" operator="lessThan">
      <formula>0</formula>
    </cfRule>
  </conditionalFormatting>
  <conditionalFormatting sqref="AB1038:AC1038">
    <cfRule type="cellIs" dxfId="120" priority="142" stopIfTrue="1" operator="lessThan">
      <formula>0</formula>
    </cfRule>
  </conditionalFormatting>
  <conditionalFormatting sqref="AA1098">
    <cfRule type="cellIs" dxfId="119" priority="149" stopIfTrue="1" operator="lessThan">
      <formula>0</formula>
    </cfRule>
  </conditionalFormatting>
  <conditionalFormatting sqref="I3">
    <cfRule type="cellIs" dxfId="118" priority="138" stopIfTrue="1" operator="lessThan">
      <formula>0</formula>
    </cfRule>
  </conditionalFormatting>
  <conditionalFormatting sqref="AA1038">
    <cfRule type="cellIs" dxfId="117" priority="145" stopIfTrue="1" operator="lessThan">
      <formula>0</formula>
    </cfRule>
  </conditionalFormatting>
  <conditionalFormatting sqref="Q3">
    <cfRule type="cellIs" dxfId="116" priority="134" stopIfTrue="1" operator="lessThan">
      <formula>0</formula>
    </cfRule>
  </conditionalFormatting>
  <conditionalFormatting sqref="AB1112:AC1112">
    <cfRule type="cellIs" dxfId="115" priority="140" stopIfTrue="1" operator="lessThan">
      <formula>0</formula>
    </cfRule>
  </conditionalFormatting>
  <conditionalFormatting sqref="AB1098:AC1098">
    <cfRule type="cellIs" dxfId="114" priority="141" stopIfTrue="1" operator="lessThan">
      <formula>0</formula>
    </cfRule>
  </conditionalFormatting>
  <conditionalFormatting sqref="M3">
    <cfRule type="cellIs" dxfId="113" priority="136" stopIfTrue="1" operator="lessThan">
      <formula>0</formula>
    </cfRule>
  </conditionalFormatting>
  <conditionalFormatting sqref="J3">
    <cfRule type="cellIs" dxfId="112" priority="137" stopIfTrue="1" operator="lessThan">
      <formula>0</formula>
    </cfRule>
  </conditionalFormatting>
  <conditionalFormatting sqref="N3">
    <cfRule type="cellIs" dxfId="111" priority="135" stopIfTrue="1" operator="lessThan">
      <formula>0</formula>
    </cfRule>
  </conditionalFormatting>
  <conditionalFormatting sqref="I2:J2">
    <cfRule type="cellIs" dxfId="110" priority="132" stopIfTrue="1" operator="lessThan">
      <formula>0</formula>
    </cfRule>
  </conditionalFormatting>
  <conditionalFormatting sqref="R3">
    <cfRule type="cellIs" dxfId="109" priority="133" stopIfTrue="1" operator="lessThan">
      <formula>0</formula>
    </cfRule>
  </conditionalFormatting>
  <conditionalFormatting sqref="M2:N2">
    <cfRule type="cellIs" dxfId="108" priority="131" stopIfTrue="1" operator="lessThan">
      <formula>0</formula>
    </cfRule>
  </conditionalFormatting>
  <conditionalFormatting sqref="Q2:R2">
    <cfRule type="cellIs" dxfId="107" priority="130" stopIfTrue="1" operator="lessThan">
      <formula>0</formula>
    </cfRule>
  </conditionalFormatting>
  <conditionalFormatting sqref="AG1109">
    <cfRule type="cellIs" dxfId="106" priority="118" stopIfTrue="1" operator="lessThan">
      <formula>0</formula>
    </cfRule>
  </conditionalFormatting>
  <conditionalFormatting sqref="AB1092:AC1092 O1092 K1092">
    <cfRule type="cellIs" dxfId="105" priority="126" stopIfTrue="1" operator="lessThan">
      <formula>0</formula>
    </cfRule>
  </conditionalFormatting>
  <conditionalFormatting sqref="AB72:AC72 O72 K72">
    <cfRule type="cellIs" dxfId="104" priority="125" stopIfTrue="1" operator="lessThan">
      <formula>0</formula>
    </cfRule>
  </conditionalFormatting>
  <conditionalFormatting sqref="AG1107:AG1108 AG1110:AG1114 AG1094:AG1095 AG58:AG71 AG37:AG56 AG73:AG234 AG239:AG483 AG1097:AG1101">
    <cfRule type="cellIs" dxfId="103" priority="124" stopIfTrue="1" operator="lessThan">
      <formula>0</formula>
    </cfRule>
  </conditionalFormatting>
  <conditionalFormatting sqref="AG1">
    <cfRule type="cellIs" dxfId="102" priority="123" stopIfTrue="1" operator="lessThan">
      <formula>0</formula>
    </cfRule>
  </conditionalFormatting>
  <conditionalFormatting sqref="AG1043 AG1045:AG1046">
    <cfRule type="cellIs" dxfId="101" priority="122" stopIfTrue="1" operator="lessThan">
      <formula>0</formula>
    </cfRule>
  </conditionalFormatting>
  <conditionalFormatting sqref="AG36">
    <cfRule type="cellIs" dxfId="100" priority="121" stopIfTrue="1" operator="lessThan">
      <formula>0</formula>
    </cfRule>
  </conditionalFormatting>
  <conditionalFormatting sqref="AG8">
    <cfRule type="cellIs" dxfId="99" priority="120" stopIfTrue="1" operator="lessThan">
      <formula>0</formula>
    </cfRule>
  </conditionalFormatting>
  <conditionalFormatting sqref="AG1102:AG1106">
    <cfRule type="cellIs" dxfId="98" priority="119" stopIfTrue="1" operator="lessThan">
      <formula>0</formula>
    </cfRule>
  </conditionalFormatting>
  <conditionalFormatting sqref="AG72">
    <cfRule type="cellIs" dxfId="97" priority="116" stopIfTrue="1" operator="lessThan">
      <formula>0</formula>
    </cfRule>
  </conditionalFormatting>
  <conditionalFormatting sqref="AG1092">
    <cfRule type="cellIs" dxfId="96" priority="117" stopIfTrue="1" operator="lessThan">
      <formula>0</formula>
    </cfRule>
  </conditionalFormatting>
  <conditionalFormatting sqref="P237:P238 D237:H238 S237:S238 L237:L238 Y237:Y238 D235:H235 L235 S235 Y235 AA235 AA237:AA238 P235 AB235:AC236">
    <cfRule type="cellIs" dxfId="95" priority="115" stopIfTrue="1" operator="lessThan">
      <formula>0</formula>
    </cfRule>
  </conditionalFormatting>
  <conditionalFormatting sqref="AG484">
    <cfRule type="cellIs" dxfId="94" priority="113" stopIfTrue="1" operator="lessThan">
      <formula>0</formula>
    </cfRule>
  </conditionalFormatting>
  <conditionalFormatting sqref="S490 Y490 D490:H490 K490:L490 O490:P490 AA490:AC490">
    <cfRule type="cellIs" dxfId="93" priority="108" stopIfTrue="1" operator="lessThan">
      <formula>0</formula>
    </cfRule>
  </conditionalFormatting>
  <conditionalFormatting sqref="AG490">
    <cfRule type="cellIs" dxfId="92" priority="106" stopIfTrue="1" operator="lessThan">
      <formula>0</formula>
    </cfRule>
  </conditionalFormatting>
  <conditionalFormatting sqref="AA868:AC868">
    <cfRule type="cellIs" dxfId="91" priority="105" stopIfTrue="1" operator="lessThan">
      <formula>0</formula>
    </cfRule>
  </conditionalFormatting>
  <conditionalFormatting sqref="N1045:N1046">
    <cfRule type="cellIs" dxfId="90" priority="96" stopIfTrue="1" operator="lessThan">
      <formula>0</formula>
    </cfRule>
  </conditionalFormatting>
  <conditionalFormatting sqref="J1045:J1046">
    <cfRule type="cellIs" dxfId="89" priority="104" stopIfTrue="1" operator="lessThan">
      <formula>0</formula>
    </cfRule>
  </conditionalFormatting>
  <conditionalFormatting sqref="Q1043:R1043 X1043">
    <cfRule type="cellIs" dxfId="88" priority="103" stopIfTrue="1" operator="lessThan">
      <formula>0</formula>
    </cfRule>
  </conditionalFormatting>
  <conditionalFormatting sqref="U1043:W1043">
    <cfRule type="cellIs" dxfId="87" priority="102" stopIfTrue="1" operator="lessThan">
      <formula>0</formula>
    </cfRule>
  </conditionalFormatting>
  <conditionalFormatting sqref="M1043 M1045:M1046">
    <cfRule type="cellIs" dxfId="86" priority="101" stopIfTrue="1" operator="lessThan">
      <formula>0</formula>
    </cfRule>
  </conditionalFormatting>
  <conditionalFormatting sqref="N1043">
    <cfRule type="cellIs" dxfId="85" priority="100" stopIfTrue="1" operator="lessThan">
      <formula>0</formula>
    </cfRule>
  </conditionalFormatting>
  <conditionalFormatting sqref="Q1045:R1046 X1045:X1046">
    <cfRule type="cellIs" dxfId="84" priority="99" stopIfTrue="1" operator="lessThan">
      <formula>0</formula>
    </cfRule>
  </conditionalFormatting>
  <conditionalFormatting sqref="U1045:W1046">
    <cfRule type="cellIs" dxfId="83" priority="98" stopIfTrue="1" operator="lessThan">
      <formula>0</formula>
    </cfRule>
  </conditionalFormatting>
  <conditionalFormatting sqref="M1045:M1046">
    <cfRule type="cellIs" dxfId="82" priority="97" stopIfTrue="1" operator="lessThan">
      <formula>0</formula>
    </cfRule>
  </conditionalFormatting>
  <conditionalFormatting sqref="AG487">
    <cfRule type="cellIs" dxfId="81" priority="74" stopIfTrue="1" operator="lessThan">
      <formula>0</formula>
    </cfRule>
  </conditionalFormatting>
  <conditionalFormatting sqref="L1047">
    <cfRule type="cellIs" dxfId="80" priority="95" stopIfTrue="1" operator="lessThan">
      <formula>0</formula>
    </cfRule>
  </conditionalFormatting>
  <conditionalFormatting sqref="P1047">
    <cfRule type="cellIs" dxfId="79" priority="94" stopIfTrue="1" operator="lessThan">
      <formula>0</formula>
    </cfRule>
  </conditionalFormatting>
  <conditionalFormatting sqref="AA1047">
    <cfRule type="cellIs" dxfId="78" priority="93" stopIfTrue="1" operator="lessThan">
      <formula>0</formula>
    </cfRule>
  </conditionalFormatting>
  <conditionalFormatting sqref="AB1047">
    <cfRule type="cellIs" dxfId="77" priority="92" stopIfTrue="1" operator="lessThan">
      <formula>0</formula>
    </cfRule>
  </conditionalFormatting>
  <conditionalFormatting sqref="AC1047">
    <cfRule type="cellIs" dxfId="76" priority="91" stopIfTrue="1" operator="lessThan">
      <formula>0</formula>
    </cfRule>
  </conditionalFormatting>
  <conditionalFormatting sqref="I1047">
    <cfRule type="cellIs" dxfId="75" priority="90" stopIfTrue="1" operator="lessThan">
      <formula>0</formula>
    </cfRule>
  </conditionalFormatting>
  <conditionalFormatting sqref="J1047">
    <cfRule type="cellIs" dxfId="74" priority="89" stopIfTrue="1" operator="lessThan">
      <formula>0</formula>
    </cfRule>
  </conditionalFormatting>
  <conditionalFormatting sqref="M1047">
    <cfRule type="cellIs" dxfId="73" priority="88" stopIfTrue="1" operator="lessThan">
      <formula>0</formula>
    </cfRule>
  </conditionalFormatting>
  <conditionalFormatting sqref="N1047">
    <cfRule type="cellIs" dxfId="72" priority="87" stopIfTrue="1" operator="lessThan">
      <formula>0</formula>
    </cfRule>
  </conditionalFormatting>
  <conditionalFormatting sqref="Q1047">
    <cfRule type="cellIs" dxfId="71" priority="86" stopIfTrue="1" operator="lessThan">
      <formula>0</formula>
    </cfRule>
  </conditionalFormatting>
  <conditionalFormatting sqref="R1047">
    <cfRule type="cellIs" dxfId="70" priority="85" stopIfTrue="1" operator="lessThan">
      <formula>0</formula>
    </cfRule>
  </conditionalFormatting>
  <conditionalFormatting sqref="U1047">
    <cfRule type="cellIs" dxfId="69" priority="84" stopIfTrue="1" operator="lessThan">
      <formula>0</formula>
    </cfRule>
  </conditionalFormatting>
  <conditionalFormatting sqref="V1047">
    <cfRule type="cellIs" dxfId="68" priority="83" stopIfTrue="1" operator="lessThan">
      <formula>0</formula>
    </cfRule>
  </conditionalFormatting>
  <conditionalFormatting sqref="W1047">
    <cfRule type="cellIs" dxfId="67" priority="82" stopIfTrue="1" operator="lessThan">
      <formula>0</formula>
    </cfRule>
  </conditionalFormatting>
  <conditionalFormatting sqref="X1047">
    <cfRule type="cellIs" dxfId="66" priority="81" stopIfTrue="1" operator="lessThan">
      <formula>0</formula>
    </cfRule>
  </conditionalFormatting>
  <conditionalFormatting sqref="Z1047">
    <cfRule type="cellIs" dxfId="65" priority="80" stopIfTrue="1" operator="lessThan">
      <formula>0</formula>
    </cfRule>
  </conditionalFormatting>
  <conditionalFormatting sqref="AD1047">
    <cfRule type="cellIs" dxfId="64" priority="79" stopIfTrue="1" operator="lessThan">
      <formula>0</formula>
    </cfRule>
  </conditionalFormatting>
  <conditionalFormatting sqref="AF1047">
    <cfRule type="cellIs" dxfId="63" priority="77" stopIfTrue="1" operator="lessThan">
      <formula>0</formula>
    </cfRule>
  </conditionalFormatting>
  <conditionalFormatting sqref="AG1047">
    <cfRule type="cellIs" dxfId="62" priority="76" stopIfTrue="1" operator="lessThan">
      <formula>0</formula>
    </cfRule>
  </conditionalFormatting>
  <conditionalFormatting sqref="K487 O487 AB487:AC487">
    <cfRule type="cellIs" dxfId="61" priority="75" stopIfTrue="1" operator="lessThan">
      <formula>0</formula>
    </cfRule>
  </conditionalFormatting>
  <conditionalFormatting sqref="Z1044">
    <cfRule type="cellIs" dxfId="60" priority="73" stopIfTrue="1" operator="lessThan">
      <formula>0</formula>
    </cfRule>
  </conditionalFormatting>
  <conditionalFormatting sqref="AD1044">
    <cfRule type="cellIs" dxfId="59" priority="70" stopIfTrue="1" operator="lessThan">
      <formula>0</formula>
    </cfRule>
  </conditionalFormatting>
  <conditionalFormatting sqref="I1044">
    <cfRule type="cellIs" dxfId="58" priority="72" stopIfTrue="1" operator="lessThan">
      <formula>0</formula>
    </cfRule>
  </conditionalFormatting>
  <conditionalFormatting sqref="AF1044">
    <cfRule type="cellIs" dxfId="57" priority="68" stopIfTrue="1" operator="lessThan">
      <formula>0</formula>
    </cfRule>
  </conditionalFormatting>
  <conditionalFormatting sqref="AE1044">
    <cfRule type="cellIs" dxfId="56" priority="69" stopIfTrue="1" operator="lessThan">
      <formula>0</formula>
    </cfRule>
  </conditionalFormatting>
  <conditionalFormatting sqref="AG1044">
    <cfRule type="cellIs" dxfId="55" priority="67" stopIfTrue="1" operator="lessThan">
      <formula>0</formula>
    </cfRule>
  </conditionalFormatting>
  <conditionalFormatting sqref="N1044">
    <cfRule type="cellIs" dxfId="54" priority="61" stopIfTrue="1" operator="lessThan">
      <formula>0</formula>
    </cfRule>
  </conditionalFormatting>
  <conditionalFormatting sqref="J1044">
    <cfRule type="cellIs" dxfId="53" priority="66" stopIfTrue="1" operator="lessThan">
      <formula>0</formula>
    </cfRule>
  </conditionalFormatting>
  <conditionalFormatting sqref="M1044">
    <cfRule type="cellIs" dxfId="52" priority="65" stopIfTrue="1" operator="lessThan">
      <formula>0</formula>
    </cfRule>
  </conditionalFormatting>
  <conditionalFormatting sqref="Q1044:R1044 X1044">
    <cfRule type="cellIs" dxfId="51" priority="64" stopIfTrue="1" operator="lessThan">
      <formula>0</formula>
    </cfRule>
  </conditionalFormatting>
  <conditionalFormatting sqref="U1044:W1044">
    <cfRule type="cellIs" dxfId="50" priority="63" stopIfTrue="1" operator="lessThan">
      <formula>0</formula>
    </cfRule>
  </conditionalFormatting>
  <conditionalFormatting sqref="M1044">
    <cfRule type="cellIs" dxfId="49" priority="62" stopIfTrue="1" operator="lessThan">
      <formula>0</formula>
    </cfRule>
  </conditionalFormatting>
  <conditionalFormatting sqref="AB1044:AC1044">
    <cfRule type="cellIs" dxfId="48" priority="60" stopIfTrue="1" operator="lessThan">
      <formula>0</formula>
    </cfRule>
  </conditionalFormatting>
  <conditionalFormatting sqref="D1105">
    <cfRule type="cellIs" dxfId="47" priority="59" stopIfTrue="1" operator="lessThan">
      <formula>0</formula>
    </cfRule>
  </conditionalFormatting>
  <conditionalFormatting sqref="E7:H7 S7 O7:P7 K7:L7 Y7 AF7:AG7 AC7">
    <cfRule type="cellIs" dxfId="46" priority="57" stopIfTrue="1" operator="lessThan">
      <formula>0</formula>
    </cfRule>
  </conditionalFormatting>
  <conditionalFormatting sqref="J1093:L1093 O1093:P1093 S1093:T1093 Y1093 AA1093:AC1093">
    <cfRule type="cellIs" dxfId="45" priority="55" stopIfTrue="1" operator="lessThan">
      <formula>0</formula>
    </cfRule>
  </conditionalFormatting>
  <conditionalFormatting sqref="U1093:W1093">
    <cfRule type="cellIs" dxfId="44" priority="54" stopIfTrue="1" operator="lessThan">
      <formula>0</formula>
    </cfRule>
  </conditionalFormatting>
  <conditionalFormatting sqref="I1093 M1093">
    <cfRule type="cellIs" dxfId="43" priority="53" stopIfTrue="1" operator="lessThan">
      <formula>0</formula>
    </cfRule>
  </conditionalFormatting>
  <conditionalFormatting sqref="D1093:H1093">
    <cfRule type="cellIs" dxfId="42" priority="52" stopIfTrue="1" operator="lessThan">
      <formula>0</formula>
    </cfRule>
  </conditionalFormatting>
  <conditionalFormatting sqref="AG1093">
    <cfRule type="cellIs" dxfId="41" priority="51" stopIfTrue="1" operator="lessThan">
      <formula>0</formula>
    </cfRule>
  </conditionalFormatting>
  <conditionalFormatting sqref="AD7">
    <cfRule type="cellIs" dxfId="40" priority="49" stopIfTrue="1" operator="lessThan">
      <formula>0</formula>
    </cfRule>
  </conditionalFormatting>
  <conditionalFormatting sqref="AE7">
    <cfRule type="cellIs" dxfId="39" priority="48" stopIfTrue="1" operator="lessThan">
      <formula>0</formula>
    </cfRule>
  </conditionalFormatting>
  <conditionalFormatting sqref="K1096 O1096">
    <cfRule type="cellIs" dxfId="38" priority="47" stopIfTrue="1" operator="lessThan">
      <formula>0</formula>
    </cfRule>
  </conditionalFormatting>
  <conditionalFormatting sqref="E1096:G1096 S1096 Y1096">
    <cfRule type="cellIs" dxfId="37" priority="46" stopIfTrue="1" operator="lessThan">
      <formula>0</formula>
    </cfRule>
  </conditionalFormatting>
  <conditionalFormatting sqref="D1096">
    <cfRule type="cellIs" dxfId="36" priority="45" stopIfTrue="1" operator="lessThan">
      <formula>0</formula>
    </cfRule>
  </conditionalFormatting>
  <conditionalFormatting sqref="H1096">
    <cfRule type="cellIs" dxfId="35" priority="44" stopIfTrue="1" operator="lessThan">
      <formula>0</formula>
    </cfRule>
  </conditionalFormatting>
  <conditionalFormatting sqref="L1096">
    <cfRule type="cellIs" dxfId="34" priority="43" stopIfTrue="1" operator="lessThan">
      <formula>0</formula>
    </cfRule>
  </conditionalFormatting>
  <conditionalFormatting sqref="P1096">
    <cfRule type="cellIs" dxfId="33" priority="42" stopIfTrue="1" operator="lessThan">
      <formula>0</formula>
    </cfRule>
  </conditionalFormatting>
  <conditionalFormatting sqref="AA1096">
    <cfRule type="cellIs" dxfId="32" priority="41" stopIfTrue="1" operator="lessThan">
      <formula>0</formula>
    </cfRule>
  </conditionalFormatting>
  <conditionalFormatting sqref="AB1096">
    <cfRule type="cellIs" dxfId="31" priority="40" stopIfTrue="1" operator="lessThan">
      <formula>0</formula>
    </cfRule>
  </conditionalFormatting>
  <conditionalFormatting sqref="AC1096">
    <cfRule type="cellIs" dxfId="30" priority="39" stopIfTrue="1" operator="lessThan">
      <formula>0</formula>
    </cfRule>
  </conditionalFormatting>
  <conditionalFormatting sqref="I1096">
    <cfRule type="cellIs" dxfId="29" priority="38" stopIfTrue="1" operator="lessThan">
      <formula>0</formula>
    </cfRule>
  </conditionalFormatting>
  <conditionalFormatting sqref="J1096">
    <cfRule type="cellIs" dxfId="28" priority="37" stopIfTrue="1" operator="lessThan">
      <formula>0</formula>
    </cfRule>
  </conditionalFormatting>
  <conditionalFormatting sqref="M1096">
    <cfRule type="cellIs" dxfId="27" priority="36" stopIfTrue="1" operator="lessThan">
      <formula>0</formula>
    </cfRule>
  </conditionalFormatting>
  <conditionalFormatting sqref="N1096">
    <cfRule type="cellIs" dxfId="26" priority="35" stopIfTrue="1" operator="lessThan">
      <formula>0</formula>
    </cfRule>
  </conditionalFormatting>
  <conditionalFormatting sqref="Q1096">
    <cfRule type="cellIs" dxfId="25" priority="34" stopIfTrue="1" operator="lessThan">
      <formula>0</formula>
    </cfRule>
  </conditionalFormatting>
  <conditionalFormatting sqref="R1096">
    <cfRule type="cellIs" dxfId="24" priority="33" stopIfTrue="1" operator="lessThan">
      <formula>0</formula>
    </cfRule>
  </conditionalFormatting>
  <conditionalFormatting sqref="U1096">
    <cfRule type="cellIs" dxfId="23" priority="32" stopIfTrue="1" operator="lessThan">
      <formula>0</formula>
    </cfRule>
  </conditionalFormatting>
  <conditionalFormatting sqref="V1096">
    <cfRule type="cellIs" dxfId="22" priority="31" stopIfTrue="1" operator="lessThan">
      <formula>0</formula>
    </cfRule>
  </conditionalFormatting>
  <conditionalFormatting sqref="W1096">
    <cfRule type="cellIs" dxfId="21" priority="30" stopIfTrue="1" operator="lessThan">
      <formula>0</formula>
    </cfRule>
  </conditionalFormatting>
  <conditionalFormatting sqref="X1096">
    <cfRule type="cellIs" dxfId="20" priority="29" stopIfTrue="1" operator="lessThan">
      <formula>0</formula>
    </cfRule>
  </conditionalFormatting>
  <conditionalFormatting sqref="Z1096">
    <cfRule type="cellIs" dxfId="19" priority="28" stopIfTrue="1" operator="lessThan">
      <formula>0</formula>
    </cfRule>
  </conditionalFormatting>
  <conditionalFormatting sqref="AD1096">
    <cfRule type="cellIs" dxfId="18" priority="27" stopIfTrue="1" operator="lessThan">
      <formula>0</formula>
    </cfRule>
  </conditionalFormatting>
  <conditionalFormatting sqref="AE1096">
    <cfRule type="cellIs" dxfId="17" priority="26" stopIfTrue="1" operator="lessThan">
      <formula>0</formula>
    </cfRule>
  </conditionalFormatting>
  <conditionalFormatting sqref="AF1096">
    <cfRule type="cellIs" dxfId="16" priority="25" stopIfTrue="1" operator="lessThan">
      <formula>0</formula>
    </cfRule>
  </conditionalFormatting>
  <conditionalFormatting sqref="AG1096">
    <cfRule type="cellIs" dxfId="15" priority="24" stopIfTrue="1" operator="lessThan">
      <formula>0</formula>
    </cfRule>
  </conditionalFormatting>
  <conditionalFormatting sqref="AE1047">
    <cfRule type="cellIs" dxfId="14" priority="23" stopIfTrue="1" operator="lessThan">
      <formula>0</formula>
    </cfRule>
  </conditionalFormatting>
  <conditionalFormatting sqref="H1094">
    <cfRule type="cellIs" dxfId="13" priority="22" stopIfTrue="1" operator="lessThan">
      <formula>0</formula>
    </cfRule>
  </conditionalFormatting>
  <conditionalFormatting sqref="Z3">
    <cfRule type="cellIs" dxfId="12" priority="21" stopIfTrue="1" operator="lessThan">
      <formula>0</formula>
    </cfRule>
  </conditionalFormatting>
  <conditionalFormatting sqref="AE2">
    <cfRule type="cellIs" dxfId="11" priority="20" stopIfTrue="1" operator="lessThan">
      <formula>0</formula>
    </cfRule>
  </conditionalFormatting>
  <conditionalFormatting sqref="AF2">
    <cfRule type="cellIs" dxfId="10" priority="19" stopIfTrue="1" operator="lessThan">
      <formula>0</formula>
    </cfRule>
  </conditionalFormatting>
  <conditionalFormatting sqref="AD6">
    <cfRule type="cellIs" dxfId="9" priority="15" stopIfTrue="1" operator="lessThan">
      <formula>0</formula>
    </cfRule>
  </conditionalFormatting>
  <conditionalFormatting sqref="AE6">
    <cfRule type="cellIs" dxfId="8" priority="14" stopIfTrue="1" operator="lessThan">
      <formula>0</formula>
    </cfRule>
  </conditionalFormatting>
  <conditionalFormatting sqref="AF6">
    <cfRule type="cellIs" dxfId="7" priority="13" stopIfTrue="1" operator="lessThan">
      <formula>0</formula>
    </cfRule>
  </conditionalFormatting>
  <conditionalFormatting sqref="AG6">
    <cfRule type="cellIs" dxfId="6" priority="12" stopIfTrue="1" operator="lessThan">
      <formula>0</formula>
    </cfRule>
  </conditionalFormatting>
  <conditionalFormatting sqref="D865">
    <cfRule type="cellIs" dxfId="5" priority="11" stopIfTrue="1" operator="lessThan">
      <formula>0</formula>
    </cfRule>
  </conditionalFormatting>
  <conditionalFormatting sqref="H865:H866">
    <cfRule type="cellIs" dxfId="4" priority="10" stopIfTrue="1" operator="lessThan">
      <formula>0</formula>
    </cfRule>
  </conditionalFormatting>
  <conditionalFormatting sqref="AD1112:AE1112">
    <cfRule type="cellIs" dxfId="3" priority="9" stopIfTrue="1" operator="lessThan">
      <formula>0</formula>
    </cfRule>
  </conditionalFormatting>
  <conditionalFormatting sqref="E865">
    <cfRule type="cellIs" dxfId="2" priority="7" stopIfTrue="1" operator="lessThan">
      <formula>0</formula>
    </cfRule>
  </conditionalFormatting>
  <conditionalFormatting sqref="O865">
    <cfRule type="cellIs" dxfId="1" priority="6" stopIfTrue="1" operator="lessThan">
      <formula>0</formula>
    </cfRule>
  </conditionalFormatting>
  <conditionalFormatting sqref="D1094">
    <cfRule type="cellIs" dxfId="0" priority="5" stopIfTrue="1" operator="lessThan">
      <formula>0</formula>
    </cfRule>
  </conditionalFormatting>
  <printOptions horizontalCentered="1" verticalCentered="1" headings="1"/>
  <pageMargins left="0" right="0" top="0" bottom="0.5" header="0.17" footer="0.2"/>
  <pageSetup paperSize="17" scale="40" fitToHeight="15" orientation="landscape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Avoided Costs 2013-2021</vt:lpstr>
      <vt:lpstr>Avoided Cost inputs</vt:lpstr>
      <vt:lpstr>2013 Actuals</vt:lpstr>
      <vt:lpstr>'Avoided Costs 2013-2021'!combo_space_water_heat</vt:lpstr>
      <vt:lpstr>hampton_t_1</vt:lpstr>
      <vt:lpstr>hampton_t_2</vt:lpstr>
      <vt:lpstr>hampton_t_3</vt:lpstr>
      <vt:lpstr>hampton_t_4</vt:lpstr>
      <vt:lpstr>'Avoided Costs 2013-2021'!industrial</vt:lpstr>
      <vt:lpstr>'2013 Actuals'!Print_Area</vt:lpstr>
      <vt:lpstr>'2013 Actuals'!Print_Titles</vt:lpstr>
      <vt:lpstr>'Avoided Costs 2013-2021'!res_comm_space_heat</vt:lpstr>
      <vt:lpstr>'Avoided Costs 2013-2021'!res_comm_water_heat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2015-06-12T14:08:01Z</dcterms:created>
  <dcterms:modified xsi:type="dcterms:W3CDTF">2015-06-25T14:15:25Z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19677048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